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ower Curves" sheetId="2" state="visible" r:id="rId4"/>
    <sheet name="Gas Curves" sheetId="3" state="visible" r:id="rId5"/>
    <sheet name="Calculations" sheetId="4" state="visible" r:id="rId6"/>
    <sheet name="Pricing Inputs" sheetId="5" state="visible" r:id="rId7"/>
    <sheet name="Output" sheetId="6" state="visible" r:id="rId8"/>
    <sheet name="WIP" sheetId="7" state="visible" r:id="rId9"/>
  </sheets>
  <externalReferences>
    <externalReference r:id="rId10"/>
  </externalReferences>
  <definedNames>
    <definedName function="false" hidden="false" localSheetId="3" name="_xlnm.Print_Area" vbProcedure="false">Calculations!$BA$1:$BI$27</definedName>
    <definedName function="false" hidden="false" localSheetId="2" name="_xlnm.Print_Area" vbProcedure="false">'Gas Curves'!$B$10:$P$137</definedName>
    <definedName function="false" hidden="false" localSheetId="2" name="_xlnm.Print_Titles" vbProcedure="false">'Gas Curves'!$13:$13</definedName>
    <definedName function="false" hidden="false" localSheetId="5" name="_xlnm.Print_Area" vbProcedure="false">Output!$A$1:$K$15</definedName>
    <definedName function="false" hidden="false" name="BasisIndex" vbProcedure="false">'Power Curves'!$DV$15:$DV$28</definedName>
    <definedName function="false" hidden="false" name="BasisNumber" vbProcedure="false">'Power Curves'!$DV$13</definedName>
    <definedName function="false" hidden="false" name="BasisTable" vbProcedure="false">'Power Curves'!$CP$50:$CR$326</definedName>
    <definedName function="false" hidden="false" name="CorrelationTable" vbProcedure="false">'Power Curves'!$DH$19:$DI$420</definedName>
    <definedName function="false" hidden="false" name="CurveDate" vbProcedure="false">Inputs!$D$2</definedName>
    <definedName function="false" hidden="false" name="CurveRange" vbProcedure="false">'Gas Curves'!$C$11</definedName>
    <definedName function="false" hidden="false" name="CurveValues" vbProcedure="false">#NAME? [2]Curves!$B$11:$M$377</definedName>
    <definedName function="false" hidden="false" name="CustomSaPeriod" vbProcedure="false">'Gas Curves'!$L$1</definedName>
    <definedName function="false" hidden="false" name="DailyScalarsTable" vbProcedure="false">'Power Curves'!$AG$21:$AR$44</definedName>
    <definedName function="false" hidden="false" name="DateToday" vbProcedure="false">Inputs!$D$1</definedName>
    <definedName function="false" hidden="false" name="DBase" vbProcedure="false">'Gas Curves'!$B$3</definedName>
    <definedName function="false" hidden="false" name="GasCurves" vbProcedure="false">'Gas Curves'!$B$17:$P$310</definedName>
    <definedName function="false" hidden="false" name="GasFirstMonth" vbProcedure="false">'Power Curves'!$CV$16</definedName>
    <definedName function="false" hidden="false" name="GasVolTable" vbProcedure="false">'Gas Curves'!$B$10:$H$353</definedName>
    <definedName function="false" hidden="false" name="InterestRatesTable" vbProcedure="false">'Gas Curves'!$B$10:$C$377</definedName>
    <definedName function="false" hidden="false" name="IntraPowerVol" vbProcedure="false">'Power Curves'!$CY$17:$DB$420</definedName>
    <definedName function="false" hidden="false" name="IRFirstMonth" vbProcedure="false">'Power Curves'!$A$13</definedName>
    <definedName function="false" hidden="false" name="IRTable" vbProcedure="false">'Power Curves'!$A$13:$B$289</definedName>
    <definedName function="false" hidden="false" name="LastDateOfMonthlyVol" vbProcedure="false">'Power Curves'!$W$12</definedName>
    <definedName function="false" hidden="false" name="NumberofDaysTable" vbProcedure="false">'Pricing Inputs'!$AF$2:$AK$254</definedName>
    <definedName function="false" hidden="false" name="OffPeakPeriod" vbProcedure="false">'Power Curves'!$DS$4</definedName>
    <definedName function="false" hidden="false" name="OmicronCurveDate" vbProcedure="false">Inputs!$D$5</definedName>
    <definedName function="false" hidden="false" name="OmicronIndex" vbProcedure="false">'Power Curves'!$DU$32:$DU$41</definedName>
    <definedName function="false" hidden="false" name="OmicronNumber" vbProcedure="false">'Power Curves'!$DY$31</definedName>
    <definedName function="false" hidden="false" name="OmicronVol" vbProcedure="false">'Gas Curves'!$R$14:$U$310</definedName>
    <definedName function="false" hidden="false" name="OPPowerPrices" vbProcedure="false">'Power Curves'!$D$19:$K$274</definedName>
    <definedName function="false" hidden="false" name="Password" vbProcedure="false">'Gas Curves'!$B$2</definedName>
    <definedName function="false" hidden="false" name="PeakEnd" vbProcedure="false">'Power Curves'!$AH$17</definedName>
    <definedName function="false" hidden="false" name="PeakPeriod" vbProcedure="false">'Power Curves'!$DS$3</definedName>
    <definedName function="false" hidden="false" name="PeakPowerCurves" vbProcedure="false">'Power Curves'!$D$19:$G$372</definedName>
    <definedName function="false" hidden="false" name="PeakStart" vbProcedure="false">'Power Curves'!$AG$17</definedName>
    <definedName function="false" hidden="false" name="PositionBasis" vbProcedure="false">'Power Curves'!$CP$14</definedName>
    <definedName function="false" hidden="false" name="PositionRegion" vbProcedure="false">'Power Curves'!$D$13</definedName>
    <definedName function="false" hidden="false" name="PowerVolTable" vbProcedure="false">'Power Curves'!$CY$19:$DF$420</definedName>
    <definedName function="false" hidden="false" name="PriceTable" vbProcedure="false">'Power Curves'!$D$50:$K$326</definedName>
    <definedName function="false" hidden="false" name="PriceTableWeekend" vbProcedure="false">'Power Curves'!$BI$19:$BP$323</definedName>
    <definedName function="false" hidden="false" name="RegionIndex" vbProcedure="false">'Power Curves'!$DS$19:$DS$45</definedName>
    <definedName function="false" hidden="false" name="RegionNumber" vbProcedure="false">'Power Curves'!$DS$18</definedName>
    <definedName function="false" hidden="false" name="SatSunPeakPwr" vbProcedure="false">'Power Curves'!$M$15:$T$242</definedName>
    <definedName function="false" hidden="false" name="ScalarTable" vbProcedure="false">'Pricing Inputs'!$B$5:$M$32</definedName>
    <definedName function="false" hidden="false" name="ScaledPrice" vbProcedure="false">'Pricing Inputs'!$A$36:$J$420</definedName>
    <definedName function="false" hidden="false" name="Today" vbProcedure="false">'Gas Curves'!$A$6</definedName>
    <definedName function="false" hidden="false" name="UpperLeftOfCurveTable" vbProcedure="false">'Gas Curves'!$B$11</definedName>
    <definedName function="false" hidden="false" name="UserName" vbProcedure="false">'Gas Curves'!$B$1</definedName>
    <definedName function="false" hidden="false" name="VolTableDailyOffPeak" vbProcedure="false">'Power Curves'!$CI$37:$CK$48</definedName>
    <definedName function="false" hidden="false" name="VolTableDailyPeak" vbProcedure="false">'Power Curves'!$CI$17:$CK$28</definedName>
    <definedName function="false" hidden="false" name="VolTableDailyPeakSat" vbProcedure="false">'Power Curves'!$CI$53:$CK$64</definedName>
    <definedName function="false" hidden="false" name="VolTableDailyPeakSun" vbProcedure="false">'Power Curves'!$CI$69:$CK$80</definedName>
    <definedName function="false" hidden="false" name="VolTableMonthlyOffPeak" vbProcedure="false">'Power Curves'!$Q$46:$T$64</definedName>
    <definedName function="false" hidden="false" name="VolTableMonthlyPeak" vbProcedure="false">'Power Curves'!$Q$20:$T$38</definedName>
    <definedName function="false" hidden="false" name="VolTableMonthlyPeakSat" vbProcedure="false">'Power Curves'!$BV$21:$BY$39</definedName>
    <definedName function="false" hidden="false" name="VolTableMonthlyPeakSun" vbProcedure="false">'Power Curves'!$BV$49:$BY$67</definedName>
    <definedName function="false" hidden="false" name="VolTableYearlyOffPeak" vbProcedure="false">'Power Curves'!$AA$46:$AD$69</definedName>
    <definedName function="false" hidden="false" name="VolTableYearlyPeak" vbProcedure="false">'Power Curves'!$AA$20:$AD$43</definedName>
    <definedName function="false" hidden="false" name="_Order1" vbProcedure="false">255</definedName>
    <definedName function="false" hidden="false" name="_Order2" vbProcedure="false">0</definedName>
    <definedName function="false" hidden="false" localSheetId="1" name="GasTable" vbProcedure="false">'Power Curves'!$CV$16:$DI$293</definedName>
    <definedName function="false" hidden="false" localSheetId="1" name="VolSmileBook" vbProcedure="false">'Power Curves'!$Q$69:$R$89</definedName>
    <definedName function="false" hidden="false" localSheetId="1" name="VolSmileModel" vbProcedure="false">'Power Curves'!$CM$15:$CN$35</definedName>
    <definedName function="false" hidden="false" localSheetId="2" name="CurveCode" vbProcedure="false">OFFSET('Gas Curves'!$B$13,0,0,1,COUNT('Gas Curves'!$17:$17))</definedName>
    <definedName function="false" hidden="false" localSheetId="2" name="curvevalues2" vbProcedure="false">OFFSET('Gas Curves'!$B$11,0,0,COUNT('Gas Curves'!$B:$B)+5,COUNT('Gas Curves'!$17:$17))</definedName>
    <definedName function="true" hidden="false" name="x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<sst xmlns="http://schemas.openxmlformats.org/spreadsheetml/2006/main" count="3695" uniqueCount="1428">
  <si>
    <t xml:space="preserve">Pricing Date</t>
  </si>
  <si>
    <t xml:space="preserve">Gas Adder</t>
  </si>
  <si>
    <t xml:space="preserve">Date Range</t>
  </si>
  <si>
    <t xml:space="preserve">Curve Date</t>
  </si>
  <si>
    <t xml:space="preserve">Summer</t>
  </si>
  <si>
    <t xml:space="preserve">From</t>
  </si>
  <si>
    <t xml:space="preserve">Power Region</t>
  </si>
  <si>
    <t xml:space="preserve">Winter</t>
  </si>
  <si>
    <t xml:space="preserve">To</t>
  </si>
  <si>
    <t xml:space="preserve">Power Basis</t>
  </si>
  <si>
    <t xml:space="preserve">Omicron Curve Date</t>
  </si>
  <si>
    <t xml:space="preserve">Variable O&amp;M</t>
  </si>
  <si>
    <t xml:space="preserve">Omicron Region</t>
  </si>
  <si>
    <t xml:space="preserve">WARNING, When going out past 15 yrs </t>
  </si>
  <si>
    <t xml:space="preserve">Gas Curve Date</t>
  </si>
  <si>
    <t xml:space="preserve">check curve availability for Nymex, Gas Basis, Interest Rates</t>
  </si>
  <si>
    <t xml:space="preserve">Summer Gas Basis</t>
  </si>
  <si>
    <t xml:space="preserve">Total Plant Per Start</t>
  </si>
  <si>
    <t xml:space="preserve">Extend Gas and Rates on Gas Curves page</t>
  </si>
  <si>
    <t xml:space="preserve">Winter Gas Basis</t>
  </si>
  <si>
    <t xml:space="preserve">Power extends automatically (price, vols, and correlation)</t>
  </si>
  <si>
    <t xml:space="preserve">Days to Run</t>
  </si>
  <si>
    <t xml:space="preserve">Holidays are included as a Sunday</t>
  </si>
  <si>
    <t xml:space="preserve">MWs</t>
  </si>
  <si>
    <t xml:space="preserve">Month</t>
  </si>
  <si>
    <t xml:space="preserve">Heat Rates</t>
  </si>
  <si>
    <t xml:space="preserve">Pricing Type</t>
  </si>
  <si>
    <t xml:space="preserve">Discount Scenarios</t>
  </si>
  <si>
    <t xml:space="preserve">Vols are not effected, they remain flat</t>
  </si>
  <si>
    <t xml:space="preserve">Back end Curve escalation/descension</t>
  </si>
  <si>
    <t xml:space="preserve">Power</t>
  </si>
  <si>
    <t xml:space="preserve">Bid, Mid, Offer</t>
  </si>
  <si>
    <t xml:space="preserve">1 = Flat curve</t>
  </si>
  <si>
    <t xml:space="preserve">&gt; 1 escalation</t>
  </si>
  <si>
    <t xml:space="preserve">&lt; 1 descension</t>
  </si>
  <si>
    <t xml:space="preserve">Plant Operation</t>
  </si>
  <si>
    <t xml:space="preserve">Gas</t>
  </si>
  <si>
    <t xml:space="preserve">Availability</t>
  </si>
  <si>
    <t xml:space="preserve">Still Working on this, not totally functional yet</t>
  </si>
  <si>
    <t xml:space="preserve">Vol Scalar</t>
  </si>
  <si>
    <t xml:space="preserve">   Coming early March</t>
  </si>
  <si>
    <t xml:space="preserve">If using a 16Hr curve use scalar of 1</t>
  </si>
  <si>
    <t xml:space="preserve">Int Rates Curve</t>
  </si>
  <si>
    <t xml:space="preserve">Forward Power Price Curves, Volatilities and Price Profile</t>
  </si>
  <si>
    <t xml:space="preserve"> </t>
  </si>
  <si>
    <t xml:space="preserve">Last Date Of Monthly Vol:</t>
  </si>
  <si>
    <t xml:space="preserve">Model Volatility</t>
  </si>
  <si>
    <t xml:space="preserve">Basis Table</t>
  </si>
  <si>
    <t xml:space="preserve">REGION 1</t>
  </si>
  <si>
    <t xml:space="preserve">NY East</t>
  </si>
  <si>
    <t xml:space="preserve">Smile Table</t>
  </si>
  <si>
    <t xml:space="preserve">Monthly Volatilities</t>
  </si>
  <si>
    <t xml:space="preserve">Intra-Month Volatilties</t>
  </si>
  <si>
    <t xml:space="preserve">Int-Month Peak Vol</t>
  </si>
  <si>
    <t xml:space="preserve">Strike-Mid</t>
  </si>
  <si>
    <t xml:space="preserve">Smile</t>
  </si>
  <si>
    <t xml:space="preserve">Region</t>
  </si>
  <si>
    <t xml:space="preserve">#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</si>
  <si>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</si>
  <si>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</si>
  <si>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</si>
  <si>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</si>
  <si>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</si>
  <si>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Peak</t>
  </si>
  <si>
    <t xml:space="preserve">OffPeak</t>
  </si>
  <si>
    <t xml:space="preserve">Group</t>
  </si>
  <si>
    <t xml:space="preserve">Prudent</t>
  </si>
  <si>
    <t xml:space="preserve">Correlation</t>
  </si>
  <si>
    <t xml:space="preserve">Mid</t>
  </si>
  <si>
    <t xml:space="preserve">Bid</t>
  </si>
  <si>
    <t xml:space="preserve">Offer</t>
  </si>
  <si>
    <t xml:space="preserve">No Basis</t>
  </si>
  <si>
    <t xml:space="preserve">Code</t>
  </si>
  <si>
    <t xml:space="preserve">Factor</t>
  </si>
  <si>
    <t xml:space="preserve">Start</t>
  </si>
  <si>
    <t xml:space="preserve">End</t>
  </si>
  <si>
    <t xml:space="preserve">Gas-Power</t>
  </si>
  <si>
    <t xml:space="preserve">Vol</t>
  </si>
  <si>
    <t xml:space="preserve">This Section Needed for Bid,Mid,Offer Toggle</t>
  </si>
  <si>
    <t xml:space="preserve">This Section Needed for Curve Extension</t>
  </si>
  <si>
    <t xml:space="preserve">1  BUSBAR</t>
  </si>
  <si>
    <t xml:space="preserve">($/MWH)</t>
  </si>
  <si>
    <t xml:space="preserve">Intra-Month Volatilities</t>
  </si>
  <si>
    <t xml:space="preserve">Monthly Vols</t>
  </si>
  <si>
    <t xml:space="preserve">2  MID COLUMBIA</t>
  </si>
  <si>
    <t xml:space="preserve">Daily Price Profile</t>
  </si>
  <si>
    <t xml:space="preserve">Delivery Point</t>
  </si>
  <si>
    <t xml:space="preserve">3  MIDWAY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</si>
  <si>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</si>
  <si>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</si>
  <si>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</si>
  <si>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</si>
  <si>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</si>
  <si>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</si>
  <si>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</si>
  <si>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</si>
  <si>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</si>
  <si>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</si>
  <si>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</si>
  <si>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</si>
  <si>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Con. Edison</t>
  </si>
  <si>
    <t xml:space="preserve">1      NY East</t>
  </si>
  <si>
    <t xml:space="preserve">1</t>
  </si>
  <si>
    <t xml:space="preserve">4  MEAD</t>
  </si>
  <si>
    <t xml:space="preserve">HR</t>
  </si>
  <si>
    <t xml:space="preserve">P/OP</t>
  </si>
  <si>
    <t xml:space="preserve">PJM West</t>
  </si>
  <si>
    <t xml:space="preserve">1A  PJM</t>
  </si>
  <si>
    <t xml:space="preserve">1A</t>
  </si>
  <si>
    <t xml:space="preserve">5  PALO VERDE</t>
  </si>
  <si>
    <t xml:space="preserve">2</t>
  </si>
  <si>
    <t xml:space="preserve">Card Street</t>
  </si>
  <si>
    <t xml:space="preserve">1B   NEPOOL</t>
  </si>
  <si>
    <t xml:space="preserve">1B</t>
  </si>
  <si>
    <t xml:space="preserve">6  FOUR CORNERS</t>
  </si>
  <si>
    <t xml:space="preserve">NY West</t>
  </si>
  <si>
    <t xml:space="preserve">1C   NY West</t>
  </si>
  <si>
    <t xml:space="preserve">1C</t>
  </si>
  <si>
    <t xml:space="preserve">7  CRAIG</t>
  </si>
  <si>
    <t xml:space="preserve">1D   East Hub</t>
  </si>
  <si>
    <t xml:space="preserve">1D</t>
  </si>
  <si>
    <t xml:space="preserve">8  NW DELV</t>
  </si>
  <si>
    <t xml:space="preserve">1E    West Hub</t>
  </si>
  <si>
    <t xml:space="preserve">1E</t>
  </si>
  <si>
    <t xml:space="preserve">10  Into EEI-R4</t>
  </si>
  <si>
    <t xml:space="preserve">1F   Firm LD</t>
  </si>
  <si>
    <t xml:space="preserve">1F</t>
  </si>
  <si>
    <t xml:space="preserve">11  WISCONSIN-R4</t>
  </si>
  <si>
    <t xml:space="preserve">1H  NE Dispatch</t>
  </si>
  <si>
    <t xml:space="preserve">1H</t>
  </si>
  <si>
    <t xml:space="preserve">12  MICHIGAN-R4</t>
  </si>
  <si>
    <t xml:space="preserve">ECAR</t>
  </si>
  <si>
    <t xml:space="preserve">2     ECAR</t>
  </si>
  <si>
    <t xml:space="preserve">14  EAST NY-R1A</t>
  </si>
  <si>
    <t xml:space="preserve">Into AEP</t>
  </si>
  <si>
    <t xml:space="preserve">2A  AEP</t>
  </si>
  <si>
    <t xml:space="preserve">2A</t>
  </si>
  <si>
    <t xml:space="preserve">15  EASTERN ECAR-R1A</t>
  </si>
  <si>
    <t xml:space="preserve">Eastern ECAR</t>
  </si>
  <si>
    <t xml:space="preserve">2B  Eastern ECAR</t>
  </si>
  <si>
    <t xml:space="preserve">2B</t>
  </si>
  <si>
    <t xml:space="preserve">OTHER</t>
  </si>
  <si>
    <t xml:space="preserve">Southern Co.</t>
  </si>
  <si>
    <t xml:space="preserve">3     SERC</t>
  </si>
  <si>
    <t xml:space="preserve">3</t>
  </si>
  <si>
    <t xml:space="preserve">FP&amp;L</t>
  </si>
  <si>
    <t xml:space="preserve">3A  SERC Florida</t>
  </si>
  <si>
    <t xml:space="preserve">3A</t>
  </si>
  <si>
    <t xml:space="preserve">TVA</t>
  </si>
  <si>
    <t xml:space="preserve">3B  TVA</t>
  </si>
  <si>
    <t xml:space="preserve">3B</t>
  </si>
  <si>
    <t xml:space="preserve">CINergy</t>
  </si>
  <si>
    <t xml:space="preserve">4     CINergy</t>
  </si>
  <si>
    <t xml:space="preserve">4</t>
  </si>
  <si>
    <t xml:space="preserve">Int-Month Off-Peak Vol</t>
  </si>
  <si>
    <t xml:space="preserve">NSP</t>
  </si>
  <si>
    <t xml:space="preserve">4A  MAPP</t>
  </si>
  <si>
    <t xml:space="preserve">4A</t>
  </si>
  <si>
    <t xml:space="preserve">Southern MAPP</t>
  </si>
  <si>
    <t xml:space="preserve">4B  Southern MAPP</t>
  </si>
  <si>
    <t xml:space="preserve">4B</t>
  </si>
  <si>
    <t xml:space="preserve">COMED</t>
  </si>
  <si>
    <t xml:space="preserve">4C  COMED</t>
  </si>
  <si>
    <t xml:space="preserve">4C</t>
  </si>
  <si>
    <t xml:space="preserve">ENTERGY</t>
  </si>
  <si>
    <t xml:space="preserve">5     Entergy</t>
  </si>
  <si>
    <t xml:space="preserve">5</t>
  </si>
  <si>
    <t xml:space="preserve">Associated</t>
  </si>
  <si>
    <t xml:space="preserve">5A  Associated</t>
  </si>
  <si>
    <t xml:space="preserve">5A</t>
  </si>
  <si>
    <t xml:space="preserve">HL&amp;P</t>
  </si>
  <si>
    <t xml:space="preserve">6     ERCOT</t>
  </si>
  <si>
    <t xml:space="preserve">6</t>
  </si>
  <si>
    <t xml:space="preserve">Palo Verde</t>
  </si>
  <si>
    <t xml:space="preserve">7     Palo Verde</t>
  </si>
  <si>
    <t xml:space="preserve">7</t>
  </si>
  <si>
    <t xml:space="preserve">Rockies</t>
  </si>
  <si>
    <t xml:space="preserve">7A  Rockies</t>
  </si>
  <si>
    <t xml:space="preserve">7A</t>
  </si>
  <si>
    <t xml:space="preserve">COB</t>
  </si>
  <si>
    <t xml:space="preserve">8     COB</t>
  </si>
  <si>
    <t xml:space="preserve">8</t>
  </si>
  <si>
    <t xml:space="preserve">Mid Columbia</t>
  </si>
  <si>
    <t xml:space="preserve">9     Mid Columbia</t>
  </si>
  <si>
    <t xml:space="preserve">NP-15</t>
  </si>
  <si>
    <t xml:space="preserve">10   NP-15</t>
  </si>
  <si>
    <t xml:space="preserve">SP-15</t>
  </si>
  <si>
    <t xml:space="preserve">11    SP-15</t>
  </si>
  <si>
    <t xml:space="preserve">Volatility Smile</t>
  </si>
  <si>
    <t xml:space="preserve">Price Sensitivies</t>
  </si>
  <si>
    <t xml:space="preserve">Int-Month Sat Peak Vol</t>
  </si>
  <si>
    <t xml:space="preserve">Int-Month Sun Peak Vol</t>
  </si>
  <si>
    <t xml:space="preserve">User ID:</t>
  </si>
  <si>
    <t xml:space="preserve">mbennet_pc</t>
  </si>
  <si>
    <t xml:space="preserve">Please enter a valid User ID for ERMS/RUNM</t>
  </si>
  <si>
    <t xml:space="preserve">Pub code</t>
  </si>
  <si>
    <t xml:space="preserve">Book type</t>
  </si>
  <si>
    <t xml:space="preserve">Curve type</t>
  </si>
  <si>
    <t xml:space="preserve">UOM</t>
  </si>
  <si>
    <t xml:space="preserve">Password:</t>
  </si>
  <si>
    <t xml:space="preserve">Please enter the Password for the User ID</t>
  </si>
  <si>
    <t xml:space="preserve">Gas Basis Check Box</t>
  </si>
  <si>
    <t xml:space="preserve">401-TUSCORARA</t>
  </si>
  <si>
    <t xml:space="preserve">D</t>
  </si>
  <si>
    <t xml:space="preserve">PR</t>
  </si>
  <si>
    <t xml:space="preserve">MMBTU</t>
  </si>
  <si>
    <t xml:space="preserve">401-TUSCORARA D PR</t>
  </si>
  <si>
    <t xml:space="preserve">I</t>
  </si>
  <si>
    <t xml:space="preserve">401-TUSCORARA I PR</t>
  </si>
  <si>
    <t xml:space="preserve">OMICRON Code</t>
  </si>
  <si>
    <t xml:space="preserve">OMICRON Region</t>
  </si>
  <si>
    <t xml:space="preserve">Database:</t>
  </si>
  <si>
    <t xml:space="preserve">egsprod</t>
  </si>
  <si>
    <t xml:space="preserve">Database into which the curves will be loaded (ex: egsprod = ERMS Prod, egstest = ERMS Test, etc.)</t>
  </si>
  <si>
    <t xml:space="preserve">CGPR-AECO/BASIS</t>
  </si>
  <si>
    <t xml:space="preserve">CGPR-AECO/BASIS D PR</t>
  </si>
  <si>
    <t xml:space="preserve">ABC/C$/IDX</t>
  </si>
  <si>
    <t xml:space="preserve">ABC/C$/IDX I PR</t>
  </si>
  <si>
    <t xml:space="preserve">NG_OMICRON_1</t>
  </si>
  <si>
    <t xml:space="preserve">Louisiana - Onshore South</t>
  </si>
  <si>
    <t xml:space="preserve">CGPR-CHIPPAWA</t>
  </si>
  <si>
    <t xml:space="preserve">CGPR-CHIPPAWA D PR</t>
  </si>
  <si>
    <t xml:space="preserve">CGPR-AECO/BASIS I PR</t>
  </si>
  <si>
    <t xml:space="preserve">NG_OMICRON_2</t>
  </si>
  <si>
    <t xml:space="preserve">HSC - East Texas - Katy</t>
  </si>
  <si>
    <t xml:space="preserve">OFFSET(K4,0,0,1,COUNT(4:4))</t>
  </si>
  <si>
    <t xml:space="preserve">CGPR-CORNWALL</t>
  </si>
  <si>
    <t xml:space="preserve">CGPR-CORNWALL D PR</t>
  </si>
  <si>
    <t xml:space="preserve">CGPR-CHIPPAWA I PR</t>
  </si>
  <si>
    <t xml:space="preserve">NG_OMICRON_3</t>
  </si>
  <si>
    <t xml:space="preserve">Oklahoma - Mid Continent</t>
  </si>
  <si>
    <t xml:space="preserve">CGPR-DAWN</t>
  </si>
  <si>
    <t xml:space="preserve">CGPR-DAWN D PR</t>
  </si>
  <si>
    <t xml:space="preserve">CGPR-DAWN I PR</t>
  </si>
  <si>
    <t xml:space="preserve">NG_OMICRON_4</t>
  </si>
  <si>
    <t xml:space="preserve">Permian Basin - San Juan Basin</t>
  </si>
  <si>
    <t xml:space="preserve">CGPR-EMERSONUSA</t>
  </si>
  <si>
    <t xml:space="preserve">CGPR-EMERSONUSA D PR</t>
  </si>
  <si>
    <t xml:space="preserve">CGPR-EMERSON</t>
  </si>
  <si>
    <t xml:space="preserve">CGPR-EMERSON I PR</t>
  </si>
  <si>
    <t xml:space="preserve">NG_OMICRON_5</t>
  </si>
  <si>
    <t xml:space="preserve">Northern Ventura - Northern Demarc</t>
  </si>
  <si>
    <t xml:space="preserve">Interest</t>
  </si>
  <si>
    <t xml:space="preserve">Summer Omicron</t>
  </si>
  <si>
    <t xml:space="preserve">Winter Omicron</t>
  </si>
  <si>
    <t xml:space="preserve">NG Vol Bid</t>
  </si>
  <si>
    <t xml:space="preserve">NG Vol Mid</t>
  </si>
  <si>
    <t xml:space="preserve">NG Vol Ask</t>
  </si>
  <si>
    <t xml:space="preserve">Nymex Bid</t>
  </si>
  <si>
    <t xml:space="preserve">Nymex Mid</t>
  </si>
  <si>
    <t xml:space="preserve">Nymex Ask</t>
  </si>
  <si>
    <t xml:space="preserve">Gas Basis</t>
  </si>
  <si>
    <t xml:space="preserve">All-in Price</t>
  </si>
  <si>
    <t xml:space="preserve">CGPR-EMPRESS-US</t>
  </si>
  <si>
    <t xml:space="preserve">CGPR-EMPRESS-US D PR</t>
  </si>
  <si>
    <t xml:space="preserve">CGPR-KINGSGATE</t>
  </si>
  <si>
    <t xml:space="preserve">CGPR-KINGSGATE I PR</t>
  </si>
  <si>
    <t xml:space="preserve">NG_OMICRON_6</t>
  </si>
  <si>
    <t xml:space="preserve">Market Area:  Northeast</t>
  </si>
  <si>
    <t xml:space="preserve">CGPR-KINGSGATE D PR</t>
  </si>
  <si>
    <t xml:space="preserve">CGPR-NIAGARA</t>
  </si>
  <si>
    <t xml:space="preserve">CGPR-NIAGARA I PR</t>
  </si>
  <si>
    <t xml:space="preserve">NG_OMICRON_7</t>
  </si>
  <si>
    <t xml:space="preserve">Appalachia</t>
  </si>
  <si>
    <t xml:space="preserve">CGPR-NIAGARA D PR</t>
  </si>
  <si>
    <t xml:space="preserve">CGPR-OJIBWAY</t>
  </si>
  <si>
    <t xml:space="preserve">CGPR-OJIBWAY I PR</t>
  </si>
  <si>
    <t xml:space="preserve">NG_OMICRON_8</t>
  </si>
  <si>
    <t xml:space="preserve">Effective Date</t>
  </si>
  <si>
    <t xml:space="preserve">CGPR-OJIBWAY D PR</t>
  </si>
  <si>
    <t xml:space="preserve">CGPR-PARKWAY</t>
  </si>
  <si>
    <t xml:space="preserve">CGPR-PARKWAY I PR</t>
  </si>
  <si>
    <t xml:space="preserve">NG_OMICRON_9</t>
  </si>
  <si>
    <t xml:space="preserve">Alberta - Sumas</t>
  </si>
  <si>
    <t xml:space="preserve">Prompt Month</t>
  </si>
  <si>
    <t xml:space="preserve">CGPR-PARKWAY D PR</t>
  </si>
  <si>
    <t xml:space="preserve">CGPR-ST.CLAIR</t>
  </si>
  <si>
    <t xml:space="preserve">CGPR-ST.CLAIR I PR</t>
  </si>
  <si>
    <t xml:space="preserve">NG_OMICRON_10</t>
  </si>
  <si>
    <t xml:space="preserve">Sithe Curve (ANR/LA_ONSHO)</t>
  </si>
  <si>
    <t xml:space="preserve">Curve Code</t>
  </si>
  <si>
    <t xml:space="preserve">INTNS</t>
  </si>
  <si>
    <t xml:space="preserve">NG</t>
  </si>
  <si>
    <t xml:space="preserve">CGPR-ST.CLAIR D PR</t>
  </si>
  <si>
    <t xml:space="preserve">CGPR-STN2/IDX</t>
  </si>
  <si>
    <t xml:space="preserve">CGPR-STN2/IDX I PR</t>
  </si>
  <si>
    <t xml:space="preserve">NG_OMICRON_11</t>
  </si>
  <si>
    <t xml:space="preserve">Chicago</t>
  </si>
  <si>
    <t xml:space="preserve">Curve Type</t>
  </si>
  <si>
    <t xml:space="preserve">AA</t>
  </si>
  <si>
    <t xml:space="preserve">VO</t>
  </si>
  <si>
    <t xml:space="preserve">BV</t>
  </si>
  <si>
    <t xml:space="preserve">AV</t>
  </si>
  <si>
    <t xml:space="preserve">BP</t>
  </si>
  <si>
    <t xml:space="preserve">AP</t>
  </si>
  <si>
    <t xml:space="preserve">Omicron</t>
  </si>
  <si>
    <t xml:space="preserve">Omicron </t>
  </si>
  <si>
    <t xml:space="preserve">CGPR-WADDING</t>
  </si>
  <si>
    <t xml:space="preserve">CGPR-WADDING D PR</t>
  </si>
  <si>
    <t xml:space="preserve">CGPR-WADDING I PR</t>
  </si>
  <si>
    <t xml:space="preserve">NG_OMICRON_12</t>
  </si>
  <si>
    <t xml:space="preserve">Florida Zones 1 through 3</t>
  </si>
  <si>
    <t xml:space="preserve">Book Code 1</t>
  </si>
  <si>
    <t xml:space="preserve">R</t>
  </si>
  <si>
    <t xml:space="preserve">P</t>
  </si>
  <si>
    <t xml:space="preserve">Bid Vol</t>
  </si>
  <si>
    <t xml:space="preserve">Mid Vol</t>
  </si>
  <si>
    <t xml:space="preserve">Ask Vol</t>
  </si>
  <si>
    <t xml:space="preserve">CONSUMERS_CDA</t>
  </si>
  <si>
    <t xml:space="preserve">CONSUMERS_CDA D PR</t>
  </si>
  <si>
    <t xml:space="preserve">CONSUMERS_CDA/I</t>
  </si>
  <si>
    <t xml:space="preserve">CONSUMERS_CDA/I I PR</t>
  </si>
  <si>
    <t xml:space="preserve">Publisher</t>
  </si>
  <si>
    <t xml:space="preserve">DARNAEZ</t>
  </si>
  <si>
    <t xml:space="preserve">JBUSS</t>
  </si>
  <si>
    <t xml:space="preserve">DQUIGLE</t>
  </si>
  <si>
    <t xml:space="preserve">FSTURM</t>
  </si>
  <si>
    <t xml:space="preserve">DJENKIN</t>
  </si>
  <si>
    <t xml:space="preserve">Adder</t>
  </si>
  <si>
    <t xml:space="preserve">Total Gas </t>
  </si>
  <si>
    <t xml:space="preserve">DAWN-GDM</t>
  </si>
  <si>
    <t xml:space="preserve">DAWN-GDM D PR</t>
  </si>
  <si>
    <t xml:space="preserve">DJ/BASIN/CIG</t>
  </si>
  <si>
    <t xml:space="preserve">DJ/BASIN/CIG I PR</t>
  </si>
  <si>
    <t xml:space="preserve">DJ/BASIN/CIG D PR</t>
  </si>
  <si>
    <t xml:space="preserve">DJ/BASIN/WEST</t>
  </si>
  <si>
    <t xml:space="preserve">DJ/BASIN/WEST I PR</t>
  </si>
  <si>
    <t xml:space="preserve">DJ/BASIN/WEST D PR</t>
  </si>
  <si>
    <t xml:space="preserve">GAS DAILY</t>
  </si>
  <si>
    <t xml:space="preserve">GAS DAILY I PR</t>
  </si>
  <si>
    <t xml:space="preserve">GAS DAILY D PR</t>
  </si>
  <si>
    <t xml:space="preserve">GD-FGT/Z2</t>
  </si>
  <si>
    <t xml:space="preserve">GD-FGT/Z2 I PR</t>
  </si>
  <si>
    <t xml:space="preserve">GD-AECOUS-DAILY</t>
  </si>
  <si>
    <t xml:space="preserve">SP</t>
  </si>
  <si>
    <t xml:space="preserve">GD-AECOUS-DAILY D SP</t>
  </si>
  <si>
    <t xml:space="preserve">GD-INTRASTHUB</t>
  </si>
  <si>
    <t xml:space="preserve">GD-INTRASTHUB I PR</t>
  </si>
  <si>
    <t xml:space="preserve">GD-AGUADULCE</t>
  </si>
  <si>
    <t xml:space="preserve">GD-AGUADULCE D SP</t>
  </si>
  <si>
    <t xml:space="preserve">GD-LOW_IROQUOIS</t>
  </si>
  <si>
    <t xml:space="preserve">GD-LOW_IROQUOIS I PR</t>
  </si>
  <si>
    <t xml:space="preserve">GD-ALGONQUIN</t>
  </si>
  <si>
    <t xml:space="preserve">GD-ALGONQUIN D SP</t>
  </si>
  <si>
    <t xml:space="preserve">GD-TRANSCO/Z6</t>
  </si>
  <si>
    <t xml:space="preserve">GD-TRANSCO/Z6 I PR</t>
  </si>
  <si>
    <t xml:space="preserve">GD-ANR/LA_ONSHO</t>
  </si>
  <si>
    <t xml:space="preserve">GD-ANR/LA_ONSHO D SP</t>
  </si>
  <si>
    <t xml:space="preserve">HPL/SHPCHAN-GD</t>
  </si>
  <si>
    <t xml:space="preserve">HPL/SHPCHAN-GD I PR</t>
  </si>
  <si>
    <t xml:space="preserve">GD-ANR/OK</t>
  </si>
  <si>
    <t xml:space="preserve">GD-ANR/OK D SP</t>
  </si>
  <si>
    <t xml:space="preserve">IF-A/S E.BEAUM</t>
  </si>
  <si>
    <t xml:space="preserve">IF-A/S E.BEAUM I PR</t>
  </si>
  <si>
    <t xml:space="preserve">GD-CAL BORDER</t>
  </si>
  <si>
    <t xml:space="preserve">GD-CAL BORDER D SP</t>
  </si>
  <si>
    <t xml:space="preserve">IF-A/S EAST OFF</t>
  </si>
  <si>
    <t xml:space="preserve">IF-A/S EAST OFF I PR</t>
  </si>
  <si>
    <t xml:space="preserve">GD-CARTHAGE</t>
  </si>
  <si>
    <t xml:space="preserve">GD-CARTHAGE D SP</t>
  </si>
  <si>
    <t xml:space="preserve">IF-AGUA DULCE</t>
  </si>
  <si>
    <t xml:space="preserve">IF-AGUA DULCE I PR</t>
  </si>
  <si>
    <t xml:space="preserve">GD-CGT/APPALAC</t>
  </si>
  <si>
    <t xml:space="preserve">GD-CGT/APPALAC D SP</t>
  </si>
  <si>
    <t xml:space="preserve">IF-ANR/LA</t>
  </si>
  <si>
    <t xml:space="preserve">IF-ANR/LA I PR</t>
  </si>
  <si>
    <t xml:space="preserve">GD-CHI. GATE</t>
  </si>
  <si>
    <t xml:space="preserve">GD-CHI. GATE D SP</t>
  </si>
  <si>
    <t xml:space="preserve">IF-ANR/LA_OFFSH</t>
  </si>
  <si>
    <t xml:space="preserve">IF-ANR/LA_OFFSH I PR</t>
  </si>
  <si>
    <t xml:space="preserve">GD-CIG/RKYMTN</t>
  </si>
  <si>
    <t xml:space="preserve">GD-CIG/RKYMTN D SP</t>
  </si>
  <si>
    <t xml:space="preserve">IF-ANR/LA_ONSHO</t>
  </si>
  <si>
    <t xml:space="preserve">IF-ANR/LA_ONSHO I PR</t>
  </si>
  <si>
    <t xml:space="preserve">GD-CNG/NORTH</t>
  </si>
  <si>
    <t xml:space="preserve">GD-CNG/NORTH D SP</t>
  </si>
  <si>
    <t xml:space="preserve">IF-ANR/OK</t>
  </si>
  <si>
    <t xml:space="preserve">IF-ANR/OK I PR</t>
  </si>
  <si>
    <t xml:space="preserve">GD-CNG/SOUTH</t>
  </si>
  <si>
    <t xml:space="preserve">GD-CNG/SOUTH D SP</t>
  </si>
  <si>
    <t xml:space="preserve">IF-ARKLA/ARK-OK</t>
  </si>
  <si>
    <t xml:space="preserve">IF-ARKLA/ARK-OK I PR</t>
  </si>
  <si>
    <t xml:space="preserve">GD-COLGULF/LA</t>
  </si>
  <si>
    <t xml:space="preserve">GD-COLGULF/LA D SP</t>
  </si>
  <si>
    <t xml:space="preserve">IF-B/M OFFSHORE</t>
  </si>
  <si>
    <t xml:space="preserve">IF-B/M OFFSHORE I PR</t>
  </si>
  <si>
    <t xml:space="preserve">GD-COLGULF/RAYN</t>
  </si>
  <si>
    <t xml:space="preserve">GD-COLGULF/RAYN D SP</t>
  </si>
  <si>
    <t xml:space="preserve">IF-BONDAD(100%)</t>
  </si>
  <si>
    <t xml:space="preserve">IF-BONDAD(100%) I PR</t>
  </si>
  <si>
    <t xml:space="preserve">GD-CONSUMERS</t>
  </si>
  <si>
    <t xml:space="preserve">GD-CONSUMERS D SP</t>
  </si>
  <si>
    <t xml:space="preserve">IF-CARTHAGE</t>
  </si>
  <si>
    <t xml:space="preserve">IF-CARTHAGE I PR</t>
  </si>
  <si>
    <t xml:space="preserve">GD-CORPUS/SHPCH</t>
  </si>
  <si>
    <t xml:space="preserve">GD-CORPUS/SHPCH D SP</t>
  </si>
  <si>
    <t xml:space="preserve">IF-CGT/APPALAC</t>
  </si>
  <si>
    <t xml:space="preserve">IF-CGT/APPALAC I PR</t>
  </si>
  <si>
    <t xml:space="preserve">GD-DAWN</t>
  </si>
  <si>
    <t xml:space="preserve">GD-DAWN D SP</t>
  </si>
  <si>
    <t xml:space="preserve">IF-CGT/CITYGATE</t>
  </si>
  <si>
    <t xml:space="preserve">IF-CGT/CITYGATE I PR</t>
  </si>
  <si>
    <t xml:space="preserve">GD-DJ/BASIN</t>
  </si>
  <si>
    <t xml:space="preserve">GD-DJ/BASIN D SP</t>
  </si>
  <si>
    <t xml:space="preserve">IF-CIG/RKYMTN</t>
  </si>
  <si>
    <t xml:space="preserve">IF-CIG/RKYMTN I PR</t>
  </si>
  <si>
    <t xml:space="preserve">GD-ELPO/PERM2</t>
  </si>
  <si>
    <t xml:space="preserve">GD-ELPO/PERM2 D SP</t>
  </si>
  <si>
    <t xml:space="preserve">IF-CIG/TOMAHAWK</t>
  </si>
  <si>
    <t xml:space="preserve">IF-CIG/TOMAHAWK I PR</t>
  </si>
  <si>
    <t xml:space="preserve">GD-ELPO/SANJUAN</t>
  </si>
  <si>
    <t xml:space="preserve">GD-ELPO/SANJUAN D SP</t>
  </si>
  <si>
    <t xml:space="preserve">IF-CIG/WIC</t>
  </si>
  <si>
    <t xml:space="preserve">IF-CIG/WIC I PR</t>
  </si>
  <si>
    <t xml:space="preserve">GD-ELPO/SJBOND</t>
  </si>
  <si>
    <t xml:space="preserve">GD-ELPO/SJBOND D SP</t>
  </si>
  <si>
    <t xml:space="preserve">IF-CIG/WINDRVR</t>
  </si>
  <si>
    <t xml:space="preserve">IF-CIG/WINDRVR I PR</t>
  </si>
  <si>
    <t xml:space="preserve">GD-EMERSON</t>
  </si>
  <si>
    <t xml:space="preserve">GD-EMERSON D SP</t>
  </si>
  <si>
    <t xml:space="preserve">IF-CNG/APPALACH</t>
  </si>
  <si>
    <t xml:space="preserve">IF-CNG/APPALACH I PR</t>
  </si>
  <si>
    <t xml:space="preserve">GD-FGT/MOBILE</t>
  </si>
  <si>
    <t xml:space="preserve">GD-FGT/MOBILE D SP</t>
  </si>
  <si>
    <t xml:space="preserve">IF-CNG/NORTH</t>
  </si>
  <si>
    <t xml:space="preserve">IF-CNG/NORTH I PR</t>
  </si>
  <si>
    <t xml:space="preserve">GD-FGT/Z1</t>
  </si>
  <si>
    <t xml:space="preserve">GD-FGT/Z1 D SP</t>
  </si>
  <si>
    <t xml:space="preserve">IF-CNG/N_CITYGA</t>
  </si>
  <si>
    <t xml:space="preserve">IF-CNG/N_CITYGA I PR</t>
  </si>
  <si>
    <t xml:space="preserve">GD-FGT/Z1/CORP</t>
  </si>
  <si>
    <t xml:space="preserve">GD-FGT/Z1/CORP D SP</t>
  </si>
  <si>
    <t xml:space="preserve">IF-COLGUL/ERATH</t>
  </si>
  <si>
    <t xml:space="preserve">IF-COLGUL/ERATH I PR</t>
  </si>
  <si>
    <t xml:space="preserve">GD-FGT/Z2 D PR</t>
  </si>
  <si>
    <t xml:space="preserve">IF-COLGUL/RAYNE</t>
  </si>
  <si>
    <t xml:space="preserve">IF-COLGUL/RAYNE I PR</t>
  </si>
  <si>
    <t xml:space="preserve">GD-FGT/Z2 D SP</t>
  </si>
  <si>
    <t xml:space="preserve">IF-COLGULF/LA</t>
  </si>
  <si>
    <t xml:space="preserve">IF-COLGULF/LA I PR</t>
  </si>
  <si>
    <t xml:space="preserve">GD-FGT/Z3</t>
  </si>
  <si>
    <t xml:space="preserve">GD-FGT/Z3 D SP</t>
  </si>
  <si>
    <t xml:space="preserve">IF-COLGULF/LAOF</t>
  </si>
  <si>
    <t xml:space="preserve">IF-COLGULF/LAOF I PR</t>
  </si>
  <si>
    <t xml:space="preserve">GD-HEHUB</t>
  </si>
  <si>
    <t xml:space="preserve">GD-HEHUB D SP</t>
  </si>
  <si>
    <t xml:space="preserve">IF-CORPUS</t>
  </si>
  <si>
    <t xml:space="preserve">IF-CORPUS I PR</t>
  </si>
  <si>
    <t xml:space="preserve">GD-HPL/SHPCH</t>
  </si>
  <si>
    <t xml:space="preserve">GD-HPL/SHPCH D SP</t>
  </si>
  <si>
    <t xml:space="preserve">IF-ELPO/ANADARK</t>
  </si>
  <si>
    <t xml:space="preserve">IF-ELPO/ANADARK I PR</t>
  </si>
  <si>
    <t xml:space="preserve">GD-INTRASTHUB D PR</t>
  </si>
  <si>
    <t xml:space="preserve">IF-ELPO/PERMIAN</t>
  </si>
  <si>
    <t xml:space="preserve">IF-ELPO/PERMIAN I PR</t>
  </si>
  <si>
    <t xml:space="preserve">GD-IROQUOIS</t>
  </si>
  <si>
    <t xml:space="preserve">GD-IROQUOIS D SP</t>
  </si>
  <si>
    <t xml:space="preserve">IF-ELPO/SJ</t>
  </si>
  <si>
    <t xml:space="preserve">IF-ELPO/SJ I PR</t>
  </si>
  <si>
    <t xml:space="preserve">GD-KERN/RIVER</t>
  </si>
  <si>
    <t xml:space="preserve">GD-KERN/RIVER D SP</t>
  </si>
  <si>
    <t xml:space="preserve">IF-ELPO/SJ/KC</t>
  </si>
  <si>
    <t xml:space="preserve">IF-ELPO/SJ/KC I PR</t>
  </si>
  <si>
    <t xml:space="preserve">GD-KOCH</t>
  </si>
  <si>
    <t xml:space="preserve">GD-KOCH D SP</t>
  </si>
  <si>
    <t xml:space="preserve">IF-EPSJ(BONDAD)</t>
  </si>
  <si>
    <t xml:space="preserve">IF-EPSJ(BONDAD) I PR</t>
  </si>
  <si>
    <t xml:space="preserve">GD-KOCH/CORPUS</t>
  </si>
  <si>
    <t xml:space="preserve">GD-KOCH/CORPUS D SP</t>
  </si>
  <si>
    <t xml:space="preserve">IF-EPSJ(MILAGR)</t>
  </si>
  <si>
    <t xml:space="preserve">IF-EPSJ(MILAGR) I PR</t>
  </si>
  <si>
    <t xml:space="preserve">GD-KOCH/TX</t>
  </si>
  <si>
    <t xml:space="preserve">GD-KOCH/TX D SP</t>
  </si>
  <si>
    <t xml:space="preserve">IF-EPSJ/TWBLANC</t>
  </si>
  <si>
    <t xml:space="preserve">IF-EPSJ/TWBLANC I PR</t>
  </si>
  <si>
    <t xml:space="preserve">GD-LONESTAR</t>
  </si>
  <si>
    <t xml:space="preserve">GD-LONESTAR D SP</t>
  </si>
  <si>
    <t xml:space="preserve">IF-FGT/CTYGATE</t>
  </si>
  <si>
    <t xml:space="preserve">IF-FGT/CTYGATE I PR</t>
  </si>
  <si>
    <t xml:space="preserve">GD-LOW_IROQUOIS D PR</t>
  </si>
  <si>
    <t xml:space="preserve">IF-FGT/MKTAREA</t>
  </si>
  <si>
    <t xml:space="preserve">IF-FGT/MKTAREA I PR</t>
  </si>
  <si>
    <t xml:space="preserve">GD-MALIN-CTYGAT</t>
  </si>
  <si>
    <t xml:space="preserve">GD-MALIN-CTYGAT D SP</t>
  </si>
  <si>
    <t xml:space="preserve">IF-FGT/Z1</t>
  </si>
  <si>
    <t xml:space="preserve">IF-FGT/Z1 I PR</t>
  </si>
  <si>
    <t xml:space="preserve">GD-MICHCON</t>
  </si>
  <si>
    <t xml:space="preserve">GD-MICHCON D SP</t>
  </si>
  <si>
    <t xml:space="preserve">IF-FGT/Z2</t>
  </si>
  <si>
    <t xml:space="preserve">IF-FGT/Z2 I PR</t>
  </si>
  <si>
    <t xml:space="preserve">GD-MRT/MAINLINE</t>
  </si>
  <si>
    <t xml:space="preserve">GD-MRT/MAINLINE D SP</t>
  </si>
  <si>
    <t xml:space="preserve">IF-FGT/Z3</t>
  </si>
  <si>
    <t xml:space="preserve">IF-FGT/Z3 I PR</t>
  </si>
  <si>
    <t xml:space="preserve">GD-MRT/WEST</t>
  </si>
  <si>
    <t xml:space="preserve">GD-MRT/WEST D SP</t>
  </si>
  <si>
    <t xml:space="preserve">IF-FREEPORT</t>
  </si>
  <si>
    <t xml:space="preserve">IF-FREEPORT I PR</t>
  </si>
  <si>
    <t xml:space="preserve">GD-NGPL/(IA-IL)</t>
  </si>
  <si>
    <t xml:space="preserve">GD-NGPL/(IA-IL) D SP</t>
  </si>
  <si>
    <t xml:space="preserve">IF-HEHUB</t>
  </si>
  <si>
    <t xml:space="preserve">IF-HEHUB I PR</t>
  </si>
  <si>
    <t xml:space="preserve">GD-NGPL/AMARILO</t>
  </si>
  <si>
    <t xml:space="preserve">GD-NGPL/AMARILO D SP</t>
  </si>
  <si>
    <t xml:space="preserve">IF-HPL/SHPCHAN</t>
  </si>
  <si>
    <t xml:space="preserve">IF-HPL/SHPCHAN I PR</t>
  </si>
  <si>
    <t xml:space="preserve">GD-NGPL/CORPUS</t>
  </si>
  <si>
    <t xml:space="preserve">GD-NGPL/CORPUS D SP</t>
  </si>
  <si>
    <t xml:space="preserve">IF-IOWA_IL</t>
  </si>
  <si>
    <t xml:space="preserve">IF-IOWA_IL I PR</t>
  </si>
  <si>
    <t xml:space="preserve">GD-NGPL/LA</t>
  </si>
  <si>
    <t xml:space="preserve">GD-NGPL/LA D SP</t>
  </si>
  <si>
    <t xml:space="preserve">IF-K/COL/TN/LA</t>
  </si>
  <si>
    <t xml:space="preserve">IF-K/COL/TN/LA I PR</t>
  </si>
  <si>
    <t xml:space="preserve">GD-NGPL/OK</t>
  </si>
  <si>
    <t xml:space="preserve">GD-NGPL/OK D SP</t>
  </si>
  <si>
    <t xml:space="preserve">IF-KATY</t>
  </si>
  <si>
    <t xml:space="preserve">IF-KATY I PR</t>
  </si>
  <si>
    <t xml:space="preserve">GD-NGPL/PAN/PRM</t>
  </si>
  <si>
    <t xml:space="preserve">GD-NGPL/PAN/PRM D SP</t>
  </si>
  <si>
    <t xml:space="preserve">IF-KATY/OASIS</t>
  </si>
  <si>
    <t xml:space="preserve">IF-KATY/OASIS I PR</t>
  </si>
  <si>
    <t xml:space="preserve">GD-NGPL/TXOK-E</t>
  </si>
  <si>
    <t xml:space="preserve">GD-NGPL/TXOK-E D SP</t>
  </si>
  <si>
    <t xml:space="preserve">IF-KATY/TAIL</t>
  </si>
  <si>
    <t xml:space="preserve">IF-KATY/TAIL I PR</t>
  </si>
  <si>
    <t xml:space="preserve">GD-NGPL/TXOK-W</t>
  </si>
  <si>
    <t xml:space="preserve">GD-NGPL/TXOK-W D SP</t>
  </si>
  <si>
    <t xml:space="preserve">IF-KATY/WOFLEX</t>
  </si>
  <si>
    <t xml:space="preserve">IF-KATY/WOFLEX I PR</t>
  </si>
  <si>
    <t xml:space="preserve">GD-NIAGARA</t>
  </si>
  <si>
    <t xml:space="preserve">GD-NIAGARA D SP</t>
  </si>
  <si>
    <t xml:space="preserve">IF-KERN/QUEST</t>
  </si>
  <si>
    <t xml:space="preserve">IF-KERN/QUEST I PR</t>
  </si>
  <si>
    <t xml:space="preserve">GD-NNG/DEMARCAT</t>
  </si>
  <si>
    <t xml:space="preserve">GD-NNG/DEMARCAT D SP</t>
  </si>
  <si>
    <t xml:space="preserve">IF-KERN/RIVER</t>
  </si>
  <si>
    <t xml:space="preserve">IF-KERN/RIVER I PR</t>
  </si>
  <si>
    <t xml:space="preserve">GD-NNG/TOK</t>
  </si>
  <si>
    <t xml:space="preserve">GD-NNG/TOK D SP</t>
  </si>
  <si>
    <t xml:space="preserve">IF-KING RANCH</t>
  </si>
  <si>
    <t xml:space="preserve">IF-KING RANCH I PR</t>
  </si>
  <si>
    <t xml:space="preserve">GD-NNG/TOK(1-6)</t>
  </si>
  <si>
    <t xml:space="preserve">GD-NNG/TOK(1-6) D SP</t>
  </si>
  <si>
    <t xml:space="preserve">IF-KOCH</t>
  </si>
  <si>
    <t xml:space="preserve">IF-KOCH I PR</t>
  </si>
  <si>
    <t xml:space="preserve">GD-NNG/TOK(13)</t>
  </si>
  <si>
    <t xml:space="preserve">GD-NNG/TOK(13) D SP</t>
  </si>
  <si>
    <t xml:space="preserve">IF-KOCH/LA</t>
  </si>
  <si>
    <t xml:space="preserve">IF-KOCH/LA I PR</t>
  </si>
  <si>
    <t xml:space="preserve">GD-NNG/TOK/PAN</t>
  </si>
  <si>
    <t xml:space="preserve">GD-NNG/TOK/PAN D SP</t>
  </si>
  <si>
    <t xml:space="preserve">IF-KOCH/TX</t>
  </si>
  <si>
    <t xml:space="preserve">IF-KOCH/TX I PR</t>
  </si>
  <si>
    <t xml:space="preserve">GD-NNG/VENT</t>
  </si>
  <si>
    <t xml:space="preserve">GD-NNG/VENT D SP</t>
  </si>
  <si>
    <t xml:space="preserve">IF-LONESTAR</t>
  </si>
  <si>
    <t xml:space="preserve">IF-LONESTAR I PR</t>
  </si>
  <si>
    <t xml:space="preserve">GD-NORAM-N/S</t>
  </si>
  <si>
    <t xml:space="preserve">GD-NORAM-N/S D SP</t>
  </si>
  <si>
    <t xml:space="preserve">IF-LRC</t>
  </si>
  <si>
    <t xml:space="preserve">IF-LRC I PR</t>
  </si>
  <si>
    <t xml:space="preserve">GD-NORAM/WEST</t>
  </si>
  <si>
    <t xml:space="preserve">GD-NORAM/WEST D SP</t>
  </si>
  <si>
    <t xml:space="preserve">IF-LRC/Z1</t>
  </si>
  <si>
    <t xml:space="preserve">IF-LRC/Z1 I PR</t>
  </si>
  <si>
    <t xml:space="preserve">GD-NTHWST/CANB</t>
  </si>
  <si>
    <t xml:space="preserve">GD-NTHWST/CANB D SP</t>
  </si>
  <si>
    <t xml:space="preserve">IF-LRC/Z2</t>
  </si>
  <si>
    <t xml:space="preserve">IF-LRC/Z2 I PR</t>
  </si>
  <si>
    <t xml:space="preserve">GD-NW STANF/1ST</t>
  </si>
  <si>
    <t xml:space="preserve">GD-NW STANF/1ST D SP</t>
  </si>
  <si>
    <t xml:space="preserve">IF-LRC/Z3</t>
  </si>
  <si>
    <t xml:space="preserve">IF-LRC/Z3 I PR</t>
  </si>
  <si>
    <t xml:space="preserve">GD-NW STANFIELD</t>
  </si>
  <si>
    <t xml:space="preserve">GD-NW STANFIELD D SP</t>
  </si>
  <si>
    <t xml:space="preserve">IF-LRC/Z4</t>
  </si>
  <si>
    <t xml:space="preserve">IF-LRC/Z4 I PR</t>
  </si>
  <si>
    <t xml:space="preserve">GD-NW/IGNACIO</t>
  </si>
  <si>
    <t xml:space="preserve">GD-NW/IGNACIO D SP</t>
  </si>
  <si>
    <t xml:space="preserve">IF-LRC/Z5</t>
  </si>
  <si>
    <t xml:space="preserve">IF-LRC/Z5 I PR</t>
  </si>
  <si>
    <t xml:space="preserve">GD-NWPL_ROCKY_M</t>
  </si>
  <si>
    <t xml:space="preserve">GD-NWPL_ROCKY_M D SP</t>
  </si>
  <si>
    <t xml:space="preserve">IF-MONCHY</t>
  </si>
  <si>
    <t xml:space="preserve">IF-MONCHY I PR</t>
  </si>
  <si>
    <t xml:space="preserve">GD-PAN/TX/OK</t>
  </si>
  <si>
    <t xml:space="preserve">GD-PAN/TX/OK D SP</t>
  </si>
  <si>
    <t xml:space="preserve">IF-NGPL/HARPER</t>
  </si>
  <si>
    <t xml:space="preserve">IF-NGPL/HARPER I PR</t>
  </si>
  <si>
    <t xml:space="preserve">GD-PG&amp;E/CITIGAT</t>
  </si>
  <si>
    <t xml:space="preserve">GD-PG&amp;E/CITIGAT D SP</t>
  </si>
  <si>
    <t xml:space="preserve">IF-NGPL/LA</t>
  </si>
  <si>
    <t xml:space="preserve">IF-NGPL/LA I PR</t>
  </si>
  <si>
    <t xml:space="preserve">GD-PGT/KINGSGAT</t>
  </si>
  <si>
    <t xml:space="preserve">GD-PGT/KINGSGAT D SP</t>
  </si>
  <si>
    <t xml:space="preserve">IF-NGPL/LA-STNG</t>
  </si>
  <si>
    <t xml:space="preserve">IF-NGPL/LA-STNG I PR</t>
  </si>
  <si>
    <t xml:space="preserve">GD-QUESTAR</t>
  </si>
  <si>
    <t xml:space="preserve">GD-QUESTAR D SP</t>
  </si>
  <si>
    <t xml:space="preserve">IF-NGPL/MIDCON</t>
  </si>
  <si>
    <t xml:space="preserve">IF-NGPL/MIDCON I PR</t>
  </si>
  <si>
    <t xml:space="preserve">GD-SONAT/LA</t>
  </si>
  <si>
    <t xml:space="preserve">GD-SONAT/LA D SP</t>
  </si>
  <si>
    <t xml:space="preserve">IF-NGPL/OK-NW</t>
  </si>
  <si>
    <t xml:space="preserve">IF-NGPL/OK-NW I PR</t>
  </si>
  <si>
    <t xml:space="preserve">GD-TENN/100</t>
  </si>
  <si>
    <t xml:space="preserve">GD-TENN/100 D SP</t>
  </si>
  <si>
    <t xml:space="preserve">IF-NGPL/STX</t>
  </si>
  <si>
    <t xml:space="preserve">IF-NGPL/STX I PR</t>
  </si>
  <si>
    <t xml:space="preserve">GD-TENN/500</t>
  </si>
  <si>
    <t xml:space="preserve">GD-TENN/500 D SP</t>
  </si>
  <si>
    <t xml:space="preserve">IF-NGPL/TX</t>
  </si>
  <si>
    <t xml:space="preserve">IF-NGPL/TX I PR</t>
  </si>
  <si>
    <t xml:space="preserve">GD-TENN/800</t>
  </si>
  <si>
    <t xml:space="preserve">GD-TENN/800 D SP</t>
  </si>
  <si>
    <t xml:space="preserve">IF-NGPLTXOK</t>
  </si>
  <si>
    <t xml:space="preserve">IF-NGPLTXOK I PR</t>
  </si>
  <si>
    <t xml:space="preserve">GD-TENN/CORPUS</t>
  </si>
  <si>
    <t xml:space="preserve">GD-TENN/CORPUS D SP</t>
  </si>
  <si>
    <t xml:space="preserve">IF-NNG/DEMARCAT</t>
  </si>
  <si>
    <t xml:space="preserve">IF-NNG/DEMARCAT I PR</t>
  </si>
  <si>
    <t xml:space="preserve">GD-TETCO/ELA</t>
  </si>
  <si>
    <t xml:space="preserve">GD-TETCO/ELA D SP</t>
  </si>
  <si>
    <t xml:space="preserve">IF-NNG/TOK</t>
  </si>
  <si>
    <t xml:space="preserve">IF-NNG/TOK I PR</t>
  </si>
  <si>
    <t xml:space="preserve">GD-TETCO/ETX/CR</t>
  </si>
  <si>
    <t xml:space="preserve">GD-TETCO/ETX/CR D SP</t>
  </si>
  <si>
    <t xml:space="preserve">IF-NNG/VENT</t>
  </si>
  <si>
    <t xml:space="preserve">IF-NNG/VENT I PR</t>
  </si>
  <si>
    <t xml:space="preserve">GD-TETCO/M1</t>
  </si>
  <si>
    <t xml:space="preserve">GD-TETCO/M1 D SP</t>
  </si>
  <si>
    <t xml:space="preserve">IF-NORAM/EAST</t>
  </si>
  <si>
    <t xml:space="preserve">IF-NORAM/EAST I PR</t>
  </si>
  <si>
    <t xml:space="preserve">GD-TETCO/M3</t>
  </si>
  <si>
    <t xml:space="preserve">GD-TETCO/M3 D SP</t>
  </si>
  <si>
    <t xml:space="preserve">IF-NORAM/WEST</t>
  </si>
  <si>
    <t xml:space="preserve">IF-NORAM/WEST I PR</t>
  </si>
  <si>
    <t xml:space="preserve">GD-TETCO/STX</t>
  </si>
  <si>
    <t xml:space="preserve">GD-TETCO/STX D SP</t>
  </si>
  <si>
    <t xml:space="preserve">IF-NTHWST/CANBR</t>
  </si>
  <si>
    <t xml:space="preserve">IF-NTHWST/CANBR I PR</t>
  </si>
  <si>
    <t xml:space="preserve">GD-TETCO/WLA</t>
  </si>
  <si>
    <t xml:space="preserve">GD-TETCO/WLA D SP</t>
  </si>
  <si>
    <t xml:space="preserve">IF-NWPL_ROCKY_M</t>
  </si>
  <si>
    <t xml:space="preserve">IF-NWPL_ROCKY_M I PR</t>
  </si>
  <si>
    <t xml:space="preserve">GD-TGT/Z1</t>
  </si>
  <si>
    <t xml:space="preserve">GD-TGT/Z1 D SP</t>
  </si>
  <si>
    <t xml:space="preserve">IF-ONG/OKLAHOMA</t>
  </si>
  <si>
    <t xml:space="preserve">IF-ONG/OKLAHOMA I PR</t>
  </si>
  <si>
    <t xml:space="preserve">GD-TGT/ZSL</t>
  </si>
  <si>
    <t xml:space="preserve">GD-TGT/ZSL D SP</t>
  </si>
  <si>
    <t xml:space="preserve">IF-PAN/TX/OK</t>
  </si>
  <si>
    <t xml:space="preserve">IF-PAN/TX/OK I PR</t>
  </si>
  <si>
    <t xml:space="preserve">GD-TRANSCO/Z1</t>
  </si>
  <si>
    <t xml:space="preserve">GD-TRANSCO/Z1 D SP</t>
  </si>
  <si>
    <t xml:space="preserve">IF-QUESTAR</t>
  </si>
  <si>
    <t xml:space="preserve">IF-QUESTAR I PR</t>
  </si>
  <si>
    <t xml:space="preserve">GD-TRANSCO/Z2</t>
  </si>
  <si>
    <t xml:space="preserve">GD-TRANSCO/Z2 D SP</t>
  </si>
  <si>
    <t xml:space="preserve">IF-SONAT/LA</t>
  </si>
  <si>
    <t xml:space="preserve">IF-SONAT/LA I PR</t>
  </si>
  <si>
    <t xml:space="preserve">GD-TRANSCO/Z3</t>
  </si>
  <si>
    <t xml:space="preserve">GD-TRANSCO/Z3 D SP</t>
  </si>
  <si>
    <t xml:space="preserve">IF-TENN/LA</t>
  </si>
  <si>
    <t xml:space="preserve">IF-TENN/LA I PR</t>
  </si>
  <si>
    <t xml:space="preserve">GD-TRANSCO/Z4</t>
  </si>
  <si>
    <t xml:space="preserve">GD-TRANSCO/Z4 D SP</t>
  </si>
  <si>
    <t xml:space="preserve">IF-TENN/LA_OFF</t>
  </si>
  <si>
    <t xml:space="preserve">IF-TENN/LA_OFF I PR</t>
  </si>
  <si>
    <t xml:space="preserve">GD-TRANSCO/Z6 D PR</t>
  </si>
  <si>
    <t xml:space="preserve">IF-TENN/TX</t>
  </si>
  <si>
    <t xml:space="preserve">IF-TENN/TX I PR</t>
  </si>
  <si>
    <t xml:space="preserve">GD-TRCOZ6/NONY</t>
  </si>
  <si>
    <t xml:space="preserve">GD-TRCOZ6/NONY D SP</t>
  </si>
  <si>
    <t xml:space="preserve">IF-TENN/Z5</t>
  </si>
  <si>
    <t xml:space="preserve">IF-TENN/Z5 I PR</t>
  </si>
  <si>
    <t xml:space="preserve">GD-TRCOZ6/NY</t>
  </si>
  <si>
    <t xml:space="preserve">GD-TRCOZ6/NY D SP</t>
  </si>
  <si>
    <t xml:space="preserve">IF-TENN/Z6</t>
  </si>
  <si>
    <t xml:space="preserve">IF-TENN/Z6 I PR</t>
  </si>
  <si>
    <t xml:space="preserve">GD-TRUNKL/ELA</t>
  </si>
  <si>
    <t xml:space="preserve">GD-TRUNKL/ELA D SP</t>
  </si>
  <si>
    <t xml:space="preserve">IF-TETCO/ELA</t>
  </si>
  <si>
    <t xml:space="preserve">IF-TETCO/ELA I PR</t>
  </si>
  <si>
    <t xml:space="preserve">GD-TRUNKL/NO</t>
  </si>
  <si>
    <t xml:space="preserve">GD-TRUNKL/NO D SP</t>
  </si>
  <si>
    <t xml:space="preserve">IF-TETCO/ETX</t>
  </si>
  <si>
    <t xml:space="preserve">IF-TETCO/ETX I PR</t>
  </si>
  <si>
    <t xml:space="preserve">GD-TRUNKL/SO</t>
  </si>
  <si>
    <t xml:space="preserve">GD-TRUNKL/SO D SP</t>
  </si>
  <si>
    <t xml:space="preserve">IF-TETCO/LA</t>
  </si>
  <si>
    <t xml:space="preserve">IF-TETCO/LA I PR</t>
  </si>
  <si>
    <t xml:space="preserve">GD-TRUNKL/WLA</t>
  </si>
  <si>
    <t xml:space="preserve">GD-TRUNKL/WLA D SP</t>
  </si>
  <si>
    <t xml:space="preserve">IF-TETCO/M1</t>
  </si>
  <si>
    <t xml:space="preserve">IF-TETCO/M1 I PR</t>
  </si>
  <si>
    <t xml:space="preserve">GD-TW/PERMIAN</t>
  </si>
  <si>
    <t xml:space="preserve">GD-TW/PERMIAN D SP</t>
  </si>
  <si>
    <t xml:space="preserve">IF-TETCO/M3</t>
  </si>
  <si>
    <t xml:space="preserve">IF-TETCO/M3 I PR</t>
  </si>
  <si>
    <t xml:space="preserve">GD-TW/SJ</t>
  </si>
  <si>
    <t xml:space="preserve">GD-TW/SJ D SP</t>
  </si>
  <si>
    <t xml:space="preserve">IF-TETCO/STX</t>
  </si>
  <si>
    <t xml:space="preserve">IF-TETCO/STX I PR</t>
  </si>
  <si>
    <t xml:space="preserve">GD-TXINT/KATYTX</t>
  </si>
  <si>
    <t xml:space="preserve">GD-TXINT/KATYTX D SP</t>
  </si>
  <si>
    <t xml:space="preserve">IF-TETCO/WLA</t>
  </si>
  <si>
    <t xml:space="preserve">IF-TETCO/WLA I PR</t>
  </si>
  <si>
    <t xml:space="preserve">GD-WADDINGTON</t>
  </si>
  <si>
    <t xml:space="preserve">GD-WADDINGTON D SP</t>
  </si>
  <si>
    <t xml:space="preserve">IF-TEXOMA</t>
  </si>
  <si>
    <t xml:space="preserve">IF-TEXOMA I PR</t>
  </si>
  <si>
    <t xml:space="preserve">GD-WAHA</t>
  </si>
  <si>
    <t xml:space="preserve">GD-WAHA D SP</t>
  </si>
  <si>
    <t xml:space="preserve">IF-TEXOMA OFFER</t>
  </si>
  <si>
    <t xml:space="preserve">IF-TEXOMA OFFER I PR</t>
  </si>
  <si>
    <t xml:space="preserve">GD-WNG/TOK</t>
  </si>
  <si>
    <t xml:space="preserve">GD-WNG/TOK D SP</t>
  </si>
  <si>
    <t xml:space="preserve">IF-TGT/Z1</t>
  </si>
  <si>
    <t xml:space="preserve">IF-TGT/Z1 I PR</t>
  </si>
  <si>
    <t xml:space="preserve">GDAH-HPL/SHPCH</t>
  </si>
  <si>
    <t xml:space="preserve">GDAH-HPL/SHPCH D SP</t>
  </si>
  <si>
    <t xml:space="preserve">IF-TGT/ZSL</t>
  </si>
  <si>
    <t xml:space="preserve">IF-TGT/ZSL I PR</t>
  </si>
  <si>
    <t xml:space="preserve">GDAH-TXINT/KATY</t>
  </si>
  <si>
    <t xml:space="preserve">GDAH-TXINT/KATY D SP</t>
  </si>
  <si>
    <t xml:space="preserve">IF-THOMPSONVILL</t>
  </si>
  <si>
    <t xml:space="preserve">IF-THOMPSONVILL I PR</t>
  </si>
  <si>
    <t xml:space="preserve">GDAL-HPL/SHPCH</t>
  </si>
  <si>
    <t xml:space="preserve">GDAL-HPL/SHPCH D SP</t>
  </si>
  <si>
    <t xml:space="preserve">IF-TRANSCO/Z1</t>
  </si>
  <si>
    <t xml:space="preserve">IF-TRANSCO/Z1 I PR</t>
  </si>
  <si>
    <t xml:space="preserve">GDAL-TXINT/KATY</t>
  </si>
  <si>
    <t xml:space="preserve">GDAL-TXINT/KATY D SP</t>
  </si>
  <si>
    <t xml:space="preserve">IF-TRANSCO/Z2</t>
  </si>
  <si>
    <t xml:space="preserve">IF-TRANSCO/Z2 I PR</t>
  </si>
  <si>
    <t xml:space="preserve">GDH-CIG/RKYMTN</t>
  </si>
  <si>
    <t xml:space="preserve">GDH-CIG/RKYMTN D SP</t>
  </si>
  <si>
    <t xml:space="preserve">IF-TRANSCO/Z3</t>
  </si>
  <si>
    <t xml:space="preserve">IF-TRANSCO/Z3 I PR</t>
  </si>
  <si>
    <t xml:space="preserve">GDH-DJ/BASIN</t>
  </si>
  <si>
    <t xml:space="preserve">GDH-DJ/BASIN D SP</t>
  </si>
  <si>
    <t xml:space="preserve">IF-TRANSCO/Z4</t>
  </si>
  <si>
    <t xml:space="preserve">IF-TRANSCO/Z4 I PR</t>
  </si>
  <si>
    <t xml:space="preserve">GDH-ELPO/PERM</t>
  </si>
  <si>
    <t xml:space="preserve">GDH-ELPO/PERM D SP</t>
  </si>
  <si>
    <t xml:space="preserve">IF-TRANSCO/Z5</t>
  </si>
  <si>
    <t xml:space="preserve">IF-TRANSCO/Z5 I PR</t>
  </si>
  <si>
    <t xml:space="preserve">GDH-ELPO/SJ</t>
  </si>
  <si>
    <t xml:space="preserve">GDH-ELPO/SJ D SP</t>
  </si>
  <si>
    <t xml:space="preserve">IF-TRANSCO/Z6</t>
  </si>
  <si>
    <t xml:space="preserve">IF-TRANSCO/Z6 I PR</t>
  </si>
  <si>
    <t xml:space="preserve">GDH-HEHUB</t>
  </si>
  <si>
    <t xml:space="preserve">GDH-HEHUB D SP</t>
  </si>
  <si>
    <t xml:space="preserve">IF-TRUNK/AVG</t>
  </si>
  <si>
    <t xml:space="preserve">IF-TRUNK/AVG I PR</t>
  </si>
  <si>
    <t xml:space="preserve">GDH-HPL/SHPCH</t>
  </si>
  <si>
    <t xml:space="preserve">GDH-HPL/SHPCH D SP</t>
  </si>
  <si>
    <t xml:space="preserve">IF-TRUNKL/FLDZN</t>
  </si>
  <si>
    <t xml:space="preserve">IF-TRUNKL/FLDZN I PR</t>
  </si>
  <si>
    <t xml:space="preserve">GDH-PAN/TX/OK</t>
  </si>
  <si>
    <t xml:space="preserve">GDH-PAN/TX/OK D SP</t>
  </si>
  <si>
    <t xml:space="preserve">IF-TRUNKL/LA</t>
  </si>
  <si>
    <t xml:space="preserve">IF-TRUNKL/LA I PR</t>
  </si>
  <si>
    <t xml:space="preserve">GDH-SUMAS</t>
  </si>
  <si>
    <t xml:space="preserve">GDH-SUMAS D SP</t>
  </si>
  <si>
    <t xml:space="preserve">IF-TRUNKL/TX</t>
  </si>
  <si>
    <t xml:space="preserve">IF-TRUNKL/TX I PR</t>
  </si>
  <si>
    <t xml:space="preserve">GDH-TXINT/KATY</t>
  </si>
  <si>
    <t xml:space="preserve">GDH-TXINT/KATY D SP</t>
  </si>
  <si>
    <t xml:space="preserve">IF-TW/PERMIAN</t>
  </si>
  <si>
    <t xml:space="preserve">IF-TW/PERMIAN I PR</t>
  </si>
  <si>
    <t xml:space="preserve">GDL-ELPO/PERM</t>
  </si>
  <si>
    <t xml:space="preserve">GDL-ELPO/PERM D SP</t>
  </si>
  <si>
    <t xml:space="preserve">IF-TX CITY LOOP</t>
  </si>
  <si>
    <t xml:space="preserve">IF-TX CITY LOOP I PR</t>
  </si>
  <si>
    <t xml:space="preserve">GDL-ELPO/SJ</t>
  </si>
  <si>
    <t xml:space="preserve">GDL-ELPO/SJ D SP</t>
  </si>
  <si>
    <t xml:space="preserve">IF-VALERO/TX</t>
  </si>
  <si>
    <t xml:space="preserve">IF-VALERO/TX I PR</t>
  </si>
  <si>
    <t xml:space="preserve">GDL-HEHUB</t>
  </si>
  <si>
    <t xml:space="preserve">GDL-HEHUB D SP</t>
  </si>
  <si>
    <t xml:space="preserve">IF-VALLEY</t>
  </si>
  <si>
    <t xml:space="preserve">IF-VALLEY I PR</t>
  </si>
  <si>
    <t xml:space="preserve">GDL-HPL/SHPCH</t>
  </si>
  <si>
    <t xml:space="preserve">GDL-HPL/SHPCH D SP</t>
  </si>
  <si>
    <t xml:space="preserve">IF-WAHA</t>
  </si>
  <si>
    <t xml:space="preserve">IF-WAHA I PR</t>
  </si>
  <si>
    <t xml:space="preserve">GDL-NNG/TOK/PAN</t>
  </si>
  <si>
    <t xml:space="preserve">GDL-NNG/TOK/PAN D SP</t>
  </si>
  <si>
    <t xml:space="preserve">IF-WNG/TOK</t>
  </si>
  <si>
    <t xml:space="preserve">IF-WNG/TOK I PR</t>
  </si>
  <si>
    <t xml:space="preserve">GDL-PAN/TX/OK</t>
  </si>
  <si>
    <t xml:space="preserve">GDL-PAN/TX/OK D SP</t>
  </si>
  <si>
    <t xml:space="preserve">KING/C$/IDX</t>
  </si>
  <si>
    <t xml:space="preserve">KING/C$/IDX I PR</t>
  </si>
  <si>
    <t xml:space="preserve">GDL-TXINT/KATY</t>
  </si>
  <si>
    <t xml:space="preserve">GDL-TXINT/KATY D SP</t>
  </si>
  <si>
    <t xml:space="preserve">MICH-ST.CLAIR/I</t>
  </si>
  <si>
    <t xml:space="preserve">MICH-ST.CLAIR/I I PR</t>
  </si>
  <si>
    <t xml:space="preserve">GDP-AGUADULCE</t>
  </si>
  <si>
    <t xml:space="preserve">GDP-AGUADULCE D SP</t>
  </si>
  <si>
    <t xml:space="preserve">MICH/CONS</t>
  </si>
  <si>
    <t xml:space="preserve">MICH/CONS I PR</t>
  </si>
  <si>
    <t xml:space="preserve">GDP-ALGONQUIN</t>
  </si>
  <si>
    <t xml:space="preserve">GDP-ALGONQUIN D SP</t>
  </si>
  <si>
    <t xml:space="preserve">MICH_CG-GD</t>
  </si>
  <si>
    <t xml:space="preserve">MICH_CG-GD I PR</t>
  </si>
  <si>
    <t xml:space="preserve">GDP-ANR/LA_ONSH</t>
  </si>
  <si>
    <t xml:space="preserve">GDP-ANR/LA_ONSH D SP</t>
  </si>
  <si>
    <t xml:space="preserve">ML7/CG</t>
  </si>
  <si>
    <t xml:space="preserve">ML7/CG I PR</t>
  </si>
  <si>
    <t xml:space="preserve">GDP-ANR/OK</t>
  </si>
  <si>
    <t xml:space="preserve">GDP-ANR/OK D SP</t>
  </si>
  <si>
    <t xml:space="preserve">NAT/FUEL/LEIDY</t>
  </si>
  <si>
    <t xml:space="preserve">NAT/FUEL/LEIDY I PR</t>
  </si>
  <si>
    <t xml:space="preserve">GDP-CAL BORDER</t>
  </si>
  <si>
    <t xml:space="preserve">GDP-CAL BORDER D SP</t>
  </si>
  <si>
    <t xml:space="preserve">NGI-HPL/ETX</t>
  </si>
  <si>
    <t xml:space="preserve">NGI-HPL/ETX I PR</t>
  </si>
  <si>
    <t xml:space="preserve">GDP-CARTHAGE</t>
  </si>
  <si>
    <t xml:space="preserve">GDP-CARTHAGE D SP</t>
  </si>
  <si>
    <t xml:space="preserve">NGI-HPL/STEX</t>
  </si>
  <si>
    <t xml:space="preserve">NGI-HPL/STEX I PR</t>
  </si>
  <si>
    <t xml:space="preserve">GDP-CGT/APPALAC</t>
  </si>
  <si>
    <t xml:space="preserve">GDP-CGT/APPALAC D SP</t>
  </si>
  <si>
    <t xml:space="preserve">NGI-LIG/NO.LA</t>
  </si>
  <si>
    <t xml:space="preserve">NGI-LIG/NO.LA I PR</t>
  </si>
  <si>
    <t xml:space="preserve">GDP-CHI. GATE</t>
  </si>
  <si>
    <t xml:space="preserve">GDP-CHI. GATE D SP</t>
  </si>
  <si>
    <t xml:space="preserve">NGI-MALIN</t>
  </si>
  <si>
    <t xml:space="preserve">NGI-MALIN I PR</t>
  </si>
  <si>
    <t xml:space="preserve">GDP-CIG/RKYMTN</t>
  </si>
  <si>
    <t xml:space="preserve">GDP-CIG/RKYMTN D SP</t>
  </si>
  <si>
    <t xml:space="preserve">NGI-MICH_CG</t>
  </si>
  <si>
    <t xml:space="preserve">NGI-MICH_CG I PR</t>
  </si>
  <si>
    <t xml:space="preserve">GDP-CNG/NORTH</t>
  </si>
  <si>
    <t xml:space="preserve">GDP-CNG/NORTH D SP</t>
  </si>
  <si>
    <t xml:space="preserve">NGI-NGPL/ETXG7</t>
  </si>
  <si>
    <t xml:space="preserve">NGI-NGPL/ETXG7 I PR</t>
  </si>
  <si>
    <t xml:space="preserve">GDP-CNG/SOUTH</t>
  </si>
  <si>
    <t xml:space="preserve">GDP-CNG/SOUTH D SP</t>
  </si>
  <si>
    <t xml:space="preserve">NGI-NGPL/TX_G2</t>
  </si>
  <si>
    <t xml:space="preserve">NGI-NGPL/TX_G2 I PR</t>
  </si>
  <si>
    <t xml:space="preserve">GDP-COLGULF/LA</t>
  </si>
  <si>
    <t xml:space="preserve">GDP-COLGULF/LA D SP</t>
  </si>
  <si>
    <t xml:space="preserve">NGI-NOCAL</t>
  </si>
  <si>
    <t xml:space="preserve">NGI-NOCAL I PR</t>
  </si>
  <si>
    <t xml:space="preserve">GDP-COLGULF/RAY</t>
  </si>
  <si>
    <t xml:space="preserve">GDP-COLGULF/RAY D SP</t>
  </si>
  <si>
    <t xml:space="preserve">NGI-PGE/CG</t>
  </si>
  <si>
    <t xml:space="preserve">NGI-PGE/CG I PR</t>
  </si>
  <si>
    <t xml:space="preserve">GDP-CONSUMERS</t>
  </si>
  <si>
    <t xml:space="preserve">GDP-CONSUMERS D SP</t>
  </si>
  <si>
    <t xml:space="preserve">NGI-SOC/MAL(34/</t>
  </si>
  <si>
    <t xml:space="preserve">NGI-SOC/MAL(34/ I PR</t>
  </si>
  <si>
    <t xml:space="preserve">GDP-CORPUS/SHPC</t>
  </si>
  <si>
    <t xml:space="preserve">GDP-CORPUS/SHPC D SP</t>
  </si>
  <si>
    <t xml:space="preserve">NGI-SOCAL</t>
  </si>
  <si>
    <t xml:space="preserve">NGI-SOCAL I PR</t>
  </si>
  <si>
    <t xml:space="preserve">GDP-DAWN</t>
  </si>
  <si>
    <t xml:space="preserve">GDP-DAWN D SP</t>
  </si>
  <si>
    <t xml:space="preserve">NGI-SOCAL(KRS)</t>
  </si>
  <si>
    <t xml:space="preserve">NGI-SOCAL(KRS) I PR</t>
  </si>
  <si>
    <t xml:space="preserve">GDP-DJ/BASIN</t>
  </si>
  <si>
    <t xml:space="preserve">GDP-DJ/BASIN D SP</t>
  </si>
  <si>
    <t xml:space="preserve">NGI-TENN/NO_LA</t>
  </si>
  <si>
    <t xml:space="preserve">NGI-TENN/NO_LA I PR</t>
  </si>
  <si>
    <t xml:space="preserve">GDP-ELPO/PERM2</t>
  </si>
  <si>
    <t xml:space="preserve">GDP-ELPO/PERM2 D SP</t>
  </si>
  <si>
    <t xml:space="preserve">NGI-TGT/NO.LA</t>
  </si>
  <si>
    <t xml:space="preserve">NGI-TGT/NO.LA I PR</t>
  </si>
  <si>
    <t xml:space="preserve">GDP-ELPO/SANJUA</t>
  </si>
  <si>
    <t xml:space="preserve">GDP-ELPO/SANJUA D SP</t>
  </si>
  <si>
    <t xml:space="preserve">NGI-WHEELER</t>
  </si>
  <si>
    <t xml:space="preserve">NGI-WHEELER I PR</t>
  </si>
  <si>
    <t xml:space="preserve">GDP-ELPO/SJBOND</t>
  </si>
  <si>
    <t xml:space="preserve">GDP-ELPO/SJBOND D SP</t>
  </si>
  <si>
    <t xml:space="preserve">NGI/CHI. GATE</t>
  </si>
  <si>
    <t xml:space="preserve">NGI/CHI. GATE I PR</t>
  </si>
  <si>
    <t xml:space="preserve">GDP-FGT/MOBILE</t>
  </si>
  <si>
    <t xml:space="preserve">GDP-FGT/MOBILE D SP</t>
  </si>
  <si>
    <t xml:space="preserve">NGINDEX</t>
  </si>
  <si>
    <t xml:space="preserve">NGINDEX I PR</t>
  </si>
  <si>
    <t xml:space="preserve">GDP-FGT/Z1</t>
  </si>
  <si>
    <t xml:space="preserve">GDP-FGT/Z1 D SP</t>
  </si>
  <si>
    <t xml:space="preserve">NGMR-AECO/IDX</t>
  </si>
  <si>
    <t xml:space="preserve">NGMR-AECO/IDX I PR</t>
  </si>
  <si>
    <t xml:space="preserve">GDP-FGT/Z1/CORP</t>
  </si>
  <si>
    <t xml:space="preserve">GDP-FGT/Z1/CORP D SP</t>
  </si>
  <si>
    <t xml:space="preserve">NGMR-ALBDR/IDX</t>
  </si>
  <si>
    <t xml:space="preserve">NGMR-ALBDR/IDX I PR</t>
  </si>
  <si>
    <t xml:space="preserve">GDP-FGT/Z2</t>
  </si>
  <si>
    <t xml:space="preserve">GDP-FGT/Z2 D SP</t>
  </si>
  <si>
    <t xml:space="preserve">NGPL/AMARILO-GD</t>
  </si>
  <si>
    <t xml:space="preserve">NGPL/AMARILO-GD I PR</t>
  </si>
  <si>
    <t xml:space="preserve">GDP-FGT/Z3</t>
  </si>
  <si>
    <t xml:space="preserve">GDP-FGT/Z3 D SP</t>
  </si>
  <si>
    <t xml:space="preserve">NGPL/IA-IL-GDM</t>
  </si>
  <si>
    <t xml:space="preserve">NGPL/IA-IL-GDM I PR</t>
  </si>
  <si>
    <t xml:space="preserve">GDP-HEHUB</t>
  </si>
  <si>
    <t xml:space="preserve">GDP-HEHUB D SP</t>
  </si>
  <si>
    <t xml:space="preserve">NGPL/PER/1ST-GD</t>
  </si>
  <si>
    <t xml:space="preserve">NGPL/PER/1ST-GD I PR</t>
  </si>
  <si>
    <t xml:space="preserve">GDP-HPL+1AFTA</t>
  </si>
  <si>
    <t xml:space="preserve">GDP-HPL+1AFTA D SP</t>
  </si>
  <si>
    <t xml:space="preserve">NGW-ALGO/CITY</t>
  </si>
  <si>
    <t xml:space="preserve">NGW-ALGO/CITY I PR</t>
  </si>
  <si>
    <t xml:space="preserve">GDP-HPL+1AFTH</t>
  </si>
  <si>
    <t xml:space="preserve">GDP-HPL+1AFTH D SP</t>
  </si>
  <si>
    <t xml:space="preserve">NGW-ALGONQUIN</t>
  </si>
  <si>
    <t xml:space="preserve">NGW-ALGONQUIN I PR</t>
  </si>
  <si>
    <t xml:space="preserve">GDP-HPL+2AFTA</t>
  </si>
  <si>
    <t xml:space="preserve">GDP-HPL+2AFTA D SP</t>
  </si>
  <si>
    <t xml:space="preserve">NGW-CGE</t>
  </si>
  <si>
    <t xml:space="preserve">NGW-CGE I PR</t>
  </si>
  <si>
    <t xml:space="preserve">GDP-HPL+2AFTH</t>
  </si>
  <si>
    <t xml:space="preserve">GDP-HPL+2AFTH D SP</t>
  </si>
  <si>
    <t xml:space="preserve">NGW-CGKY</t>
  </si>
  <si>
    <t xml:space="preserve">NGW-CGKY I PR</t>
  </si>
  <si>
    <t xml:space="preserve">GDP-HPL/SHPCH</t>
  </si>
  <si>
    <t xml:space="preserve">GDP-HPL/SHPCH D SP</t>
  </si>
  <si>
    <t xml:space="preserve">NGW-CHIPPEWA</t>
  </si>
  <si>
    <t xml:space="preserve">NGW-CHIPPEWA I PR</t>
  </si>
  <si>
    <t xml:space="preserve">GDP-HPLABS+1AH</t>
  </si>
  <si>
    <t xml:space="preserve">GDP-HPLABS+1AH D SP</t>
  </si>
  <si>
    <t xml:space="preserve">NGW-FGT/Z1</t>
  </si>
  <si>
    <t xml:space="preserve">NGW-FGT/Z1 I PR</t>
  </si>
  <si>
    <t xml:space="preserve">GDP-HPLABSHIGH</t>
  </si>
  <si>
    <t xml:space="preserve">GDP-HPLABSHIGH D SP</t>
  </si>
  <si>
    <t xml:space="preserve">NGW-FGT/Z2</t>
  </si>
  <si>
    <t xml:space="preserve">NGW-FGT/Z2 I PR</t>
  </si>
  <si>
    <t xml:space="preserve">GDP-HPLRAFTA</t>
  </si>
  <si>
    <t xml:space="preserve">GDP-HPLRAFTA D SP</t>
  </si>
  <si>
    <t xml:space="preserve">NGW-FGT/Z3</t>
  </si>
  <si>
    <t xml:space="preserve">NGW-FGT/Z3 I PR</t>
  </si>
  <si>
    <t xml:space="preserve">GDP-HPLU2AFTH</t>
  </si>
  <si>
    <t xml:space="preserve">GDP-HPLU2AFTH D SP</t>
  </si>
  <si>
    <t xml:space="preserve">NGW-GB23</t>
  </si>
  <si>
    <t xml:space="preserve">NGW-GB23 I PR</t>
  </si>
  <si>
    <t xml:space="preserve">GDP-HPLV2AFTH</t>
  </si>
  <si>
    <t xml:space="preserve">GDP-HPLV2AFTH D SP</t>
  </si>
  <si>
    <t xml:space="preserve">NGW-HEHUB</t>
  </si>
  <si>
    <t xml:space="preserve">NGW-HEHUB I PR</t>
  </si>
  <si>
    <t xml:space="preserve">GDP-IROQUOIS</t>
  </si>
  <si>
    <t xml:space="preserve">GDP-IROQUOIS D SP</t>
  </si>
  <si>
    <t xml:space="preserve">NGW-IROQ/WADD</t>
  </si>
  <si>
    <t xml:space="preserve">NGW-IROQ/WADD I PR</t>
  </si>
  <si>
    <t xml:space="preserve">GDP-KERN/RIVER</t>
  </si>
  <si>
    <t xml:space="preserve">GDP-KERN/RIVER D SP</t>
  </si>
  <si>
    <t xml:space="preserve">NGW-IROQ/Z1</t>
  </si>
  <si>
    <t xml:space="preserve">NGW-IROQ/Z1 I PR</t>
  </si>
  <si>
    <t xml:space="preserve">GDP-KOCH</t>
  </si>
  <si>
    <t xml:space="preserve">GDP-KOCH D SP</t>
  </si>
  <si>
    <t xml:space="preserve">NGW-IROQ/Z2</t>
  </si>
  <si>
    <t xml:space="preserve">NGW-IROQ/Z2 I PR</t>
  </si>
  <si>
    <t xml:space="preserve">GDP-KOCH/CORPUS</t>
  </si>
  <si>
    <t xml:space="preserve">GDP-KOCH/CORPUS D SP</t>
  </si>
  <si>
    <t xml:space="preserve">NGW-ONS/TXDTP</t>
  </si>
  <si>
    <t xml:space="preserve">NGW-ONS/TXDTP I PR</t>
  </si>
  <si>
    <t xml:space="preserve">GDP-KOCH/TX</t>
  </si>
  <si>
    <t xml:space="preserve">GDP-KOCH/TX D SP</t>
  </si>
  <si>
    <t xml:space="preserve">NGW-ONS/TXDTPTW</t>
  </si>
  <si>
    <t xml:space="preserve">NGW-ONS/TXDTPTW I PR</t>
  </si>
  <si>
    <t xml:space="preserve">GDP-LONESTAR</t>
  </si>
  <si>
    <t xml:space="preserve">GDP-LONESTAR D SP</t>
  </si>
  <si>
    <t xml:space="preserve">NGW-ONSLA</t>
  </si>
  <si>
    <t xml:space="preserve">NGW-ONSLA I PR</t>
  </si>
  <si>
    <t xml:space="preserve">GDP-MALIN-CTYGA</t>
  </si>
  <si>
    <t xml:space="preserve">GDP-MALIN-CTYGA D SP</t>
  </si>
  <si>
    <t xml:space="preserve">NGW-ONSLA1</t>
  </si>
  <si>
    <t xml:space="preserve">NGW-ONSLA1 I PR</t>
  </si>
  <si>
    <t xml:space="preserve">GDP-MICHCON</t>
  </si>
  <si>
    <t xml:space="preserve">GDP-MICHCON D SP</t>
  </si>
  <si>
    <t xml:space="preserve">NGW/HH/BIDWEEK</t>
  </si>
  <si>
    <t xml:space="preserve">NGW/HH/BIDWEEK I PR</t>
  </si>
  <si>
    <t xml:space="preserve">GDP-ML7/CG</t>
  </si>
  <si>
    <t xml:space="preserve">GDP-ML7/CG D SP</t>
  </si>
  <si>
    <t xml:space="preserve">NW STANF/1ST-GD</t>
  </si>
  <si>
    <t xml:space="preserve">NW STANF/1ST-GD I PR</t>
  </si>
  <si>
    <t xml:space="preserve">GDP-MRT/MAINLIN</t>
  </si>
  <si>
    <t xml:space="preserve">GDP-MRT/MAINLIN D SP</t>
  </si>
  <si>
    <t xml:space="preserve">NX3D</t>
  </si>
  <si>
    <t xml:space="preserve">NX3D I PR</t>
  </si>
  <si>
    <t xml:space="preserve">GDP-MRT/WEST</t>
  </si>
  <si>
    <t xml:space="preserve">GDP-MRT/WEST D SP</t>
  </si>
  <si>
    <t xml:space="preserve">T/STX-VAL-AVG</t>
  </si>
  <si>
    <t xml:space="preserve">T/STX-VAL-AVG I PR</t>
  </si>
  <si>
    <t xml:space="preserve">GDP-NGPL/(IA-IL</t>
  </si>
  <si>
    <t xml:space="preserve">GDP-NGPL/(IA-IL D SP</t>
  </si>
  <si>
    <t xml:space="preserve">TRUNKL/WLA-GD</t>
  </si>
  <si>
    <t xml:space="preserve">TRUNKL/WLA-GD I PR</t>
  </si>
  <si>
    <t xml:space="preserve">GDP-NGPL/AMARIL</t>
  </si>
  <si>
    <t xml:space="preserve">GDP-NGPL/AMARIL D SP</t>
  </si>
  <si>
    <t xml:space="preserve">WAHA KCBT</t>
  </si>
  <si>
    <t xml:space="preserve">WAHA KCBT I PR</t>
  </si>
  <si>
    <t xml:space="preserve">GDP-NGPL/CORPUS</t>
  </si>
  <si>
    <t xml:space="preserve">GDP-NGPL/CORPUS D SP</t>
  </si>
  <si>
    <t xml:space="preserve">GDP-NGPL/LA</t>
  </si>
  <si>
    <t xml:space="preserve">GDP-NGPL/LA D SP</t>
  </si>
  <si>
    <t xml:space="preserve">GDP-NGPL/OK</t>
  </si>
  <si>
    <t xml:space="preserve">GDP-NGPL/OK D SP</t>
  </si>
  <si>
    <t xml:space="preserve">GDP-NGPL/PAN/PR</t>
  </si>
  <si>
    <t xml:space="preserve">GDP-NGPL/PAN/PR D SP</t>
  </si>
  <si>
    <t xml:space="preserve">GDP-NGPL/TXOK-E</t>
  </si>
  <si>
    <t xml:space="preserve">GDP-NGPL/TXOK-E D SP</t>
  </si>
  <si>
    <t xml:space="preserve">GDP-NGPL/TXOK-W</t>
  </si>
  <si>
    <t xml:space="preserve">GDP-NGPL/TXOK-W D SP</t>
  </si>
  <si>
    <t xml:space="preserve">GDP-NIAGARA</t>
  </si>
  <si>
    <t xml:space="preserve">GDP-NIAGARA D SP</t>
  </si>
  <si>
    <t xml:space="preserve">GDP-NNG/DEMARCA</t>
  </si>
  <si>
    <t xml:space="preserve">GDP-NNG/DEMARCA D SP</t>
  </si>
  <si>
    <t xml:space="preserve">GDP-NNG/TOK</t>
  </si>
  <si>
    <t xml:space="preserve">GDP-NNG/TOK D SP</t>
  </si>
  <si>
    <t xml:space="preserve">GDP-NNG/TOK(1-6</t>
  </si>
  <si>
    <t xml:space="preserve">GDP-NNG/TOK(1-6 D SP</t>
  </si>
  <si>
    <t xml:space="preserve">GDP-NNG/TOK(13)</t>
  </si>
  <si>
    <t xml:space="preserve">GDP-NNG/TOK(13) D SP</t>
  </si>
  <si>
    <t xml:space="preserve">GDP-NNG/TOK/PAN</t>
  </si>
  <si>
    <t xml:space="preserve">GDP-NNG/TOK/PAN D SP</t>
  </si>
  <si>
    <t xml:space="preserve">GDP-NNG/VENT</t>
  </si>
  <si>
    <t xml:space="preserve">GDP-NNG/VENT D SP</t>
  </si>
  <si>
    <t xml:space="preserve">GDP-NORAM-N/S</t>
  </si>
  <si>
    <t xml:space="preserve">GDP-NORAM-N/S D SP</t>
  </si>
  <si>
    <t xml:space="preserve">GDP-NORAM/WEST</t>
  </si>
  <si>
    <t xml:space="preserve">GDP-NORAM/WEST D SP</t>
  </si>
  <si>
    <t xml:space="preserve">GDP-NTHWST/CANB</t>
  </si>
  <si>
    <t xml:space="preserve">GDP-NTHWST/CANB D SP</t>
  </si>
  <si>
    <t xml:space="preserve">GDP-NW STANFIEL</t>
  </si>
  <si>
    <t xml:space="preserve">GDP-NW STANFIEL D SP</t>
  </si>
  <si>
    <t xml:space="preserve">GDP-NWPL_ROCKYM</t>
  </si>
  <si>
    <t xml:space="preserve">GDP-NWPL_ROCKYM D SP</t>
  </si>
  <si>
    <t xml:space="preserve">GDP-PAN/TX/OK</t>
  </si>
  <si>
    <t xml:space="preserve">GDP-PAN/TX/OK D SP</t>
  </si>
  <si>
    <t xml:space="preserve">GDP-PG&amp;E/CITIGA</t>
  </si>
  <si>
    <t xml:space="preserve">GDP-PG&amp;E/CITIGA D SP</t>
  </si>
  <si>
    <t xml:space="preserve">GDP-PG&amp;E/LG-PKG</t>
  </si>
  <si>
    <t xml:space="preserve">GDP-PG&amp;E/LG-PKG D SP</t>
  </si>
  <si>
    <t xml:space="preserve">GDP-PGT/KINGSGA</t>
  </si>
  <si>
    <t xml:space="preserve">GDP-PGT/KINGSGA D SP</t>
  </si>
  <si>
    <t xml:space="preserve">GDP-QUESTAR</t>
  </si>
  <si>
    <t xml:space="preserve">GDP-QUESTAR D SP</t>
  </si>
  <si>
    <t xml:space="preserve">GDP-SONAT/LA</t>
  </si>
  <si>
    <t xml:space="preserve">GDP-SONAT/LA D SP</t>
  </si>
  <si>
    <t xml:space="preserve">GDP-TENN/100</t>
  </si>
  <si>
    <t xml:space="preserve">GDP-TENN/100 D SP</t>
  </si>
  <si>
    <t xml:space="preserve">GDP-TENN/500</t>
  </si>
  <si>
    <t xml:space="preserve">GDP-TENN/500 D SP</t>
  </si>
  <si>
    <t xml:space="preserve">GDP-TENN/800</t>
  </si>
  <si>
    <t xml:space="preserve">GDP-TENN/800 D SP</t>
  </si>
  <si>
    <t xml:space="preserve">GDP-TENN/CORPUS</t>
  </si>
  <si>
    <t xml:space="preserve">GDP-TENN/CORPUS D SP</t>
  </si>
  <si>
    <t xml:space="preserve">GDP-TETCO/ELA</t>
  </si>
  <si>
    <t xml:space="preserve">GDP-TETCO/ELA D SP</t>
  </si>
  <si>
    <t xml:space="preserve">GDP-TETCO/ETX/C</t>
  </si>
  <si>
    <t xml:space="preserve">GDP-TETCO/ETX/C D SP</t>
  </si>
  <si>
    <t xml:space="preserve">GDP-TETCO/M1</t>
  </si>
  <si>
    <t xml:space="preserve">GDP-TETCO/M1 D SP</t>
  </si>
  <si>
    <t xml:space="preserve">GDP-TETCO/M3</t>
  </si>
  <si>
    <t xml:space="preserve">GDP-TETCO/M3 D SP</t>
  </si>
  <si>
    <t xml:space="preserve">GDP-TETCO/STX</t>
  </si>
  <si>
    <t xml:space="preserve">GDP-TETCO/STX D SP</t>
  </si>
  <si>
    <t xml:space="preserve">GDP-TETCO/WLA</t>
  </si>
  <si>
    <t xml:space="preserve">GDP-TETCO/WLA D SP</t>
  </si>
  <si>
    <t xml:space="preserve">GDP-TGT/Z1</t>
  </si>
  <si>
    <t xml:space="preserve">GDP-TGT/Z1 D SP</t>
  </si>
  <si>
    <t xml:space="preserve">GDP-TGT/ZSL</t>
  </si>
  <si>
    <t xml:space="preserve">GDP-TGT/ZSL D SP</t>
  </si>
  <si>
    <t xml:space="preserve">GDP-TRANSCO/Z1</t>
  </si>
  <si>
    <t xml:space="preserve">GDP-TRANSCO/Z1 D SP</t>
  </si>
  <si>
    <t xml:space="preserve">GDP-TRANSCO/Z2</t>
  </si>
  <si>
    <t xml:space="preserve">GDP-TRANSCO/Z2 D SP</t>
  </si>
  <si>
    <t xml:space="preserve">GDP-TRANSCO/Z3</t>
  </si>
  <si>
    <t xml:space="preserve">GDP-TRANSCO/Z3 D SP</t>
  </si>
  <si>
    <t xml:space="preserve">GDP-TRANSCO/Z4</t>
  </si>
  <si>
    <t xml:space="preserve">GDP-TRANSCO/Z4 D SP</t>
  </si>
  <si>
    <t xml:space="preserve">GDP-TRCOZ6/NONY</t>
  </si>
  <si>
    <t xml:space="preserve">GDP-TRCOZ6/NONY D SP</t>
  </si>
  <si>
    <t xml:space="preserve">GDP-TRCOZ6/NY</t>
  </si>
  <si>
    <t xml:space="preserve">GDP-TRCOZ6/NY D SP</t>
  </si>
  <si>
    <t xml:space="preserve">GDP-TRUNKL/ELA</t>
  </si>
  <si>
    <t xml:space="preserve">GDP-TRUNKL/ELA D SP</t>
  </si>
  <si>
    <t xml:space="preserve">GDP-TRUNKL/NO</t>
  </si>
  <si>
    <t xml:space="preserve">GDP-TRUNKL/NO D SP</t>
  </si>
  <si>
    <t xml:space="preserve">GDP-TRUNKL/SO</t>
  </si>
  <si>
    <t xml:space="preserve">GDP-TRUNKL/SO D SP</t>
  </si>
  <si>
    <t xml:space="preserve">GDP-TRUNKL/WLA</t>
  </si>
  <si>
    <t xml:space="preserve">GDP-TRUNKL/WLA D SP</t>
  </si>
  <si>
    <t xml:space="preserve">GDP-TW/PERMIAN</t>
  </si>
  <si>
    <t xml:space="preserve">GDP-TW/PERMIAN D SP</t>
  </si>
  <si>
    <t xml:space="preserve">GDP-TW/SJ</t>
  </si>
  <si>
    <t xml:space="preserve">GDP-TW/SJ D SP</t>
  </si>
  <si>
    <t xml:space="preserve">GDP-TXINT+1AFTA</t>
  </si>
  <si>
    <t xml:space="preserve">GDP-TXINT+1AFTA D SP</t>
  </si>
  <si>
    <t xml:space="preserve">GDP-TXINT+2AFTA</t>
  </si>
  <si>
    <t xml:space="preserve">GDP-TXINT+2AFTA D SP</t>
  </si>
  <si>
    <t xml:space="preserve">GDP-TXINT+2AFTH</t>
  </si>
  <si>
    <t xml:space="preserve">GDP-TXINT+2AFTH D SP</t>
  </si>
  <si>
    <t xml:space="preserve">GDP-TXINT+2AFTL</t>
  </si>
  <si>
    <t xml:space="preserve">GDP-TXINT+2AFTL D SP</t>
  </si>
  <si>
    <t xml:space="preserve">GDP-TXINT/KATYH</t>
  </si>
  <si>
    <t xml:space="preserve">GDP-TXINT/KATYH D SP</t>
  </si>
  <si>
    <t xml:space="preserve">GDP-TXINT/KATYL</t>
  </si>
  <si>
    <t xml:space="preserve">GDP-TXINT/KATYL D SP</t>
  </si>
  <si>
    <t xml:space="preserve">GDP-TXINT/KATYT</t>
  </si>
  <si>
    <t xml:space="preserve">GDP-TXINT/KATYT D SP</t>
  </si>
  <si>
    <t xml:space="preserve">GDP-TXINTFRWKA</t>
  </si>
  <si>
    <t xml:space="preserve">GDP-TXINTFRWKA D SP</t>
  </si>
  <si>
    <t xml:space="preserve">GDP-TXINTH+2FTH</t>
  </si>
  <si>
    <t xml:space="preserve">GDP-TXINTH+2FTH D SP</t>
  </si>
  <si>
    <t xml:space="preserve">GDP-TXINTL+2FTH</t>
  </si>
  <si>
    <t xml:space="preserve">GDP-TXINTL+2FTH D SP</t>
  </si>
  <si>
    <t xml:space="preserve">GDP-WAHA</t>
  </si>
  <si>
    <t xml:space="preserve">GDP-WAHA D SP</t>
  </si>
  <si>
    <t xml:space="preserve">GDP-WNG/TOK</t>
  </si>
  <si>
    <t xml:space="preserve">GDP-WNG/TOK D SP</t>
  </si>
  <si>
    <t xml:space="preserve">HPL/SHPCHAN-GD D PR</t>
  </si>
  <si>
    <t xml:space="preserve">IF-A/S E.BEAUM D PR</t>
  </si>
  <si>
    <t xml:space="preserve">IF-A/S EAST OFF D PR</t>
  </si>
  <si>
    <t xml:space="preserve">IF-AGUA DULCE D PR</t>
  </si>
  <si>
    <t xml:space="preserve">IF-ANR/LA D PR</t>
  </si>
  <si>
    <t xml:space="preserve">IF-ANR/LA_OFFSH D PR</t>
  </si>
  <si>
    <t xml:space="preserve">IF-ANR/LA_ONSHO D PR</t>
  </si>
  <si>
    <t xml:space="preserve">IF-ANR/OK D PR</t>
  </si>
  <si>
    <t xml:space="preserve">IF-ARKLA/ARK-OK D PR</t>
  </si>
  <si>
    <t xml:space="preserve">IF-B/M OFFSHORE D PR</t>
  </si>
  <si>
    <t xml:space="preserve">IF-BONDAD(100%) D PR</t>
  </si>
  <si>
    <t xml:space="preserve">IF-CARTHAGE D PR</t>
  </si>
  <si>
    <t xml:space="preserve">IF-CGT/APPALAC D PR</t>
  </si>
  <si>
    <t xml:space="preserve">IF-CGT/CITYGATE D PR</t>
  </si>
  <si>
    <t xml:space="preserve">IF-CIG/RKYMTN D PR</t>
  </si>
  <si>
    <t xml:space="preserve">IF-CIG/TOMAHAWK D PR</t>
  </si>
  <si>
    <t xml:space="preserve">IF-CIG/WIC D PR</t>
  </si>
  <si>
    <t xml:space="preserve">IF-CIG/WINDRVR D PR</t>
  </si>
  <si>
    <t xml:space="preserve">IF-CNG/APPALACH D PR</t>
  </si>
  <si>
    <t xml:space="preserve">IF-CNG/NORTH D PR</t>
  </si>
  <si>
    <t xml:space="preserve">IF-CNG/N_CITYGA D PR</t>
  </si>
  <si>
    <t xml:space="preserve">IF-COLGUL/ERATH D PR</t>
  </si>
  <si>
    <t xml:space="preserve">IF-COLGUL/RAYNE D PR</t>
  </si>
  <si>
    <t xml:space="preserve">IF-COLGULF/LA D PR</t>
  </si>
  <si>
    <t xml:space="preserve">IF-COLGULF/LAOF D PR</t>
  </si>
  <si>
    <t xml:space="preserve">IF-CORPUS D PR</t>
  </si>
  <si>
    <t xml:space="preserve">IF-ELPO/ANADARK D PR</t>
  </si>
  <si>
    <t xml:space="preserve">IF-ELPO/PERMIAN D PR</t>
  </si>
  <si>
    <t xml:space="preserve">IF-ELPO/SJ D PR</t>
  </si>
  <si>
    <t xml:space="preserve">IF-ELPO/SJ/KC D PR</t>
  </si>
  <si>
    <t xml:space="preserve">IF-EPSJ(BONDAD) D PR</t>
  </si>
  <si>
    <t xml:space="preserve">IF-EPSJ(MILAGR) D PR</t>
  </si>
  <si>
    <t xml:space="preserve">IF-EPSJ/TWBLANC D PR</t>
  </si>
  <si>
    <t xml:space="preserve">IF-FGT/CTYGATE D PR</t>
  </si>
  <si>
    <t xml:space="preserve">IF-FGT/MKTAREA D PR</t>
  </si>
  <si>
    <t xml:space="preserve">IF-FGT/Z1 D PR</t>
  </si>
  <si>
    <t xml:space="preserve">IF-FGT/Z2 D PR</t>
  </si>
  <si>
    <t xml:space="preserve">IF-FGT/Z3 D PR</t>
  </si>
  <si>
    <t xml:space="preserve">IF-FREEPORT D PR</t>
  </si>
  <si>
    <t xml:space="preserve">IF-HEHUB D PR</t>
  </si>
  <si>
    <t xml:space="preserve">IF-HPL/SHPCHAN D PR</t>
  </si>
  <si>
    <t xml:space="preserve">IF-IOWA_IL D PR</t>
  </si>
  <si>
    <t xml:space="preserve">IF-K/COL/TN/LA D PR</t>
  </si>
  <si>
    <t xml:space="preserve">IF-KATY D PR</t>
  </si>
  <si>
    <t xml:space="preserve">IF-KATY/OASIS D PR</t>
  </si>
  <si>
    <t xml:space="preserve">IF-KATY/TAIL D PR</t>
  </si>
  <si>
    <t xml:space="preserve">IF-KATY/WOFLEX D PR</t>
  </si>
  <si>
    <t xml:space="preserve">IF-KERN/QUEST D PR</t>
  </si>
  <si>
    <t xml:space="preserve">IF-KERN/RIVER D PR</t>
  </si>
  <si>
    <t xml:space="preserve">IF-KING RANCH D PR</t>
  </si>
  <si>
    <t xml:space="preserve">IF-KOCH D PR</t>
  </si>
  <si>
    <t xml:space="preserve">IF-KOCH/LA D PR</t>
  </si>
  <si>
    <t xml:space="preserve">IF-KOCH/TX D PR</t>
  </si>
  <si>
    <t xml:space="preserve">IF-LONESTAR D PR</t>
  </si>
  <si>
    <t xml:space="preserve">IF-LRC D PR</t>
  </si>
  <si>
    <t xml:space="preserve">IF-LRC/Z1 D PR</t>
  </si>
  <si>
    <t xml:space="preserve">IF-LRC/Z2 D PR</t>
  </si>
  <si>
    <t xml:space="preserve">IF-LRC/Z3 D PR</t>
  </si>
  <si>
    <t xml:space="preserve">IF-LRC/Z4 D PR</t>
  </si>
  <si>
    <t xml:space="preserve">IF-LRC/Z5 D PR</t>
  </si>
  <si>
    <t xml:space="preserve">IF-MONCHY D PR</t>
  </si>
  <si>
    <t xml:space="preserve">IF-NGPL/HARPER D PR</t>
  </si>
  <si>
    <t xml:space="preserve">IF-NGPL/LA D PR</t>
  </si>
  <si>
    <t xml:space="preserve">IF-NGPL/LA-STNG D PR</t>
  </si>
  <si>
    <t xml:space="preserve">IF-NGPL/MIDCON D PR</t>
  </si>
  <si>
    <t xml:space="preserve">IF-NGPL/OK-NW D PR</t>
  </si>
  <si>
    <t xml:space="preserve">IF-NGPL/STX D PR</t>
  </si>
  <si>
    <t xml:space="preserve">IF-NGPL/TX D PR</t>
  </si>
  <si>
    <t xml:space="preserve">IF-NGPLTXOK D PR</t>
  </si>
  <si>
    <t xml:space="preserve">IF-NNG/DEMARCAT D PR</t>
  </si>
  <si>
    <t xml:space="preserve">IF-NNG/TOK D PR</t>
  </si>
  <si>
    <t xml:space="preserve">IF-NNG/VENT D PR</t>
  </si>
  <si>
    <t xml:space="preserve">IF-NORAM/EAST D PR</t>
  </si>
  <si>
    <t xml:space="preserve">IF-NORAM/WEST D PR</t>
  </si>
  <si>
    <t xml:space="preserve">IF-NTHWST/CANBR D PR</t>
  </si>
  <si>
    <t xml:space="preserve">IF-NWPL_ROCKY_M D PR</t>
  </si>
  <si>
    <t xml:space="preserve">IF-ONG/OKLAHOMA D PR</t>
  </si>
  <si>
    <t xml:space="preserve">IF-PAN/TX/OK D PR</t>
  </si>
  <si>
    <t xml:space="preserve">IF-QUESTAR D PR</t>
  </si>
  <si>
    <t xml:space="preserve">IF-SONAT/LA D PR</t>
  </si>
  <si>
    <t xml:space="preserve">IF-TENN/LA D PR</t>
  </si>
  <si>
    <t xml:space="preserve">IF-TENN/LA_OFF D PR</t>
  </si>
  <si>
    <t xml:space="preserve">IF-TENN/TX D PR</t>
  </si>
  <si>
    <t xml:space="preserve">IF-TENN/Z5 D PR</t>
  </si>
  <si>
    <t xml:space="preserve">IF-TENN/Z6 D PR</t>
  </si>
  <si>
    <t xml:space="preserve">IF-TETCO/ELA D PR</t>
  </si>
  <si>
    <t xml:space="preserve">IF-TETCO/ETX D PR</t>
  </si>
  <si>
    <t xml:space="preserve">IF-TETCO/LA D PR</t>
  </si>
  <si>
    <t xml:space="preserve">IF-TETCO/M1 D PR</t>
  </si>
  <si>
    <t xml:space="preserve">IF-TETCO/M3 D PR</t>
  </si>
  <si>
    <t xml:space="preserve">IF-TETCO/STX D PR</t>
  </si>
  <si>
    <t xml:space="preserve">IF-TETCO/WLA D PR</t>
  </si>
  <si>
    <t xml:space="preserve">IF-TEXOMA D PR</t>
  </si>
  <si>
    <t xml:space="preserve">IF-TEXOMA OFFER D PR</t>
  </si>
  <si>
    <t xml:space="preserve">IF-TGT/Z1 D PR</t>
  </si>
  <si>
    <t xml:space="preserve">IF-TGT/ZSL D PR</t>
  </si>
  <si>
    <t xml:space="preserve">IF-THOMPSONVILL D PR</t>
  </si>
  <si>
    <t xml:space="preserve">IF-TRANSCO/Z1 D PR</t>
  </si>
  <si>
    <t xml:space="preserve">IF-TRANSCO/Z2 D PR</t>
  </si>
  <si>
    <t xml:space="preserve">IF-TRANSCO/Z3 D PR</t>
  </si>
  <si>
    <t xml:space="preserve">IF-TRANSCO/Z4 D PR</t>
  </si>
  <si>
    <t xml:space="preserve">IF-TRANSCO/Z5 D PR</t>
  </si>
  <si>
    <t xml:space="preserve">IF-TRANSCO/Z6 D PR</t>
  </si>
  <si>
    <t xml:space="preserve">IF-TRUNK/AVG D PR</t>
  </si>
  <si>
    <t xml:space="preserve">IF-TRUNKL/FLDZN D PR</t>
  </si>
  <si>
    <t xml:space="preserve">IF-TRUNKL/LA D PR</t>
  </si>
  <si>
    <t xml:space="preserve">IF-TRUNKL/TX D PR</t>
  </si>
  <si>
    <t xml:space="preserve">IF-TW/PERMIAN D PR</t>
  </si>
  <si>
    <t xml:space="preserve">IF-TX CITY LOOP D PR</t>
  </si>
  <si>
    <t xml:space="preserve">IF-VALERO/TX D PR</t>
  </si>
  <si>
    <t xml:space="preserve">IF-VALLEY D PR</t>
  </si>
  <si>
    <t xml:space="preserve">IF-WAHA D PR</t>
  </si>
  <si>
    <t xml:space="preserve">IF-WNG/TOK D PR</t>
  </si>
  <si>
    <t xml:space="preserve">MICH-ST.CLAIR</t>
  </si>
  <si>
    <t xml:space="preserve">MICH-ST.CLAIR D PR</t>
  </si>
  <si>
    <t xml:space="preserve">MICH/CONS D PR</t>
  </si>
  <si>
    <t xml:space="preserve">MICH_CG-GD D PR</t>
  </si>
  <si>
    <t xml:space="preserve">ML7/CG D PR</t>
  </si>
  <si>
    <t xml:space="preserve">NAT/FUEL/LEIDY D PR</t>
  </si>
  <si>
    <t xml:space="preserve">NGI-HPL/ETX D PR</t>
  </si>
  <si>
    <t xml:space="preserve">NGI-HPL/STEX D PR</t>
  </si>
  <si>
    <t xml:space="preserve">NGI-LIG/NO.LA D PR</t>
  </si>
  <si>
    <t xml:space="preserve">NGI-MALIN D PR</t>
  </si>
  <si>
    <t xml:space="preserve">NGI-MICH_CG D PR</t>
  </si>
  <si>
    <t xml:space="preserve">NGI-NGPL/ETXG7 D PR</t>
  </si>
  <si>
    <t xml:space="preserve">NGI-NGPL/TX_G2 D PR</t>
  </si>
  <si>
    <t xml:space="preserve">NGI-NOCAL D PR</t>
  </si>
  <si>
    <t xml:space="preserve">NGI-PGE/CG D PR</t>
  </si>
  <si>
    <t xml:space="preserve">NGI-SOC/MAL(34/ D PR</t>
  </si>
  <si>
    <t xml:space="preserve">NGI-SOCAL D PR</t>
  </si>
  <si>
    <t xml:space="preserve">NGI-SOCAL(KRS) D PR</t>
  </si>
  <si>
    <t xml:space="preserve">NGI-TENN/NO_LA D PR</t>
  </si>
  <si>
    <t xml:space="preserve">NGI-TGT/NO.LA D PR</t>
  </si>
  <si>
    <t xml:space="preserve">NGI-WHEELER D PR</t>
  </si>
  <si>
    <t xml:space="preserve">NGI/CHI. GATE D PR</t>
  </si>
  <si>
    <t xml:space="preserve">NGPL/AMARILO-GD D PR</t>
  </si>
  <si>
    <t xml:space="preserve">NGPL/IA-IL-GDM D PR</t>
  </si>
  <si>
    <t xml:space="preserve">NGPL/PER/1ST-GD D PR</t>
  </si>
  <si>
    <t xml:space="preserve">NGW-ALGO/CITY D PR</t>
  </si>
  <si>
    <t xml:space="preserve">NGW-ALGONQUIN D PR</t>
  </si>
  <si>
    <t xml:space="preserve">NGW-CGE D PR</t>
  </si>
  <si>
    <t xml:space="preserve">NGW-CGKY D PR</t>
  </si>
  <si>
    <t xml:space="preserve">NGW-CHIPPEWA D PR</t>
  </si>
  <si>
    <t xml:space="preserve">NGW-FGT/Z1 D PR</t>
  </si>
  <si>
    <t xml:space="preserve">NGW-FGT/Z2 D PR</t>
  </si>
  <si>
    <t xml:space="preserve">NGW-FGT/Z3 D PR</t>
  </si>
  <si>
    <t xml:space="preserve">NGW-GB23 D PR</t>
  </si>
  <si>
    <t xml:space="preserve">NGW-HEHUB D PR</t>
  </si>
  <si>
    <t xml:space="preserve">NGW-IROQ/WADD D PR</t>
  </si>
  <si>
    <t xml:space="preserve">NGW-IROQ/Z1 D PR</t>
  </si>
  <si>
    <t xml:space="preserve">NGW-IROQ/Z2 D PR</t>
  </si>
  <si>
    <t xml:space="preserve">NGW-ONS/TXDTP D PR</t>
  </si>
  <si>
    <t xml:space="preserve">NGW-ONS/TXDTPTW D PR</t>
  </si>
  <si>
    <t xml:space="preserve">NGW-ONSLA D PR</t>
  </si>
  <si>
    <t xml:space="preserve">NGW-ONSLA1 D PR</t>
  </si>
  <si>
    <t xml:space="preserve">NGW/HH/BIDWEEK D PR</t>
  </si>
  <si>
    <t xml:space="preserve">NIAGARA-GDM</t>
  </si>
  <si>
    <t xml:space="preserve">NIAGARA-GDM D PR</t>
  </si>
  <si>
    <t xml:space="preserve">NW STANF/1ST-GD D PR</t>
  </si>
  <si>
    <t xml:space="preserve">NX3D D PR</t>
  </si>
  <si>
    <t xml:space="preserve">STORAGE/B</t>
  </si>
  <si>
    <t xml:space="preserve">STORAGE/B D PR</t>
  </si>
  <si>
    <t xml:space="preserve">T/STX-VAL-AVG D PR</t>
  </si>
  <si>
    <t xml:space="preserve">TRUNKL/WLA-GD D PR</t>
  </si>
  <si>
    <t xml:space="preserve">WADD-GDM</t>
  </si>
  <si>
    <t xml:space="preserve">WADD-GDM D PR</t>
  </si>
  <si>
    <t xml:space="preserve">WAHA KCBT D PR</t>
  </si>
  <si>
    <t xml:space="preserve">Generation Components</t>
  </si>
  <si>
    <t xml:space="preserve">Scaled Power Prices</t>
  </si>
  <si>
    <t xml:space="preserve">Premium</t>
  </si>
  <si>
    <t xml:space="preserve">Run Hours (Delta)</t>
  </si>
  <si>
    <t xml:space="preserve">Ranking Section</t>
  </si>
  <si>
    <t xml:space="preserve">Max Run Hours</t>
  </si>
  <si>
    <t xml:space="preserve">Value (Intrinsic or Sprd Option Depending on Input)</t>
  </si>
  <si>
    <t xml:space="preserve">Revenues/Expenses</t>
  </si>
  <si>
    <t xml:space="preserve">Option Inputs</t>
  </si>
  <si>
    <t xml:space="preserve">(Gas-TP)</t>
  </si>
  <si>
    <t xml:space="preserve">Per</t>
  </si>
  <si>
    <t xml:space="preserve">Generation </t>
  </si>
  <si>
    <t xml:space="preserve">Mon-Fri </t>
  </si>
  <si>
    <t xml:space="preserve">Sat</t>
  </si>
  <si>
    <t xml:space="preserve">Sun</t>
  </si>
  <si>
    <t xml:space="preserve">M-F,Sat,Sun</t>
  </si>
  <si>
    <t xml:space="preserve">Guess:</t>
  </si>
  <si>
    <t xml:space="preserve">Run Hours</t>
  </si>
  <si>
    <t xml:space="preserve">Total</t>
  </si>
  <si>
    <t xml:space="preserve">Energy</t>
  </si>
  <si>
    <t xml:space="preserve">Fuel</t>
  </si>
  <si>
    <t xml:space="preserve">VOM</t>
  </si>
  <si>
    <t xml:space="preserve">Gas-Pwr</t>
  </si>
  <si>
    <t xml:space="preserve">Strike</t>
  </si>
  <si>
    <t xml:space="preserve">Interest </t>
  </si>
  <si>
    <t xml:space="preserve">Discount</t>
  </si>
  <si>
    <t xml:space="preserve">Date</t>
  </si>
  <si>
    <t xml:space="preserve">Year</t>
  </si>
  <si>
    <t xml:space="preserve">X HR</t>
  </si>
  <si>
    <t xml:space="preserve">Cost</t>
  </si>
  <si>
    <t xml:space="preserve">Super Peak</t>
  </si>
  <si>
    <t xml:space="preserve">Shoulder Peak</t>
  </si>
  <si>
    <t xml:space="preserve">OP</t>
  </si>
  <si>
    <t xml:space="preserve">MW</t>
  </si>
  <si>
    <t xml:space="preserve">$$$</t>
  </si>
  <si>
    <t xml:space="preserve">Revenue</t>
  </si>
  <si>
    <t xml:space="preserve">Expense</t>
  </si>
  <si>
    <t xml:space="preserve">Monthly</t>
  </si>
  <si>
    <t xml:space="preserve">Daily </t>
  </si>
  <si>
    <t xml:space="preserve">Blended </t>
  </si>
  <si>
    <t xml:space="preserve">Daily</t>
  </si>
  <si>
    <t xml:space="preserve">Blended</t>
  </si>
  <si>
    <t xml:space="preserve">Price</t>
  </si>
  <si>
    <t xml:space="preserve">Rate</t>
  </si>
  <si>
    <t xml:space="preserve">Resid Hours</t>
  </si>
  <si>
    <t xml:space="preserve">Regular Scalars</t>
  </si>
  <si>
    <t xml:space="preserve">Checks</t>
  </si>
  <si>
    <t xml:space="preserve">Must = 1</t>
  </si>
  <si>
    <t xml:space="preserve">16Hr</t>
  </si>
  <si>
    <t xml:space="preserve">Week</t>
  </si>
  <si>
    <t xml:space="preserve">Hol</t>
  </si>
  <si>
    <t xml:space="preserve">24Hr</t>
  </si>
  <si>
    <t xml:space="preserve">-Hol</t>
  </si>
  <si>
    <t xml:space="preserve">Control #</t>
  </si>
  <si>
    <t xml:space="preserve">control #</t>
  </si>
  <si>
    <t xml:space="preserve">Spread Option Pricing</t>
  </si>
  <si>
    <t xml:space="preserve">Mon-Fri 5X24</t>
  </si>
  <si>
    <t xml:space="preserve">Notional</t>
  </si>
  <si>
    <t xml:space="preserve">Intrinsic Only Pricing</t>
  </si>
  <si>
    <t xml:space="preserve">Mon-Sat 6X24</t>
  </si>
  <si>
    <t xml:space="preserve">Present Value (Libor AA)</t>
  </si>
  <si>
    <t xml:space="preserve">Copy/Paste Special Here, Make sure Checks = 1</t>
  </si>
  <si>
    <t xml:space="preserve">Woulfe Special Pricing</t>
  </si>
  <si>
    <t xml:space="preserve">Mon-Sun 7X24</t>
  </si>
  <si>
    <t xml:space="preserve">Mon-Fri 5X16</t>
  </si>
  <si>
    <t xml:space="preserve">Mon-Sat 6X16</t>
  </si>
  <si>
    <t xml:space="preserve">Simple Cycle (Peaker)</t>
  </si>
  <si>
    <t xml:space="preserve">Mon-Sun 7X16</t>
  </si>
  <si>
    <t xml:space="preserve">Combined Cycle</t>
  </si>
  <si>
    <t xml:space="preserve">Mon-Fri 5X8 Super</t>
  </si>
  <si>
    <t xml:space="preserve">Mon-Sat 6X8 Super</t>
  </si>
  <si>
    <t xml:space="preserve">Mon-Sun 7X8 Super</t>
  </si>
  <si>
    <t xml:space="preserve">These need to be adjusted by user; user must define 8 hr Super Peak Period</t>
  </si>
  <si>
    <t xml:space="preserve">As of 2/2000 Dynamic Scalars are in effect for REGIONS:  2,2A,2B,3,3A,3B,4,4B,4C,5,5A  </t>
  </si>
  <si>
    <t xml:space="preserve">Super Peak Scalars (Dynamic Scalars, if applicable)</t>
  </si>
  <si>
    <t xml:space="preserve">Copy/Paste Special Here, Match Dates with A37</t>
  </si>
  <si>
    <t xml:space="preserve">16Hr WD</t>
  </si>
  <si>
    <t xml:space="preserve">8Hr WD</t>
  </si>
  <si>
    <t xml:space="preserve">16Hr Sat</t>
  </si>
  <si>
    <t xml:space="preserve">8Hr Sat</t>
  </si>
  <si>
    <t xml:space="preserve">16Hr Sun</t>
  </si>
  <si>
    <t xml:space="preserve">8Hr Sun</t>
  </si>
  <si>
    <t xml:space="preserve">5X16 Pwr</t>
  </si>
  <si>
    <t xml:space="preserve">Sat Peak</t>
  </si>
  <si>
    <t xml:space="preserve">Sun Peak</t>
  </si>
  <si>
    <t xml:space="preserve">Mid Curve</t>
  </si>
  <si>
    <t xml:space="preserve">Scalar</t>
  </si>
  <si>
    <t xml:space="preserve">OP Price</t>
  </si>
  <si>
    <t xml:space="preserve">Prices</t>
  </si>
  <si>
    <t xml:space="preserve">Tolling Agreement</t>
  </si>
  <si>
    <t xml:space="preserve">Annualized Capacity Revenue</t>
  </si>
  <si>
    <t xml:space="preserve">75% Correlation</t>
  </si>
  <si>
    <t xml:space="preserve">Capacity Revenue ($/Kwm)</t>
  </si>
  <si>
    <t xml:space="preserve">Energy Revenue ($'s)</t>
  </si>
  <si>
    <t xml:space="preserve">Expenses</t>
  </si>
  <si>
    <t xml:space="preserve">    Fuel</t>
  </si>
  <si>
    <t xml:space="preserve">    Variable O&amp;M</t>
  </si>
  <si>
    <t xml:space="preserve">    Per Start</t>
  </si>
  <si>
    <t xml:space="preserve">Check</t>
  </si>
  <si>
    <t xml:space="preserve">Total PV Value for 2001-2006</t>
  </si>
  <si>
    <t xml:space="preserve">Offer 7X8 Superpeak</t>
  </si>
  <si>
    <t xml:space="preserve">Offer 7X16 Peak</t>
  </si>
  <si>
    <t xml:space="preserve">Mid 7X8 Superpeak</t>
  </si>
  <si>
    <t xml:space="preserve">Mid 7X16 Peak</t>
  </si>
  <si>
    <t xml:space="preserve">To Be fixed:</t>
  </si>
  <si>
    <t xml:space="preserve">=Done</t>
  </si>
  <si>
    <t xml:space="preserve">=Not Done, but doesn't need to be done just yet</t>
  </si>
  <si>
    <t xml:space="preserve"> - Fix Sat and Sun Super Peak Scalars to be price dependent on Sat, Sun prices not WD prices</t>
  </si>
  <si>
    <t xml:space="preserve">      Enpower doesn't treat as separate</t>
  </si>
  <si>
    <t xml:space="preserve"> - Go thru one iteration add Sprd Opt, then take Delta and run thru another iteration for run Hours</t>
  </si>
  <si>
    <t xml:space="preserve">Probably Don't need</t>
  </si>
  <si>
    <t xml:space="preserve"> - Move TP adder to Strike Price for Sprd Opt.</t>
  </si>
  <si>
    <t xml:space="preserve"> - Spropt needs:</t>
  </si>
  <si>
    <t xml:space="preserve">     - Strike which includes gas transport adder</t>
  </si>
  <si>
    <t xml:space="preserve">     - days to expiry</t>
  </si>
  <si>
    <t xml:space="preserve">     - 16 hr vs. two 8hr options</t>
  </si>
  <si>
    <t xml:space="preserve"> - Make Gas curve pull for seasonality (winter prices/summer prices)</t>
  </si>
  <si>
    <t xml:space="preserve"> - Put toggle in for week days only or weekends/weekdays.</t>
  </si>
  <si>
    <t xml:space="preserve"> - Vol Scalar!!!!! For Hourly Vol Simulation</t>
  </si>
  <si>
    <t xml:space="preserve"> - Bid/Mid/Offer Toggle!!!!!!!!!!!!!!!!!!!!!!!!!!!!!!</t>
  </si>
  <si>
    <t xml:space="preserve">Does not work yet Fix Pwr Daily, gas monthly and daily</t>
  </si>
  <si>
    <t xml:space="preserve"> - Add Toggle for PPA situation (5X16, etc…)</t>
  </si>
  <si>
    <t xml:space="preserve"> - Make Woulfe Special Work</t>
  </si>
  <si>
    <t xml:space="preserve"> - Curve (Back end) with an escalator, Also to work for Vols </t>
  </si>
  <si>
    <t xml:space="preserve">Need to fix for Vols</t>
  </si>
  <si>
    <t xml:space="preserve"> - Add toggle for Genco Scalars and find out what curves use them and do not use them</t>
  </si>
  <si>
    <t xml:space="preserve"> - Availability Factor</t>
  </si>
  <si>
    <t xml:space="preserve"> - Per Start</t>
  </si>
  <si>
    <t xml:space="preserve"> - Add Holidays Somewhere</t>
  </si>
  <si>
    <t xml:space="preserve"> - Must Get peak hours to work no matter what curve is chosen</t>
  </si>
  <si>
    <t xml:space="preserve">Could be user defined</t>
  </si>
  <si>
    <t xml:space="preserve"> - Put in Implied HR</t>
  </si>
  <si>
    <t xml:space="preserve"> - Demand Charge Divisor</t>
  </si>
  <si>
    <t xml:space="preserve"> - HR Degradation</t>
  </si>
  <si>
    <t xml:space="preserve"> - Combine Cycle Calculations</t>
  </si>
  <si>
    <t xml:space="preserve"> - Need Hourly limitation for each year</t>
  </si>
  <si>
    <t xml:space="preserve"> - Excess Run Hours must be calculated!!!!!!!!!!!!!!!!!!!!!!!!!!!!!!!!!!!</t>
  </si>
  <si>
    <t xml:space="preserve">Works for Intrinsic Only</t>
  </si>
  <si>
    <t xml:space="preserve"> - Put in Extrinsic line on Output</t>
  </si>
  <si>
    <t xml:space="preserve"> - Need to add winter Omicron Vol Section</t>
  </si>
  <si>
    <t xml:space="preserve"> - Fuel, Commodity</t>
  </si>
  <si>
    <t xml:space="preserve">*** ON Run hours or in Ranking section Put in Logic for Combined Cycle Rev&gt;=Per Start (Opportunity Cost)</t>
  </si>
  <si>
    <t xml:space="preserve"> - Extend for at least 30 years</t>
  </si>
  <si>
    <t xml:space="preserve">Done for Power curves and Volitility, Must fix for Gas Basis, Nymex, and Vols. Must extend the NumberofDaysTable</t>
  </si>
</sst>
</file>

<file path=xl/styles.xml><?xml version="1.0" encoding="utf-8"?>
<styleSheet xmlns="http://schemas.openxmlformats.org/spreadsheetml/2006/main">
  <numFmts count="4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#,##0.00"/>
    <numFmt numFmtId="170" formatCode="\$#,##0_);[RED]&quot;($&quot;#,##0\)"/>
    <numFmt numFmtId="171" formatCode="_(\$* #,##0_);_(\$* \(#,##0\);_(\$* \-_);_(@_)"/>
    <numFmt numFmtId="172" formatCode="\$#,##0.00_);[RED]&quot;($&quot;#,##0.00\)"/>
    <numFmt numFmtId="173" formatCode="_(\$* #,##0.00_);_(\$* \(#,##0.00\);_(\$* \-??_);_(@_)"/>
    <numFmt numFmtId="174" formatCode="[$-409]#,##0_);\(#,##0\)"/>
    <numFmt numFmtId="175" formatCode="General_)"/>
    <numFmt numFmtId="176" formatCode="0.000000_)"/>
    <numFmt numFmtId="177" formatCode="#,##0"/>
    <numFmt numFmtId="178" formatCode="0_);[RED]\-0_)"/>
    <numFmt numFmtId="179" formatCode="mm/dd/yy"/>
    <numFmt numFmtId="180" formatCode="[$-409]mmm\-yy"/>
    <numFmt numFmtId="181" formatCode="0.0"/>
    <numFmt numFmtId="182" formatCode="_(\$* #,##0.000_);_(\$* \(#,##0.000\);_(\$* \-???_);_(@_)"/>
    <numFmt numFmtId="183" formatCode="_(\$* #,##0_);_(\$* \(#,##0\);_(\$* \-??_);_(@_)"/>
    <numFmt numFmtId="184" formatCode="_(* #,##0_);_(* \(#,##0\);_(* \-??_);_(@_)"/>
    <numFmt numFmtId="185" formatCode="mmm"/>
    <numFmt numFmtId="186" formatCode="mmmmm"/>
    <numFmt numFmtId="187" formatCode="0%"/>
    <numFmt numFmtId="188" formatCode="mmm\-yy_)"/>
    <numFmt numFmtId="189" formatCode="0.00%"/>
    <numFmt numFmtId="190" formatCode="[$-409]m/d/yyyy"/>
    <numFmt numFmtId="191" formatCode="mm/dd/yy_)"/>
    <numFmt numFmtId="192" formatCode="dd\-mmm\-yy_)"/>
    <numFmt numFmtId="193" formatCode="[$-409]h:mm"/>
    <numFmt numFmtId="194" formatCode="dd\-mmm\-yy_);[RED]dd\-mmm\-yy_)"/>
    <numFmt numFmtId="195" formatCode="0.00"/>
    <numFmt numFmtId="196" formatCode="[$-409]#,##0.00_);\(#,##0.00\)"/>
    <numFmt numFmtId="197" formatCode="#,##0.0000_);\(#,##0.0000\)"/>
    <numFmt numFmtId="198" formatCode="\$#,##0.00_);&quot;($&quot;#,##0.00\)"/>
    <numFmt numFmtId="199" formatCode="0.000"/>
    <numFmt numFmtId="200" formatCode="_(\$* #,##0.0000_);_(\$* \(#,##0.0000\);_(\$* \-??_);_(@_)"/>
    <numFmt numFmtId="201" formatCode="0"/>
    <numFmt numFmtId="202" formatCode="dd\-mmm\-yy"/>
    <numFmt numFmtId="203" formatCode="0.0000"/>
    <numFmt numFmtId="204" formatCode="0E+00;\ᱨ"/>
    <numFmt numFmtId="205" formatCode="_(\$* #,##0.000_);_(\$* \(#,##0.000\);_(\$* \-??_);_(@_)"/>
    <numFmt numFmtId="206" formatCode="0_);\(0\)"/>
  </numFmts>
  <fonts count="4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12"/>
      <color rgb="FF000000"/>
      <name val="Arial MT"/>
      <family val="0"/>
    </font>
    <font>
      <sz val="10"/>
      <name val="Courier New"/>
      <family val="0"/>
    </font>
    <font>
      <sz val="11"/>
      <name val="Arial"/>
      <family val="0"/>
    </font>
    <font>
      <sz val="10"/>
      <name val="MS Sans Serif"/>
      <family val="0"/>
    </font>
    <font>
      <sz val="8"/>
      <name val="Arial"/>
      <family val="2"/>
    </font>
    <font>
      <sz val="8"/>
      <color rgb="FF0000FF"/>
      <name val="Arial"/>
      <family val="2"/>
    </font>
    <font>
      <b val="true"/>
      <sz val="10"/>
      <color rgb="FF000000"/>
      <name val="Arial"/>
      <family val="0"/>
    </font>
    <font>
      <b val="true"/>
      <i val="true"/>
      <sz val="10"/>
      <color rgb="FF000000"/>
      <name val="Arial"/>
      <family val="2"/>
    </font>
    <font>
      <b val="true"/>
      <sz val="8"/>
      <name val="Arial"/>
      <family val="2"/>
    </font>
    <font>
      <b val="true"/>
      <sz val="8"/>
      <color rgb="FFFF000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8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0"/>
    </font>
    <font>
      <sz val="10"/>
      <color rgb="FF0000FF"/>
      <name val="Courier New"/>
      <family val="0"/>
    </font>
    <font>
      <b val="true"/>
      <sz val="10"/>
      <color rgb="FF000000"/>
      <name val="Courier New"/>
      <family val="0"/>
    </font>
    <font>
      <b val="true"/>
      <sz val="10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Courier New"/>
      <family val="3"/>
    </font>
    <font>
      <sz val="10"/>
      <color rgb="FF000000"/>
      <name val="Courier New"/>
      <family val="0"/>
    </font>
    <font>
      <sz val="10"/>
      <color rgb="FF000000"/>
      <name val="Courier New"/>
      <family val="3"/>
    </font>
    <font>
      <sz val="8"/>
      <color rgb="FF000000"/>
      <name val="Arial"/>
      <family val="2"/>
    </font>
    <font>
      <sz val="11"/>
      <name val="Arial"/>
      <family val="2"/>
    </font>
    <font>
      <sz val="9"/>
      <name val="Times New Roman"/>
      <family val="1"/>
    </font>
    <font>
      <b val="true"/>
      <sz val="9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sz val="9"/>
      <name val="Arial"/>
      <family val="2"/>
    </font>
    <font>
      <sz val="9"/>
      <color rgb="FFFFFFFF"/>
      <name val="Arial"/>
      <family val="2"/>
    </font>
    <font>
      <sz val="9"/>
      <color rgb="FF000000"/>
      <name val="Arial"/>
      <family val="2"/>
    </font>
    <font>
      <b val="true"/>
      <sz val="9"/>
      <color rgb="FFFF0000"/>
      <name val="Arial"/>
      <family val="2"/>
    </font>
    <font>
      <sz val="8"/>
      <color rgb="FFFFFFFF"/>
      <name val="Arial"/>
      <family val="2"/>
    </font>
    <font>
      <b val="true"/>
      <sz val="12"/>
      <name val="Arial"/>
      <family val="2"/>
    </font>
    <font>
      <b val="true"/>
      <i val="true"/>
      <sz val="9"/>
      <color rgb="FFFF0000"/>
      <name val="Arial"/>
      <family val="2"/>
    </font>
    <font>
      <b val="true"/>
      <u val="single"/>
      <sz val="1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C0C0C0"/>
        <bgColor rgb="FFCCCCFF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00CCFF"/>
        <bgColor rgb="FF33CCCC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FF0000"/>
        <bgColor rgb="FF993300"/>
      </patternFill>
    </fill>
    <fill>
      <patternFill patternType="solid">
        <fgColor rgb="FFFFCC00"/>
        <bgColor rgb="FFFFFF00"/>
      </patternFill>
    </fill>
    <fill>
      <patternFill patternType="solid">
        <fgColor rgb="FF993366"/>
        <bgColor rgb="FF993366"/>
      </patternFill>
    </fill>
    <fill>
      <patternFill patternType="solid">
        <fgColor rgb="FF99CC00"/>
        <bgColor rgb="FFFFCC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7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0" applyFont="true" applyBorder="false" applyAlignment="false" applyProtection="false"/>
    <xf numFmtId="17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0" fillId="4" borderId="1" applyFont="true" applyBorder="true" applyAlignment="true" applyProtection="false">
      <alignment horizontal="general" vertical="bottom" textRotation="0" wrapText="false" indent="0" shrinkToFit="false"/>
    </xf>
  </cellStyleXfs>
  <cellXfs count="3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1" fillId="5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5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12" fillId="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1" fillId="5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5" borderId="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3" fontId="0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0" fontId="0" fillId="5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1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0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11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9" fontId="11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1" fillId="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1" fillId="5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2" fontId="11" fillId="5" borderId="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5" fillId="5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5" fillId="5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6" fillId="5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1" fillId="5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1" fillId="5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5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8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8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17" fillId="5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79" fontId="1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0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4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6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2" borderId="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6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2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24" fillId="0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2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0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9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24" fillId="0" borderId="3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3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2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2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3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98" fontId="0" fillId="0" borderId="2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8" fontId="0" fillId="0" borderId="3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2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6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7" fontId="24" fillId="0" borderId="3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7" fontId="24" fillId="0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7" fillId="0" borderId="3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3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3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1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3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6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3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5" fillId="0" borderId="0" xfId="5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5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4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9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3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33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3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1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1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2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1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1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1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1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1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1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17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7" fillId="1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7" fillId="1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1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1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7" fillId="11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17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7" fillId="1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7" fillId="1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1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9" fillId="1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9" fillId="15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9" fillId="1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9" fillId="1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9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7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4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1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8" fillId="16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1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1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7" fontId="38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7" borderId="3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3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5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8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39" fillId="17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1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38" fillId="1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1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7" fillId="1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7" fillId="1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5" fontId="17" fillId="1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01" fontId="0" fillId="7" borderId="4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0" fillId="7" borderId="4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0" fillId="7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8.4.98 New GE 2" xfId="20"/>
    <cellStyle name="Comma [0]_A" xfId="21"/>
    <cellStyle name="Comma [0]_B" xfId="22"/>
    <cellStyle name="Comma [0]_H" xfId="23"/>
    <cellStyle name="Comma [0]_PriceCurve" xfId="24"/>
    <cellStyle name="Comma [0]_West501f-hcentrifugal15posco_revised2.xls Chart 1" xfId="25"/>
    <cellStyle name="Comma_8.4.98 New GE 2" xfId="26"/>
    <cellStyle name="Comma_A" xfId="27"/>
    <cellStyle name="Comma_B" xfId="28"/>
    <cellStyle name="Comma_GASDATA1" xfId="29"/>
    <cellStyle name="Comma_H" xfId="30"/>
    <cellStyle name="Comma_OFFDATA1" xfId="31"/>
    <cellStyle name="Comma_PKDATA1" xfId="32"/>
    <cellStyle name="Comma_PriceCurve" xfId="33"/>
    <cellStyle name="Comma_TESTDATA" xfId="34"/>
    <cellStyle name="Comma_West501f-hcentrifugal15posco_revised2.xls Chart 1" xfId="35"/>
    <cellStyle name="Currency [0]_8.4.98 New GE 2" xfId="36"/>
    <cellStyle name="Currency [0]_A" xfId="37"/>
    <cellStyle name="Currency [0]_B" xfId="38"/>
    <cellStyle name="Currency [0]_H" xfId="39"/>
    <cellStyle name="Currency [0]_PriceCurve" xfId="40"/>
    <cellStyle name="Currency [0]_West501f-hcentrifugal15posco_revised2.xls Chart 1" xfId="41"/>
    <cellStyle name="Currency_8.4.98 New GE 2" xfId="42"/>
    <cellStyle name="Currency_A" xfId="43"/>
    <cellStyle name="Currency_B" xfId="44"/>
    <cellStyle name="Currency_H" xfId="45"/>
    <cellStyle name="Currency_PriceCurve" xfId="46"/>
    <cellStyle name="Currency_West501f-hcentrifugal15posco_revised2.xls Chart 1" xfId="47"/>
    <cellStyle name="Normal_8.4.98 New GE 2" xfId="48"/>
    <cellStyle name="Normal_A" xfId="49"/>
    <cellStyle name="Normal_A_PriceCurve" xfId="50"/>
    <cellStyle name="Normal_A_West501f-hcentrifugal15posco_revised2.xls Chart 1" xfId="51"/>
    <cellStyle name="Normal_B" xfId="52"/>
    <cellStyle name="Normal_BASMARY" xfId="53"/>
    <cellStyle name="Normal_CFTEST49" xfId="54"/>
    <cellStyle name="Normal_Curves" xfId="55"/>
    <cellStyle name="Normal_GASDATA1" xfId="56"/>
    <cellStyle name="Normal_H" xfId="57"/>
    <cellStyle name="Normal_INT" xfId="58"/>
    <cellStyle name="Normal_June Options 97" xfId="59"/>
    <cellStyle name="Normal_OFFDATA1" xfId="60"/>
    <cellStyle name="Normal_OPCALC" xfId="61"/>
    <cellStyle name="Normal_OPCALC_1" xfId="62"/>
    <cellStyle name="Normal_PKDATA1" xfId="63"/>
    <cellStyle name="Normal_PriceCurve" xfId="64"/>
    <cellStyle name="Normal_PriceSheet" xfId="65"/>
    <cellStyle name="Normal_PriceSheet_1" xfId="66"/>
    <cellStyle name="Normal_Sheet1" xfId="67"/>
    <cellStyle name="Normal_Spread" xfId="68"/>
    <cellStyle name="Normal_Spread_1" xfId="69"/>
    <cellStyle name="Normal_TESTDATA" xfId="70"/>
    <cellStyle name="Normal_West501f-hcentrifugal15posco_revised2.xls Chart 1" xfId="71"/>
    <cellStyle name="Unprot" xfId="72"/>
    <cellStyle name="Unprot$" xfId="73"/>
    <cellStyle name="Unprotect" xfId="74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CheckBox" checked="Checked" autoLine="false" print="true" fmlaLink="Gas Curves!$L$2" lockText="1" noThreeD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39960</xdr:colOff>
          <xdr:row>2</xdr:row>
          <xdr:rowOff>19080</xdr:rowOff>
        </xdr:from>
        <xdr:to>
          <xdr:col>4</xdr:col>
          <xdr:colOff>46080</xdr:colOff>
          <xdr:row>3</xdr:row>
          <xdr:rowOff>-47520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39960</xdr:colOff>
          <xdr:row>2</xdr:row>
          <xdr:rowOff>218880</xdr:rowOff>
        </xdr:from>
        <xdr:to>
          <xdr:col>4</xdr:col>
          <xdr:colOff>46080</xdr:colOff>
          <xdr:row>3</xdr:row>
          <xdr:rowOff>133200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523080</xdr:colOff>
          <xdr:row>5</xdr:row>
          <xdr:rowOff>66600</xdr:rowOff>
        </xdr:from>
        <xdr:to>
          <xdr:col>3</xdr:col>
          <xdr:colOff>730080</xdr:colOff>
          <xdr:row>6</xdr:row>
          <xdr:rowOff>104760</xdr:rowOff>
        </xdr:to>
        <xdr:sp>
          <xdr:nvSpPr>
            <xdr:cNvPr id="0" name="Drop Down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523080</xdr:colOff>
          <xdr:row>7</xdr:row>
          <xdr:rowOff>105120</xdr:rowOff>
        </xdr:from>
        <xdr:to>
          <xdr:col>3</xdr:col>
          <xdr:colOff>740160</xdr:colOff>
          <xdr:row>8</xdr:row>
          <xdr:rowOff>142560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523080</xdr:colOff>
          <xdr:row>8</xdr:row>
          <xdr:rowOff>133560</xdr:rowOff>
        </xdr:from>
        <xdr:to>
          <xdr:col>3</xdr:col>
          <xdr:colOff>740160</xdr:colOff>
          <xdr:row>10</xdr:row>
          <xdr:rowOff>9360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372240</xdr:colOff>
          <xdr:row>10</xdr:row>
          <xdr:rowOff>161640</xdr:rowOff>
        </xdr:from>
        <xdr:to>
          <xdr:col>12</xdr:col>
          <xdr:colOff>539280</xdr:colOff>
          <xdr:row>12</xdr:row>
          <xdr:rowOff>38160</xdr:rowOff>
        </xdr:to>
        <xdr:sp>
          <xdr:nvSpPr>
            <xdr:cNvPr id="0" name="Drop Down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533880</xdr:colOff>
          <xdr:row>10</xdr:row>
          <xdr:rowOff>18720</xdr:rowOff>
        </xdr:from>
        <xdr:to>
          <xdr:col>3</xdr:col>
          <xdr:colOff>600480</xdr:colOff>
          <xdr:row>11</xdr:row>
          <xdr:rowOff>75600</xdr:rowOff>
        </xdr:to>
        <xdr:sp>
          <xdr:nvSpPr>
            <xdr:cNvPr id="1001" name="Check Box 9" descr="Use Gas 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Gas Basis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372240</xdr:colOff>
          <xdr:row>14</xdr:row>
          <xdr:rowOff>19080</xdr:rowOff>
        </xdr:from>
        <xdr:to>
          <xdr:col>12</xdr:col>
          <xdr:colOff>519480</xdr:colOff>
          <xdr:row>15</xdr:row>
          <xdr:rowOff>56880</xdr:rowOff>
        </xdr:to>
        <xdr:sp>
          <xdr:nvSpPr>
            <xdr:cNvPr id="0" name="Drop Down 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372240</xdr:colOff>
          <xdr:row>17</xdr:row>
          <xdr:rowOff>38160</xdr:rowOff>
        </xdr:from>
        <xdr:to>
          <xdr:col>12</xdr:col>
          <xdr:colOff>509040</xdr:colOff>
          <xdr:row>18</xdr:row>
          <xdr:rowOff>76320</xdr:rowOff>
        </xdr:to>
        <xdr:sp>
          <xdr:nvSpPr>
            <xdr:cNvPr id="0" name="Drop Down 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361800</xdr:colOff>
          <xdr:row>20</xdr:row>
          <xdr:rowOff>56880</xdr:rowOff>
        </xdr:from>
        <xdr:to>
          <xdr:col>12</xdr:col>
          <xdr:colOff>528840</xdr:colOff>
          <xdr:row>21</xdr:row>
          <xdr:rowOff>95040</xdr:rowOff>
        </xdr:to>
        <xdr:sp>
          <xdr:nvSpPr>
            <xdr:cNvPr id="0" name="Drop Down 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361800</xdr:colOff>
          <xdr:row>23</xdr:row>
          <xdr:rowOff>57240</xdr:rowOff>
        </xdr:from>
        <xdr:to>
          <xdr:col>12</xdr:col>
          <xdr:colOff>528840</xdr:colOff>
          <xdr:row>24</xdr:row>
          <xdr:rowOff>95040</xdr:rowOff>
        </xdr:to>
        <xdr:sp>
          <xdr:nvSpPr>
            <xdr:cNvPr id="0" name="Drop Down 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xdr:twoCellAnchor editAs="oneCell">
    <xdr:from>
      <xdr:col>8</xdr:col>
      <xdr:colOff>573480</xdr:colOff>
      <xdr:row>23</xdr:row>
      <xdr:rowOff>47520</xdr:rowOff>
    </xdr:from>
    <xdr:to>
      <xdr:col>9</xdr:col>
      <xdr:colOff>111240</xdr:colOff>
      <xdr:row>25</xdr:row>
      <xdr:rowOff>38160</xdr:rowOff>
    </xdr:to>
    <xdr:sp>
      <xdr:nvSpPr>
        <xdr:cNvPr id="0" name="Line 16"/>
        <xdr:cNvSpPr/>
      </xdr:nvSpPr>
      <xdr:spPr>
        <a:xfrm flipV="1">
          <a:off x="6744960" y="4000320"/>
          <a:ext cx="241920" cy="324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30240</xdr:colOff><xdr:row>0</xdr:row><xdr:rowOff>28440</xdr:rowOff></xdr:from><xdr:to><xdr:col>1</xdr:col><xdr:colOff>654120</xdr:colOff><xdr:row>1</xdr:row><xdr:rowOff>142920</xdr:rowOff></xdr:to><xdr:sp><xdr:nvSpPr><xdr:cNvPr id="1001" name="Button 7" descr="Fetch Power Curves" hidden="0"/><xdr:cNvSpPr/></xdr:nvSpPr><xdr:spPr><a:xfrm><a:off x="0" y="0"/><a:ext cx="0" cy="0"/></a:xfrm><a:prstGeom prst="rect"><a:avLst/></a:prstGeom></xdr:spPr><xdr:txBody><a:bodyPr anchor="ctr"><a:noAutofit/></a:bodyPr><a:p><a:r><a:t>Fetch Power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40680</xdr:colOff><xdr:row>2</xdr:row><xdr:rowOff>0</xdr:rowOff></xdr:from><xdr:to><xdr:col>1</xdr:col><xdr:colOff>654120</xdr:colOff><xdr:row>3</xdr:row><xdr:rowOff>-18720</xdr:rowOff></xdr:to><xdr:sp><xdr:nvSpPr><xdr:cNvPr id="1002" name="Button 8" descr="Fetch Power Basis Curves" hidden="0"/><xdr:cNvSpPr/></xdr:nvSpPr><xdr:spPr><a:xfrm><a:off x="0" y="0"/><a:ext cx="0" cy="0"/></a:xfrm><a:prstGeom prst="rect"><a:avLst/></a:prstGeom></xdr:spPr><xdr:txBody><a:bodyPr anchor="ctr"><a:noAutofit/></a:bodyPr><a:p><a:r><a:t>Fetch Power Basis Curves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0</xdr:col><xdr:colOff>10440</xdr:colOff><xdr:row>3</xdr:row><xdr:rowOff>0</xdr:rowOff></xdr:from><xdr:to><xdr:col>1</xdr:col><xdr:colOff>644400</xdr:colOff><xdr:row>4</xdr:row><xdr:rowOff>0</xdr:rowOff></xdr:to><xdr:sp><xdr:nvSpPr><xdr:cNvPr id="1003" name="Button 14" descr="Fetch Gas &amp; IR curve" hidden="0"/><xdr:cNvSpPr/></xdr:nvSpPr><xdr:spPr><a:xfrm><a:off x="0" y="0"/><a:ext cx="0" cy="0"/></a:xfrm><a:prstGeom prst="rect"><a:avLst/></a:prstGeom></xdr:spPr><xdr:txBody><a:bodyPr anchor="ctr"><a:noAutofit/></a:bodyPr><a:p><a:r><a:t>Fetch Gas & IR curve</a:t></a:r></a:p></xdr:txBody></xdr:sp><xdr:clientData/></xdr:twoCellAnchor></mc:Choice></mc:AlternateContent>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603720</xdr:colOff>
          <xdr:row>4</xdr:row>
          <xdr:rowOff>114480</xdr:rowOff>
        </xdr:from>
        <xdr:to>
          <xdr:col>3</xdr:col>
          <xdr:colOff>765720</xdr:colOff>
          <xdr:row>6</xdr:row>
          <xdr:rowOff>123840</xdr:rowOff>
        </xdr:to>
        <xdr:sp>
          <xdr:nvSpPr>
            <xdr:cNvPr id="1001" name="Button 1" descr="Load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Load Curves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211320</xdr:colOff>
      <xdr:row>33</xdr:row>
      <xdr:rowOff>66600</xdr:rowOff>
    </xdr:from>
    <xdr:to>
      <xdr:col>10</xdr:col>
      <xdr:colOff>684360</xdr:colOff>
      <xdr:row>35</xdr:row>
      <xdr:rowOff>104760</xdr:rowOff>
    </xdr:to>
    <xdr:sp>
      <xdr:nvSpPr>
        <xdr:cNvPr id="1" name="AutoShape 3"/>
        <xdr:cNvSpPr/>
      </xdr:nvSpPr>
      <xdr:spPr>
        <a:xfrm>
          <a:off x="6755040" y="5410080"/>
          <a:ext cx="473040" cy="362160"/>
        </a:xfrm>
        <a:custGeom>
          <a:avLst/>
          <a:gdLst/>
          <a:ahLst/>
          <a:rect l="l" t="t" r="r" b="b"/>
          <a:pathLst>
            <a:path w="47" h="38">
              <a:moveTo>
                <a:pt x="47" y="0"/>
              </a:moveTo>
              <a:cubicBezTo>
                <a:pt x="27" y="3"/>
                <a:pt x="8" y="7"/>
                <a:pt x="4" y="11"/>
              </a:cubicBezTo>
              <a:cubicBezTo>
                <a:pt x="0" y="15"/>
                <a:pt x="22" y="20"/>
                <a:pt x="23" y="23"/>
              </a:cubicBezTo>
              <a:cubicBezTo>
                <a:pt x="24" y="26"/>
                <a:pt x="14" y="27"/>
                <a:pt x="12" y="30"/>
              </a:cubicBezTo>
              <a:cubicBezTo>
                <a:pt x="10" y="33"/>
                <a:pt x="11" y="37"/>
                <a:pt x="11" y="38"/>
              </a:cubicBezTo>
            </a:path>
          </a:pathLst>
        </a:custGeom>
        <a:noFill/>
        <a:ln w="936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321840</xdr:colOff>
      <xdr:row>35</xdr:row>
      <xdr:rowOff>56880</xdr:rowOff>
    </xdr:from>
    <xdr:to>
      <xdr:col>10</xdr:col>
      <xdr:colOff>322560</xdr:colOff>
      <xdr:row>35</xdr:row>
      <xdr:rowOff>152280</xdr:rowOff>
    </xdr:to>
    <xdr:sp>
      <xdr:nvSpPr>
        <xdr:cNvPr id="2" name="Line 4"/>
        <xdr:cNvSpPr/>
      </xdr:nvSpPr>
      <xdr:spPr>
        <a:xfrm>
          <a:off x="6865560" y="5724360"/>
          <a:ext cx="720" cy="95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-360</xdr:colOff>
      <xdr:row>31</xdr:row>
      <xdr:rowOff>75600</xdr:rowOff>
    </xdr:from>
    <xdr:to>
      <xdr:col>13</xdr:col>
      <xdr:colOff>618480</xdr:colOff>
      <xdr:row>31</xdr:row>
      <xdr:rowOff>75600</xdr:rowOff>
    </xdr:to>
    <xdr:sp>
      <xdr:nvSpPr>
        <xdr:cNvPr id="3" name="Line 5"/>
        <xdr:cNvSpPr/>
      </xdr:nvSpPr>
      <xdr:spPr>
        <a:xfrm flipH="1">
          <a:off x="8513640" y="5095440"/>
          <a:ext cx="61884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<Relationship Id="rId5" Type="http://schemas.openxmlformats.org/officeDocument/2006/relationships/ctrlProp" Target="../ctrlProps/ctrlProps6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56"/>
    <col collapsed="false" customWidth="true" hidden="false" outlineLevel="0" max="2" min="2" style="0" width="10.28"/>
    <col collapsed="false" customWidth="true" hidden="false" outlineLevel="0" max="3" min="3" style="0" width="8.28"/>
    <col collapsed="false" customWidth="true" hidden="false" outlineLevel="0" max="5" min="5" style="0" width="9.99"/>
    <col collapsed="false" customWidth="true" hidden="false" outlineLevel="0" max="6" min="6" style="0" width="12.14"/>
    <col collapsed="false" customWidth="true" hidden="false" outlineLevel="0" max="7" min="7" style="0" width="9.85"/>
    <col collapsed="false" customWidth="true" hidden="false" outlineLevel="0" max="8" min="8" style="0" width="12.42"/>
    <col collapsed="false" customWidth="true" hidden="false" outlineLevel="0" max="9" min="9" style="0" width="9.99"/>
    <col collapsed="false" customWidth="true" hidden="false" outlineLevel="0" max="10" min="10" style="0" width="12.42"/>
    <col collapsed="false" customWidth="true" hidden="false" outlineLevel="0" max="11" min="11" style="0" width="10.71"/>
  </cols>
  <sheetData>
    <row r="1" customFormat="false" ht="13.5" hidden="false" customHeight="false" outlineLevel="0" collapsed="false">
      <c r="A1" s="1" t="s">
        <v>0</v>
      </c>
      <c r="B1" s="2"/>
      <c r="C1" s="2"/>
      <c r="D1" s="3" t="n">
        <f aca="true">TODAY()</f>
        <v>45926</v>
      </c>
      <c r="G1" s="4" t="s">
        <v>1</v>
      </c>
      <c r="H1" s="5"/>
      <c r="K1" s="0" t="s">
        <v>2</v>
      </c>
    </row>
    <row r="2" customFormat="false" ht="13.5" hidden="false" customHeight="false" outlineLevel="0" collapsed="false">
      <c r="A2" s="6" t="s">
        <v>3</v>
      </c>
      <c r="B2" s="7"/>
      <c r="C2" s="7"/>
      <c r="D2" s="8" t="n">
        <f aca="false">DateToday-1-IF(WEEKDAY(DateToday)&lt;3,WEEKDAY(DateToday),0)</f>
        <v>45925</v>
      </c>
      <c r="G2" s="5" t="s">
        <v>4</v>
      </c>
      <c r="H2" s="9" t="n">
        <v>0.065</v>
      </c>
      <c r="J2" s="10" t="s">
        <v>5</v>
      </c>
      <c r="K2" s="11" t="n">
        <v>36892</v>
      </c>
    </row>
    <row r="3" customFormat="false" ht="15.75" hidden="false" customHeight="true" outlineLevel="0" collapsed="false">
      <c r="A3" s="12" t="s">
        <v>6</v>
      </c>
      <c r="B3" s="13"/>
      <c r="C3" s="14"/>
      <c r="D3" s="15"/>
      <c r="G3" s="5" t="s">
        <v>7</v>
      </c>
      <c r="H3" s="16" t="n">
        <v>0.065</v>
      </c>
      <c r="J3" s="10" t="s">
        <v>8</v>
      </c>
      <c r="K3" s="11" t="n">
        <v>40543</v>
      </c>
    </row>
    <row r="4" customFormat="false" ht="14.25" hidden="false" customHeight="true" outlineLevel="0" collapsed="false">
      <c r="A4" s="17" t="s">
        <v>9</v>
      </c>
      <c r="B4" s="18"/>
      <c r="C4" s="14"/>
      <c r="D4" s="15"/>
      <c r="K4" s="19"/>
    </row>
    <row r="5" customFormat="false" ht="13.5" hidden="false" customHeight="false" outlineLevel="0" collapsed="false">
      <c r="A5" s="6" t="s">
        <v>10</v>
      </c>
      <c r="B5" s="20"/>
      <c r="C5" s="7"/>
      <c r="D5" s="8" t="n">
        <f aca="false">CurveDate</f>
        <v>45925</v>
      </c>
      <c r="F5" s="21" t="s">
        <v>11</v>
      </c>
      <c r="K5" s="22" t="n">
        <f aca="false">(K3-K2)/365</f>
        <v>10.0027397260274</v>
      </c>
    </row>
    <row r="6" customFormat="false" ht="15.75" hidden="false" customHeight="true" outlineLevel="0" collapsed="false">
      <c r="A6" s="23" t="s">
        <v>12</v>
      </c>
      <c r="B6" s="20"/>
      <c r="C6" s="20"/>
      <c r="D6" s="24"/>
      <c r="F6" s="25" t="n">
        <v>2</v>
      </c>
      <c r="J6" s="26" t="s">
        <v>13</v>
      </c>
      <c r="K6" s="27"/>
      <c r="L6" s="27"/>
      <c r="M6" s="27"/>
      <c r="N6" s="27"/>
      <c r="O6" s="27"/>
      <c r="P6" s="27"/>
      <c r="Q6" s="27"/>
      <c r="R6" s="27"/>
      <c r="S6" s="27"/>
    </row>
    <row r="7" customFormat="false" ht="12.75" hidden="false" customHeight="false" outlineLevel="0" collapsed="false">
      <c r="A7" s="6" t="s">
        <v>14</v>
      </c>
      <c r="B7" s="7"/>
      <c r="C7" s="7"/>
      <c r="D7" s="8" t="n">
        <f aca="false">CurveDate</f>
        <v>45925</v>
      </c>
      <c r="J7" s="26" t="s">
        <v>15</v>
      </c>
    </row>
    <row r="8" customFormat="false" ht="13.5" hidden="false" customHeight="true" outlineLevel="0" collapsed="false">
      <c r="A8" s="28" t="s">
        <v>16</v>
      </c>
      <c r="B8" s="7"/>
      <c r="C8" s="7"/>
      <c r="D8" s="8"/>
      <c r="F8" s="19" t="s">
        <v>17</v>
      </c>
      <c r="J8" s="27" t="s">
        <v>18</v>
      </c>
    </row>
    <row r="9" customFormat="false" ht="14.25" hidden="false" customHeight="true" outlineLevel="0" collapsed="false">
      <c r="A9" s="29" t="s">
        <v>19</v>
      </c>
      <c r="B9" s="7"/>
      <c r="C9" s="7"/>
      <c r="D9" s="8"/>
      <c r="F9" s="30" t="n">
        <v>0</v>
      </c>
      <c r="J9" s="26" t="s">
        <v>20</v>
      </c>
    </row>
    <row r="10" customFormat="false" ht="12.75" hidden="false" customHeight="false" outlineLevel="0" collapsed="false">
      <c r="A10" s="23"/>
      <c r="B10" s="7"/>
      <c r="C10" s="7"/>
      <c r="D10" s="8"/>
      <c r="J10" s="31" t="s">
        <v>21</v>
      </c>
    </row>
    <row r="11" customFormat="false" ht="13.5" hidden="false" customHeight="false" outlineLevel="0" collapsed="false">
      <c r="A11" s="32"/>
      <c r="B11" s="33"/>
      <c r="C11" s="33"/>
      <c r="D11" s="34"/>
      <c r="L11" s="26" t="s">
        <v>22</v>
      </c>
    </row>
    <row r="12" customFormat="false" ht="13.5" hidden="false" customHeight="false" outlineLevel="0" collapsed="false">
      <c r="A12" s="35"/>
      <c r="B12" s="36"/>
      <c r="C12" s="36"/>
      <c r="D12" s="37"/>
      <c r="F12" s="38" t="s">
        <v>23</v>
      </c>
    </row>
    <row r="13" customFormat="false" ht="13.5" hidden="false" customHeight="false" outlineLevel="0" collapsed="false">
      <c r="A13" s="39" t="s">
        <v>24</v>
      </c>
      <c r="B13" s="40" t="s">
        <v>25</v>
      </c>
      <c r="E13" s="19" t="s">
        <v>4</v>
      </c>
      <c r="F13" s="41" t="n">
        <v>180</v>
      </c>
      <c r="J13" s="31" t="s">
        <v>26</v>
      </c>
    </row>
    <row r="14" customFormat="false" ht="13.5" hidden="false" customHeight="false" outlineLevel="0" collapsed="false">
      <c r="A14" s="42" t="n">
        <v>1</v>
      </c>
      <c r="B14" s="43" t="n">
        <v>10500</v>
      </c>
      <c r="C14" s="44"/>
      <c r="D14" s="44"/>
      <c r="E14" s="45" t="s">
        <v>7</v>
      </c>
      <c r="F14" s="41" t="n">
        <v>180</v>
      </c>
      <c r="G14" s="44"/>
      <c r="H14" s="44"/>
      <c r="I14" s="44"/>
      <c r="J14" s="44"/>
      <c r="K14" s="44"/>
      <c r="L14" s="44"/>
      <c r="M14" s="44"/>
    </row>
    <row r="15" customFormat="false" ht="12.75" hidden="false" customHeight="false" outlineLevel="0" collapsed="false">
      <c r="A15" s="42" t="n">
        <v>2</v>
      </c>
      <c r="B15" s="43" t="n">
        <v>10500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</row>
    <row r="16" customFormat="false" ht="12.75" hidden="false" customHeight="false" outlineLevel="0" collapsed="false">
      <c r="A16" s="46" t="n">
        <v>3</v>
      </c>
      <c r="B16" s="43" t="n">
        <v>10500</v>
      </c>
      <c r="C16" s="36"/>
      <c r="D16" s="37"/>
      <c r="J16" s="31" t="s">
        <v>27</v>
      </c>
    </row>
    <row r="17" customFormat="false" ht="12.75" hidden="false" customHeight="false" outlineLevel="0" collapsed="false">
      <c r="A17" s="46" t="n">
        <v>4</v>
      </c>
      <c r="B17" s="43" t="n">
        <v>10500</v>
      </c>
      <c r="C17" s="36"/>
      <c r="D17" s="37"/>
      <c r="F17" s="47" t="s">
        <v>28</v>
      </c>
    </row>
    <row r="18" customFormat="false" ht="13.5" hidden="false" customHeight="false" outlineLevel="0" collapsed="false">
      <c r="A18" s="46" t="n">
        <v>5</v>
      </c>
      <c r="B18" s="43" t="n">
        <v>10500</v>
      </c>
      <c r="C18" s="36"/>
      <c r="D18" s="37"/>
      <c r="E18" s="48"/>
      <c r="F18" s="49" t="s">
        <v>29</v>
      </c>
      <c r="G18" s="50"/>
    </row>
    <row r="19" customFormat="false" ht="13.5" hidden="false" customHeight="false" outlineLevel="0" collapsed="false">
      <c r="A19" s="46" t="n">
        <v>6</v>
      </c>
      <c r="B19" s="43" t="n">
        <v>10500</v>
      </c>
      <c r="C19" s="36"/>
      <c r="D19" s="37"/>
      <c r="E19" s="51" t="s">
        <v>30</v>
      </c>
      <c r="F19" s="52" t="n">
        <v>1</v>
      </c>
      <c r="G19" s="53"/>
      <c r="H19" s="54"/>
      <c r="I19" s="55"/>
      <c r="J19" s="56" t="s">
        <v>31</v>
      </c>
      <c r="K19" s="55"/>
      <c r="L19" s="57"/>
    </row>
    <row r="20" customFormat="false" ht="12.75" hidden="false" customHeight="false" outlineLevel="0" collapsed="false">
      <c r="A20" s="46" t="n">
        <v>7</v>
      </c>
      <c r="B20" s="43" t="n">
        <v>10500</v>
      </c>
      <c r="C20" s="36"/>
      <c r="D20" s="37"/>
      <c r="E20" s="58"/>
      <c r="F20" s="59" t="s">
        <v>32</v>
      </c>
      <c r="G20" s="60"/>
      <c r="H20" s="61"/>
      <c r="I20" s="61"/>
      <c r="J20" s="61"/>
      <c r="K20" s="61"/>
      <c r="L20" s="57"/>
    </row>
    <row r="21" customFormat="false" ht="12.75" hidden="false" customHeight="false" outlineLevel="0" collapsed="false">
      <c r="A21" s="46" t="n">
        <v>8</v>
      </c>
      <c r="B21" s="43" t="n">
        <v>10500</v>
      </c>
      <c r="C21" s="36"/>
      <c r="D21" s="37"/>
      <c r="E21" s="58"/>
      <c r="F21" s="59" t="s">
        <v>33</v>
      </c>
      <c r="G21" s="62"/>
      <c r="H21" s="61"/>
      <c r="I21" s="61"/>
      <c r="J21" s="61"/>
      <c r="K21" s="61"/>
      <c r="L21" s="57"/>
    </row>
    <row r="22" customFormat="false" ht="13.5" hidden="false" customHeight="false" outlineLevel="0" collapsed="false">
      <c r="A22" s="46" t="n">
        <v>9</v>
      </c>
      <c r="B22" s="43" t="n">
        <v>10500</v>
      </c>
      <c r="C22" s="63"/>
      <c r="D22" s="63"/>
      <c r="E22" s="64"/>
      <c r="F22" s="65" t="s">
        <v>34</v>
      </c>
      <c r="G22" s="66"/>
      <c r="H22" s="67"/>
      <c r="I22" s="68"/>
      <c r="J22" s="56" t="s">
        <v>35</v>
      </c>
      <c r="K22" s="68"/>
      <c r="L22" s="57"/>
    </row>
    <row r="23" customFormat="false" ht="13.5" hidden="false" customHeight="false" outlineLevel="0" collapsed="false">
      <c r="A23" s="46" t="n">
        <v>10</v>
      </c>
      <c r="B23" s="43" t="n">
        <v>10500</v>
      </c>
      <c r="C23" s="63"/>
      <c r="D23" s="63"/>
      <c r="E23" s="69" t="s">
        <v>36</v>
      </c>
      <c r="F23" s="70" t="n">
        <v>1</v>
      </c>
      <c r="G23" s="71"/>
    </row>
    <row r="24" customFormat="false" ht="12.75" hidden="false" customHeight="false" outlineLevel="0" collapsed="false">
      <c r="A24" s="46" t="n">
        <v>11</v>
      </c>
      <c r="B24" s="43" t="n">
        <v>10500</v>
      </c>
    </row>
    <row r="25" customFormat="false" ht="13.5" hidden="false" customHeight="false" outlineLevel="0" collapsed="false">
      <c r="A25" s="46" t="n">
        <v>12</v>
      </c>
      <c r="B25" s="43" t="n">
        <v>10500</v>
      </c>
      <c r="F25" s="38" t="s">
        <v>37</v>
      </c>
    </row>
    <row r="26" customFormat="false" ht="13.5" hidden="false" customHeight="false" outlineLevel="0" collapsed="false">
      <c r="A26" s="72"/>
      <c r="B26" s="73"/>
      <c r="F26" s="74" t="n">
        <v>0.95</v>
      </c>
      <c r="I26" s="75" t="s">
        <v>38</v>
      </c>
      <c r="J26" s="75"/>
      <c r="K26" s="75"/>
      <c r="L26" s="75"/>
    </row>
    <row r="27" customFormat="false" ht="12.75" hidden="false" customHeight="false" outlineLevel="0" collapsed="false">
      <c r="A27" s="39" t="s">
        <v>24</v>
      </c>
      <c r="B27" s="40" t="s">
        <v>39</v>
      </c>
      <c r="I27" s="75" t="s">
        <v>40</v>
      </c>
      <c r="J27" s="75"/>
      <c r="K27" s="75"/>
      <c r="L27" s="75"/>
    </row>
    <row r="28" customFormat="false" ht="12.75" hidden="false" customHeight="false" outlineLevel="0" collapsed="false">
      <c r="A28" s="42" t="n">
        <v>1</v>
      </c>
      <c r="B28" s="76" t="n">
        <v>1.15</v>
      </c>
      <c r="C28" s="77"/>
      <c r="D28" s="78"/>
      <c r="E28" s="78"/>
      <c r="F28" s="78"/>
      <c r="G28" s="78"/>
      <c r="H28" s="78"/>
      <c r="I28" s="78"/>
      <c r="J28" s="78"/>
      <c r="K28" s="78"/>
      <c r="L28" s="78"/>
      <c r="M28" s="78"/>
    </row>
    <row r="29" customFormat="false" ht="12.75" hidden="false" customHeight="false" outlineLevel="0" collapsed="false">
      <c r="A29" s="42" t="n">
        <v>2</v>
      </c>
      <c r="B29" s="76" t="n">
        <v>1.15</v>
      </c>
      <c r="C29" s="79" t="s">
        <v>41</v>
      </c>
      <c r="D29" s="80"/>
      <c r="E29" s="80"/>
      <c r="F29" s="80"/>
      <c r="G29" s="80"/>
      <c r="H29" s="80"/>
      <c r="I29" s="80"/>
      <c r="J29" s="80"/>
      <c r="K29" s="80"/>
      <c r="L29" s="80"/>
      <c r="M29" s="80"/>
    </row>
    <row r="30" customFormat="false" ht="12.75" hidden="false" customHeight="false" outlineLevel="0" collapsed="false">
      <c r="A30" s="46" t="n">
        <v>3</v>
      </c>
      <c r="B30" s="76" t="n">
        <v>1.15</v>
      </c>
    </row>
    <row r="31" customFormat="false" ht="12.75" hidden="false" customHeight="false" outlineLevel="0" collapsed="false">
      <c r="A31" s="46" t="n">
        <v>4</v>
      </c>
      <c r="B31" s="76" t="n">
        <v>1.15</v>
      </c>
    </row>
    <row r="32" customFormat="false" ht="12.75" hidden="false" customHeight="false" outlineLevel="0" collapsed="false">
      <c r="A32" s="46" t="n">
        <v>5</v>
      </c>
      <c r="B32" s="76" t="n">
        <v>1.15</v>
      </c>
    </row>
    <row r="33" customFormat="false" ht="12.75" hidden="false" customHeight="false" outlineLevel="0" collapsed="false">
      <c r="A33" s="46" t="n">
        <v>6</v>
      </c>
      <c r="B33" s="76" t="n">
        <v>1.15</v>
      </c>
    </row>
    <row r="34" customFormat="false" ht="12.75" hidden="false" customHeight="false" outlineLevel="0" collapsed="false">
      <c r="A34" s="46" t="n">
        <v>7</v>
      </c>
      <c r="B34" s="76" t="n">
        <v>1.15</v>
      </c>
    </row>
    <row r="35" customFormat="false" ht="12.75" hidden="false" customHeight="false" outlineLevel="0" collapsed="false">
      <c r="A35" s="46" t="n">
        <v>8</v>
      </c>
      <c r="B35" s="76" t="n">
        <v>1.15</v>
      </c>
    </row>
    <row r="36" customFormat="false" ht="12.75" hidden="false" customHeight="false" outlineLevel="0" collapsed="false">
      <c r="A36" s="46" t="n">
        <v>9</v>
      </c>
      <c r="B36" s="76" t="n">
        <v>1.15</v>
      </c>
    </row>
    <row r="37" customFormat="false" ht="12.75" hidden="false" customHeight="false" outlineLevel="0" collapsed="false">
      <c r="A37" s="46" t="n">
        <v>10</v>
      </c>
      <c r="B37" s="76" t="n">
        <v>1.15</v>
      </c>
    </row>
    <row r="38" customFormat="false" ht="12.75" hidden="false" customHeight="false" outlineLevel="0" collapsed="false">
      <c r="A38" s="46" t="n">
        <v>11</v>
      </c>
      <c r="B38" s="76" t="n">
        <v>1.15</v>
      </c>
    </row>
    <row r="39" customFormat="false" ht="12.75" hidden="false" customHeight="false" outlineLevel="0" collapsed="false">
      <c r="A39" s="46" t="n">
        <v>12</v>
      </c>
      <c r="B39" s="76" t="n">
        <v>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Use Gas Basis">
              <controlPr defaultSize="0" locked="1" autoFill="0" autoLine="0" autoPict="0" print="true" altText="Check Box 9">
                <anchor moveWithCells="true" sizeWithCells="false">
                  <from>
                    <xdr:col>2</xdr:col>
                    <xdr:colOff>533880</xdr:colOff>
                    <xdr:row>10</xdr:row>
                    <xdr:rowOff>18720</xdr:rowOff>
                  </from>
                  <to>
                    <xdr:col>3</xdr:col>
                    <xdr:colOff>600480</xdr:colOff>
                    <xdr:row>11</xdr:row>
                    <xdr:rowOff>75600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D519"/>
  <sheetViews>
    <sheetView showFormulas="false" showGridLines="false" showRowColHeaders="true" showZeros="true" rightToLeft="false" tabSelected="false" showOutlineSymbols="true" defaultGridColor="true" view="normal" topLeftCell="CV1" colorId="64" zoomScale="75" zoomScaleNormal="75" zoomScalePageLayoutView="100" workbookViewId="0">
      <selection pane="topLeft" activeCell="DI19" activeCellId="0" sqref="DI19:DI40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81" width="15.13"/>
    <col collapsed="false" customWidth="true" hidden="false" outlineLevel="0" max="2" min="2" style="81" width="9.41"/>
    <col collapsed="false" customWidth="true" hidden="false" outlineLevel="0" max="3" min="3" style="14" width="6.7"/>
    <col collapsed="false" customWidth="true" hidden="false" outlineLevel="0" max="4" min="4" style="14" width="10.99"/>
    <col collapsed="false" customWidth="true" hidden="false" outlineLevel="0" max="5" min="5" style="5" width="8.56"/>
    <col collapsed="false" customWidth="true" hidden="false" outlineLevel="0" max="6" min="6" style="5" width="8.41"/>
    <col collapsed="false" customWidth="true" hidden="false" outlineLevel="0" max="7" min="7" style="5" width="9.14"/>
    <col collapsed="false" customWidth="true" hidden="false" outlineLevel="0" max="9" min="8" style="5" width="7.85"/>
    <col collapsed="false" customWidth="true" hidden="false" outlineLevel="0" max="10" min="10" style="5" width="9.56"/>
    <col collapsed="false" customWidth="true" hidden="false" outlineLevel="0" max="12" min="11" style="5" width="7.85"/>
    <col collapsed="false" customWidth="true" hidden="false" outlineLevel="0" max="13" min="13" style="5" width="9.14"/>
    <col collapsed="false" customWidth="true" hidden="false" outlineLevel="0" max="22" min="14" style="5" width="7.85"/>
    <col collapsed="false" customWidth="true" hidden="false" outlineLevel="0" max="23" min="23" style="5" width="9.14"/>
    <col collapsed="false" customWidth="true" hidden="false" outlineLevel="0" max="59" min="24" style="5" width="7.85"/>
    <col collapsed="false" customWidth="true" hidden="false" outlineLevel="0" max="60" min="60" style="5" width="9.14"/>
    <col collapsed="false" customWidth="true" hidden="false" outlineLevel="0" max="77" min="61" style="5" width="7.85"/>
    <col collapsed="false" customWidth="true" hidden="false" outlineLevel="0" max="86" min="78" style="5" width="9.14"/>
    <col collapsed="false" customWidth="true" hidden="false" outlineLevel="0" max="87" min="87" style="5" width="14.99"/>
    <col collapsed="false" customWidth="true" hidden="false" outlineLevel="0" max="89" min="88" style="5" width="11.42"/>
    <col collapsed="false" customWidth="true" hidden="false" outlineLevel="0" max="90" min="90" style="81" width="9.14"/>
    <col collapsed="false" customWidth="true" hidden="false" outlineLevel="0" max="91" min="91" style="0" width="10.71"/>
    <col collapsed="false" customWidth="true" hidden="false" outlineLevel="0" max="93" min="93" style="81" width="9.14"/>
    <col collapsed="false" customWidth="true" hidden="false" outlineLevel="0" max="94" min="94" style="14" width="9.14"/>
    <col collapsed="false" customWidth="true" hidden="false" outlineLevel="0" max="95" min="95" style="14" width="18.99"/>
    <col collapsed="false" customWidth="true" hidden="false" outlineLevel="0" max="99" min="96" style="14" width="9.14"/>
    <col collapsed="false" customWidth="true" hidden="false" outlineLevel="0" max="100" min="100" style="0" width="13.56"/>
    <col collapsed="false" customWidth="true" hidden="false" outlineLevel="0" max="109" min="101" style="0" width="10.28"/>
    <col collapsed="false" customWidth="true" hidden="false" outlineLevel="0" max="110" min="110" style="0" width="10.85"/>
    <col collapsed="false" customWidth="true" hidden="false" outlineLevel="0" max="111" min="111" style="0" width="11.85"/>
    <col collapsed="false" customWidth="true" hidden="false" outlineLevel="0" max="113" min="112" style="0" width="11.7"/>
    <col collapsed="false" customWidth="true" hidden="false" outlineLevel="0" max="124" min="114" style="0" width="10.99"/>
    <col collapsed="false" customWidth="true" hidden="false" outlineLevel="0" max="125" min="125" style="0" width="16.42"/>
    <col collapsed="false" customWidth="true" hidden="false" outlineLevel="0" max="129" min="126" style="0" width="10.99"/>
    <col collapsed="false" customWidth="true" hidden="false" outlineLevel="0" max="134" min="130" style="0" width="10.28"/>
  </cols>
  <sheetData>
    <row r="1" customFormat="false" ht="12.75" hidden="false" customHeight="false" outlineLevel="0" collapsed="false">
      <c r="H1" s="82"/>
      <c r="I1" s="83"/>
      <c r="J1" s="84"/>
      <c r="K1" s="82"/>
      <c r="CX1" s="85"/>
      <c r="CY1" s="18"/>
    </row>
    <row r="2" customFormat="false" ht="12.75" hidden="false" customHeight="false" outlineLevel="0" collapsed="false">
      <c r="CX2" s="18"/>
      <c r="CY2" s="18"/>
      <c r="DU2" s="63"/>
      <c r="DV2" s="63"/>
      <c r="DW2" s="63"/>
      <c r="DX2" s="63"/>
      <c r="DY2" s="63"/>
    </row>
    <row r="3" customFormat="false" ht="22.5" hidden="false" customHeight="true" outlineLevel="0" collapsed="false">
      <c r="CX3" s="18"/>
      <c r="CY3" s="18"/>
      <c r="DW3" s="63"/>
    </row>
    <row r="4" customFormat="false" ht="22.5" hidden="false" customHeight="true" outlineLevel="0" collapsed="false">
      <c r="DW4" s="63"/>
    </row>
    <row r="5" customFormat="false" ht="22.5" hidden="false" customHeight="true" outlineLevel="0" collapsed="false"/>
    <row r="7" customFormat="false" ht="18.75" hidden="false" customHeight="true" outlineLevel="0" collapsed="false"/>
    <row r="8" customFormat="false" ht="21.75" hidden="false" customHeight="true" outlineLevel="0" collapsed="false"/>
    <row r="11" customFormat="false" ht="24" hidden="false" customHeight="false" outlineLevel="0" collapsed="false">
      <c r="A11" s="86" t="s">
        <v>42</v>
      </c>
      <c r="C11" s="81"/>
      <c r="D11" s="86" t="s">
        <v>43</v>
      </c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P11" s="86"/>
    </row>
    <row r="12" customFormat="false" ht="27" hidden="false" customHeight="true" outlineLevel="0" collapsed="false">
      <c r="A12" s="81" t="s">
        <v>44</v>
      </c>
      <c r="C12" s="89"/>
      <c r="D12" s="90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7"/>
      <c r="P12" s="88"/>
      <c r="Q12" s="88"/>
      <c r="R12" s="88"/>
      <c r="S12" s="91" t="s">
        <v>45</v>
      </c>
      <c r="T12" s="92"/>
      <c r="U12" s="92"/>
      <c r="V12" s="93"/>
      <c r="W12" s="94" t="n">
        <f aca="false">MAX(Q20:Q39)</f>
        <v>0</v>
      </c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0"/>
      <c r="AX12" s="0"/>
      <c r="AY12" s="88"/>
      <c r="AZ12" s="88"/>
      <c r="BA12" s="88"/>
      <c r="BB12" s="88"/>
      <c r="BC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0"/>
      <c r="BZ12" s="88"/>
      <c r="CA12" s="88"/>
      <c r="CB12" s="88"/>
      <c r="CC12" s="88"/>
      <c r="CD12" s="88"/>
      <c r="CE12" s="88"/>
      <c r="CF12" s="88"/>
      <c r="CG12" s="88"/>
      <c r="CH12" s="88"/>
      <c r="CI12" s="0"/>
      <c r="CJ12" s="88"/>
      <c r="CK12" s="88"/>
      <c r="CM12" s="95" t="s">
        <v>46</v>
      </c>
      <c r="CN12" s="95"/>
      <c r="DJ12" s="96"/>
      <c r="DK12" s="96"/>
      <c r="DU12" s="97" t="s">
        <v>47</v>
      </c>
      <c r="DV12" s="97"/>
    </row>
    <row r="13" customFormat="false" ht="13.5" hidden="false" customHeight="false" outlineLevel="0" collapsed="false">
      <c r="A13" s="98" t="n">
        <f aca="false">IF(MONTH(CurveDate)=12,DATE(YEAR(CurveDate)+1,1,1),DATE(YEAR(CurveDate),MONTH(CurveDate)+1,1))</f>
        <v>45931</v>
      </c>
      <c r="B13" s="99" t="n">
        <f aca="false">'Gas Curves'!C17</f>
        <v>0.060711830429785</v>
      </c>
      <c r="C13" s="99"/>
      <c r="D13" s="100" t="s">
        <v>48</v>
      </c>
      <c r="E13" s="101" t="s">
        <v>49</v>
      </c>
      <c r="F13" s="102"/>
      <c r="G13" s="103" t="n">
        <v>36586</v>
      </c>
      <c r="H13" s="104"/>
      <c r="I13" s="18"/>
      <c r="J13" s="18"/>
      <c r="K13" s="18"/>
      <c r="L13" s="105"/>
      <c r="M13" s="106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06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I13" s="0"/>
      <c r="CJ13" s="0"/>
      <c r="CK13" s="0"/>
      <c r="CM13" s="107" t="s">
        <v>50</v>
      </c>
      <c r="CN13" s="107"/>
      <c r="DJ13" s="96"/>
      <c r="DK13" s="96"/>
      <c r="DU13" s="108" t="str">
        <f aca="false">INDEX(DU15:DU28,DV13)</f>
        <v>1  BUSBAR</v>
      </c>
      <c r="DV13" s="109" t="n">
        <v>2</v>
      </c>
      <c r="DZ13" s="81"/>
      <c r="EA13" s="81"/>
      <c r="EB13" s="81"/>
      <c r="EC13" s="81"/>
    </row>
    <row r="14" customFormat="false" ht="13.5" hidden="false" customHeight="false" outlineLevel="0" collapsed="false">
      <c r="A14" s="110" t="n">
        <f aca="false">EOMONTH(A13,0)+1</f>
        <v>45962</v>
      </c>
      <c r="B14" s="99" t="n">
        <f aca="false">'Gas Curves'!C18</f>
        <v>0.06149378548061</v>
      </c>
      <c r="C14" s="99"/>
      <c r="D14" s="111"/>
      <c r="E14" s="102"/>
      <c r="F14" s="102"/>
      <c r="G14" s="102"/>
      <c r="H14" s="105"/>
      <c r="I14" s="18"/>
      <c r="J14" s="18"/>
      <c r="K14" s="18"/>
      <c r="L14" s="105"/>
      <c r="M14" s="106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 t="s">
        <v>51</v>
      </c>
      <c r="AA14" s="18"/>
      <c r="AB14" s="18"/>
      <c r="AC14" s="18"/>
      <c r="AD14" s="18"/>
      <c r="AE14" s="18"/>
      <c r="AF14" s="18"/>
      <c r="AG14" s="18"/>
      <c r="AH14" s="18" t="s">
        <v>52</v>
      </c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06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I14" s="112" t="s">
        <v>53</v>
      </c>
      <c r="CJ14" s="112"/>
      <c r="CK14" s="112"/>
      <c r="CM14" s="113" t="s">
        <v>54</v>
      </c>
      <c r="CN14" s="114" t="s">
        <v>55</v>
      </c>
      <c r="CO14" s="115"/>
      <c r="CP14" s="0"/>
      <c r="CQ14" s="0"/>
      <c r="CR14" s="0"/>
      <c r="CS14" s="0"/>
      <c r="CT14" s="0"/>
      <c r="DJ14" s="96"/>
      <c r="DK14" s="96"/>
      <c r="DU14" s="116" t="s">
        <v>56</v>
      </c>
      <c r="DV14" s="117" t="s">
        <v>57</v>
      </c>
      <c r="DZ14" s="81"/>
      <c r="EA14" s="81"/>
      <c r="EB14" s="81"/>
      <c r="EC14" s="81"/>
    </row>
    <row r="15" customFormat="false" ht="12.75" hidden="false" customHeight="false" outlineLevel="0" collapsed="false">
      <c r="A15" s="110" t="n">
        <f aca="false">EOMONTH(A14,0)+1</f>
        <v>45992</v>
      </c>
      <c r="B15" s="99" t="n">
        <f aca="false">'Gas Curves'!C19</f>
        <v>0.062298357278762</v>
      </c>
      <c r="C15" s="99"/>
      <c r="D15" s="105"/>
      <c r="E15" s="105"/>
      <c r="F15" s="105" t="s">
        <v>58</v>
      </c>
      <c r="G15" s="105"/>
      <c r="H15" s="105"/>
      <c r="I15" s="105"/>
      <c r="J15" s="105" t="s">
        <v>59</v>
      </c>
      <c r="K15" s="105"/>
      <c r="L15" s="105"/>
      <c r="M15" s="106"/>
      <c r="N15" s="105"/>
      <c r="O15" s="105" t="s">
        <v>60</v>
      </c>
      <c r="P15" s="105"/>
      <c r="Q15" s="105"/>
      <c r="R15" s="105"/>
      <c r="S15" s="105" t="s">
        <v>61</v>
      </c>
      <c r="T15" s="105"/>
      <c r="U15" s="105"/>
      <c r="V15" s="105"/>
      <c r="W15" s="105" t="s">
        <v>62</v>
      </c>
      <c r="X15" s="105"/>
      <c r="Y15" s="18"/>
      <c r="Z15" s="105"/>
      <c r="AA15" s="105" t="s">
        <v>63</v>
      </c>
      <c r="AB15" s="105"/>
      <c r="AC15" s="18"/>
      <c r="AD15" s="105"/>
      <c r="AE15" s="105" t="s">
        <v>64</v>
      </c>
      <c r="AF15" s="105"/>
      <c r="AG15" s="18"/>
      <c r="AH15" s="105"/>
      <c r="AI15" s="105" t="s">
        <v>63</v>
      </c>
      <c r="AJ15" s="105"/>
      <c r="AK15" s="18"/>
      <c r="AL15" s="105"/>
      <c r="AM15" s="105" t="s">
        <v>64</v>
      </c>
      <c r="AN15" s="105"/>
      <c r="AO15" s="18"/>
      <c r="AP15" s="105" t="s">
        <v>65</v>
      </c>
      <c r="AQ15" s="105" t="s">
        <v>66</v>
      </c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06"/>
      <c r="BI15" s="105" t="s">
        <v>67</v>
      </c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I15" s="118" t="s">
        <v>68</v>
      </c>
      <c r="CJ15" s="119" t="s">
        <v>69</v>
      </c>
      <c r="CK15" s="120" t="s">
        <v>70</v>
      </c>
      <c r="CM15" s="121" t="n">
        <v>-5</v>
      </c>
      <c r="CN15" s="122" t="n">
        <v>0.035</v>
      </c>
      <c r="CO15" s="14"/>
      <c r="CP15" s="0"/>
      <c r="CQ15" s="0"/>
      <c r="CR15" s="0"/>
      <c r="CS15" s="0"/>
      <c r="CT15" s="0"/>
      <c r="DJ15" s="90"/>
      <c r="DK15" s="90"/>
      <c r="DU15" s="123" t="s">
        <v>71</v>
      </c>
      <c r="DV15" s="124"/>
      <c r="DY15" s="61"/>
      <c r="DZ15" s="90"/>
      <c r="EA15" s="90"/>
      <c r="EB15" s="90"/>
      <c r="EC15" s="90"/>
      <c r="ED15" s="90"/>
    </row>
    <row r="16" customFormat="false" ht="13.5" hidden="false" customHeight="false" outlineLevel="0" collapsed="false">
      <c r="A16" s="110" t="n">
        <f aca="false">EOMONTH(A15,0)+1</f>
        <v>46023</v>
      </c>
      <c r="B16" s="99" t="n">
        <f aca="false">'Gas Curves'!C20</f>
        <v>0.063186804789157</v>
      </c>
      <c r="C16" s="99"/>
      <c r="D16" s="125"/>
      <c r="E16" s="126" t="s">
        <v>69</v>
      </c>
      <c r="F16" s="126" t="s">
        <v>68</v>
      </c>
      <c r="G16" s="127" t="s">
        <v>70</v>
      </c>
      <c r="H16" s="128"/>
      <c r="I16" s="102" t="s">
        <v>69</v>
      </c>
      <c r="J16" s="102" t="s">
        <v>68</v>
      </c>
      <c r="K16" s="102" t="s">
        <v>70</v>
      </c>
      <c r="L16" s="105"/>
      <c r="M16" s="106"/>
      <c r="N16" s="126" t="s">
        <v>69</v>
      </c>
      <c r="O16" s="126" t="s">
        <v>68</v>
      </c>
      <c r="P16" s="127" t="s">
        <v>70</v>
      </c>
      <c r="Q16" s="127"/>
      <c r="R16" s="126" t="s">
        <v>69</v>
      </c>
      <c r="S16" s="126" t="s">
        <v>68</v>
      </c>
      <c r="T16" s="127" t="s">
        <v>70</v>
      </c>
      <c r="U16" s="127"/>
      <c r="V16" s="126" t="s">
        <v>69</v>
      </c>
      <c r="W16" s="126" t="s">
        <v>68</v>
      </c>
      <c r="X16" s="127" t="s">
        <v>70</v>
      </c>
      <c r="Y16" s="18"/>
      <c r="Z16" s="126" t="s">
        <v>69</v>
      </c>
      <c r="AA16" s="126" t="s">
        <v>68</v>
      </c>
      <c r="AB16" s="127" t="s">
        <v>70</v>
      </c>
      <c r="AC16" s="18"/>
      <c r="AD16" s="126" t="s">
        <v>69</v>
      </c>
      <c r="AE16" s="126" t="s">
        <v>68</v>
      </c>
      <c r="AF16" s="127" t="s">
        <v>70</v>
      </c>
      <c r="AG16" s="18"/>
      <c r="AH16" s="126" t="s">
        <v>69</v>
      </c>
      <c r="AI16" s="126" t="s">
        <v>68</v>
      </c>
      <c r="AJ16" s="127" t="s">
        <v>70</v>
      </c>
      <c r="AK16" s="18"/>
      <c r="AL16" s="126" t="s">
        <v>69</v>
      </c>
      <c r="AM16" s="126" t="s">
        <v>68</v>
      </c>
      <c r="AN16" s="127" t="s">
        <v>70</v>
      </c>
      <c r="AO16" s="18"/>
      <c r="AP16" s="105" t="s">
        <v>72</v>
      </c>
      <c r="AQ16" s="105" t="s">
        <v>73</v>
      </c>
      <c r="AR16" s="18"/>
      <c r="AS16" s="105"/>
      <c r="AT16" s="102" t="s">
        <v>74</v>
      </c>
      <c r="AU16" s="102" t="s">
        <v>75</v>
      </c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8"/>
      <c r="BH16" s="106"/>
      <c r="BI16" s="105" t="s">
        <v>76</v>
      </c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I16" s="129" t="s">
        <v>77</v>
      </c>
      <c r="CJ16" s="130" t="s">
        <v>77</v>
      </c>
      <c r="CK16" s="131" t="s">
        <v>77</v>
      </c>
      <c r="CM16" s="121" t="n">
        <v>-4.5</v>
      </c>
      <c r="CN16" s="122" t="n">
        <v>0.0275</v>
      </c>
      <c r="CO16" s="14"/>
      <c r="CP16" s="0"/>
      <c r="CQ16" s="0"/>
      <c r="CR16" s="0"/>
      <c r="CS16" s="0"/>
      <c r="CT16" s="0"/>
      <c r="DA16" s="132" t="s">
        <v>78</v>
      </c>
      <c r="DD16" s="0" t="s">
        <v>79</v>
      </c>
      <c r="DI16" s="132" t="s">
        <v>79</v>
      </c>
      <c r="DJ16" s="133"/>
      <c r="DK16" s="133"/>
      <c r="DU16" s="134" t="s">
        <v>80</v>
      </c>
      <c r="DV16" s="135" t="n">
        <v>1</v>
      </c>
      <c r="DY16" s="136"/>
      <c r="DZ16" s="133"/>
      <c r="EA16" s="133"/>
      <c r="EB16" s="133"/>
      <c r="EC16" s="133"/>
      <c r="ED16" s="133"/>
    </row>
    <row r="17" customFormat="false" ht="13.5" hidden="false" customHeight="false" outlineLevel="0" collapsed="false">
      <c r="A17" s="110" t="n">
        <f aca="false">EOMONTH(A16,0)+1</f>
        <v>46054</v>
      </c>
      <c r="B17" s="99" t="n">
        <f aca="false">'Gas Curves'!C21</f>
        <v>0.063800434036869</v>
      </c>
      <c r="C17" s="99"/>
      <c r="D17" s="105"/>
      <c r="E17" s="105" t="s">
        <v>81</v>
      </c>
      <c r="F17" s="105" t="s">
        <v>81</v>
      </c>
      <c r="G17" s="105" t="s">
        <v>81</v>
      </c>
      <c r="H17" s="128"/>
      <c r="I17" s="128" t="s">
        <v>81</v>
      </c>
      <c r="J17" s="128" t="s">
        <v>81</v>
      </c>
      <c r="K17" s="128" t="s">
        <v>81</v>
      </c>
      <c r="L17" s="105"/>
      <c r="M17" s="106"/>
      <c r="N17" s="105" t="s">
        <v>81</v>
      </c>
      <c r="O17" s="105" t="s">
        <v>81</v>
      </c>
      <c r="P17" s="105" t="s">
        <v>81</v>
      </c>
      <c r="Q17" s="105"/>
      <c r="R17" s="105" t="s">
        <v>81</v>
      </c>
      <c r="S17" s="105" t="s">
        <v>81</v>
      </c>
      <c r="T17" s="105" t="s">
        <v>81</v>
      </c>
      <c r="U17" s="105"/>
      <c r="V17" s="105" t="s">
        <v>81</v>
      </c>
      <c r="W17" s="105" t="s">
        <v>81</v>
      </c>
      <c r="X17" s="105" t="s">
        <v>81</v>
      </c>
      <c r="Y17" s="18"/>
      <c r="Z17" s="105"/>
      <c r="AA17" s="105"/>
      <c r="AB17" s="105"/>
      <c r="AC17" s="18"/>
      <c r="AD17" s="105"/>
      <c r="AE17" s="105"/>
      <c r="AF17" s="105"/>
      <c r="AG17" s="18"/>
      <c r="AH17" s="105"/>
      <c r="AI17" s="105"/>
      <c r="AJ17" s="105"/>
      <c r="AK17" s="18"/>
      <c r="AL17" s="105"/>
      <c r="AM17" s="105"/>
      <c r="AN17" s="105"/>
      <c r="AO17" s="18"/>
      <c r="AP17" s="18"/>
      <c r="AQ17" s="18"/>
      <c r="AR17" s="18"/>
      <c r="AS17" s="127" t="s">
        <v>63</v>
      </c>
      <c r="AT17" s="137" t="n">
        <v>800</v>
      </c>
      <c r="AU17" s="137" t="n">
        <v>2300</v>
      </c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8"/>
      <c r="BH17" s="106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I17" s="138" t="n">
        <f aca="false">BG17</f>
        <v>0</v>
      </c>
      <c r="CJ17" s="138" t="n">
        <f aca="false">+BG17+BE17</f>
        <v>0</v>
      </c>
      <c r="CK17" s="138" t="n">
        <f aca="false">+BG17+BF17</f>
        <v>0</v>
      </c>
      <c r="CM17" s="121" t="n">
        <v>-4</v>
      </c>
      <c r="CN17" s="122" t="n">
        <v>0.02</v>
      </c>
      <c r="CO17" s="139"/>
      <c r="CP17" s="0"/>
      <c r="CQ17" s="0"/>
      <c r="CR17" s="0"/>
      <c r="CS17" s="0"/>
      <c r="CT17" s="0"/>
      <c r="CZ17" s="140" t="s">
        <v>82</v>
      </c>
      <c r="DA17" s="140"/>
      <c r="DB17" s="140"/>
      <c r="DE17" s="0" t="s">
        <v>83</v>
      </c>
      <c r="DI17" s="132" t="s">
        <v>67</v>
      </c>
      <c r="DJ17" s="14"/>
      <c r="DK17" s="14"/>
      <c r="DU17" s="134" t="s">
        <v>84</v>
      </c>
      <c r="DV17" s="135" t="n">
        <v>2</v>
      </c>
      <c r="DY17" s="136"/>
      <c r="DZ17" s="14"/>
      <c r="EA17" s="14"/>
      <c r="EB17" s="14"/>
      <c r="EC17" s="14"/>
      <c r="ED17" s="14"/>
    </row>
    <row r="18" customFormat="false" ht="13.5" hidden="false" customHeight="false" outlineLevel="0" collapsed="false">
      <c r="A18" s="110" t="n">
        <f aca="false">EOMONTH(A17,0)+1</f>
        <v>46082</v>
      </c>
      <c r="B18" s="99" t="n">
        <f aca="false">'Gas Curves'!C22</f>
        <v>0.064414063409461</v>
      </c>
      <c r="C18" s="99"/>
      <c r="D18" s="102" t="s">
        <v>24</v>
      </c>
      <c r="E18" s="102"/>
      <c r="F18" s="102"/>
      <c r="G18" s="102"/>
      <c r="H18" s="127"/>
      <c r="I18" s="102"/>
      <c r="J18" s="127"/>
      <c r="K18" s="127"/>
      <c r="L18" s="105"/>
      <c r="M18" s="106" t="s">
        <v>24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41" t="s">
        <v>85</v>
      </c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8"/>
      <c r="BH18" s="106" t="s">
        <v>24</v>
      </c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I18" s="138" t="n">
        <f aca="false">BG18</f>
        <v>0</v>
      </c>
      <c r="CJ18" s="138" t="n">
        <f aca="false">+BG18+BE18</f>
        <v>0</v>
      </c>
      <c r="CK18" s="138" t="n">
        <f aca="false">+BG18+BF18</f>
        <v>0</v>
      </c>
      <c r="CM18" s="121" t="n">
        <v>-3.5</v>
      </c>
      <c r="CN18" s="122" t="n">
        <v>0.015</v>
      </c>
      <c r="CO18" s="139"/>
      <c r="CP18" s="0"/>
      <c r="CQ18" s="0"/>
      <c r="CR18" s="0"/>
      <c r="CS18" s="0"/>
      <c r="CT18" s="0"/>
      <c r="CZ18" s="132" t="s">
        <v>69</v>
      </c>
      <c r="DA18" s="132" t="s">
        <v>68</v>
      </c>
      <c r="DB18" s="132" t="s">
        <v>70</v>
      </c>
      <c r="DD18" s="132" t="s">
        <v>69</v>
      </c>
      <c r="DE18" s="132" t="s">
        <v>68</v>
      </c>
      <c r="DF18" s="132" t="s">
        <v>70</v>
      </c>
      <c r="DJ18" s="14"/>
      <c r="DK18" s="14"/>
      <c r="DQ18" s="142" t="s">
        <v>86</v>
      </c>
      <c r="DR18" s="143" t="s">
        <v>56</v>
      </c>
      <c r="DS18" s="144" t="n">
        <v>1</v>
      </c>
      <c r="DT18" s="18"/>
      <c r="DU18" s="134" t="s">
        <v>87</v>
      </c>
      <c r="DV18" s="135" t="n">
        <v>3</v>
      </c>
      <c r="DY18" s="136"/>
      <c r="DZ18" s="14"/>
      <c r="EA18" s="14"/>
      <c r="EB18" s="14"/>
      <c r="EC18" s="14"/>
      <c r="ED18" s="14"/>
    </row>
    <row r="19" customFormat="false" ht="13.5" hidden="false" customHeight="false" outlineLevel="0" collapsed="false">
      <c r="A19" s="110" t="n">
        <f aca="false">EOMONTH(A18,0)+1</f>
        <v>46113</v>
      </c>
      <c r="B19" s="99" t="n">
        <f aca="false">'Gas Curves'!C23</f>
        <v>0.064972245960336</v>
      </c>
      <c r="C19" s="99"/>
      <c r="D19" s="145" t="n">
        <v>36587</v>
      </c>
      <c r="E19" s="146" t="n">
        <v>28.4450019836426</v>
      </c>
      <c r="F19" s="146" t="n">
        <v>28.7950019836426</v>
      </c>
      <c r="G19" s="146" t="n">
        <v>29.1450019836426</v>
      </c>
      <c r="H19" s="127"/>
      <c r="I19" s="146" t="n">
        <v>19.825</v>
      </c>
      <c r="J19" s="146" t="n">
        <v>20</v>
      </c>
      <c r="K19" s="146" t="n">
        <v>20.175</v>
      </c>
      <c r="L19" s="105"/>
      <c r="M19" s="106" t="n">
        <v>36557</v>
      </c>
      <c r="N19" s="147" t="n">
        <v>0</v>
      </c>
      <c r="O19" s="147" t="n">
        <v>0</v>
      </c>
      <c r="P19" s="147" t="n">
        <v>0</v>
      </c>
      <c r="Q19" s="18"/>
      <c r="R19" s="147" t="n">
        <v>0</v>
      </c>
      <c r="S19" s="147" t="n">
        <v>0</v>
      </c>
      <c r="T19" s="147" t="n">
        <v>0</v>
      </c>
      <c r="U19" s="18"/>
      <c r="V19" s="147" t="n">
        <v>0.699999988079071</v>
      </c>
      <c r="W19" s="147" t="n">
        <v>0.699999988079071</v>
      </c>
      <c r="X19" s="147" t="n">
        <v>0.699999988079071</v>
      </c>
      <c r="Y19" s="18"/>
      <c r="Z19" s="147" t="n">
        <v>0.1995</v>
      </c>
      <c r="AA19" s="147" t="n">
        <v>0.399</v>
      </c>
      <c r="AB19" s="147" t="n">
        <v>0.5985</v>
      </c>
      <c r="AC19" s="18"/>
      <c r="AD19" s="147" t="n">
        <v>0.035</v>
      </c>
      <c r="AE19" s="147" t="n">
        <v>0.07</v>
      </c>
      <c r="AF19" s="147" t="n">
        <v>0.105</v>
      </c>
      <c r="AG19" s="18"/>
      <c r="AH19" s="147" t="n">
        <v>-0.75</v>
      </c>
      <c r="AI19" s="147" t="n">
        <v>1.9</v>
      </c>
      <c r="AJ19" s="147" t="n">
        <v>0.75</v>
      </c>
      <c r="AK19" s="18"/>
      <c r="AL19" s="147" t="n">
        <v>-0.15</v>
      </c>
      <c r="AM19" s="147" t="n">
        <v>0.5</v>
      </c>
      <c r="AN19" s="147" t="n">
        <v>0.2</v>
      </c>
      <c r="AO19" s="18"/>
      <c r="AP19" s="105" t="n">
        <v>1</v>
      </c>
      <c r="AQ19" s="148" t="n">
        <v>0</v>
      </c>
      <c r="AR19" s="18"/>
      <c r="AS19" s="149"/>
      <c r="AT19" s="149" t="s">
        <v>88</v>
      </c>
      <c r="AU19" s="149" t="s">
        <v>89</v>
      </c>
      <c r="AV19" s="149" t="s">
        <v>90</v>
      </c>
      <c r="AW19" s="149" t="s">
        <v>91</v>
      </c>
      <c r="AX19" s="149" t="s">
        <v>92</v>
      </c>
      <c r="AY19" s="149" t="s">
        <v>93</v>
      </c>
      <c r="AZ19" s="149" t="s">
        <v>94</v>
      </c>
      <c r="BA19" s="149" t="s">
        <v>95</v>
      </c>
      <c r="BB19" s="149" t="s">
        <v>96</v>
      </c>
      <c r="BC19" s="149" t="s">
        <v>97</v>
      </c>
      <c r="BD19" s="149" t="s">
        <v>98</v>
      </c>
      <c r="BE19" s="149" t="s">
        <v>99</v>
      </c>
      <c r="BF19" s="149"/>
      <c r="BG19" s="18"/>
      <c r="BH19" s="106" t="n">
        <v>36557</v>
      </c>
      <c r="BI19" s="150" t="n">
        <v>0.9</v>
      </c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I19" s="138" t="n">
        <f aca="false">BG19</f>
        <v>0</v>
      </c>
      <c r="CJ19" s="138" t="e">
        <f aca="false">+BG19+BE19</f>
        <v>#VALUE!</v>
      </c>
      <c r="CK19" s="138" t="n">
        <f aca="false">+BG19+BF19</f>
        <v>0</v>
      </c>
      <c r="CM19" s="121" t="n">
        <v>-3</v>
      </c>
      <c r="CN19" s="122" t="n">
        <v>0.0125</v>
      </c>
      <c r="CO19" s="151"/>
      <c r="CP19" s="0"/>
      <c r="CQ19" s="0"/>
      <c r="CR19" s="0"/>
      <c r="CS19" s="0"/>
      <c r="CT19" s="0"/>
      <c r="CY19" s="152" t="n">
        <f aca="false">M19</f>
        <v>36557</v>
      </c>
      <c r="CZ19" s="153" t="n">
        <f aca="false">AI19+AH19</f>
        <v>1.15</v>
      </c>
      <c r="DA19" s="153" t="n">
        <f aca="false">AI19</f>
        <v>1.9</v>
      </c>
      <c r="DB19" s="153" t="n">
        <f aca="false">AI19+AJ19</f>
        <v>2.65</v>
      </c>
      <c r="DD19" s="153" t="n">
        <f aca="false">Z19</f>
        <v>0.1995</v>
      </c>
      <c r="DE19" s="153" t="n">
        <f aca="false">AA19</f>
        <v>0.399</v>
      </c>
      <c r="DF19" s="153" t="n">
        <f aca="false">AB19</f>
        <v>0.5985</v>
      </c>
      <c r="DH19" s="152" t="n">
        <f aca="false">BH19</f>
        <v>36557</v>
      </c>
      <c r="DI19" s="99" t="n">
        <v>0.9</v>
      </c>
      <c r="DJ19" s="14"/>
      <c r="DK19" s="14"/>
      <c r="DP19" s="0" t="n">
        <v>1</v>
      </c>
      <c r="DQ19" s="154" t="s">
        <v>100</v>
      </c>
      <c r="DR19" s="155" t="s">
        <v>101</v>
      </c>
      <c r="DS19" s="156" t="s">
        <v>102</v>
      </c>
      <c r="DT19" s="157"/>
      <c r="DU19" s="134" t="s">
        <v>103</v>
      </c>
      <c r="DV19" s="135" t="n">
        <v>4</v>
      </c>
      <c r="DY19" s="136"/>
      <c r="DZ19" s="14"/>
      <c r="EA19" s="14"/>
      <c r="EB19" s="14"/>
      <c r="EC19" s="14"/>
      <c r="ED19" s="14"/>
    </row>
    <row r="20" customFormat="false" ht="13.5" hidden="false" customHeight="false" outlineLevel="0" collapsed="false">
      <c r="A20" s="110" t="n">
        <f aca="false">EOMONTH(A19,0)+1</f>
        <v>46143</v>
      </c>
      <c r="B20" s="99" t="n">
        <f aca="false">'Gas Curves'!C24</f>
        <v>0.065482946055965</v>
      </c>
      <c r="C20" s="99"/>
      <c r="D20" s="145" t="n">
        <v>36588</v>
      </c>
      <c r="E20" s="146" t="n">
        <v>28.4450019836426</v>
      </c>
      <c r="F20" s="146" t="n">
        <v>28.7950019836426</v>
      </c>
      <c r="G20" s="146" t="n">
        <v>29.1450019836426</v>
      </c>
      <c r="H20" s="127"/>
      <c r="I20" s="146" t="n">
        <v>19.825</v>
      </c>
      <c r="J20" s="146" t="n">
        <v>20</v>
      </c>
      <c r="K20" s="146" t="n">
        <v>20.175</v>
      </c>
      <c r="L20" s="105"/>
      <c r="M20" s="106" t="n">
        <v>36586</v>
      </c>
      <c r="N20" s="147" t="n">
        <v>0</v>
      </c>
      <c r="O20" s="147" t="n">
        <v>0</v>
      </c>
      <c r="P20" s="147" t="n">
        <v>0</v>
      </c>
      <c r="Q20" s="18"/>
      <c r="R20" s="147" t="n">
        <v>0</v>
      </c>
      <c r="S20" s="147" t="n">
        <v>0</v>
      </c>
      <c r="T20" s="147" t="n">
        <v>0</v>
      </c>
      <c r="U20" s="18"/>
      <c r="V20" s="147" t="n">
        <v>0.699999988079071</v>
      </c>
      <c r="W20" s="147" t="n">
        <v>0.699999988079071</v>
      </c>
      <c r="X20" s="147" t="n">
        <v>0.699999988079071</v>
      </c>
      <c r="Y20" s="18"/>
      <c r="Z20" s="147" t="n">
        <v>0.148375</v>
      </c>
      <c r="AA20" s="147" t="n">
        <v>0.29675</v>
      </c>
      <c r="AB20" s="147" t="n">
        <v>0.445125</v>
      </c>
      <c r="AC20" s="18"/>
      <c r="AD20" s="147" t="n">
        <v>0.03</v>
      </c>
      <c r="AE20" s="147" t="n">
        <v>0.06</v>
      </c>
      <c r="AF20" s="147" t="n">
        <v>0.09</v>
      </c>
      <c r="AG20" s="18"/>
      <c r="AH20" s="147" t="n">
        <v>-0.25</v>
      </c>
      <c r="AI20" s="147" t="n">
        <v>1.3</v>
      </c>
      <c r="AJ20" s="147" t="n">
        <v>0.3</v>
      </c>
      <c r="AK20" s="18"/>
      <c r="AL20" s="147" t="n">
        <v>-0.15</v>
      </c>
      <c r="AM20" s="147" t="n">
        <v>0.35</v>
      </c>
      <c r="AN20" s="147" t="n">
        <v>0.2</v>
      </c>
      <c r="AO20" s="18"/>
      <c r="AP20" s="105" t="n">
        <v>1</v>
      </c>
      <c r="AQ20" s="148" t="n">
        <v>0</v>
      </c>
      <c r="AR20" s="18"/>
      <c r="AS20" s="127" t="s">
        <v>104</v>
      </c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 t="s">
        <v>105</v>
      </c>
      <c r="BG20" s="18"/>
      <c r="BH20" s="106" t="n">
        <v>36586</v>
      </c>
      <c r="BI20" s="150" t="n">
        <v>0.9</v>
      </c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58"/>
      <c r="CI20" s="138" t="n">
        <f aca="false">BG20</f>
        <v>0</v>
      </c>
      <c r="CJ20" s="138" t="n">
        <f aca="false">+BG20+BE20</f>
        <v>0</v>
      </c>
      <c r="CK20" s="138" t="e">
        <f aca="false">+BG20+BF20</f>
        <v>#VALUE!</v>
      </c>
      <c r="CM20" s="121" t="n">
        <v>-2.5</v>
      </c>
      <c r="CN20" s="122" t="n">
        <v>0.01</v>
      </c>
      <c r="CO20" s="151"/>
      <c r="CP20" s="0"/>
      <c r="CQ20" s="0"/>
      <c r="CR20" s="0"/>
      <c r="CS20" s="0"/>
      <c r="CT20" s="0"/>
      <c r="CY20" s="152" t="n">
        <f aca="false">M20</f>
        <v>36586</v>
      </c>
      <c r="CZ20" s="153" t="n">
        <f aca="false">AI20+AH20</f>
        <v>1.05</v>
      </c>
      <c r="DA20" s="153" t="n">
        <f aca="false">AI20</f>
        <v>1.3</v>
      </c>
      <c r="DB20" s="153" t="n">
        <f aca="false">AI20+AJ20</f>
        <v>1.6</v>
      </c>
      <c r="DD20" s="153" t="n">
        <f aca="false">Z20</f>
        <v>0.148375</v>
      </c>
      <c r="DE20" s="153" t="n">
        <f aca="false">AA20</f>
        <v>0.29675</v>
      </c>
      <c r="DF20" s="153" t="n">
        <f aca="false">AB20</f>
        <v>0.445125</v>
      </c>
      <c r="DH20" s="152" t="n">
        <f aca="false">BH20</f>
        <v>36586</v>
      </c>
      <c r="DI20" s="99" t="n">
        <v>0.9</v>
      </c>
      <c r="DJ20" s="133"/>
      <c r="DK20" s="133"/>
      <c r="DP20" s="0" t="n">
        <v>2</v>
      </c>
      <c r="DQ20" s="159" t="s">
        <v>106</v>
      </c>
      <c r="DR20" s="160" t="s">
        <v>107</v>
      </c>
      <c r="DS20" s="161" t="s">
        <v>108</v>
      </c>
      <c r="DT20" s="63"/>
      <c r="DU20" s="134" t="s">
        <v>109</v>
      </c>
      <c r="DV20" s="135" t="n">
        <v>5</v>
      </c>
      <c r="DY20" s="136"/>
      <c r="DZ20" s="133"/>
      <c r="EA20" s="133"/>
      <c r="EB20" s="133"/>
      <c r="EC20" s="133"/>
      <c r="ED20" s="133"/>
    </row>
    <row r="21" customFormat="false" ht="13.5" hidden="false" customHeight="false" outlineLevel="0" collapsed="false">
      <c r="A21" s="110" t="n">
        <f aca="false">EOMONTH(A20,0)+1</f>
        <v>46174</v>
      </c>
      <c r="B21" s="99" t="n">
        <f aca="false">'Gas Curves'!C25</f>
        <v>0.065977172037254</v>
      </c>
      <c r="C21" s="99"/>
      <c r="D21" s="145" t="n">
        <v>36589</v>
      </c>
      <c r="E21" s="146" t="n">
        <v>28.4450019836426</v>
      </c>
      <c r="F21" s="146" t="n">
        <v>28.7950019836426</v>
      </c>
      <c r="G21" s="146" t="n">
        <v>29.1450019836426</v>
      </c>
      <c r="H21" s="127"/>
      <c r="I21" s="146" t="n">
        <v>19.825</v>
      </c>
      <c r="J21" s="146" t="n">
        <v>20</v>
      </c>
      <c r="K21" s="146" t="n">
        <v>20.175</v>
      </c>
      <c r="L21" s="105"/>
      <c r="M21" s="106" t="n">
        <v>36617</v>
      </c>
      <c r="N21" s="147" t="n">
        <v>22.6049991607666</v>
      </c>
      <c r="O21" s="147" t="n">
        <v>22.7549991607666</v>
      </c>
      <c r="P21" s="147" t="n">
        <v>22.9049991607666</v>
      </c>
      <c r="Q21" s="18"/>
      <c r="R21" s="147" t="n">
        <v>17.7537498474121</v>
      </c>
      <c r="S21" s="147" t="n">
        <v>20.2537498474121</v>
      </c>
      <c r="T21" s="147" t="n">
        <v>22.7537498474121</v>
      </c>
      <c r="U21" s="18"/>
      <c r="V21" s="147" t="n">
        <v>0.699999988079071</v>
      </c>
      <c r="W21" s="147" t="n">
        <v>0.699999988079071</v>
      </c>
      <c r="X21" s="147" t="n">
        <v>0.699999988079071</v>
      </c>
      <c r="Y21" s="18"/>
      <c r="Z21" s="147" t="n">
        <v>0.13225</v>
      </c>
      <c r="AA21" s="147" t="n">
        <v>0.2645</v>
      </c>
      <c r="AB21" s="147" t="n">
        <v>0.39675</v>
      </c>
      <c r="AC21" s="18"/>
      <c r="AD21" s="147" t="n">
        <v>0.03</v>
      </c>
      <c r="AE21" s="147" t="n">
        <v>0.06</v>
      </c>
      <c r="AF21" s="147" t="n">
        <v>0.09</v>
      </c>
      <c r="AG21" s="18"/>
      <c r="AH21" s="147" t="n">
        <v>-0.25</v>
      </c>
      <c r="AI21" s="147" t="n">
        <v>1.1</v>
      </c>
      <c r="AJ21" s="147" t="n">
        <v>0.3</v>
      </c>
      <c r="AK21" s="18"/>
      <c r="AL21" s="147" t="n">
        <v>-0.15</v>
      </c>
      <c r="AM21" s="147" t="n">
        <v>0.35</v>
      </c>
      <c r="AN21" s="147" t="n">
        <v>0.2</v>
      </c>
      <c r="AO21" s="18"/>
      <c r="AP21" s="105" t="n">
        <v>1</v>
      </c>
      <c r="AQ21" s="148" t="n">
        <v>0</v>
      </c>
      <c r="AR21" s="18"/>
      <c r="AS21" s="105" t="n">
        <v>100</v>
      </c>
      <c r="AT21" s="162" t="n">
        <v>0.920091403608595</v>
      </c>
      <c r="AU21" s="162" t="n">
        <v>0.920091403608595</v>
      </c>
      <c r="AV21" s="162" t="n">
        <v>0.880091403608595</v>
      </c>
      <c r="AW21" s="162" t="n">
        <v>0.930091403608595</v>
      </c>
      <c r="AX21" s="162" t="n">
        <v>0.994874138887982</v>
      </c>
      <c r="AY21" s="162" t="n">
        <v>1.15660153937241</v>
      </c>
      <c r="AZ21" s="162" t="n">
        <v>1.11512120882705</v>
      </c>
      <c r="BA21" s="162" t="n">
        <v>1.09161161660227</v>
      </c>
      <c r="BB21" s="162" t="n">
        <v>0.996645781912536</v>
      </c>
      <c r="BC21" s="162" t="n">
        <v>0.9495</v>
      </c>
      <c r="BD21" s="162" t="n">
        <v>0.9295</v>
      </c>
      <c r="BE21" s="162" t="n">
        <v>0.9295</v>
      </c>
      <c r="BF21" s="105" t="s">
        <v>110</v>
      </c>
      <c r="BG21" s="18"/>
      <c r="BH21" s="106" t="n">
        <v>36617</v>
      </c>
      <c r="BI21" s="150" t="n">
        <v>0.9</v>
      </c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63"/>
      <c r="CI21" s="138" t="n">
        <f aca="false">BG21</f>
        <v>0</v>
      </c>
      <c r="CJ21" s="138" t="n">
        <f aca="false">+BG21+BE21</f>
        <v>0.9295</v>
      </c>
      <c r="CK21" s="138" t="n">
        <f aca="false">+BG21+BF21</f>
        <v>2</v>
      </c>
      <c r="CM21" s="121" t="n">
        <v>-2</v>
      </c>
      <c r="CN21" s="122" t="n">
        <v>0.0075</v>
      </c>
      <c r="CO21" s="151"/>
      <c r="CP21" s="0"/>
      <c r="CQ21" s="0"/>
      <c r="CR21" s="0"/>
      <c r="CS21" s="0"/>
      <c r="CT21" s="0"/>
      <c r="CY21" s="152" t="n">
        <f aca="false">M21</f>
        <v>36617</v>
      </c>
      <c r="CZ21" s="153" t="n">
        <f aca="false">AI21+AH21</f>
        <v>0.85</v>
      </c>
      <c r="DA21" s="153" t="n">
        <f aca="false">AI21</f>
        <v>1.1</v>
      </c>
      <c r="DB21" s="153" t="n">
        <f aca="false">AI21+AJ21</f>
        <v>1.4</v>
      </c>
      <c r="DD21" s="153" t="n">
        <f aca="false">Z21</f>
        <v>0.13225</v>
      </c>
      <c r="DE21" s="153" t="n">
        <f aca="false">AA21</f>
        <v>0.2645</v>
      </c>
      <c r="DF21" s="153" t="n">
        <f aca="false">AB21</f>
        <v>0.39675</v>
      </c>
      <c r="DH21" s="152" t="n">
        <f aca="false">BH21</f>
        <v>36617</v>
      </c>
      <c r="DI21" s="99" t="n">
        <v>0.9</v>
      </c>
      <c r="DJ21" s="14"/>
      <c r="DK21" s="14"/>
      <c r="DP21" s="0" t="n">
        <v>3</v>
      </c>
      <c r="DQ21" s="159" t="s">
        <v>111</v>
      </c>
      <c r="DR21" s="160" t="s">
        <v>112</v>
      </c>
      <c r="DS21" s="161" t="s">
        <v>113</v>
      </c>
      <c r="DT21" s="63"/>
      <c r="DU21" s="134" t="s">
        <v>114</v>
      </c>
      <c r="DV21" s="135" t="n">
        <v>6</v>
      </c>
      <c r="DY21" s="136"/>
      <c r="DZ21" s="14"/>
      <c r="EA21" s="14"/>
      <c r="EB21" s="14"/>
      <c r="EC21" s="14"/>
      <c r="ED21" s="14"/>
    </row>
    <row r="22" customFormat="false" ht="13.5" hidden="false" customHeight="false" outlineLevel="0" collapsed="false">
      <c r="A22" s="110" t="n">
        <f aca="false">EOMONTH(A21,0)+1</f>
        <v>46204</v>
      </c>
      <c r="B22" s="99" t="n">
        <f aca="false">'Gas Curves'!C26</f>
        <v>0.066467823306129</v>
      </c>
      <c r="C22" s="99"/>
      <c r="D22" s="145" t="n">
        <v>36590</v>
      </c>
      <c r="E22" s="146" t="n">
        <v>28.4450019836426</v>
      </c>
      <c r="F22" s="146" t="n">
        <v>28.7950019836426</v>
      </c>
      <c r="G22" s="146" t="n">
        <v>29.1450019836426</v>
      </c>
      <c r="H22" s="127"/>
      <c r="I22" s="146" t="n">
        <v>19.825</v>
      </c>
      <c r="J22" s="146" t="n">
        <v>20</v>
      </c>
      <c r="K22" s="146" t="n">
        <v>20.175</v>
      </c>
      <c r="L22" s="105"/>
      <c r="M22" s="106" t="n">
        <v>36647</v>
      </c>
      <c r="N22" s="147" t="n">
        <v>26.375</v>
      </c>
      <c r="O22" s="147" t="n">
        <v>26.75</v>
      </c>
      <c r="P22" s="147" t="n">
        <v>27.125</v>
      </c>
      <c r="Q22" s="18"/>
      <c r="R22" s="147" t="n">
        <v>22.25</v>
      </c>
      <c r="S22" s="147" t="n">
        <v>24.75</v>
      </c>
      <c r="T22" s="147" t="n">
        <v>27.25</v>
      </c>
      <c r="U22" s="18"/>
      <c r="V22" s="147" t="n">
        <v>0.7</v>
      </c>
      <c r="W22" s="147" t="n">
        <v>0.7</v>
      </c>
      <c r="X22" s="147" t="n">
        <v>0.7</v>
      </c>
      <c r="Y22" s="18"/>
      <c r="Z22" s="147" t="n">
        <v>0.15225</v>
      </c>
      <c r="AA22" s="147" t="n">
        <v>0.3045</v>
      </c>
      <c r="AB22" s="147" t="n">
        <v>0.45675</v>
      </c>
      <c r="AC22" s="18"/>
      <c r="AD22" s="147" t="n">
        <v>0.035</v>
      </c>
      <c r="AE22" s="147" t="n">
        <v>0.07</v>
      </c>
      <c r="AF22" s="147" t="n">
        <v>0.105</v>
      </c>
      <c r="AG22" s="18"/>
      <c r="AH22" s="147" t="n">
        <v>-0.25</v>
      </c>
      <c r="AI22" s="147" t="n">
        <v>1.1</v>
      </c>
      <c r="AJ22" s="147" t="n">
        <v>0.3</v>
      </c>
      <c r="AK22" s="18"/>
      <c r="AL22" s="147" t="n">
        <v>-0.15</v>
      </c>
      <c r="AM22" s="147" t="n">
        <v>0.5</v>
      </c>
      <c r="AN22" s="147" t="n">
        <v>0.2</v>
      </c>
      <c r="AO22" s="18"/>
      <c r="AP22" s="105" t="n">
        <v>2</v>
      </c>
      <c r="AQ22" s="148" t="n">
        <v>0</v>
      </c>
      <c r="AR22" s="18"/>
      <c r="AS22" s="105" t="n">
        <v>200</v>
      </c>
      <c r="AT22" s="162" t="n">
        <v>0.902165459676005</v>
      </c>
      <c r="AU22" s="162" t="n">
        <v>0.902165459676005</v>
      </c>
      <c r="AV22" s="162" t="n">
        <v>0.832165459676005</v>
      </c>
      <c r="AW22" s="162" t="n">
        <v>0.882165459676005</v>
      </c>
      <c r="AX22" s="162" t="n">
        <v>0.896144177087074</v>
      </c>
      <c r="AY22" s="162" t="n">
        <v>0.958259325044405</v>
      </c>
      <c r="AZ22" s="162" t="n">
        <v>1.01858897706272</v>
      </c>
      <c r="BA22" s="162" t="n">
        <v>0.985416926336782</v>
      </c>
      <c r="BB22" s="162" t="n">
        <v>0.874375039554458</v>
      </c>
      <c r="BC22" s="162" t="n">
        <v>0.9012</v>
      </c>
      <c r="BD22" s="162" t="n">
        <v>0.8812</v>
      </c>
      <c r="BE22" s="162" t="n">
        <v>0.8812</v>
      </c>
      <c r="BF22" s="105" t="s">
        <v>110</v>
      </c>
      <c r="BG22" s="18"/>
      <c r="BH22" s="106" t="n">
        <v>36647</v>
      </c>
      <c r="BI22" s="150" t="n">
        <v>0.9</v>
      </c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63"/>
      <c r="CI22" s="138" t="n">
        <f aca="false">BG22</f>
        <v>0</v>
      </c>
      <c r="CJ22" s="138" t="n">
        <f aca="false">+BG22+BE22</f>
        <v>0.8812</v>
      </c>
      <c r="CK22" s="138" t="n">
        <f aca="false">+BG22+BF22</f>
        <v>2</v>
      </c>
      <c r="CM22" s="121" t="n">
        <v>-1.5</v>
      </c>
      <c r="CN22" s="122" t="n">
        <v>0.005</v>
      </c>
      <c r="CO22" s="151"/>
      <c r="CP22" s="0"/>
      <c r="CQ22" s="0"/>
      <c r="CR22" s="0"/>
      <c r="CS22" s="0"/>
      <c r="CT22" s="0"/>
      <c r="CY22" s="152" t="n">
        <f aca="false">M22</f>
        <v>36647</v>
      </c>
      <c r="CZ22" s="153" t="n">
        <f aca="false">AI22+AH22</f>
        <v>0.85</v>
      </c>
      <c r="DA22" s="153" t="n">
        <f aca="false">AI22</f>
        <v>1.1</v>
      </c>
      <c r="DB22" s="153" t="n">
        <f aca="false">AI22+AJ22</f>
        <v>1.4</v>
      </c>
      <c r="DD22" s="153" t="n">
        <f aca="false">Z22</f>
        <v>0.15225</v>
      </c>
      <c r="DE22" s="153" t="n">
        <f aca="false">AA22</f>
        <v>0.3045</v>
      </c>
      <c r="DF22" s="153" t="n">
        <f aca="false">AB22</f>
        <v>0.45675</v>
      </c>
      <c r="DH22" s="152" t="n">
        <f aca="false">BH22</f>
        <v>36647</v>
      </c>
      <c r="DI22" s="99" t="n">
        <v>0.9</v>
      </c>
      <c r="DJ22" s="133"/>
      <c r="DK22" s="133"/>
      <c r="DP22" s="0" t="n">
        <v>4</v>
      </c>
      <c r="DQ22" s="159" t="s">
        <v>115</v>
      </c>
      <c r="DR22" s="160" t="s">
        <v>116</v>
      </c>
      <c r="DS22" s="161" t="s">
        <v>117</v>
      </c>
      <c r="DT22" s="63"/>
      <c r="DU22" s="134" t="s">
        <v>118</v>
      </c>
      <c r="DV22" s="135" t="n">
        <v>7</v>
      </c>
      <c r="DY22" s="136"/>
      <c r="DZ22" s="133"/>
      <c r="EA22" s="133"/>
      <c r="EB22" s="133"/>
      <c r="EC22" s="133"/>
      <c r="ED22" s="133"/>
    </row>
    <row r="23" customFormat="false" ht="13.5" hidden="false" customHeight="false" outlineLevel="0" collapsed="false">
      <c r="A23" s="110" t="n">
        <f aca="false">EOMONTH(A22,0)+1</f>
        <v>46235</v>
      </c>
      <c r="B23" s="99" t="n">
        <f aca="false">'Gas Curves'!C27</f>
        <v>0.066926730404914</v>
      </c>
      <c r="C23" s="99"/>
      <c r="D23" s="145" t="n">
        <v>36591</v>
      </c>
      <c r="E23" s="146" t="n">
        <v>32.9</v>
      </c>
      <c r="F23" s="146" t="n">
        <v>33.25</v>
      </c>
      <c r="G23" s="146" t="n">
        <v>33.6</v>
      </c>
      <c r="H23" s="127"/>
      <c r="I23" s="146" t="n">
        <v>20.325</v>
      </c>
      <c r="J23" s="146" t="n">
        <v>20.5</v>
      </c>
      <c r="K23" s="146" t="n">
        <v>20.675</v>
      </c>
      <c r="L23" s="105"/>
      <c r="M23" s="106" t="n">
        <v>36678</v>
      </c>
      <c r="N23" s="147" t="n">
        <v>26.625</v>
      </c>
      <c r="O23" s="147" t="n">
        <v>27.75</v>
      </c>
      <c r="P23" s="147" t="n">
        <v>28.875</v>
      </c>
      <c r="Q23" s="18"/>
      <c r="R23" s="147" t="n">
        <v>20.25</v>
      </c>
      <c r="S23" s="147" t="n">
        <v>22.75</v>
      </c>
      <c r="T23" s="147" t="n">
        <v>25.25</v>
      </c>
      <c r="U23" s="18"/>
      <c r="V23" s="147" t="n">
        <v>0.7</v>
      </c>
      <c r="W23" s="147" t="n">
        <v>0.7</v>
      </c>
      <c r="X23" s="147" t="n">
        <v>0.7</v>
      </c>
      <c r="Y23" s="18"/>
      <c r="Z23" s="147" t="n">
        <v>0.190875</v>
      </c>
      <c r="AA23" s="147" t="n">
        <v>0.38175</v>
      </c>
      <c r="AB23" s="147" t="n">
        <v>0.572625</v>
      </c>
      <c r="AC23" s="18"/>
      <c r="AD23" s="147" t="n">
        <v>0.045</v>
      </c>
      <c r="AE23" s="147" t="n">
        <v>0.09</v>
      </c>
      <c r="AF23" s="147" t="n">
        <v>0.135</v>
      </c>
      <c r="AG23" s="18"/>
      <c r="AH23" s="147" t="n">
        <v>-1</v>
      </c>
      <c r="AI23" s="147" t="n">
        <v>3.75</v>
      </c>
      <c r="AJ23" s="147" t="n">
        <v>1</v>
      </c>
      <c r="AK23" s="18"/>
      <c r="AL23" s="147" t="n">
        <v>-0.15</v>
      </c>
      <c r="AM23" s="147" t="n">
        <v>0.65</v>
      </c>
      <c r="AN23" s="147" t="n">
        <v>0.2</v>
      </c>
      <c r="AO23" s="18"/>
      <c r="AP23" s="105" t="n">
        <v>2</v>
      </c>
      <c r="AQ23" s="148" t="n">
        <v>0</v>
      </c>
      <c r="AR23" s="18"/>
      <c r="AS23" s="105" t="n">
        <v>300</v>
      </c>
      <c r="AT23" s="162" t="n">
        <v>0.826699835535835</v>
      </c>
      <c r="AU23" s="162" t="n">
        <v>0.826699835535835</v>
      </c>
      <c r="AV23" s="162" t="n">
        <v>0.796699835535835</v>
      </c>
      <c r="AW23" s="162" t="n">
        <v>0.846699835535835</v>
      </c>
      <c r="AX23" s="162" t="n">
        <v>0.848085148062294</v>
      </c>
      <c r="AY23" s="162" t="n">
        <v>0.80550621669627</v>
      </c>
      <c r="AZ23" s="162" t="n">
        <v>0.970540276116969</v>
      </c>
      <c r="BA23" s="162" t="n">
        <v>0.884955752212389</v>
      </c>
      <c r="BB23" s="162" t="n">
        <v>0.819948104550344</v>
      </c>
      <c r="BC23" s="162" t="n">
        <v>0.8657</v>
      </c>
      <c r="BD23" s="162" t="n">
        <v>0.8457</v>
      </c>
      <c r="BE23" s="162" t="n">
        <v>0.8457</v>
      </c>
      <c r="BF23" s="105" t="s">
        <v>110</v>
      </c>
      <c r="BG23" s="18"/>
      <c r="BH23" s="106" t="n">
        <v>36678</v>
      </c>
      <c r="BI23" s="150" t="n">
        <v>0.9</v>
      </c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63"/>
      <c r="CI23" s="138" t="n">
        <f aca="false">BG23</f>
        <v>0</v>
      </c>
      <c r="CJ23" s="138" t="n">
        <f aca="false">+BG23+BE23</f>
        <v>0.8457</v>
      </c>
      <c r="CK23" s="138" t="n">
        <f aca="false">+BG23+BF23</f>
        <v>2</v>
      </c>
      <c r="CM23" s="121" t="n">
        <v>-1</v>
      </c>
      <c r="CN23" s="122" t="n">
        <v>0.0033</v>
      </c>
      <c r="CO23" s="151"/>
      <c r="CP23" s="0"/>
      <c r="CQ23" s="0"/>
      <c r="CR23" s="0"/>
      <c r="CS23" s="0"/>
      <c r="CT23" s="0"/>
      <c r="CY23" s="152" t="n">
        <f aca="false">M23</f>
        <v>36678</v>
      </c>
      <c r="CZ23" s="153" t="n">
        <f aca="false">AI23+AH23</f>
        <v>2.75</v>
      </c>
      <c r="DA23" s="153" t="n">
        <f aca="false">AI23</f>
        <v>3.75</v>
      </c>
      <c r="DB23" s="153" t="n">
        <f aca="false">AI23+AJ23</f>
        <v>4.75</v>
      </c>
      <c r="DD23" s="153" t="n">
        <f aca="false">Z23</f>
        <v>0.190875</v>
      </c>
      <c r="DE23" s="153" t="n">
        <f aca="false">AA23</f>
        <v>0.38175</v>
      </c>
      <c r="DF23" s="153" t="n">
        <f aca="false">AB23</f>
        <v>0.572625</v>
      </c>
      <c r="DH23" s="152" t="n">
        <f aca="false">BH23</f>
        <v>36678</v>
      </c>
      <c r="DI23" s="99" t="n">
        <v>0.9</v>
      </c>
      <c r="DJ23" s="14"/>
      <c r="DK23" s="14"/>
      <c r="DP23" s="0" t="n">
        <v>5</v>
      </c>
      <c r="DQ23" s="159"/>
      <c r="DR23" s="160" t="s">
        <v>119</v>
      </c>
      <c r="DS23" s="161" t="s">
        <v>120</v>
      </c>
      <c r="DT23" s="63"/>
      <c r="DU23" s="134" t="s">
        <v>121</v>
      </c>
      <c r="DV23" s="135" t="n">
        <v>8</v>
      </c>
      <c r="DY23" s="136"/>
      <c r="DZ23" s="14"/>
      <c r="EA23" s="14"/>
      <c r="EB23" s="14"/>
      <c r="EC23" s="14"/>
      <c r="ED23" s="14"/>
    </row>
    <row r="24" customFormat="false" ht="13.5" hidden="false" customHeight="false" outlineLevel="0" collapsed="false">
      <c r="A24" s="110" t="n">
        <f aca="false">EOMONTH(A23,0)+1</f>
        <v>46266</v>
      </c>
      <c r="B24" s="99" t="n">
        <f aca="false">'Gas Curves'!C28</f>
        <v>0.067341227199243</v>
      </c>
      <c r="C24" s="99"/>
      <c r="D24" s="145" t="n">
        <v>36592</v>
      </c>
      <c r="E24" s="146" t="n">
        <v>32.9</v>
      </c>
      <c r="F24" s="146" t="n">
        <v>33.25</v>
      </c>
      <c r="G24" s="146" t="n">
        <v>33.6</v>
      </c>
      <c r="H24" s="127"/>
      <c r="I24" s="146" t="n">
        <v>20.325</v>
      </c>
      <c r="J24" s="146" t="n">
        <v>20.5</v>
      </c>
      <c r="K24" s="146" t="n">
        <v>20.675</v>
      </c>
      <c r="L24" s="105"/>
      <c r="M24" s="106" t="n">
        <v>36708</v>
      </c>
      <c r="N24" s="147" t="n">
        <v>30.872501373291</v>
      </c>
      <c r="O24" s="147" t="n">
        <v>32.747501373291</v>
      </c>
      <c r="P24" s="147" t="n">
        <v>34.622501373291</v>
      </c>
      <c r="Q24" s="18"/>
      <c r="R24" s="147" t="n">
        <v>24.252498626709</v>
      </c>
      <c r="S24" s="147" t="n">
        <v>26.752498626709</v>
      </c>
      <c r="T24" s="147" t="n">
        <v>29.252498626709</v>
      </c>
      <c r="U24" s="18"/>
      <c r="V24" s="147" t="n">
        <v>0.7</v>
      </c>
      <c r="W24" s="147" t="n">
        <v>0.7</v>
      </c>
      <c r="X24" s="147" t="n">
        <v>0.7</v>
      </c>
      <c r="Y24" s="18"/>
      <c r="Z24" s="147" t="n">
        <v>0.225875</v>
      </c>
      <c r="AA24" s="147" t="n">
        <v>0.45175</v>
      </c>
      <c r="AB24" s="147" t="n">
        <v>0.677625</v>
      </c>
      <c r="AC24" s="18"/>
      <c r="AD24" s="147" t="n">
        <v>0.06</v>
      </c>
      <c r="AE24" s="147" t="n">
        <v>0.12</v>
      </c>
      <c r="AF24" s="147" t="n">
        <v>0.18</v>
      </c>
      <c r="AG24" s="18"/>
      <c r="AH24" s="147" t="n">
        <v>-1.5</v>
      </c>
      <c r="AI24" s="147" t="n">
        <v>4.25</v>
      </c>
      <c r="AJ24" s="147" t="n">
        <v>1.5</v>
      </c>
      <c r="AK24" s="18"/>
      <c r="AL24" s="147" t="n">
        <v>-0.15</v>
      </c>
      <c r="AM24" s="147" t="n">
        <v>0.75</v>
      </c>
      <c r="AN24" s="147" t="n">
        <v>0.2</v>
      </c>
      <c r="AO24" s="18"/>
      <c r="AP24" s="105" t="n">
        <v>2</v>
      </c>
      <c r="AQ24" s="148" t="n">
        <v>0</v>
      </c>
      <c r="AR24" s="18"/>
      <c r="AS24" s="105" t="n">
        <v>400</v>
      </c>
      <c r="AT24" s="162" t="n">
        <v>0.8262</v>
      </c>
      <c r="AU24" s="162" t="n">
        <v>0.8262</v>
      </c>
      <c r="AV24" s="162" t="n">
        <v>0.797199950847743</v>
      </c>
      <c r="AW24" s="162" t="n">
        <v>0.847199950847743</v>
      </c>
      <c r="AX24" s="162" t="n">
        <v>0.822227300923961</v>
      </c>
      <c r="AY24" s="162" t="n">
        <v>0.747779751332149</v>
      </c>
      <c r="AZ24" s="162" t="n">
        <v>0.874008044352647</v>
      </c>
      <c r="BA24" s="162" t="n">
        <v>0.832606257011093</v>
      </c>
      <c r="BB24" s="162" t="n">
        <v>0.832099234225682</v>
      </c>
      <c r="BC24" s="162" t="n">
        <v>0.8662</v>
      </c>
      <c r="BD24" s="162" t="n">
        <v>0.8462</v>
      </c>
      <c r="BE24" s="162" t="n">
        <v>0.8462</v>
      </c>
      <c r="BF24" s="105" t="s">
        <v>110</v>
      </c>
      <c r="BG24" s="18"/>
      <c r="BH24" s="106" t="n">
        <v>36708</v>
      </c>
      <c r="BI24" s="150" t="n">
        <v>0.9</v>
      </c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63"/>
      <c r="CI24" s="138" t="n">
        <f aca="false">BG24</f>
        <v>0</v>
      </c>
      <c r="CJ24" s="138" t="n">
        <f aca="false">+BG24+BE24</f>
        <v>0.8462</v>
      </c>
      <c r="CK24" s="138" t="n">
        <f aca="false">+BG24+BF24</f>
        <v>2</v>
      </c>
      <c r="CM24" s="121" t="n">
        <v>-0.5</v>
      </c>
      <c r="CN24" s="122" t="n">
        <v>0.0025</v>
      </c>
      <c r="CO24" s="151"/>
      <c r="CP24" s="0"/>
      <c r="CQ24" s="0"/>
      <c r="CR24" s="0"/>
      <c r="CS24" s="0"/>
      <c r="CT24" s="0"/>
      <c r="CY24" s="152" t="n">
        <f aca="false">M24</f>
        <v>36708</v>
      </c>
      <c r="CZ24" s="153" t="n">
        <f aca="false">AI24+AH24</f>
        <v>2.75</v>
      </c>
      <c r="DA24" s="153" t="n">
        <f aca="false">AI24</f>
        <v>4.25</v>
      </c>
      <c r="DB24" s="153" t="n">
        <f aca="false">AI24+AJ24</f>
        <v>5.75</v>
      </c>
      <c r="DD24" s="153" t="n">
        <f aca="false">Z24</f>
        <v>0.225875</v>
      </c>
      <c r="DE24" s="153" t="n">
        <f aca="false">AA24</f>
        <v>0.45175</v>
      </c>
      <c r="DF24" s="153" t="n">
        <f aca="false">AB24</f>
        <v>0.677625</v>
      </c>
      <c r="DH24" s="152" t="n">
        <f aca="false">BH24</f>
        <v>36708</v>
      </c>
      <c r="DI24" s="99" t="n">
        <v>0.9</v>
      </c>
      <c r="DJ24" s="133"/>
      <c r="DK24" s="133"/>
      <c r="DP24" s="0" t="n">
        <v>6</v>
      </c>
      <c r="DQ24" s="159"/>
      <c r="DR24" s="160" t="s">
        <v>122</v>
      </c>
      <c r="DS24" s="161" t="s">
        <v>123</v>
      </c>
      <c r="DU24" s="134" t="s">
        <v>124</v>
      </c>
      <c r="DV24" s="135" t="n">
        <v>10</v>
      </c>
      <c r="DY24" s="136"/>
      <c r="DZ24" s="133"/>
      <c r="EA24" s="133"/>
      <c r="EB24" s="133"/>
      <c r="EC24" s="133"/>
      <c r="ED24" s="133"/>
    </row>
    <row r="25" customFormat="false" ht="13.5" hidden="false" customHeight="false" outlineLevel="0" collapsed="false">
      <c r="A25" s="110" t="n">
        <f aca="false">EOMONTH(A24,0)+1</f>
        <v>46296</v>
      </c>
      <c r="B25" s="99" t="n">
        <f aca="false">'Gas Curves'!C29</f>
        <v>0.067760452095971</v>
      </c>
      <c r="C25" s="99"/>
      <c r="D25" s="145" t="n">
        <v>36593</v>
      </c>
      <c r="E25" s="146" t="n">
        <v>32.9</v>
      </c>
      <c r="F25" s="146" t="n">
        <v>33.25</v>
      </c>
      <c r="G25" s="146" t="n">
        <v>33.6</v>
      </c>
      <c r="H25" s="127"/>
      <c r="I25" s="146" t="n">
        <v>20.325</v>
      </c>
      <c r="J25" s="146" t="n">
        <v>20.5</v>
      </c>
      <c r="K25" s="146" t="n">
        <v>20.675</v>
      </c>
      <c r="L25" s="105"/>
      <c r="M25" s="106" t="n">
        <v>36739</v>
      </c>
      <c r="N25" s="147" t="n">
        <v>30.872501373291</v>
      </c>
      <c r="O25" s="147" t="n">
        <v>32.747501373291</v>
      </c>
      <c r="P25" s="147" t="n">
        <v>34.622501373291</v>
      </c>
      <c r="Q25" s="18"/>
      <c r="R25" s="147" t="n">
        <v>24.25</v>
      </c>
      <c r="S25" s="147" t="n">
        <v>26.75</v>
      </c>
      <c r="T25" s="147" t="n">
        <v>29.25</v>
      </c>
      <c r="U25" s="18"/>
      <c r="V25" s="147" t="n">
        <v>0.7</v>
      </c>
      <c r="W25" s="147" t="n">
        <v>0.7</v>
      </c>
      <c r="X25" s="147" t="n">
        <v>0.7</v>
      </c>
      <c r="Y25" s="18"/>
      <c r="Z25" s="147" t="n">
        <v>0.22225</v>
      </c>
      <c r="AA25" s="147" t="n">
        <v>0.4445</v>
      </c>
      <c r="AB25" s="147" t="n">
        <v>0.66675</v>
      </c>
      <c r="AC25" s="18"/>
      <c r="AD25" s="147" t="n">
        <v>0.06</v>
      </c>
      <c r="AE25" s="147" t="n">
        <v>0.12</v>
      </c>
      <c r="AF25" s="147" t="n">
        <v>0.18</v>
      </c>
      <c r="AG25" s="18"/>
      <c r="AH25" s="147" t="n">
        <v>-1.5</v>
      </c>
      <c r="AI25" s="147" t="n">
        <v>4.25</v>
      </c>
      <c r="AJ25" s="147" t="n">
        <v>1.5</v>
      </c>
      <c r="AK25" s="18"/>
      <c r="AL25" s="147" t="n">
        <v>-0.15</v>
      </c>
      <c r="AM25" s="147" t="n">
        <v>0.75</v>
      </c>
      <c r="AN25" s="147" t="n">
        <v>0.2</v>
      </c>
      <c r="AO25" s="18"/>
      <c r="AP25" s="105" t="n">
        <v>3</v>
      </c>
      <c r="AQ25" s="148" t="n">
        <v>0.15</v>
      </c>
      <c r="AR25" s="18"/>
      <c r="AS25" s="105" t="n">
        <v>500</v>
      </c>
      <c r="AT25" s="162" t="n">
        <v>0.8465</v>
      </c>
      <c r="AU25" s="162" t="n">
        <v>0.8465</v>
      </c>
      <c r="AV25" s="162" t="n">
        <v>0.857490447810899</v>
      </c>
      <c r="AW25" s="162" t="n">
        <v>0.907490447810899</v>
      </c>
      <c r="AX25" s="162" t="n">
        <v>0.890136798458977</v>
      </c>
      <c r="AY25" s="162" t="n">
        <v>0.811130846654825</v>
      </c>
      <c r="AZ25" s="162" t="n">
        <v>0.829655397325796</v>
      </c>
      <c r="BA25" s="162" t="n">
        <v>0.864265237442353</v>
      </c>
      <c r="BB25" s="162" t="n">
        <v>0.898424150370229</v>
      </c>
      <c r="BC25" s="162" t="n">
        <v>0.9265</v>
      </c>
      <c r="BD25" s="162" t="n">
        <v>0.9065</v>
      </c>
      <c r="BE25" s="162" t="n">
        <v>0.9065</v>
      </c>
      <c r="BF25" s="105" t="s">
        <v>110</v>
      </c>
      <c r="BG25" s="18"/>
      <c r="BH25" s="106" t="n">
        <v>36739</v>
      </c>
      <c r="BI25" s="150" t="n">
        <v>0.9</v>
      </c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63"/>
      <c r="CI25" s="138" t="n">
        <f aca="false">BG25</f>
        <v>0</v>
      </c>
      <c r="CJ25" s="138" t="n">
        <f aca="false">+BG25+BE25</f>
        <v>0.9065</v>
      </c>
      <c r="CK25" s="138" t="n">
        <f aca="false">+BG25+BF25</f>
        <v>2</v>
      </c>
      <c r="CM25" s="121" t="n">
        <v>0</v>
      </c>
      <c r="CN25" s="122" t="n">
        <v>0</v>
      </c>
      <c r="CO25" s="151"/>
      <c r="CP25" s="0"/>
      <c r="CQ25" s="0"/>
      <c r="CR25" s="0"/>
      <c r="CS25" s="0"/>
      <c r="CT25" s="0"/>
      <c r="CY25" s="152" t="n">
        <f aca="false">M25</f>
        <v>36739</v>
      </c>
      <c r="CZ25" s="153" t="n">
        <f aca="false">AI25+AH25</f>
        <v>2.75</v>
      </c>
      <c r="DA25" s="153" t="n">
        <f aca="false">AI25</f>
        <v>4.25</v>
      </c>
      <c r="DB25" s="153" t="n">
        <f aca="false">AI25+AJ25</f>
        <v>5.75</v>
      </c>
      <c r="DD25" s="153" t="n">
        <f aca="false">Z25</f>
        <v>0.22225</v>
      </c>
      <c r="DE25" s="153" t="n">
        <f aca="false">AA25</f>
        <v>0.4445</v>
      </c>
      <c r="DF25" s="153" t="n">
        <f aca="false">AB25</f>
        <v>0.66675</v>
      </c>
      <c r="DH25" s="152" t="n">
        <f aca="false">BH25</f>
        <v>36739</v>
      </c>
      <c r="DI25" s="99" t="n">
        <v>0.9</v>
      </c>
      <c r="DJ25" s="14"/>
      <c r="DK25" s="14"/>
      <c r="DP25" s="0" t="n">
        <v>7</v>
      </c>
      <c r="DQ25" s="159"/>
      <c r="DR25" s="160" t="s">
        <v>125</v>
      </c>
      <c r="DS25" s="161" t="s">
        <v>126</v>
      </c>
      <c r="DU25" s="134" t="s">
        <v>127</v>
      </c>
      <c r="DV25" s="135" t="n">
        <v>11</v>
      </c>
      <c r="DY25" s="136"/>
      <c r="DZ25" s="14"/>
      <c r="EA25" s="14"/>
      <c r="EB25" s="14"/>
      <c r="EC25" s="14"/>
      <c r="ED25" s="14"/>
    </row>
    <row r="26" customFormat="false" ht="13.5" hidden="false" customHeight="false" outlineLevel="0" collapsed="false">
      <c r="A26" s="110" t="n">
        <f aca="false">EOMONTH(A25,0)+1</f>
        <v>46327</v>
      </c>
      <c r="B26" s="99" t="n">
        <f aca="false">'Gas Curves'!C30</f>
        <v>0.068094409945584</v>
      </c>
      <c r="C26" s="99"/>
      <c r="D26" s="145" t="n">
        <v>36594</v>
      </c>
      <c r="E26" s="146" t="n">
        <v>32.9</v>
      </c>
      <c r="F26" s="146" t="n">
        <v>33.25</v>
      </c>
      <c r="G26" s="146" t="n">
        <v>33.6</v>
      </c>
      <c r="H26" s="127"/>
      <c r="I26" s="146" t="n">
        <v>20.325</v>
      </c>
      <c r="J26" s="146" t="n">
        <v>20.5</v>
      </c>
      <c r="K26" s="146" t="n">
        <v>20.675</v>
      </c>
      <c r="L26" s="105"/>
      <c r="M26" s="106" t="n">
        <v>36770</v>
      </c>
      <c r="N26" s="147" t="n">
        <v>22.8049991607666</v>
      </c>
      <c r="O26" s="147" t="n">
        <v>23.2549991607666</v>
      </c>
      <c r="P26" s="147" t="n">
        <v>23.7049991607666</v>
      </c>
      <c r="Q26" s="18"/>
      <c r="R26" s="147" t="n">
        <v>21.25</v>
      </c>
      <c r="S26" s="147" t="n">
        <v>23.75</v>
      </c>
      <c r="T26" s="147" t="n">
        <v>26.25</v>
      </c>
      <c r="U26" s="18"/>
      <c r="V26" s="147" t="n">
        <v>1.2</v>
      </c>
      <c r="W26" s="147" t="n">
        <v>1.2</v>
      </c>
      <c r="X26" s="147" t="n">
        <v>1.2</v>
      </c>
      <c r="Y26" s="18"/>
      <c r="Z26" s="147" t="n">
        <v>0.14725</v>
      </c>
      <c r="AA26" s="147" t="n">
        <v>0.2945</v>
      </c>
      <c r="AB26" s="147" t="n">
        <v>0.44175</v>
      </c>
      <c r="AC26" s="18"/>
      <c r="AD26" s="147" t="n">
        <v>0.04</v>
      </c>
      <c r="AE26" s="147" t="n">
        <v>0.08</v>
      </c>
      <c r="AF26" s="147" t="n">
        <v>0.12</v>
      </c>
      <c r="AG26" s="18"/>
      <c r="AH26" s="147" t="n">
        <v>-0.5</v>
      </c>
      <c r="AI26" s="147" t="n">
        <v>2.25</v>
      </c>
      <c r="AJ26" s="147" t="n">
        <v>0.5</v>
      </c>
      <c r="AK26" s="18"/>
      <c r="AL26" s="147" t="n">
        <v>-0.15</v>
      </c>
      <c r="AM26" s="147" t="n">
        <v>0.4</v>
      </c>
      <c r="AN26" s="147" t="n">
        <v>0.2</v>
      </c>
      <c r="AO26" s="18"/>
      <c r="AP26" s="105" t="n">
        <v>3</v>
      </c>
      <c r="AQ26" s="148" t="n">
        <v>0.15</v>
      </c>
      <c r="AR26" s="18"/>
      <c r="AS26" s="105" t="n">
        <v>600</v>
      </c>
      <c r="AT26" s="162" t="n">
        <v>0.9034</v>
      </c>
      <c r="AU26" s="162" t="n">
        <v>0.9034</v>
      </c>
      <c r="AV26" s="162" t="n">
        <v>0.99535202187632</v>
      </c>
      <c r="AW26" s="162" t="n">
        <v>1.04535202187632</v>
      </c>
      <c r="AX26" s="162" t="n">
        <v>1.07923863005648</v>
      </c>
      <c r="AY26" s="162" t="n">
        <v>0.98963883955003</v>
      </c>
      <c r="AZ26" s="162" t="n">
        <v>0.914664637460593</v>
      </c>
      <c r="BA26" s="162" t="n">
        <v>0.960239311978063</v>
      </c>
      <c r="BB26" s="162" t="n">
        <v>1.03968103284602</v>
      </c>
      <c r="BC26" s="162" t="n">
        <v>1.0644</v>
      </c>
      <c r="BD26" s="162" t="n">
        <v>1.0444</v>
      </c>
      <c r="BE26" s="162" t="n">
        <v>1.0444</v>
      </c>
      <c r="BF26" s="105" t="s">
        <v>110</v>
      </c>
      <c r="BG26" s="18"/>
      <c r="BH26" s="106" t="n">
        <v>36770</v>
      </c>
      <c r="BI26" s="150" t="n">
        <v>0.9</v>
      </c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63"/>
      <c r="CI26" s="138" t="n">
        <f aca="false">BG26</f>
        <v>0</v>
      </c>
      <c r="CJ26" s="138" t="n">
        <f aca="false">+BG26+BE26</f>
        <v>1.0444</v>
      </c>
      <c r="CK26" s="138" t="n">
        <f aca="false">+BG26+BF26</f>
        <v>2</v>
      </c>
      <c r="CM26" s="164" t="n">
        <v>1</v>
      </c>
      <c r="CN26" s="122" t="n">
        <v>0.005</v>
      </c>
      <c r="CO26" s="151"/>
      <c r="CP26" s="0"/>
      <c r="CQ26" s="0"/>
      <c r="CR26" s="0"/>
      <c r="CS26" s="0"/>
      <c r="CT26" s="0"/>
      <c r="CY26" s="152" t="n">
        <f aca="false">M26</f>
        <v>36770</v>
      </c>
      <c r="CZ26" s="153" t="n">
        <f aca="false">AI26+AH26</f>
        <v>1.75</v>
      </c>
      <c r="DA26" s="153" t="n">
        <f aca="false">AI26</f>
        <v>2.25</v>
      </c>
      <c r="DB26" s="153" t="n">
        <f aca="false">AI26+AJ26</f>
        <v>2.75</v>
      </c>
      <c r="DD26" s="153" t="n">
        <f aca="false">Z26</f>
        <v>0.14725</v>
      </c>
      <c r="DE26" s="153" t="n">
        <f aca="false">AA26</f>
        <v>0.2945</v>
      </c>
      <c r="DF26" s="153" t="n">
        <f aca="false">AB26</f>
        <v>0.44175</v>
      </c>
      <c r="DH26" s="152" t="n">
        <f aca="false">BH26</f>
        <v>36770</v>
      </c>
      <c r="DI26" s="99" t="n">
        <v>0.9</v>
      </c>
      <c r="DJ26" s="133"/>
      <c r="DK26" s="133"/>
      <c r="DP26" s="0" t="n">
        <v>8</v>
      </c>
      <c r="DQ26" s="159"/>
      <c r="DR26" s="160" t="s">
        <v>128</v>
      </c>
      <c r="DS26" s="161" t="s">
        <v>129</v>
      </c>
      <c r="DT26" s="105"/>
      <c r="DU26" s="134" t="s">
        <v>130</v>
      </c>
      <c r="DV26" s="135" t="n">
        <v>12</v>
      </c>
      <c r="DY26" s="136"/>
      <c r="DZ26" s="133"/>
      <c r="EA26" s="133"/>
      <c r="EB26" s="133"/>
      <c r="EC26" s="133"/>
      <c r="ED26" s="133"/>
    </row>
    <row r="27" customFormat="false" ht="13.5" hidden="false" customHeight="false" outlineLevel="0" collapsed="false">
      <c r="A27" s="110" t="n">
        <f aca="false">EOMONTH(A26,0)+1</f>
        <v>46357</v>
      </c>
      <c r="B27" s="99" t="n">
        <f aca="false">'Gas Curves'!C31</f>
        <v>0.068439499762296</v>
      </c>
      <c r="C27" s="99"/>
      <c r="D27" s="145" t="n">
        <v>36595</v>
      </c>
      <c r="E27" s="146" t="n">
        <v>32.9</v>
      </c>
      <c r="F27" s="146" t="n">
        <v>33.25</v>
      </c>
      <c r="G27" s="146" t="n">
        <v>33.6</v>
      </c>
      <c r="H27" s="127"/>
      <c r="I27" s="146" t="n">
        <v>20.325</v>
      </c>
      <c r="J27" s="146" t="n">
        <v>20.5</v>
      </c>
      <c r="K27" s="146" t="n">
        <v>20.675</v>
      </c>
      <c r="L27" s="105"/>
      <c r="M27" s="106" t="n">
        <v>36800</v>
      </c>
      <c r="N27" s="147" t="n">
        <v>22.4129997253418</v>
      </c>
      <c r="O27" s="147" t="n">
        <v>22.7504997253418</v>
      </c>
      <c r="P27" s="147" t="n">
        <v>23.0879997253418</v>
      </c>
      <c r="Q27" s="18"/>
      <c r="R27" s="147" t="n">
        <v>18.2509994506836</v>
      </c>
      <c r="S27" s="147" t="n">
        <v>20.7509994506836</v>
      </c>
      <c r="T27" s="147" t="n">
        <v>23.2509994506836</v>
      </c>
      <c r="U27" s="18"/>
      <c r="V27" s="147" t="n">
        <v>1.2</v>
      </c>
      <c r="W27" s="147" t="n">
        <v>1.2</v>
      </c>
      <c r="X27" s="147" t="n">
        <v>1.2</v>
      </c>
      <c r="Y27" s="18"/>
      <c r="Z27" s="147" t="n">
        <v>0.1345</v>
      </c>
      <c r="AA27" s="147" t="n">
        <v>0.269</v>
      </c>
      <c r="AB27" s="147" t="n">
        <v>0.4035</v>
      </c>
      <c r="AC27" s="18"/>
      <c r="AD27" s="147" t="n">
        <v>0.03</v>
      </c>
      <c r="AE27" s="147" t="n">
        <v>0.06</v>
      </c>
      <c r="AF27" s="147" t="n">
        <v>0.09</v>
      </c>
      <c r="AG27" s="18"/>
      <c r="AH27" s="147" t="n">
        <v>-0.25</v>
      </c>
      <c r="AI27" s="147" t="n">
        <v>1.1</v>
      </c>
      <c r="AJ27" s="147" t="n">
        <v>0.3</v>
      </c>
      <c r="AK27" s="18"/>
      <c r="AL27" s="147" t="n">
        <v>-0.15</v>
      </c>
      <c r="AM27" s="147" t="n">
        <v>0.35</v>
      </c>
      <c r="AN27" s="147" t="n">
        <v>0.2</v>
      </c>
      <c r="AO27" s="18"/>
      <c r="AP27" s="105" t="n">
        <v>3</v>
      </c>
      <c r="AQ27" s="148" t="n">
        <v>0.15</v>
      </c>
      <c r="AR27" s="18"/>
      <c r="AS27" s="105" t="n">
        <v>700</v>
      </c>
      <c r="AT27" s="162" t="n">
        <v>1.73</v>
      </c>
      <c r="AU27" s="162" t="n">
        <v>1.73</v>
      </c>
      <c r="AV27" s="162" t="n">
        <v>1.796</v>
      </c>
      <c r="AW27" s="162" t="n">
        <v>1.49097568120843</v>
      </c>
      <c r="AX27" s="162" t="n">
        <v>1.29132521466584</v>
      </c>
      <c r="AY27" s="162" t="n">
        <v>1.13469508584962</v>
      </c>
      <c r="AZ27" s="162" t="n">
        <v>1.01576258288944</v>
      </c>
      <c r="BA27" s="162" t="n">
        <v>1.11728779758195</v>
      </c>
      <c r="BB27" s="162" t="n">
        <v>1.41383456743244</v>
      </c>
      <c r="BC27" s="162" t="n">
        <v>1.376</v>
      </c>
      <c r="BD27" s="162" t="n">
        <v>1.496</v>
      </c>
      <c r="BE27" s="162" t="n">
        <v>1.496</v>
      </c>
      <c r="BF27" s="105" t="s">
        <v>110</v>
      </c>
      <c r="BG27" s="18"/>
      <c r="BH27" s="106" t="n">
        <v>36800</v>
      </c>
      <c r="BI27" s="150" t="n">
        <v>0.9</v>
      </c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63"/>
      <c r="CI27" s="138" t="n">
        <f aca="false">BG27</f>
        <v>0</v>
      </c>
      <c r="CJ27" s="138" t="n">
        <f aca="false">+BG27+BE27</f>
        <v>1.496</v>
      </c>
      <c r="CK27" s="138" t="n">
        <f aca="false">+BG27+BF27</f>
        <v>2</v>
      </c>
      <c r="CM27" s="164" t="n">
        <v>2</v>
      </c>
      <c r="CN27" s="122" t="n">
        <v>0.01</v>
      </c>
      <c r="CO27" s="151"/>
      <c r="CP27" s="0"/>
      <c r="CQ27" s="0"/>
      <c r="CR27" s="0"/>
      <c r="CS27" s="0"/>
      <c r="CT27" s="0"/>
      <c r="CY27" s="152" t="n">
        <f aca="false">M27</f>
        <v>36800</v>
      </c>
      <c r="CZ27" s="153" t="n">
        <f aca="false">AI27+AH27</f>
        <v>0.85</v>
      </c>
      <c r="DA27" s="153" t="n">
        <f aca="false">AI27</f>
        <v>1.1</v>
      </c>
      <c r="DB27" s="153" t="n">
        <f aca="false">AI27+AJ27</f>
        <v>1.4</v>
      </c>
      <c r="DD27" s="153" t="n">
        <f aca="false">Z27</f>
        <v>0.1345</v>
      </c>
      <c r="DE27" s="153" t="n">
        <f aca="false">AA27</f>
        <v>0.269</v>
      </c>
      <c r="DF27" s="153" t="n">
        <f aca="false">AB27</f>
        <v>0.4035</v>
      </c>
      <c r="DH27" s="152" t="n">
        <f aca="false">BH27</f>
        <v>36800</v>
      </c>
      <c r="DI27" s="99" t="n">
        <v>0.9</v>
      </c>
      <c r="DJ27" s="133"/>
      <c r="DK27" s="133"/>
      <c r="DP27" s="0" t="n">
        <v>9</v>
      </c>
      <c r="DQ27" s="159" t="s">
        <v>131</v>
      </c>
      <c r="DR27" s="160" t="s">
        <v>132</v>
      </c>
      <c r="DS27" s="161" t="s">
        <v>110</v>
      </c>
      <c r="DT27" s="105"/>
      <c r="DU27" s="134" t="s">
        <v>133</v>
      </c>
      <c r="DV27" s="135" t="n">
        <v>14</v>
      </c>
      <c r="DY27" s="136"/>
      <c r="DZ27" s="133"/>
      <c r="EA27" s="133"/>
      <c r="EB27" s="133"/>
      <c r="EC27" s="133"/>
      <c r="ED27" s="133"/>
    </row>
    <row r="28" customFormat="false" ht="13.5" hidden="false" customHeight="false" outlineLevel="0" collapsed="false">
      <c r="A28" s="110" t="n">
        <f aca="false">EOMONTH(A27,0)+1</f>
        <v>46388</v>
      </c>
      <c r="B28" s="99" t="n">
        <f aca="false">'Gas Curves'!C32</f>
        <v>0.068753696866555</v>
      </c>
      <c r="C28" s="99"/>
      <c r="D28" s="145" t="n">
        <v>36596</v>
      </c>
      <c r="E28" s="146" t="n">
        <v>32.9</v>
      </c>
      <c r="F28" s="146" t="n">
        <v>33.25</v>
      </c>
      <c r="G28" s="146" t="n">
        <v>33.6</v>
      </c>
      <c r="H28" s="127"/>
      <c r="I28" s="146" t="n">
        <v>20.325</v>
      </c>
      <c r="J28" s="146" t="n">
        <v>20.5</v>
      </c>
      <c r="K28" s="146" t="n">
        <v>20.675</v>
      </c>
      <c r="L28" s="105"/>
      <c r="M28" s="106" t="n">
        <v>36831</v>
      </c>
      <c r="N28" s="147" t="n">
        <v>23.4172512054443</v>
      </c>
      <c r="O28" s="147" t="n">
        <v>23.7547512054443</v>
      </c>
      <c r="P28" s="147" t="n">
        <v>24.0922512054443</v>
      </c>
      <c r="Q28" s="18"/>
      <c r="R28" s="147" t="n">
        <v>19.2544994354248</v>
      </c>
      <c r="S28" s="147" t="n">
        <v>21.7544994354248</v>
      </c>
      <c r="T28" s="147" t="n">
        <v>24.2544994354248</v>
      </c>
      <c r="U28" s="18"/>
      <c r="V28" s="147" t="n">
        <v>1.2</v>
      </c>
      <c r="W28" s="147" t="n">
        <v>1.2</v>
      </c>
      <c r="X28" s="147" t="n">
        <v>1.2</v>
      </c>
      <c r="Y28" s="18"/>
      <c r="Z28" s="147" t="n">
        <v>0.1345</v>
      </c>
      <c r="AA28" s="147" t="n">
        <v>0.269</v>
      </c>
      <c r="AB28" s="147" t="n">
        <v>0.4035</v>
      </c>
      <c r="AC28" s="18"/>
      <c r="AD28" s="147" t="n">
        <v>0.03</v>
      </c>
      <c r="AE28" s="147" t="n">
        <v>0.06</v>
      </c>
      <c r="AF28" s="147" t="n">
        <v>0.09</v>
      </c>
      <c r="AG28" s="18"/>
      <c r="AH28" s="147" t="n">
        <v>-0.25</v>
      </c>
      <c r="AI28" s="147" t="n">
        <v>1.25</v>
      </c>
      <c r="AJ28" s="147" t="n">
        <v>0.3</v>
      </c>
      <c r="AK28" s="18"/>
      <c r="AL28" s="147" t="n">
        <v>-0.15</v>
      </c>
      <c r="AM28" s="147" t="n">
        <v>0.3</v>
      </c>
      <c r="AN28" s="147" t="n">
        <v>0.2</v>
      </c>
      <c r="AO28" s="18"/>
      <c r="AP28" s="105" t="n">
        <v>4</v>
      </c>
      <c r="AQ28" s="148" t="n">
        <v>0.15</v>
      </c>
      <c r="AR28" s="18"/>
      <c r="AS28" s="105" t="n">
        <v>800</v>
      </c>
      <c r="AT28" s="162" t="n">
        <v>1.14588481370903</v>
      </c>
      <c r="AU28" s="162" t="n">
        <v>1.14588481370903</v>
      </c>
      <c r="AV28" s="162" t="n">
        <v>1.1359</v>
      </c>
      <c r="AW28" s="162" t="n">
        <v>1.1232726508202</v>
      </c>
      <c r="AX28" s="162" t="n">
        <v>0.952862125039631</v>
      </c>
      <c r="AY28" s="162" t="n">
        <v>0.651059011030491</v>
      </c>
      <c r="AZ28" s="162" t="n">
        <v>0.586251768676944</v>
      </c>
      <c r="BA28" s="162" t="n">
        <v>0.664938573901296</v>
      </c>
      <c r="BB28" s="162" t="n">
        <v>0.777104352443558</v>
      </c>
      <c r="BC28" s="162" t="n">
        <v>1.0615</v>
      </c>
      <c r="BD28" s="162" t="n">
        <v>1.0715</v>
      </c>
      <c r="BE28" s="162" t="n">
        <v>1.0875</v>
      </c>
      <c r="BF28" s="105" t="s">
        <v>102</v>
      </c>
      <c r="BG28" s="18"/>
      <c r="BH28" s="106" t="n">
        <v>36831</v>
      </c>
      <c r="BI28" s="150" t="n">
        <v>0.9</v>
      </c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63"/>
      <c r="CI28" s="138" t="n">
        <f aca="false">BG28</f>
        <v>0</v>
      </c>
      <c r="CJ28" s="138" t="n">
        <f aca="false">+BG28+BE28</f>
        <v>1.0875</v>
      </c>
      <c r="CK28" s="138" t="n">
        <f aca="false">+BG28+BF28</f>
        <v>1</v>
      </c>
      <c r="CM28" s="164" t="n">
        <v>3</v>
      </c>
      <c r="CN28" s="122" t="n">
        <v>0.02</v>
      </c>
      <c r="CO28" s="151"/>
      <c r="CP28" s="0"/>
      <c r="CQ28" s="0"/>
      <c r="CR28" s="0"/>
      <c r="CS28" s="0"/>
      <c r="CT28" s="0"/>
      <c r="CY28" s="152" t="n">
        <f aca="false">M28</f>
        <v>36831</v>
      </c>
      <c r="CZ28" s="153" t="n">
        <f aca="false">AI28+AH28</f>
        <v>1</v>
      </c>
      <c r="DA28" s="153" t="n">
        <f aca="false">AI28</f>
        <v>1.25</v>
      </c>
      <c r="DB28" s="153" t="n">
        <f aca="false">AI28+AJ28</f>
        <v>1.55</v>
      </c>
      <c r="DD28" s="153" t="n">
        <f aca="false">Z28</f>
        <v>0.1345</v>
      </c>
      <c r="DE28" s="153" t="n">
        <f aca="false">AA28</f>
        <v>0.269</v>
      </c>
      <c r="DF28" s="153" t="n">
        <f aca="false">AB28</f>
        <v>0.4035</v>
      </c>
      <c r="DH28" s="152" t="n">
        <f aca="false">BH28</f>
        <v>36831</v>
      </c>
      <c r="DI28" s="99" t="n">
        <v>0.9</v>
      </c>
      <c r="DP28" s="0" t="n">
        <v>10</v>
      </c>
      <c r="DQ28" s="159" t="s">
        <v>134</v>
      </c>
      <c r="DR28" s="160" t="s">
        <v>135</v>
      </c>
      <c r="DS28" s="161" t="s">
        <v>136</v>
      </c>
      <c r="DT28" s="105"/>
      <c r="DU28" s="165" t="s">
        <v>137</v>
      </c>
      <c r="DV28" s="166" t="n">
        <v>15</v>
      </c>
      <c r="DY28" s="136"/>
    </row>
    <row r="29" customFormat="false" ht="13.5" hidden="false" customHeight="false" outlineLevel="0" collapsed="false">
      <c r="A29" s="110" t="n">
        <f aca="false">EOMONTH(A28,0)+1</f>
        <v>46419</v>
      </c>
      <c r="B29" s="99" t="n">
        <f aca="false">'Gas Curves'!C33</f>
        <v>0.069040994820188</v>
      </c>
      <c r="C29" s="99"/>
      <c r="D29" s="145" t="n">
        <v>36597</v>
      </c>
      <c r="E29" s="146" t="n">
        <v>32.9</v>
      </c>
      <c r="F29" s="146" t="n">
        <v>33.25</v>
      </c>
      <c r="G29" s="146" t="n">
        <v>33.6</v>
      </c>
      <c r="H29" s="127"/>
      <c r="I29" s="146" t="n">
        <v>20.325</v>
      </c>
      <c r="J29" s="146" t="n">
        <v>20.5</v>
      </c>
      <c r="K29" s="146" t="n">
        <v>20.675</v>
      </c>
      <c r="L29" s="105"/>
      <c r="M29" s="106" t="n">
        <v>36861</v>
      </c>
      <c r="N29" s="147" t="n">
        <v>24.9174991607666</v>
      </c>
      <c r="O29" s="147" t="n">
        <v>25.2549991607666</v>
      </c>
      <c r="P29" s="147" t="n">
        <v>25.5924991607666</v>
      </c>
      <c r="Q29" s="18"/>
      <c r="R29" s="147" t="n">
        <v>19.25</v>
      </c>
      <c r="S29" s="147" t="n">
        <v>21.75</v>
      </c>
      <c r="T29" s="147" t="n">
        <v>24.25</v>
      </c>
      <c r="U29" s="18"/>
      <c r="V29" s="147" t="n">
        <v>1.2</v>
      </c>
      <c r="W29" s="147" t="n">
        <v>1.2</v>
      </c>
      <c r="X29" s="147" t="n">
        <v>1.2</v>
      </c>
      <c r="Y29" s="18"/>
      <c r="Z29" s="147" t="n">
        <v>0.1393</v>
      </c>
      <c r="AA29" s="147" t="n">
        <v>0.2786</v>
      </c>
      <c r="AB29" s="147" t="n">
        <v>0.4179</v>
      </c>
      <c r="AC29" s="18"/>
      <c r="AD29" s="147" t="n">
        <v>0.03</v>
      </c>
      <c r="AE29" s="147" t="n">
        <v>0.06</v>
      </c>
      <c r="AF29" s="147" t="n">
        <v>0.09</v>
      </c>
      <c r="AG29" s="18"/>
      <c r="AH29" s="147" t="n">
        <v>-0.25</v>
      </c>
      <c r="AI29" s="147" t="n">
        <v>1.25</v>
      </c>
      <c r="AJ29" s="147" t="n">
        <v>0.35</v>
      </c>
      <c r="AK29" s="18"/>
      <c r="AL29" s="147" t="n">
        <v>-0.15</v>
      </c>
      <c r="AM29" s="147" t="n">
        <v>0.3</v>
      </c>
      <c r="AN29" s="147" t="n">
        <v>0.2</v>
      </c>
      <c r="AO29" s="18"/>
      <c r="AP29" s="105" t="n">
        <v>4</v>
      </c>
      <c r="AQ29" s="148" t="n">
        <v>0.15</v>
      </c>
      <c r="AR29" s="18"/>
      <c r="AS29" s="105" t="n">
        <v>900</v>
      </c>
      <c r="AT29" s="162" t="n">
        <v>1.19981175661928</v>
      </c>
      <c r="AU29" s="162" t="n">
        <v>1.19981175661928</v>
      </c>
      <c r="AV29" s="162" t="n">
        <v>1.1898</v>
      </c>
      <c r="AW29" s="162" t="n">
        <v>1.14131544612562</v>
      </c>
      <c r="AX29" s="162" t="n">
        <v>1.04253556562382</v>
      </c>
      <c r="AY29" s="162" t="n">
        <v>0.765675460302814</v>
      </c>
      <c r="AZ29" s="162" t="n">
        <v>0.647077208075963</v>
      </c>
      <c r="BA29" s="162" t="n">
        <v>0.724650652256512</v>
      </c>
      <c r="BB29" s="162" t="n">
        <v>0.759819090692693</v>
      </c>
      <c r="BC29" s="162" t="n">
        <v>1.1326</v>
      </c>
      <c r="BD29" s="162" t="n">
        <v>1.1426</v>
      </c>
      <c r="BE29" s="162" t="n">
        <v>1.1638</v>
      </c>
      <c r="BF29" s="105" t="s">
        <v>102</v>
      </c>
      <c r="BG29" s="18"/>
      <c r="BH29" s="106" t="n">
        <v>36861</v>
      </c>
      <c r="BI29" s="150" t="n">
        <v>0.9</v>
      </c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63"/>
      <c r="CM29" s="164" t="n">
        <v>4</v>
      </c>
      <c r="CN29" s="122" t="n">
        <v>0.04</v>
      </c>
      <c r="CO29" s="151"/>
      <c r="CP29" s="0"/>
      <c r="CQ29" s="0"/>
      <c r="CR29" s="0"/>
      <c r="CS29" s="0"/>
      <c r="CT29" s="0"/>
      <c r="CY29" s="152" t="n">
        <f aca="false">M29</f>
        <v>36861</v>
      </c>
      <c r="CZ29" s="153" t="n">
        <f aca="false">AI29+AH29</f>
        <v>1</v>
      </c>
      <c r="DA29" s="153" t="n">
        <f aca="false">AI29</f>
        <v>1.25</v>
      </c>
      <c r="DB29" s="153" t="n">
        <f aca="false">AI29+AJ29</f>
        <v>1.6</v>
      </c>
      <c r="DD29" s="153" t="n">
        <f aca="false">Z29</f>
        <v>0.1393</v>
      </c>
      <c r="DE29" s="153" t="n">
        <f aca="false">AA29</f>
        <v>0.2786</v>
      </c>
      <c r="DF29" s="153" t="n">
        <f aca="false">AB29</f>
        <v>0.4179</v>
      </c>
      <c r="DH29" s="152" t="n">
        <f aca="false">BH29</f>
        <v>36861</v>
      </c>
      <c r="DI29" s="99" t="n">
        <v>0.9</v>
      </c>
      <c r="DP29" s="0" t="n">
        <v>11</v>
      </c>
      <c r="DQ29" s="159" t="s">
        <v>138</v>
      </c>
      <c r="DR29" s="160" t="s">
        <v>139</v>
      </c>
      <c r="DS29" s="161" t="s">
        <v>140</v>
      </c>
      <c r="DT29" s="105"/>
      <c r="DU29" s="167" t="s">
        <v>141</v>
      </c>
      <c r="DY29" s="136"/>
    </row>
    <row r="30" customFormat="false" ht="12.75" hidden="false" customHeight="false" outlineLevel="0" collapsed="false">
      <c r="A30" s="110" t="n">
        <f aca="false">EOMONTH(A29,0)+1</f>
        <v>46447</v>
      </c>
      <c r="B30" s="99" t="n">
        <f aca="false">'Gas Curves'!C34</f>
        <v>0.069328292801127</v>
      </c>
      <c r="C30" s="99"/>
      <c r="D30" s="145" t="n">
        <v>36598</v>
      </c>
      <c r="E30" s="146" t="n">
        <v>32.9</v>
      </c>
      <c r="F30" s="146" t="n">
        <v>33.25</v>
      </c>
      <c r="G30" s="146" t="n">
        <v>33.6</v>
      </c>
      <c r="H30" s="127"/>
      <c r="I30" s="146" t="n">
        <v>20.325</v>
      </c>
      <c r="J30" s="146" t="n">
        <v>20.5</v>
      </c>
      <c r="K30" s="146" t="n">
        <v>20.675</v>
      </c>
      <c r="L30" s="105"/>
      <c r="M30" s="106" t="n">
        <v>36892</v>
      </c>
      <c r="N30" s="147" t="n">
        <v>28.2987487792969</v>
      </c>
      <c r="O30" s="147" t="n">
        <v>28.7487487792969</v>
      </c>
      <c r="P30" s="147" t="n">
        <v>29.1987487792969</v>
      </c>
      <c r="Q30" s="18"/>
      <c r="R30" s="147" t="n">
        <v>24.7525005340576</v>
      </c>
      <c r="S30" s="147" t="n">
        <v>27.2525005340576</v>
      </c>
      <c r="T30" s="147" t="n">
        <v>29.7525005340576</v>
      </c>
      <c r="U30" s="18"/>
      <c r="V30" s="147" t="n">
        <v>1.2</v>
      </c>
      <c r="W30" s="147" t="n">
        <v>1.2</v>
      </c>
      <c r="X30" s="147" t="n">
        <v>1.2</v>
      </c>
      <c r="Y30" s="18"/>
      <c r="Z30" s="147" t="n">
        <v>0.142</v>
      </c>
      <c r="AA30" s="147" t="n">
        <v>0.284</v>
      </c>
      <c r="AB30" s="147" t="n">
        <v>0.426</v>
      </c>
      <c r="AC30" s="18"/>
      <c r="AD30" s="147" t="n">
        <v>0.0343</v>
      </c>
      <c r="AE30" s="147" t="n">
        <v>0.0686</v>
      </c>
      <c r="AF30" s="147" t="n">
        <v>0.1029</v>
      </c>
      <c r="AG30" s="18"/>
      <c r="AH30" s="147" t="n">
        <v>-0.75</v>
      </c>
      <c r="AI30" s="147" t="n">
        <v>2</v>
      </c>
      <c r="AJ30" s="147" t="n">
        <v>0.75</v>
      </c>
      <c r="AK30" s="18"/>
      <c r="AL30" s="147" t="n">
        <v>-0.15</v>
      </c>
      <c r="AM30" s="147" t="n">
        <v>0.5</v>
      </c>
      <c r="AN30" s="147" t="n">
        <v>0.2</v>
      </c>
      <c r="AO30" s="18"/>
      <c r="AP30" s="105" t="n">
        <v>4</v>
      </c>
      <c r="AQ30" s="148" t="n">
        <v>0.15</v>
      </c>
      <c r="AR30" s="18"/>
      <c r="AS30" s="105" t="n">
        <v>1000</v>
      </c>
      <c r="AT30" s="162" t="n">
        <v>1.19616001156207</v>
      </c>
      <c r="AU30" s="162" t="n">
        <v>1.19616001156207</v>
      </c>
      <c r="AV30" s="162" t="n">
        <v>1.1862</v>
      </c>
      <c r="AW30" s="162" t="n">
        <v>1.09378612004454</v>
      </c>
      <c r="AX30" s="162" t="n">
        <v>1.06102662180267</v>
      </c>
      <c r="AY30" s="162" t="n">
        <v>0.856402298368494</v>
      </c>
      <c r="AZ30" s="162" t="n">
        <v>0.774728802868524</v>
      </c>
      <c r="BA30" s="162" t="n">
        <v>0.92931988010301</v>
      </c>
      <c r="BB30" s="162" t="n">
        <v>0.948492117261458</v>
      </c>
      <c r="BC30" s="162" t="n">
        <v>1.1291</v>
      </c>
      <c r="BD30" s="162" t="n">
        <v>1.1352</v>
      </c>
      <c r="BE30" s="162" t="n">
        <v>1.1579</v>
      </c>
      <c r="BF30" s="105" t="s">
        <v>102</v>
      </c>
      <c r="BG30" s="18"/>
      <c r="BH30" s="106" t="n">
        <v>36892</v>
      </c>
      <c r="BI30" s="150" t="n">
        <v>0.9</v>
      </c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63"/>
      <c r="CM30" s="164" t="n">
        <v>5</v>
      </c>
      <c r="CN30" s="122" t="n">
        <v>0.06</v>
      </c>
      <c r="CO30" s="151"/>
      <c r="CP30" s="0"/>
      <c r="CQ30" s="0"/>
      <c r="CR30" s="0"/>
      <c r="CS30" s="0"/>
      <c r="CT30" s="0"/>
      <c r="CY30" s="152" t="n">
        <f aca="false">M30</f>
        <v>36892</v>
      </c>
      <c r="CZ30" s="153" t="n">
        <f aca="false">AI30+AH30</f>
        <v>1.25</v>
      </c>
      <c r="DA30" s="153" t="n">
        <f aca="false">AI30</f>
        <v>2</v>
      </c>
      <c r="DB30" s="153" t="n">
        <f aca="false">AI30+AJ30</f>
        <v>2.75</v>
      </c>
      <c r="DD30" s="153" t="n">
        <f aca="false">Z30</f>
        <v>0.142</v>
      </c>
      <c r="DE30" s="153" t="n">
        <f aca="false">AA30</f>
        <v>0.284</v>
      </c>
      <c r="DF30" s="153" t="n">
        <f aca="false">AB30</f>
        <v>0.426</v>
      </c>
      <c r="DH30" s="152" t="n">
        <f aca="false">BH30</f>
        <v>36892</v>
      </c>
      <c r="DI30" s="99" t="n">
        <v>0.9</v>
      </c>
      <c r="DP30" s="0" t="n">
        <v>12</v>
      </c>
      <c r="DQ30" s="159" t="s">
        <v>142</v>
      </c>
      <c r="DR30" s="160" t="s">
        <v>143</v>
      </c>
      <c r="DS30" s="161" t="s">
        <v>144</v>
      </c>
      <c r="DT30" s="105"/>
      <c r="DY30" s="136"/>
    </row>
    <row r="31" customFormat="false" ht="12.75" hidden="false" customHeight="false" outlineLevel="0" collapsed="false">
      <c r="A31" s="110" t="n">
        <f aca="false">EOMONTH(A30,0)+1</f>
        <v>46478</v>
      </c>
      <c r="B31" s="99" t="n">
        <f aca="false">'Gas Curves'!C35</f>
        <v>0.06958461419197</v>
      </c>
      <c r="C31" s="99"/>
      <c r="D31" s="145" t="n">
        <v>36599</v>
      </c>
      <c r="E31" s="146" t="n">
        <v>32.9</v>
      </c>
      <c r="F31" s="146" t="n">
        <v>33.25</v>
      </c>
      <c r="G31" s="146" t="n">
        <v>33.6</v>
      </c>
      <c r="H31" s="127"/>
      <c r="I31" s="146" t="n">
        <v>20.325</v>
      </c>
      <c r="J31" s="146" t="n">
        <v>20.5</v>
      </c>
      <c r="K31" s="146" t="n">
        <v>20.675</v>
      </c>
      <c r="L31" s="105"/>
      <c r="M31" s="106" t="n">
        <v>36923</v>
      </c>
      <c r="N31" s="147" t="n">
        <v>27.2962501525879</v>
      </c>
      <c r="O31" s="147" t="n">
        <v>27.7462501525879</v>
      </c>
      <c r="P31" s="147" t="n">
        <v>28.1962501525879</v>
      </c>
      <c r="Q31" s="18"/>
      <c r="R31" s="147" t="n">
        <v>22.7474994659424</v>
      </c>
      <c r="S31" s="147" t="n">
        <v>25.2474994659424</v>
      </c>
      <c r="T31" s="147" t="n">
        <v>27.7474994659424</v>
      </c>
      <c r="U31" s="18"/>
      <c r="V31" s="147" t="n">
        <v>1.2</v>
      </c>
      <c r="W31" s="147" t="n">
        <v>1.2</v>
      </c>
      <c r="X31" s="147" t="n">
        <v>1.2</v>
      </c>
      <c r="Y31" s="18"/>
      <c r="Z31" s="147" t="n">
        <v>0.137</v>
      </c>
      <c r="AA31" s="147" t="n">
        <v>0.274</v>
      </c>
      <c r="AB31" s="147" t="n">
        <v>0.411</v>
      </c>
      <c r="AC31" s="18"/>
      <c r="AD31" s="147" t="n">
        <v>0.0343</v>
      </c>
      <c r="AE31" s="147" t="n">
        <v>0.0686</v>
      </c>
      <c r="AF31" s="147" t="n">
        <v>0.1029</v>
      </c>
      <c r="AG31" s="18"/>
      <c r="AH31" s="147" t="n">
        <v>-0.75</v>
      </c>
      <c r="AI31" s="147" t="n">
        <v>2</v>
      </c>
      <c r="AJ31" s="147" t="n">
        <v>0.75</v>
      </c>
      <c r="AK31" s="18"/>
      <c r="AL31" s="147" t="n">
        <v>-0.15</v>
      </c>
      <c r="AM31" s="147" t="n">
        <v>0.5</v>
      </c>
      <c r="AN31" s="147" t="n">
        <v>0.2</v>
      </c>
      <c r="AO31" s="18"/>
      <c r="AP31" s="105" t="n">
        <v>5</v>
      </c>
      <c r="AQ31" s="148" t="n">
        <v>0.15</v>
      </c>
      <c r="AR31" s="18"/>
      <c r="AS31" s="105" t="n">
        <v>1100</v>
      </c>
      <c r="AT31" s="162" t="n">
        <v>1.17528545047035</v>
      </c>
      <c r="AU31" s="162" t="n">
        <v>1.17528545047035</v>
      </c>
      <c r="AV31" s="162" t="n">
        <v>1.1653</v>
      </c>
      <c r="AW31" s="162" t="n">
        <v>1.11633559035934</v>
      </c>
      <c r="AX31" s="162" t="n">
        <v>1.12549986193072</v>
      </c>
      <c r="AY31" s="162" t="n">
        <v>0.985110934026758</v>
      </c>
      <c r="AZ31" s="162" t="n">
        <v>0.881559731558879</v>
      </c>
      <c r="BA31" s="162" t="n">
        <v>1.04887913201334</v>
      </c>
      <c r="BB31" s="162" t="n">
        <v>1.01294563565452</v>
      </c>
      <c r="BC31" s="162" t="n">
        <v>1.1227</v>
      </c>
      <c r="BD31" s="162" t="n">
        <v>1.1133</v>
      </c>
      <c r="BE31" s="162" t="n">
        <v>1.1327</v>
      </c>
      <c r="BF31" s="105" t="s">
        <v>102</v>
      </c>
      <c r="BG31" s="18"/>
      <c r="BH31" s="106" t="n">
        <v>36923</v>
      </c>
      <c r="BI31" s="150" t="n">
        <v>0.9</v>
      </c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63"/>
      <c r="CM31" s="164" t="n">
        <v>6</v>
      </c>
      <c r="CN31" s="122" t="n">
        <v>0.08</v>
      </c>
      <c r="CO31" s="151"/>
      <c r="CP31" s="0"/>
      <c r="CQ31" s="0"/>
      <c r="CR31" s="0"/>
      <c r="CS31" s="0"/>
      <c r="CT31" s="0"/>
      <c r="CY31" s="152" t="n">
        <f aca="false">M31</f>
        <v>36923</v>
      </c>
      <c r="CZ31" s="153" t="n">
        <f aca="false">AI31+AH31</f>
        <v>1.25</v>
      </c>
      <c r="DA31" s="153" t="n">
        <f aca="false">AI31</f>
        <v>2</v>
      </c>
      <c r="DB31" s="153" t="n">
        <f aca="false">AI31+AJ31</f>
        <v>2.75</v>
      </c>
      <c r="DD31" s="153" t="n">
        <f aca="false">Z31</f>
        <v>0.137</v>
      </c>
      <c r="DE31" s="153" t="n">
        <f aca="false">AA31</f>
        <v>0.274</v>
      </c>
      <c r="DF31" s="153" t="n">
        <f aca="false">AB31</f>
        <v>0.411</v>
      </c>
      <c r="DH31" s="152" t="n">
        <f aca="false">BH31</f>
        <v>36923</v>
      </c>
      <c r="DI31" s="99" t="n">
        <v>0.9</v>
      </c>
      <c r="DP31" s="0" t="n">
        <v>13</v>
      </c>
      <c r="DQ31" s="159" t="s">
        <v>145</v>
      </c>
      <c r="DR31" s="160" t="s">
        <v>146</v>
      </c>
      <c r="DS31" s="161" t="s">
        <v>147</v>
      </c>
      <c r="DT31" s="105"/>
      <c r="DU31" s="168"/>
      <c r="DV31" s="168"/>
      <c r="DW31" s="169"/>
      <c r="DX31" s="169"/>
      <c r="DY31" s="136"/>
    </row>
    <row r="32" customFormat="false" ht="12.75" hidden="false" customHeight="false" outlineLevel="0" collapsed="false">
      <c r="A32" s="110" t="n">
        <f aca="false">EOMONTH(A31,0)+1</f>
        <v>46508</v>
      </c>
      <c r="B32" s="99" t="n">
        <f aca="false">'Gas Curves'!C36</f>
        <v>0.069813795169925</v>
      </c>
      <c r="C32" s="99"/>
      <c r="D32" s="145" t="n">
        <v>36600</v>
      </c>
      <c r="E32" s="146" t="n">
        <v>32.9</v>
      </c>
      <c r="F32" s="146" t="n">
        <v>33.25</v>
      </c>
      <c r="G32" s="146" t="n">
        <v>33.6</v>
      </c>
      <c r="H32" s="127"/>
      <c r="I32" s="146" t="n">
        <v>20.325</v>
      </c>
      <c r="J32" s="146" t="n">
        <v>20.5</v>
      </c>
      <c r="K32" s="146" t="n">
        <v>20.675</v>
      </c>
      <c r="L32" s="105"/>
      <c r="M32" s="106" t="n">
        <v>36951</v>
      </c>
      <c r="N32" s="147" t="n">
        <v>20.6347496032715</v>
      </c>
      <c r="O32" s="147" t="n">
        <v>20.9347496032715</v>
      </c>
      <c r="P32" s="147" t="n">
        <v>21.2347496032715</v>
      </c>
      <c r="Q32" s="18"/>
      <c r="R32" s="147" t="n">
        <v>18.0644989013672</v>
      </c>
      <c r="S32" s="147" t="n">
        <v>20.5644989013672</v>
      </c>
      <c r="T32" s="147" t="n">
        <v>23.0644989013672</v>
      </c>
      <c r="U32" s="18"/>
      <c r="V32" s="147" t="n">
        <v>0.7</v>
      </c>
      <c r="W32" s="147" t="n">
        <v>0.7</v>
      </c>
      <c r="X32" s="147" t="n">
        <v>0.7</v>
      </c>
      <c r="Y32" s="18"/>
      <c r="Z32" s="147" t="n">
        <v>0.1335375</v>
      </c>
      <c r="AA32" s="147" t="n">
        <v>0.267075</v>
      </c>
      <c r="AB32" s="147" t="n">
        <v>0.4006125</v>
      </c>
      <c r="AC32" s="18"/>
      <c r="AD32" s="147" t="n">
        <v>0.0294</v>
      </c>
      <c r="AE32" s="147" t="n">
        <v>0.0588</v>
      </c>
      <c r="AF32" s="147" t="n">
        <v>0.0882</v>
      </c>
      <c r="AG32" s="18"/>
      <c r="AH32" s="147" t="n">
        <v>-0.25</v>
      </c>
      <c r="AI32" s="147" t="n">
        <v>1.3</v>
      </c>
      <c r="AJ32" s="147" t="n">
        <v>0.3</v>
      </c>
      <c r="AK32" s="18"/>
      <c r="AL32" s="147" t="n">
        <v>-0.15</v>
      </c>
      <c r="AM32" s="147" t="n">
        <v>0.35</v>
      </c>
      <c r="AN32" s="147" t="n">
        <v>0.2</v>
      </c>
      <c r="AO32" s="18"/>
      <c r="AP32" s="105" t="n">
        <v>5</v>
      </c>
      <c r="AQ32" s="148" t="n">
        <v>0.15</v>
      </c>
      <c r="AR32" s="18"/>
      <c r="AS32" s="105" t="n">
        <v>1200</v>
      </c>
      <c r="AT32" s="162" t="n">
        <v>0.8804</v>
      </c>
      <c r="AU32" s="162" t="n">
        <v>0.8804</v>
      </c>
      <c r="AV32" s="162" t="n">
        <v>0.8904</v>
      </c>
      <c r="AW32" s="162" t="n">
        <v>1.11852454679246</v>
      </c>
      <c r="AX32" s="162" t="n">
        <v>1.11699070333514</v>
      </c>
      <c r="AY32" s="162" t="n">
        <v>1.06241664220107</v>
      </c>
      <c r="AZ32" s="162" t="n">
        <v>1.05394393649242</v>
      </c>
      <c r="BA32" s="162" t="n">
        <v>1.09332545278001</v>
      </c>
      <c r="BB32" s="162" t="n">
        <v>1.07930346254555</v>
      </c>
      <c r="BC32" s="162" t="n">
        <v>0.9474</v>
      </c>
      <c r="BD32" s="162" t="n">
        <v>0.9374</v>
      </c>
      <c r="BE32" s="162" t="n">
        <v>0.9204</v>
      </c>
      <c r="BF32" s="105" t="s">
        <v>102</v>
      </c>
      <c r="BG32" s="18"/>
      <c r="BH32" s="106" t="n">
        <v>36951</v>
      </c>
      <c r="BI32" s="150" t="n">
        <v>0.9</v>
      </c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63"/>
      <c r="CM32" s="164" t="n">
        <v>7</v>
      </c>
      <c r="CN32" s="122" t="n">
        <v>0.1</v>
      </c>
      <c r="CO32" s="151"/>
      <c r="CP32" s="0"/>
      <c r="CQ32" s="0"/>
      <c r="CR32" s="0"/>
      <c r="CS32" s="0"/>
      <c r="CT32" s="0"/>
      <c r="CY32" s="152" t="n">
        <f aca="false">M32</f>
        <v>36951</v>
      </c>
      <c r="CZ32" s="153" t="n">
        <f aca="false">AI32+AH32</f>
        <v>1.05</v>
      </c>
      <c r="DA32" s="153" t="n">
        <f aca="false">AI32</f>
        <v>1.3</v>
      </c>
      <c r="DB32" s="153" t="n">
        <f aca="false">AI32+AJ32</f>
        <v>1.6</v>
      </c>
      <c r="DD32" s="153" t="n">
        <f aca="false">Z32</f>
        <v>0.1335375</v>
      </c>
      <c r="DE32" s="153" t="n">
        <f aca="false">AA32</f>
        <v>0.267075</v>
      </c>
      <c r="DF32" s="153" t="n">
        <f aca="false">AB32</f>
        <v>0.4006125</v>
      </c>
      <c r="DH32" s="152" t="n">
        <f aca="false">BH32</f>
        <v>36951</v>
      </c>
      <c r="DI32" s="99" t="n">
        <v>0.9</v>
      </c>
      <c r="DP32" s="0" t="n">
        <v>14</v>
      </c>
      <c r="DQ32" s="159" t="s">
        <v>148</v>
      </c>
      <c r="DR32" s="160" t="s">
        <v>149</v>
      </c>
      <c r="DS32" s="161" t="s">
        <v>150</v>
      </c>
      <c r="DT32" s="105"/>
      <c r="DU32" s="170"/>
      <c r="DV32" s="171"/>
      <c r="DW32" s="81"/>
      <c r="DX32" s="18"/>
      <c r="DY32" s="136"/>
    </row>
    <row r="33" customFormat="false" ht="13.5" hidden="false" customHeight="false" outlineLevel="0" collapsed="false">
      <c r="A33" s="110" t="n">
        <f aca="false">EOMONTH(A32,0)+1</f>
        <v>46539</v>
      </c>
      <c r="B33" s="99" t="n">
        <f aca="false">'Gas Curves'!C37</f>
        <v>0.070035583229645</v>
      </c>
      <c r="C33" s="99"/>
      <c r="D33" s="145" t="n">
        <v>36601</v>
      </c>
      <c r="E33" s="146" t="n">
        <v>32.9</v>
      </c>
      <c r="F33" s="146" t="n">
        <v>33.25</v>
      </c>
      <c r="G33" s="146" t="n">
        <v>33.6</v>
      </c>
      <c r="H33" s="127"/>
      <c r="I33" s="146" t="n">
        <v>20.325</v>
      </c>
      <c r="J33" s="146" t="n">
        <v>20.5</v>
      </c>
      <c r="K33" s="146" t="n">
        <v>20.675</v>
      </c>
      <c r="L33" s="105"/>
      <c r="M33" s="106" t="n">
        <v>36982</v>
      </c>
      <c r="N33" s="147" t="n">
        <v>21.4300003051758</v>
      </c>
      <c r="O33" s="147" t="n">
        <v>21.6175003051758</v>
      </c>
      <c r="P33" s="147" t="n">
        <v>21.8050003051758</v>
      </c>
      <c r="Q33" s="18"/>
      <c r="R33" s="147" t="n">
        <v>17.8349990844727</v>
      </c>
      <c r="S33" s="147" t="n">
        <v>20.3349990844727</v>
      </c>
      <c r="T33" s="147" t="n">
        <v>22.8349990844727</v>
      </c>
      <c r="U33" s="18"/>
      <c r="V33" s="147" t="n">
        <v>0.7</v>
      </c>
      <c r="W33" s="147" t="n">
        <v>0.7</v>
      </c>
      <c r="X33" s="147" t="n">
        <v>0.7</v>
      </c>
      <c r="Y33" s="18"/>
      <c r="Z33" s="147" t="n">
        <v>0.119025</v>
      </c>
      <c r="AA33" s="147" t="n">
        <v>0.23805</v>
      </c>
      <c r="AB33" s="147" t="n">
        <v>0.357075</v>
      </c>
      <c r="AC33" s="18"/>
      <c r="AD33" s="147" t="n">
        <v>0.0294</v>
      </c>
      <c r="AE33" s="147" t="n">
        <v>0.0588</v>
      </c>
      <c r="AF33" s="147" t="n">
        <v>0.0882</v>
      </c>
      <c r="AG33" s="18"/>
      <c r="AH33" s="147" t="n">
        <v>-0.25</v>
      </c>
      <c r="AI33" s="147" t="n">
        <v>1.1</v>
      </c>
      <c r="AJ33" s="147" t="n">
        <v>0.3</v>
      </c>
      <c r="AK33" s="18"/>
      <c r="AL33" s="147" t="n">
        <v>-0.15</v>
      </c>
      <c r="AM33" s="147" t="n">
        <v>0.35</v>
      </c>
      <c r="AN33" s="147" t="n">
        <v>0.2</v>
      </c>
      <c r="AO33" s="18"/>
      <c r="AP33" s="105" t="n">
        <v>5</v>
      </c>
      <c r="AQ33" s="148" t="n">
        <v>0.15</v>
      </c>
      <c r="AR33" s="18"/>
      <c r="AS33" s="105" t="n">
        <v>1300</v>
      </c>
      <c r="AT33" s="162" t="n">
        <v>0.8548</v>
      </c>
      <c r="AU33" s="162" t="n">
        <v>0.8548</v>
      </c>
      <c r="AV33" s="162" t="n">
        <v>0.8648</v>
      </c>
      <c r="AW33" s="162" t="n">
        <v>1.01643226256211</v>
      </c>
      <c r="AX33" s="162" t="n">
        <v>1.05251746320709</v>
      </c>
      <c r="AY33" s="162" t="n">
        <v>1.10402214486432</v>
      </c>
      <c r="AZ33" s="162" t="n">
        <v>1.16159314463658</v>
      </c>
      <c r="BA33" s="162" t="n">
        <v>1.08467935998649</v>
      </c>
      <c r="BB33" s="162" t="n">
        <v>1.02056286964642</v>
      </c>
      <c r="BC33" s="162" t="n">
        <v>0.8899</v>
      </c>
      <c r="BD33" s="162" t="n">
        <v>0.8829</v>
      </c>
      <c r="BE33" s="162" t="n">
        <v>0.8749</v>
      </c>
      <c r="BF33" s="105" t="s">
        <v>102</v>
      </c>
      <c r="BG33" s="18"/>
      <c r="BH33" s="106" t="n">
        <v>36982</v>
      </c>
      <c r="BI33" s="150" t="n">
        <v>0.9</v>
      </c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I33" s="0"/>
      <c r="CJ33" s="0"/>
      <c r="CK33" s="0"/>
      <c r="CM33" s="164" t="n">
        <v>8</v>
      </c>
      <c r="CN33" s="122" t="n">
        <v>0.12</v>
      </c>
      <c r="CO33" s="151"/>
      <c r="CP33" s="0"/>
      <c r="CQ33" s="0"/>
      <c r="CR33" s="0"/>
      <c r="CS33" s="0"/>
      <c r="CT33" s="0"/>
      <c r="CY33" s="152" t="n">
        <f aca="false">M33</f>
        <v>36982</v>
      </c>
      <c r="CZ33" s="153" t="n">
        <f aca="false">AI33+AH33</f>
        <v>0.85</v>
      </c>
      <c r="DA33" s="153" t="n">
        <f aca="false">AI33</f>
        <v>1.1</v>
      </c>
      <c r="DB33" s="153" t="n">
        <f aca="false">AI33+AJ33</f>
        <v>1.4</v>
      </c>
      <c r="DD33" s="153" t="n">
        <f aca="false">Z33</f>
        <v>0.119025</v>
      </c>
      <c r="DE33" s="153" t="n">
        <f aca="false">AA33</f>
        <v>0.23805</v>
      </c>
      <c r="DF33" s="153" t="n">
        <f aca="false">AB33</f>
        <v>0.357075</v>
      </c>
      <c r="DH33" s="152" t="n">
        <f aca="false">BH33</f>
        <v>36982</v>
      </c>
      <c r="DI33" s="99" t="n">
        <v>0.9</v>
      </c>
      <c r="DP33" s="0" t="n">
        <v>15</v>
      </c>
      <c r="DQ33" s="159" t="s">
        <v>151</v>
      </c>
      <c r="DR33" s="160" t="s">
        <v>152</v>
      </c>
      <c r="DS33" s="161" t="s">
        <v>153</v>
      </c>
      <c r="DT33" s="105"/>
      <c r="DU33" s="170"/>
      <c r="DV33" s="171"/>
      <c r="DW33" s="81"/>
      <c r="DX33" s="18"/>
      <c r="DY33" s="136"/>
    </row>
    <row r="34" customFormat="false" ht="13.5" hidden="false" customHeight="false" outlineLevel="0" collapsed="false">
      <c r="A34" s="110" t="n">
        <f aca="false">EOMONTH(A33,0)+1</f>
        <v>46569</v>
      </c>
      <c r="B34" s="99" t="n">
        <f aca="false">'Gas Curves'!C38</f>
        <v>0.070252861138367</v>
      </c>
      <c r="C34" s="99"/>
      <c r="D34" s="145" t="n">
        <v>36602</v>
      </c>
      <c r="E34" s="146" t="n">
        <v>32.9</v>
      </c>
      <c r="F34" s="146" t="n">
        <v>33.25</v>
      </c>
      <c r="G34" s="146" t="n">
        <v>33.6</v>
      </c>
      <c r="H34" s="127"/>
      <c r="I34" s="146" t="n">
        <v>20.325</v>
      </c>
      <c r="J34" s="146" t="n">
        <v>20.5</v>
      </c>
      <c r="K34" s="146" t="n">
        <v>20.675</v>
      </c>
      <c r="L34" s="105"/>
      <c r="M34" s="106" t="n">
        <v>37012</v>
      </c>
      <c r="N34" s="147" t="n">
        <v>21.1325000762939</v>
      </c>
      <c r="O34" s="147" t="n">
        <v>21.7325000762939</v>
      </c>
      <c r="P34" s="147" t="n">
        <v>22.3325000762939</v>
      </c>
      <c r="Q34" s="18"/>
      <c r="R34" s="147" t="n">
        <v>18.3649997711182</v>
      </c>
      <c r="S34" s="147" t="n">
        <v>20.8649997711182</v>
      </c>
      <c r="T34" s="147" t="n">
        <v>23.3649997711182</v>
      </c>
      <c r="U34" s="18"/>
      <c r="V34" s="147" t="n">
        <v>0.7</v>
      </c>
      <c r="W34" s="147" t="n">
        <v>0.7</v>
      </c>
      <c r="X34" s="147" t="n">
        <v>0.7</v>
      </c>
      <c r="Y34" s="18"/>
      <c r="Z34" s="147" t="n">
        <v>0.137025</v>
      </c>
      <c r="AA34" s="147" t="n">
        <v>0.27405</v>
      </c>
      <c r="AB34" s="147" t="n">
        <v>0.411075</v>
      </c>
      <c r="AC34" s="18"/>
      <c r="AD34" s="147" t="n">
        <v>0.0343</v>
      </c>
      <c r="AE34" s="147" t="n">
        <v>0.0686</v>
      </c>
      <c r="AF34" s="147" t="n">
        <v>0.1029</v>
      </c>
      <c r="AG34" s="18"/>
      <c r="AH34" s="147" t="n">
        <v>-0.25</v>
      </c>
      <c r="AI34" s="147" t="n">
        <v>1.1</v>
      </c>
      <c r="AJ34" s="147" t="n">
        <v>0.3</v>
      </c>
      <c r="AK34" s="18"/>
      <c r="AL34" s="147" t="n">
        <v>-0.15</v>
      </c>
      <c r="AM34" s="147" t="n">
        <v>0.5</v>
      </c>
      <c r="AN34" s="147" t="n">
        <v>0.2</v>
      </c>
      <c r="AO34" s="18"/>
      <c r="AP34" s="105" t="n">
        <v>6</v>
      </c>
      <c r="AQ34" s="148" t="n">
        <v>0.15</v>
      </c>
      <c r="AR34" s="18"/>
      <c r="AS34" s="105" t="n">
        <v>1400</v>
      </c>
      <c r="AT34" s="162" t="n">
        <v>0.8272</v>
      </c>
      <c r="AU34" s="162" t="n">
        <v>0.8272</v>
      </c>
      <c r="AV34" s="162" t="n">
        <v>0.8372</v>
      </c>
      <c r="AW34" s="162" t="n">
        <v>1.01752674077867</v>
      </c>
      <c r="AX34" s="162" t="n">
        <v>1.05759023083138</v>
      </c>
      <c r="AY34" s="162" t="n">
        <v>1.22092018621818</v>
      </c>
      <c r="AZ34" s="162" t="n">
        <v>1.20068871854028</v>
      </c>
      <c r="BA34" s="162" t="n">
        <v>1.19072909190695</v>
      </c>
      <c r="BB34" s="162" t="n">
        <v>1.10479189936462</v>
      </c>
      <c r="BC34" s="162" t="n">
        <v>0.8652</v>
      </c>
      <c r="BD34" s="162" t="n">
        <v>0.8592</v>
      </c>
      <c r="BE34" s="162" t="n">
        <v>0.8372</v>
      </c>
      <c r="BF34" s="105" t="s">
        <v>102</v>
      </c>
      <c r="BG34" s="18"/>
      <c r="BH34" s="106" t="n">
        <v>37012</v>
      </c>
      <c r="BI34" s="150" t="n">
        <v>0.9</v>
      </c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I34" s="172" t="s">
        <v>154</v>
      </c>
      <c r="CJ34" s="172"/>
      <c r="CK34" s="172"/>
      <c r="CM34" s="164" t="n">
        <v>9</v>
      </c>
      <c r="CN34" s="122" t="n">
        <v>0.14</v>
      </c>
      <c r="CO34" s="151"/>
      <c r="CP34" s="0"/>
      <c r="CQ34" s="0"/>
      <c r="CR34" s="0"/>
      <c r="CS34" s="0"/>
      <c r="CT34" s="0"/>
      <c r="CY34" s="152" t="n">
        <f aca="false">M34</f>
        <v>37012</v>
      </c>
      <c r="CZ34" s="153" t="n">
        <f aca="false">AI34+AH34</f>
        <v>0.85</v>
      </c>
      <c r="DA34" s="153" t="n">
        <f aca="false">AI34</f>
        <v>1.1</v>
      </c>
      <c r="DB34" s="153" t="n">
        <f aca="false">AI34+AJ34</f>
        <v>1.4</v>
      </c>
      <c r="DD34" s="153" t="n">
        <f aca="false">Z34</f>
        <v>0.137025</v>
      </c>
      <c r="DE34" s="153" t="n">
        <f aca="false">AA34</f>
        <v>0.27405</v>
      </c>
      <c r="DF34" s="153" t="n">
        <f aca="false">AB34</f>
        <v>0.411075</v>
      </c>
      <c r="DH34" s="152" t="n">
        <f aca="false">BH34</f>
        <v>37012</v>
      </c>
      <c r="DI34" s="99" t="n">
        <v>0.9</v>
      </c>
      <c r="DP34" s="0" t="n">
        <v>16</v>
      </c>
      <c r="DQ34" s="159" t="s">
        <v>155</v>
      </c>
      <c r="DR34" s="160" t="s">
        <v>156</v>
      </c>
      <c r="DS34" s="161" t="s">
        <v>157</v>
      </c>
      <c r="DT34" s="105"/>
      <c r="DU34" s="170"/>
      <c r="DV34" s="171"/>
      <c r="DW34" s="81"/>
      <c r="DX34" s="18"/>
      <c r="DY34" s="136"/>
    </row>
    <row r="35" customFormat="false" ht="13.5" hidden="false" customHeight="false" outlineLevel="0" collapsed="false">
      <c r="A35" s="110" t="n">
        <f aca="false">EOMONTH(A34,0)+1</f>
        <v>46600</v>
      </c>
      <c r="B35" s="99" t="n">
        <f aca="false">'Gas Curves'!C39</f>
        <v>0.070453657841486</v>
      </c>
      <c r="C35" s="99"/>
      <c r="D35" s="145" t="n">
        <v>36603</v>
      </c>
      <c r="E35" s="146" t="n">
        <v>32.9</v>
      </c>
      <c r="F35" s="146" t="n">
        <v>33.25</v>
      </c>
      <c r="G35" s="146" t="n">
        <v>33.6</v>
      </c>
      <c r="H35" s="127"/>
      <c r="I35" s="146" t="n">
        <v>20.325</v>
      </c>
      <c r="J35" s="146" t="n">
        <v>20.5</v>
      </c>
      <c r="K35" s="146" t="n">
        <v>20.675</v>
      </c>
      <c r="L35" s="105"/>
      <c r="M35" s="106" t="n">
        <v>37043</v>
      </c>
      <c r="N35" s="147" t="n">
        <v>24.5837501525879</v>
      </c>
      <c r="O35" s="147" t="n">
        <v>26.3087501525879</v>
      </c>
      <c r="P35" s="147" t="n">
        <v>28.0337501525879</v>
      </c>
      <c r="Q35" s="18"/>
      <c r="R35" s="147" t="n">
        <v>17.2924995422363</v>
      </c>
      <c r="S35" s="147" t="n">
        <v>19.7924995422363</v>
      </c>
      <c r="T35" s="147" t="n">
        <v>22.2924995422363</v>
      </c>
      <c r="U35" s="18"/>
      <c r="V35" s="147" t="n">
        <v>0.7</v>
      </c>
      <c r="W35" s="147" t="n">
        <v>0.7</v>
      </c>
      <c r="X35" s="147" t="n">
        <v>0.7</v>
      </c>
      <c r="Y35" s="18"/>
      <c r="Z35" s="147" t="n">
        <v>0.1717875</v>
      </c>
      <c r="AA35" s="147" t="n">
        <v>0.343575</v>
      </c>
      <c r="AB35" s="147" t="n">
        <v>0.5153625</v>
      </c>
      <c r="AC35" s="18"/>
      <c r="AD35" s="147" t="n">
        <v>0.0441</v>
      </c>
      <c r="AE35" s="147" t="n">
        <v>0.0882</v>
      </c>
      <c r="AF35" s="147" t="n">
        <v>0.1323</v>
      </c>
      <c r="AG35" s="18"/>
      <c r="AH35" s="147" t="n">
        <v>-0.35</v>
      </c>
      <c r="AI35" s="147" t="n">
        <v>2.25</v>
      </c>
      <c r="AJ35" s="147" t="n">
        <v>0.3</v>
      </c>
      <c r="AK35" s="18"/>
      <c r="AL35" s="147" t="n">
        <v>-0.15</v>
      </c>
      <c r="AM35" s="147" t="n">
        <v>0.65</v>
      </c>
      <c r="AN35" s="147" t="n">
        <v>0.2</v>
      </c>
      <c r="AO35" s="18"/>
      <c r="AP35" s="105" t="n">
        <v>6</v>
      </c>
      <c r="AQ35" s="148" t="n">
        <v>0.15</v>
      </c>
      <c r="AR35" s="18"/>
      <c r="AS35" s="105" t="n">
        <v>1500</v>
      </c>
      <c r="AT35" s="162" t="n">
        <v>0.7851</v>
      </c>
      <c r="AU35" s="162" t="n">
        <v>0.7851</v>
      </c>
      <c r="AV35" s="162" t="n">
        <v>0.7951</v>
      </c>
      <c r="AW35" s="162" t="n">
        <v>0.954368909575779</v>
      </c>
      <c r="AX35" s="162" t="n">
        <v>1.02584452376326</v>
      </c>
      <c r="AY35" s="162" t="n">
        <v>1.23031497714214</v>
      </c>
      <c r="AZ35" s="162" t="n">
        <v>1.2506946851613</v>
      </c>
      <c r="BA35" s="162" t="n">
        <v>1.26057331025457</v>
      </c>
      <c r="BB35" s="162" t="n">
        <v>1.08736015234468</v>
      </c>
      <c r="BC35" s="162" t="n">
        <v>0.8451</v>
      </c>
      <c r="BD35" s="162" t="n">
        <v>0.8391</v>
      </c>
      <c r="BE35" s="162" t="n">
        <v>0.7951</v>
      </c>
      <c r="BF35" s="105" t="s">
        <v>102</v>
      </c>
      <c r="BG35" s="18"/>
      <c r="BH35" s="106" t="n">
        <v>37043</v>
      </c>
      <c r="BI35" s="150" t="n">
        <v>0.9</v>
      </c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I35" s="118" t="s">
        <v>68</v>
      </c>
      <c r="CJ35" s="119" t="s">
        <v>69</v>
      </c>
      <c r="CK35" s="120" t="s">
        <v>70</v>
      </c>
      <c r="CM35" s="173" t="n">
        <v>10</v>
      </c>
      <c r="CN35" s="174" t="n">
        <v>0.16</v>
      </c>
      <c r="CO35" s="151"/>
      <c r="CP35" s="0"/>
      <c r="CQ35" s="0"/>
      <c r="CR35" s="0"/>
      <c r="CS35" s="0"/>
      <c r="CT35" s="0"/>
      <c r="CY35" s="152" t="n">
        <f aca="false">M35</f>
        <v>37043</v>
      </c>
      <c r="CZ35" s="153" t="n">
        <f aca="false">AI35+AH35</f>
        <v>1.9</v>
      </c>
      <c r="DA35" s="153" t="n">
        <f aca="false">AI35</f>
        <v>2.25</v>
      </c>
      <c r="DB35" s="153" t="n">
        <f aca="false">AI35+AJ35</f>
        <v>2.55</v>
      </c>
      <c r="DD35" s="153" t="n">
        <f aca="false">Z35</f>
        <v>0.1717875</v>
      </c>
      <c r="DE35" s="153" t="n">
        <f aca="false">AA35</f>
        <v>0.343575</v>
      </c>
      <c r="DF35" s="153" t="n">
        <f aca="false">AB35</f>
        <v>0.5153625</v>
      </c>
      <c r="DH35" s="152" t="n">
        <f aca="false">BH35</f>
        <v>37043</v>
      </c>
      <c r="DI35" s="99" t="n">
        <v>0.9</v>
      </c>
      <c r="DP35" s="0" t="n">
        <v>17</v>
      </c>
      <c r="DQ35" s="159" t="s">
        <v>158</v>
      </c>
      <c r="DR35" s="160" t="s">
        <v>159</v>
      </c>
      <c r="DS35" s="161" t="s">
        <v>160</v>
      </c>
      <c r="DT35" s="105"/>
      <c r="DU35" s="170"/>
      <c r="DV35" s="171"/>
      <c r="DW35" s="81"/>
      <c r="DX35" s="18"/>
      <c r="DY35" s="136"/>
    </row>
    <row r="36" customFormat="false" ht="13.5" hidden="false" customHeight="false" outlineLevel="0" collapsed="false">
      <c r="A36" s="110" t="n">
        <f aca="false">EOMONTH(A35,0)+1</f>
        <v>46631</v>
      </c>
      <c r="B36" s="99" t="n">
        <f aca="false">'Gas Curves'!C40</f>
        <v>0.070635022617049</v>
      </c>
      <c r="C36" s="99"/>
      <c r="D36" s="145" t="n">
        <v>36604</v>
      </c>
      <c r="E36" s="146" t="n">
        <v>32.9</v>
      </c>
      <c r="F36" s="146" t="n">
        <v>33.25</v>
      </c>
      <c r="G36" s="146" t="n">
        <v>33.6</v>
      </c>
      <c r="H36" s="127"/>
      <c r="I36" s="146" t="n">
        <v>20.325</v>
      </c>
      <c r="J36" s="146" t="n">
        <v>20.5</v>
      </c>
      <c r="K36" s="146" t="n">
        <v>20.675</v>
      </c>
      <c r="L36" s="105"/>
      <c r="M36" s="106" t="n">
        <v>37073</v>
      </c>
      <c r="N36" s="147" t="n">
        <v>38.5112495422363</v>
      </c>
      <c r="O36" s="147" t="n">
        <v>40.7612495422363</v>
      </c>
      <c r="P36" s="147" t="n">
        <v>43.0112495422363</v>
      </c>
      <c r="Q36" s="18"/>
      <c r="R36" s="147" t="n">
        <v>27.7474994659424</v>
      </c>
      <c r="S36" s="147" t="n">
        <v>30.2474994659424</v>
      </c>
      <c r="T36" s="147" t="n">
        <v>32.7474994659424</v>
      </c>
      <c r="U36" s="18"/>
      <c r="V36" s="147" t="n">
        <v>0.7</v>
      </c>
      <c r="W36" s="147" t="n">
        <v>0.7</v>
      </c>
      <c r="X36" s="147" t="n">
        <v>0.7</v>
      </c>
      <c r="Y36" s="18"/>
      <c r="Z36" s="147" t="n">
        <v>0.2032875</v>
      </c>
      <c r="AA36" s="147" t="n">
        <v>0.406575</v>
      </c>
      <c r="AB36" s="147" t="n">
        <v>0.6098625</v>
      </c>
      <c r="AC36" s="18"/>
      <c r="AD36" s="147" t="n">
        <v>0.0588</v>
      </c>
      <c r="AE36" s="147" t="n">
        <v>0.1176</v>
      </c>
      <c r="AF36" s="147" t="n">
        <v>0.1764</v>
      </c>
      <c r="AG36" s="18"/>
      <c r="AH36" s="147" t="n">
        <v>-0.35</v>
      </c>
      <c r="AI36" s="147" t="n">
        <v>3.75</v>
      </c>
      <c r="AJ36" s="147" t="n">
        <v>0.5</v>
      </c>
      <c r="AK36" s="18"/>
      <c r="AL36" s="147" t="n">
        <v>-0.15</v>
      </c>
      <c r="AM36" s="147" t="n">
        <v>0.75</v>
      </c>
      <c r="AN36" s="147" t="n">
        <v>0.2</v>
      </c>
      <c r="AO36" s="18"/>
      <c r="AP36" s="105" t="n">
        <v>6</v>
      </c>
      <c r="AQ36" s="148" t="n">
        <v>0.15</v>
      </c>
      <c r="AR36" s="18"/>
      <c r="AS36" s="105" t="n">
        <v>1600</v>
      </c>
      <c r="AT36" s="162" t="n">
        <v>0.7693</v>
      </c>
      <c r="AU36" s="162" t="n">
        <v>0.7693</v>
      </c>
      <c r="AV36" s="162" t="n">
        <v>0.7793</v>
      </c>
      <c r="AW36" s="162" t="n">
        <v>0.891967555963749</v>
      </c>
      <c r="AX36" s="162" t="n">
        <v>0.985916933430152</v>
      </c>
      <c r="AY36" s="162" t="n">
        <v>1.23232814662584</v>
      </c>
      <c r="AZ36" s="162" t="n">
        <v>1.32734019400042</v>
      </c>
      <c r="BA36" s="162" t="n">
        <v>1.24301093426774</v>
      </c>
      <c r="BB36" s="162" t="n">
        <v>1.05337556991925</v>
      </c>
      <c r="BC36" s="162" t="n">
        <v>0.8393</v>
      </c>
      <c r="BD36" s="162" t="n">
        <v>0.8253</v>
      </c>
      <c r="BE36" s="162" t="n">
        <v>0.7813</v>
      </c>
      <c r="BF36" s="105" t="s">
        <v>102</v>
      </c>
      <c r="BG36" s="18"/>
      <c r="BH36" s="106" t="n">
        <v>37073</v>
      </c>
      <c r="BI36" s="150" t="n">
        <v>0.9</v>
      </c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I36" s="129" t="s">
        <v>77</v>
      </c>
      <c r="CJ36" s="130" t="s">
        <v>77</v>
      </c>
      <c r="CK36" s="131" t="s">
        <v>77</v>
      </c>
      <c r="CM36" s="175"/>
      <c r="CN36" s="175"/>
      <c r="CO36" s="151"/>
      <c r="CP36" s="0"/>
      <c r="CQ36" s="0"/>
      <c r="CR36" s="0"/>
      <c r="CS36" s="0"/>
      <c r="CT36" s="0"/>
      <c r="CY36" s="152" t="n">
        <f aca="false">M36</f>
        <v>37073</v>
      </c>
      <c r="CZ36" s="153" t="n">
        <f aca="false">AI36+AH36</f>
        <v>3.4</v>
      </c>
      <c r="DA36" s="153" t="n">
        <f aca="false">AI36</f>
        <v>3.75</v>
      </c>
      <c r="DB36" s="153" t="n">
        <f aca="false">AI36+AJ36</f>
        <v>4.25</v>
      </c>
      <c r="DD36" s="153" t="n">
        <f aca="false">Z36</f>
        <v>0.2032875</v>
      </c>
      <c r="DE36" s="153" t="n">
        <f aca="false">AA36</f>
        <v>0.406575</v>
      </c>
      <c r="DF36" s="153" t="n">
        <f aca="false">AB36</f>
        <v>0.6098625</v>
      </c>
      <c r="DH36" s="152" t="n">
        <f aca="false">BH36</f>
        <v>37073</v>
      </c>
      <c r="DI36" s="99" t="n">
        <v>0.9</v>
      </c>
      <c r="DP36" s="0" t="n">
        <v>18</v>
      </c>
      <c r="DQ36" s="159" t="s">
        <v>161</v>
      </c>
      <c r="DR36" s="160" t="s">
        <v>162</v>
      </c>
      <c r="DS36" s="161" t="s">
        <v>163</v>
      </c>
      <c r="DT36" s="105"/>
      <c r="DU36" s="170"/>
      <c r="DV36" s="171"/>
      <c r="DW36" s="81"/>
      <c r="DX36" s="18"/>
      <c r="DY36" s="136"/>
    </row>
    <row r="37" customFormat="false" ht="13.5" hidden="false" customHeight="false" outlineLevel="0" collapsed="false">
      <c r="A37" s="110" t="n">
        <f aca="false">EOMONTH(A36,0)+1</f>
        <v>46661</v>
      </c>
      <c r="B37" s="99" t="n">
        <f aca="false">'Gas Curves'!C41</f>
        <v>0.070812521572686</v>
      </c>
      <c r="C37" s="99"/>
      <c r="D37" s="145" t="n">
        <v>36605</v>
      </c>
      <c r="E37" s="146" t="n">
        <v>32.9</v>
      </c>
      <c r="F37" s="146" t="n">
        <v>33.25</v>
      </c>
      <c r="G37" s="146" t="n">
        <v>33.6</v>
      </c>
      <c r="H37" s="127"/>
      <c r="I37" s="146" t="n">
        <v>20.325</v>
      </c>
      <c r="J37" s="146" t="n">
        <v>20.5</v>
      </c>
      <c r="K37" s="146" t="n">
        <v>20.675</v>
      </c>
      <c r="L37" s="105"/>
      <c r="M37" s="106" t="n">
        <v>37104</v>
      </c>
      <c r="N37" s="147" t="n">
        <v>40.7724990844727</v>
      </c>
      <c r="O37" s="147" t="n">
        <v>43.0224990844727</v>
      </c>
      <c r="P37" s="147" t="n">
        <v>45.2724990844727</v>
      </c>
      <c r="Q37" s="18"/>
      <c r="R37" s="147" t="n">
        <v>29.2450008392334</v>
      </c>
      <c r="S37" s="147" t="n">
        <v>31.7450008392334</v>
      </c>
      <c r="T37" s="147" t="n">
        <v>34.2450008392334</v>
      </c>
      <c r="U37" s="18"/>
      <c r="V37" s="147" t="n">
        <v>0.7</v>
      </c>
      <c r="W37" s="147" t="n">
        <v>0.7</v>
      </c>
      <c r="X37" s="147" t="n">
        <v>0.7</v>
      </c>
      <c r="Y37" s="18"/>
      <c r="Z37" s="147" t="n">
        <v>0.200025</v>
      </c>
      <c r="AA37" s="147" t="n">
        <v>0.40005</v>
      </c>
      <c r="AB37" s="147" t="n">
        <v>0.600075</v>
      </c>
      <c r="AC37" s="18"/>
      <c r="AD37" s="147" t="n">
        <v>0.0588</v>
      </c>
      <c r="AE37" s="147" t="n">
        <v>0.1176</v>
      </c>
      <c r="AF37" s="147" t="n">
        <v>0.1764</v>
      </c>
      <c r="AG37" s="18"/>
      <c r="AH37" s="147" t="n">
        <v>-0.35</v>
      </c>
      <c r="AI37" s="147" t="n">
        <v>3.75</v>
      </c>
      <c r="AJ37" s="147" t="n">
        <v>0.5</v>
      </c>
      <c r="AK37" s="18"/>
      <c r="AL37" s="147" t="n">
        <v>-0.15</v>
      </c>
      <c r="AM37" s="147" t="n">
        <v>0.75</v>
      </c>
      <c r="AN37" s="147" t="n">
        <v>0.2</v>
      </c>
      <c r="AO37" s="18"/>
      <c r="AP37" s="105" t="n">
        <v>7</v>
      </c>
      <c r="AQ37" s="148" t="n">
        <v>0.2</v>
      </c>
      <c r="AR37" s="18"/>
      <c r="AS37" s="105" t="n">
        <v>1700</v>
      </c>
      <c r="AT37" s="162" t="n">
        <v>0.8396</v>
      </c>
      <c r="AU37" s="162" t="n">
        <v>0.8396</v>
      </c>
      <c r="AV37" s="162" t="n">
        <v>0.8496</v>
      </c>
      <c r="AW37" s="162" t="n">
        <v>0.87001361056091</v>
      </c>
      <c r="AX37" s="162" t="n">
        <v>0.99933522198472</v>
      </c>
      <c r="AY37" s="162" t="n">
        <v>1.25232563016399</v>
      </c>
      <c r="AZ37" s="162" t="n">
        <v>1.35388881627921</v>
      </c>
      <c r="BA37" s="162" t="n">
        <v>1.21504622788872</v>
      </c>
      <c r="BB37" s="162" t="n">
        <v>1.13452840898687</v>
      </c>
      <c r="BC37" s="162" t="n">
        <v>0.8896</v>
      </c>
      <c r="BD37" s="162" t="n">
        <v>0.8866</v>
      </c>
      <c r="BE37" s="162" t="n">
        <v>0.8796</v>
      </c>
      <c r="BF37" s="105" t="s">
        <v>102</v>
      </c>
      <c r="BG37" s="18"/>
      <c r="BH37" s="106" t="n">
        <v>37104</v>
      </c>
      <c r="BI37" s="150" t="n">
        <v>0.9</v>
      </c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I37" s="138" t="n">
        <f aca="false">BG37</f>
        <v>0</v>
      </c>
      <c r="CJ37" s="176" t="n">
        <f aca="false">CI37+BE37</f>
        <v>0.8796</v>
      </c>
      <c r="CK37" s="177" t="n">
        <f aca="false">CI37+BF37</f>
        <v>1</v>
      </c>
      <c r="CM37" s="175"/>
      <c r="CN37" s="175"/>
      <c r="CO37" s="151"/>
      <c r="CP37" s="0"/>
      <c r="CQ37" s="0"/>
      <c r="CR37" s="0"/>
      <c r="CS37" s="0"/>
      <c r="CT37" s="0"/>
      <c r="CY37" s="152" t="n">
        <f aca="false">M37</f>
        <v>37104</v>
      </c>
      <c r="CZ37" s="153" t="n">
        <f aca="false">AI37+AH37</f>
        <v>3.4</v>
      </c>
      <c r="DA37" s="153" t="n">
        <f aca="false">AI37</f>
        <v>3.75</v>
      </c>
      <c r="DB37" s="153" t="n">
        <f aca="false">AI37+AJ37</f>
        <v>4.25</v>
      </c>
      <c r="DD37" s="153" t="n">
        <f aca="false">Z37</f>
        <v>0.200025</v>
      </c>
      <c r="DE37" s="153" t="n">
        <f aca="false">AA37</f>
        <v>0.40005</v>
      </c>
      <c r="DF37" s="153" t="n">
        <f aca="false">AB37</f>
        <v>0.600075</v>
      </c>
      <c r="DH37" s="152" t="n">
        <f aca="false">BH37</f>
        <v>37104</v>
      </c>
      <c r="DI37" s="99" t="n">
        <v>0.9</v>
      </c>
      <c r="DP37" s="0" t="n">
        <v>19</v>
      </c>
      <c r="DQ37" s="159" t="s">
        <v>164</v>
      </c>
      <c r="DR37" s="160" t="s">
        <v>165</v>
      </c>
      <c r="DS37" s="161" t="s">
        <v>166</v>
      </c>
      <c r="DT37" s="105"/>
      <c r="DU37" s="170"/>
      <c r="DV37" s="171"/>
      <c r="DW37" s="81"/>
      <c r="DX37" s="18"/>
      <c r="DY37" s="136"/>
    </row>
    <row r="38" customFormat="false" ht="13.5" hidden="false" customHeight="false" outlineLevel="0" collapsed="false">
      <c r="A38" s="110" t="n">
        <f aca="false">EOMONTH(A37,0)+1</f>
        <v>46692</v>
      </c>
      <c r="B38" s="99" t="n">
        <f aca="false">'Gas Curves'!C42</f>
        <v>0.070949656842765</v>
      </c>
      <c r="C38" s="99"/>
      <c r="D38" s="145" t="n">
        <v>36606</v>
      </c>
      <c r="E38" s="146" t="n">
        <v>32.9</v>
      </c>
      <c r="F38" s="146" t="n">
        <v>33.25</v>
      </c>
      <c r="G38" s="146" t="n">
        <v>33.6</v>
      </c>
      <c r="H38" s="127"/>
      <c r="I38" s="146" t="n">
        <v>20.325</v>
      </c>
      <c r="J38" s="146" t="n">
        <v>20.5</v>
      </c>
      <c r="K38" s="146" t="n">
        <v>20.675</v>
      </c>
      <c r="L38" s="105"/>
      <c r="M38" s="106" t="n">
        <v>37135</v>
      </c>
      <c r="N38" s="147" t="n">
        <v>22.4799991607666</v>
      </c>
      <c r="O38" s="147" t="n">
        <v>23.0049991607666</v>
      </c>
      <c r="P38" s="147" t="n">
        <v>23.5299991607666</v>
      </c>
      <c r="Q38" s="18"/>
      <c r="R38" s="147" t="n">
        <v>21</v>
      </c>
      <c r="S38" s="147" t="n">
        <v>23.5</v>
      </c>
      <c r="T38" s="147" t="n">
        <v>26</v>
      </c>
      <c r="U38" s="18"/>
      <c r="V38" s="147" t="n">
        <v>1.2</v>
      </c>
      <c r="W38" s="147" t="n">
        <v>1.2</v>
      </c>
      <c r="X38" s="147" t="n">
        <v>1.2</v>
      </c>
      <c r="Y38" s="18"/>
      <c r="Z38" s="147" t="n">
        <v>0.132525</v>
      </c>
      <c r="AA38" s="147" t="n">
        <v>0.26505</v>
      </c>
      <c r="AB38" s="147" t="n">
        <v>0.397575</v>
      </c>
      <c r="AC38" s="18"/>
      <c r="AD38" s="147" t="n">
        <v>0.0392</v>
      </c>
      <c r="AE38" s="147" t="n">
        <v>0.0784</v>
      </c>
      <c r="AF38" s="147" t="n">
        <v>0.1176</v>
      </c>
      <c r="AG38" s="18"/>
      <c r="AH38" s="147" t="n">
        <v>-0.35</v>
      </c>
      <c r="AI38" s="147" t="n">
        <v>1.5</v>
      </c>
      <c r="AJ38" s="147" t="n">
        <v>0.3</v>
      </c>
      <c r="AK38" s="18"/>
      <c r="AL38" s="147" t="n">
        <v>-0.15</v>
      </c>
      <c r="AM38" s="147" t="n">
        <v>0.4</v>
      </c>
      <c r="AN38" s="147" t="n">
        <v>0.2</v>
      </c>
      <c r="AO38" s="18"/>
      <c r="AP38" s="105" t="n">
        <v>7</v>
      </c>
      <c r="AQ38" s="148" t="n">
        <v>0.2</v>
      </c>
      <c r="AR38" s="18"/>
      <c r="AS38" s="105" t="n">
        <v>1800</v>
      </c>
      <c r="AT38" s="162" t="n">
        <v>1.168266924108</v>
      </c>
      <c r="AU38" s="162" t="n">
        <v>1.168266924108</v>
      </c>
      <c r="AV38" s="162" t="n">
        <v>1.1583</v>
      </c>
      <c r="AW38" s="162" t="n">
        <v>0.858698637233787</v>
      </c>
      <c r="AX38" s="162" t="n">
        <v>0.960389457643412</v>
      </c>
      <c r="AY38" s="162" t="n">
        <v>1.21514910036489</v>
      </c>
      <c r="AZ38" s="162" t="n">
        <v>1.32033935867348</v>
      </c>
      <c r="BA38" s="162" t="n">
        <v>1.12520791995609</v>
      </c>
      <c r="BB38" s="162" t="n">
        <v>1.1066962078626</v>
      </c>
      <c r="BC38" s="162" t="n">
        <v>1.2001</v>
      </c>
      <c r="BD38" s="162" t="n">
        <v>1.2171</v>
      </c>
      <c r="BE38" s="162" t="n">
        <v>1.23965925286319</v>
      </c>
      <c r="BF38" s="105" t="s">
        <v>102</v>
      </c>
      <c r="BG38" s="18"/>
      <c r="BH38" s="106" t="n">
        <v>37135</v>
      </c>
      <c r="BI38" s="150" t="n">
        <v>0.9</v>
      </c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I38" s="138" t="n">
        <f aca="false">BG38</f>
        <v>0</v>
      </c>
      <c r="CJ38" s="176" t="n">
        <f aca="false">CI38+BE38</f>
        <v>1.23965925286319</v>
      </c>
      <c r="CK38" s="177" t="n">
        <f aca="false">CI38+BF38</f>
        <v>1</v>
      </c>
      <c r="CM38" s="175"/>
      <c r="CN38" s="175"/>
      <c r="CO38" s="151"/>
      <c r="CP38" s="0"/>
      <c r="CQ38" s="0"/>
      <c r="CR38" s="0"/>
      <c r="CS38" s="0"/>
      <c r="CT38" s="0"/>
      <c r="CY38" s="152" t="n">
        <f aca="false">M38</f>
        <v>37135</v>
      </c>
      <c r="CZ38" s="153" t="n">
        <f aca="false">AI38+AH38</f>
        <v>1.15</v>
      </c>
      <c r="DA38" s="153" t="n">
        <f aca="false">AI38</f>
        <v>1.5</v>
      </c>
      <c r="DB38" s="153" t="n">
        <f aca="false">AI38+AJ38</f>
        <v>1.8</v>
      </c>
      <c r="DD38" s="153" t="n">
        <f aca="false">Z38</f>
        <v>0.132525</v>
      </c>
      <c r="DE38" s="153" t="n">
        <f aca="false">AA38</f>
        <v>0.26505</v>
      </c>
      <c r="DF38" s="153" t="n">
        <f aca="false">AB38</f>
        <v>0.397575</v>
      </c>
      <c r="DH38" s="152" t="n">
        <f aca="false">BH38</f>
        <v>37135</v>
      </c>
      <c r="DI38" s="99" t="n">
        <v>0.9</v>
      </c>
      <c r="DP38" s="0" t="n">
        <v>20</v>
      </c>
      <c r="DQ38" s="159" t="s">
        <v>167</v>
      </c>
      <c r="DR38" s="160" t="s">
        <v>168</v>
      </c>
      <c r="DS38" s="161" t="s">
        <v>169</v>
      </c>
      <c r="DT38" s="105"/>
      <c r="DU38" s="170"/>
      <c r="DV38" s="171"/>
      <c r="DW38" s="81"/>
      <c r="DX38" s="18"/>
      <c r="DY38" s="136"/>
    </row>
    <row r="39" customFormat="false" ht="13.5" hidden="false" customHeight="false" outlineLevel="0" collapsed="false">
      <c r="A39" s="110" t="n">
        <f aca="false">EOMONTH(A38,0)+1</f>
        <v>46722</v>
      </c>
      <c r="B39" s="99" t="n">
        <f aca="false">'Gas Curves'!C43</f>
        <v>0.071091363295042</v>
      </c>
      <c r="C39" s="99"/>
      <c r="D39" s="145" t="n">
        <v>36607</v>
      </c>
      <c r="E39" s="146" t="n">
        <v>32.9</v>
      </c>
      <c r="F39" s="146" t="n">
        <v>33.25</v>
      </c>
      <c r="G39" s="146" t="n">
        <v>33.6</v>
      </c>
      <c r="H39" s="127"/>
      <c r="I39" s="146" t="n">
        <v>20.325</v>
      </c>
      <c r="J39" s="146" t="n">
        <v>20.5</v>
      </c>
      <c r="K39" s="146" t="n">
        <v>20.675</v>
      </c>
      <c r="L39" s="105"/>
      <c r="M39" s="106" t="n">
        <v>37165</v>
      </c>
      <c r="N39" s="147" t="n">
        <v>22.6880001068115</v>
      </c>
      <c r="O39" s="147" t="n">
        <v>23.1005001068115</v>
      </c>
      <c r="P39" s="147" t="n">
        <v>23.5130001068115</v>
      </c>
      <c r="Q39" s="18"/>
      <c r="R39" s="147" t="n">
        <v>18.6009998321533</v>
      </c>
      <c r="S39" s="147" t="n">
        <v>21.1009998321533</v>
      </c>
      <c r="T39" s="147" t="n">
        <v>23.6009998321533</v>
      </c>
      <c r="U39" s="18"/>
      <c r="V39" s="147" t="n">
        <v>1.2</v>
      </c>
      <c r="W39" s="147" t="n">
        <v>1.2</v>
      </c>
      <c r="X39" s="147" t="n">
        <v>1.2</v>
      </c>
      <c r="Y39" s="18"/>
      <c r="Z39" s="147" t="n">
        <v>0.12105</v>
      </c>
      <c r="AA39" s="147" t="n">
        <v>0.2421</v>
      </c>
      <c r="AB39" s="147" t="n">
        <v>0.36315</v>
      </c>
      <c r="AC39" s="18"/>
      <c r="AD39" s="147" t="n">
        <v>0.0294</v>
      </c>
      <c r="AE39" s="147" t="n">
        <v>0.0588</v>
      </c>
      <c r="AF39" s="147" t="n">
        <v>0.0882</v>
      </c>
      <c r="AG39" s="18"/>
      <c r="AH39" s="147" t="n">
        <v>-0.25</v>
      </c>
      <c r="AI39" s="147" t="n">
        <v>1.1</v>
      </c>
      <c r="AJ39" s="147" t="n">
        <v>0.3</v>
      </c>
      <c r="AK39" s="18"/>
      <c r="AL39" s="147" t="n">
        <v>-0.15</v>
      </c>
      <c r="AM39" s="147" t="n">
        <v>0.35</v>
      </c>
      <c r="AN39" s="147" t="n">
        <v>0.2</v>
      </c>
      <c r="AO39" s="18"/>
      <c r="AP39" s="105" t="n">
        <v>7</v>
      </c>
      <c r="AQ39" s="148" t="n">
        <v>0.2</v>
      </c>
      <c r="AR39" s="18"/>
      <c r="AS39" s="105" t="n">
        <v>1900</v>
      </c>
      <c r="AT39" s="162" t="n">
        <v>1.28189922894351</v>
      </c>
      <c r="AU39" s="162" t="n">
        <v>1.28189922894351</v>
      </c>
      <c r="AV39" s="162" t="n">
        <v>1.2719</v>
      </c>
      <c r="AW39" s="162" t="n">
        <v>0.854095390617062</v>
      </c>
      <c r="AX39" s="162" t="n">
        <v>0.832097528048518</v>
      </c>
      <c r="AY39" s="162" t="n">
        <v>1.03758755190203</v>
      </c>
      <c r="AZ39" s="162" t="n">
        <v>1.1027679439024</v>
      </c>
      <c r="BA39" s="162" t="n">
        <v>0.917161312112129</v>
      </c>
      <c r="BB39" s="162" t="n">
        <v>0.906450845036896</v>
      </c>
      <c r="BC39" s="162" t="n">
        <v>1.2095</v>
      </c>
      <c r="BD39" s="162" t="n">
        <v>1.2269</v>
      </c>
      <c r="BE39" s="162" t="n">
        <v>1.2314</v>
      </c>
      <c r="BF39" s="105" t="s">
        <v>102</v>
      </c>
      <c r="BG39" s="18"/>
      <c r="BH39" s="106" t="n">
        <v>37165</v>
      </c>
      <c r="BI39" s="150" t="n">
        <v>0.9</v>
      </c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I39" s="138" t="n">
        <f aca="false">BG39</f>
        <v>0</v>
      </c>
      <c r="CJ39" s="176" t="n">
        <f aca="false">CI39+BE39</f>
        <v>1.2314</v>
      </c>
      <c r="CK39" s="177" t="n">
        <f aca="false">CI39+BF39</f>
        <v>1</v>
      </c>
      <c r="CM39" s="175"/>
      <c r="CN39" s="175"/>
      <c r="CO39" s="151"/>
      <c r="CP39" s="0"/>
      <c r="CQ39" s="0"/>
      <c r="CR39" s="0"/>
      <c r="CS39" s="0"/>
      <c r="CT39" s="0"/>
      <c r="CY39" s="152" t="n">
        <f aca="false">M39</f>
        <v>37165</v>
      </c>
      <c r="CZ39" s="153" t="n">
        <f aca="false">AI39+AH39</f>
        <v>0.85</v>
      </c>
      <c r="DA39" s="153" t="n">
        <f aca="false">AI39</f>
        <v>1.1</v>
      </c>
      <c r="DB39" s="153" t="n">
        <f aca="false">AI39+AJ39</f>
        <v>1.4</v>
      </c>
      <c r="DD39" s="153" t="n">
        <f aca="false">Z39</f>
        <v>0.12105</v>
      </c>
      <c r="DE39" s="153" t="n">
        <f aca="false">AA39</f>
        <v>0.2421</v>
      </c>
      <c r="DF39" s="153" t="n">
        <f aca="false">AB39</f>
        <v>0.36315</v>
      </c>
      <c r="DH39" s="152" t="n">
        <f aca="false">BH39</f>
        <v>37165</v>
      </c>
      <c r="DI39" s="99" t="n">
        <v>0.9</v>
      </c>
      <c r="DP39" s="0" t="n">
        <v>21</v>
      </c>
      <c r="DQ39" s="159" t="s">
        <v>170</v>
      </c>
      <c r="DR39" s="160" t="s">
        <v>171</v>
      </c>
      <c r="DS39" s="161" t="s">
        <v>172</v>
      </c>
      <c r="DT39" s="63"/>
      <c r="DU39" s="170"/>
      <c r="DV39" s="171"/>
      <c r="DW39" s="81"/>
      <c r="DX39" s="18"/>
      <c r="DY39" s="136"/>
    </row>
    <row r="40" customFormat="false" ht="13.5" hidden="false" customHeight="false" outlineLevel="0" collapsed="false">
      <c r="A40" s="110" t="n">
        <f aca="false">EOMONTH(A39,0)+1</f>
        <v>46753</v>
      </c>
      <c r="B40" s="99" t="n">
        <f aca="false">'Gas Curves'!C44</f>
        <v>0.071217617269914</v>
      </c>
      <c r="C40" s="99"/>
      <c r="D40" s="145" t="n">
        <v>36608</v>
      </c>
      <c r="E40" s="146" t="n">
        <v>32.9</v>
      </c>
      <c r="F40" s="146" t="n">
        <v>33.25</v>
      </c>
      <c r="G40" s="146" t="n">
        <v>33.6</v>
      </c>
      <c r="H40" s="127"/>
      <c r="I40" s="146" t="n">
        <v>20.325</v>
      </c>
      <c r="J40" s="146" t="n">
        <v>20.5</v>
      </c>
      <c r="K40" s="146" t="n">
        <v>20.675</v>
      </c>
      <c r="L40" s="105"/>
      <c r="M40" s="106" t="n">
        <v>37196</v>
      </c>
      <c r="N40" s="147" t="n">
        <v>23.6922515869141</v>
      </c>
      <c r="O40" s="147" t="n">
        <v>24.1047515869141</v>
      </c>
      <c r="P40" s="147" t="n">
        <v>24.5172515869141</v>
      </c>
      <c r="Q40" s="18"/>
      <c r="R40" s="147" t="n">
        <v>19.6044998168945</v>
      </c>
      <c r="S40" s="147" t="n">
        <v>22.1044998168945</v>
      </c>
      <c r="T40" s="147" t="n">
        <v>24.6044998168945</v>
      </c>
      <c r="U40" s="18"/>
      <c r="V40" s="147" t="n">
        <v>1.2</v>
      </c>
      <c r="W40" s="147" t="n">
        <v>1.2</v>
      </c>
      <c r="X40" s="147" t="n">
        <v>1.2</v>
      </c>
      <c r="Y40" s="18"/>
      <c r="Z40" s="147" t="n">
        <v>0.12105</v>
      </c>
      <c r="AA40" s="147" t="n">
        <v>0.2421</v>
      </c>
      <c r="AB40" s="147" t="n">
        <v>0.36315</v>
      </c>
      <c r="AC40" s="18"/>
      <c r="AD40" s="147" t="n">
        <v>0.0294</v>
      </c>
      <c r="AE40" s="147" t="n">
        <v>0.0588</v>
      </c>
      <c r="AF40" s="147" t="n">
        <v>0.0882</v>
      </c>
      <c r="AG40" s="18"/>
      <c r="AH40" s="147" t="n">
        <v>-0.25</v>
      </c>
      <c r="AI40" s="147" t="n">
        <v>1.25</v>
      </c>
      <c r="AJ40" s="147" t="n">
        <v>0.3</v>
      </c>
      <c r="AK40" s="18"/>
      <c r="AL40" s="147" t="n">
        <v>-0.15</v>
      </c>
      <c r="AM40" s="147" t="n">
        <v>0.3</v>
      </c>
      <c r="AN40" s="147" t="n">
        <v>0.2</v>
      </c>
      <c r="AO40" s="18"/>
      <c r="AP40" s="105" t="n">
        <v>8</v>
      </c>
      <c r="AQ40" s="148" t="n">
        <v>0.2</v>
      </c>
      <c r="AR40" s="18"/>
      <c r="AS40" s="105" t="n">
        <v>2000</v>
      </c>
      <c r="AT40" s="162" t="n">
        <v>1.227</v>
      </c>
      <c r="AU40" s="162" t="n">
        <v>1.227</v>
      </c>
      <c r="AV40" s="162" t="n">
        <v>1.217</v>
      </c>
      <c r="AW40" s="162" t="n">
        <v>0.936808972307086</v>
      </c>
      <c r="AX40" s="162" t="n">
        <v>0.829970238399623</v>
      </c>
      <c r="AY40" s="162" t="n">
        <v>0.829694249884662</v>
      </c>
      <c r="AZ40" s="162" t="n">
        <v>0.816006455315691</v>
      </c>
      <c r="BA40" s="162" t="n">
        <v>0.835023430573733</v>
      </c>
      <c r="BB40" s="162" t="n">
        <v>1.18462637101057</v>
      </c>
      <c r="BC40" s="162" t="n">
        <v>1.1567</v>
      </c>
      <c r="BD40" s="162" t="n">
        <v>1.1767</v>
      </c>
      <c r="BE40" s="162" t="n">
        <v>1.18899630831453</v>
      </c>
      <c r="BF40" s="105" t="s">
        <v>102</v>
      </c>
      <c r="BG40" s="18"/>
      <c r="BH40" s="106" t="n">
        <v>37196</v>
      </c>
      <c r="BI40" s="150" t="n">
        <v>0.9</v>
      </c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I40" s="138" t="n">
        <f aca="false">BG40</f>
        <v>0</v>
      </c>
      <c r="CJ40" s="176" t="n">
        <f aca="false">CI40+BE40</f>
        <v>1.18899630831453</v>
      </c>
      <c r="CK40" s="177" t="n">
        <f aca="false">CI40+BF40</f>
        <v>1</v>
      </c>
      <c r="CM40" s="175"/>
      <c r="CN40" s="175"/>
      <c r="CO40" s="151"/>
      <c r="CP40" s="0"/>
      <c r="CQ40" s="0"/>
      <c r="CR40" s="0"/>
      <c r="CS40" s="0"/>
      <c r="CT40" s="0"/>
      <c r="CY40" s="152" t="n">
        <f aca="false">M40</f>
        <v>37196</v>
      </c>
      <c r="CZ40" s="153" t="n">
        <f aca="false">AI40+AH40</f>
        <v>1</v>
      </c>
      <c r="DA40" s="153" t="n">
        <f aca="false">AI40</f>
        <v>1.25</v>
      </c>
      <c r="DB40" s="153" t="n">
        <f aca="false">AI40+AJ40</f>
        <v>1.55</v>
      </c>
      <c r="DD40" s="153" t="n">
        <f aca="false">Z40</f>
        <v>0.12105</v>
      </c>
      <c r="DE40" s="153" t="n">
        <f aca="false">AA40</f>
        <v>0.2421</v>
      </c>
      <c r="DF40" s="153" t="n">
        <f aca="false">AB40</f>
        <v>0.36315</v>
      </c>
      <c r="DH40" s="152" t="n">
        <f aca="false">BH40</f>
        <v>37196</v>
      </c>
      <c r="DI40" s="99" t="n">
        <v>0.9</v>
      </c>
      <c r="DP40" s="0" t="n">
        <v>22</v>
      </c>
      <c r="DQ40" s="159" t="s">
        <v>173</v>
      </c>
      <c r="DR40" s="160" t="s">
        <v>174</v>
      </c>
      <c r="DS40" s="161" t="s">
        <v>175</v>
      </c>
      <c r="DT40" s="63"/>
      <c r="DU40" s="170"/>
      <c r="DV40" s="171"/>
      <c r="DW40" s="81"/>
      <c r="DX40" s="18"/>
      <c r="DY40" s="136"/>
    </row>
    <row r="41" customFormat="false" ht="13.5" hidden="false" customHeight="false" outlineLevel="0" collapsed="false">
      <c r="A41" s="110" t="n">
        <f aca="false">EOMONTH(A40,0)+1</f>
        <v>46784</v>
      </c>
      <c r="B41" s="99" t="n">
        <f aca="false">'Gas Curves'!C45</f>
        <v>0.071330136209252</v>
      </c>
      <c r="C41" s="99"/>
      <c r="D41" s="145" t="n">
        <v>36609</v>
      </c>
      <c r="E41" s="146" t="n">
        <v>32.9</v>
      </c>
      <c r="F41" s="146" t="n">
        <v>33.25</v>
      </c>
      <c r="G41" s="146" t="n">
        <v>33.6</v>
      </c>
      <c r="H41" s="127"/>
      <c r="I41" s="146" t="n">
        <v>20.325</v>
      </c>
      <c r="J41" s="146" t="n">
        <v>20.5</v>
      </c>
      <c r="K41" s="146" t="n">
        <v>20.675</v>
      </c>
      <c r="L41" s="105"/>
      <c r="M41" s="106" t="n">
        <v>37226</v>
      </c>
      <c r="N41" s="147" t="n">
        <v>25.1424983978271</v>
      </c>
      <c r="O41" s="147" t="n">
        <v>25.5549983978272</v>
      </c>
      <c r="P41" s="147" t="n">
        <v>25.9674983978272</v>
      </c>
      <c r="Q41" s="18"/>
      <c r="R41" s="147" t="n">
        <v>19.5499992370605</v>
      </c>
      <c r="S41" s="147" t="n">
        <v>22.0499992370605</v>
      </c>
      <c r="T41" s="147" t="n">
        <v>24.5499992370605</v>
      </c>
      <c r="U41" s="18"/>
      <c r="V41" s="147" t="n">
        <v>1.2</v>
      </c>
      <c r="W41" s="147" t="n">
        <v>1.2</v>
      </c>
      <c r="X41" s="147" t="n">
        <v>1.2</v>
      </c>
      <c r="Y41" s="18"/>
      <c r="Z41" s="147" t="n">
        <v>0.12537</v>
      </c>
      <c r="AA41" s="147" t="n">
        <v>0.25074</v>
      </c>
      <c r="AB41" s="147" t="n">
        <v>0.37611</v>
      </c>
      <c r="AC41" s="18"/>
      <c r="AD41" s="147" t="n">
        <v>0.0294</v>
      </c>
      <c r="AE41" s="147" t="n">
        <v>0.0588</v>
      </c>
      <c r="AF41" s="147" t="n">
        <v>0.0882</v>
      </c>
      <c r="AG41" s="18"/>
      <c r="AH41" s="147" t="n">
        <v>-0.25</v>
      </c>
      <c r="AI41" s="147" t="n">
        <v>1.25</v>
      </c>
      <c r="AJ41" s="147" t="n">
        <v>0.35</v>
      </c>
      <c r="AK41" s="18"/>
      <c r="AL41" s="147" t="n">
        <v>-0.15</v>
      </c>
      <c r="AM41" s="147" t="n">
        <v>0.3</v>
      </c>
      <c r="AN41" s="147" t="n">
        <v>0.2</v>
      </c>
      <c r="AO41" s="18"/>
      <c r="AP41" s="105" t="n">
        <v>8</v>
      </c>
      <c r="AQ41" s="148" t="n">
        <v>0.2</v>
      </c>
      <c r="AR41" s="18"/>
      <c r="AS41" s="105" t="n">
        <v>2100</v>
      </c>
      <c r="AT41" s="162" t="n">
        <v>1.15505237327277</v>
      </c>
      <c r="AU41" s="162" t="n">
        <v>1.15505237327277</v>
      </c>
      <c r="AV41" s="162" t="n">
        <v>1.1451</v>
      </c>
      <c r="AW41" s="162" t="n">
        <v>1.15433651784915</v>
      </c>
      <c r="AX41" s="162" t="n">
        <v>1.08769956124651</v>
      </c>
      <c r="AY41" s="162" t="n">
        <v>0.90163150610242</v>
      </c>
      <c r="AZ41" s="162" t="n">
        <v>0.902562237539706</v>
      </c>
      <c r="BA41" s="162" t="n">
        <v>1.05063536961202</v>
      </c>
      <c r="BB41" s="162" t="n">
        <v>1.1944408840386</v>
      </c>
      <c r="BC41" s="162" t="n">
        <v>1.0689</v>
      </c>
      <c r="BD41" s="162" t="n">
        <v>1.0889</v>
      </c>
      <c r="BE41" s="162" t="n">
        <v>1.15505237327277</v>
      </c>
      <c r="BF41" s="105" t="s">
        <v>102</v>
      </c>
      <c r="BG41" s="18"/>
      <c r="BH41" s="106" t="n">
        <v>37226</v>
      </c>
      <c r="BI41" s="150" t="n">
        <v>0.9</v>
      </c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I41" s="138" t="n">
        <f aca="false">BG41</f>
        <v>0</v>
      </c>
      <c r="CJ41" s="176" t="n">
        <f aca="false">CI41+BE41</f>
        <v>1.15505237327277</v>
      </c>
      <c r="CK41" s="177" t="n">
        <f aca="false">CI41+BF41</f>
        <v>1</v>
      </c>
      <c r="CM41" s="175"/>
      <c r="CN41" s="175"/>
      <c r="CO41" s="151"/>
      <c r="CP41" s="0"/>
      <c r="CQ41" s="0"/>
      <c r="CR41" s="0"/>
      <c r="CS41" s="0"/>
      <c r="CT41" s="0"/>
      <c r="CY41" s="152" t="n">
        <f aca="false">M41</f>
        <v>37226</v>
      </c>
      <c r="CZ41" s="153" t="n">
        <f aca="false">AI41+AH41</f>
        <v>1</v>
      </c>
      <c r="DA41" s="153" t="n">
        <f aca="false">AI41</f>
        <v>1.25</v>
      </c>
      <c r="DB41" s="153" t="n">
        <f aca="false">AI41+AJ41</f>
        <v>1.6</v>
      </c>
      <c r="DD41" s="153" t="n">
        <f aca="false">Z41</f>
        <v>0.12537</v>
      </c>
      <c r="DE41" s="153" t="n">
        <f aca="false">AA41</f>
        <v>0.25074</v>
      </c>
      <c r="DF41" s="153" t="n">
        <f aca="false">AB41</f>
        <v>0.37611</v>
      </c>
      <c r="DH41" s="152" t="n">
        <f aca="false">BH41</f>
        <v>37226</v>
      </c>
      <c r="DI41" s="99" t="n">
        <v>0.9</v>
      </c>
      <c r="DP41" s="0" t="n">
        <v>23</v>
      </c>
      <c r="DQ41" s="178" t="s">
        <v>176</v>
      </c>
      <c r="DR41" s="179" t="s">
        <v>177</v>
      </c>
      <c r="DS41" s="180" t="s">
        <v>178</v>
      </c>
      <c r="DT41" s="63"/>
      <c r="DU41" s="170"/>
      <c r="DV41" s="171"/>
      <c r="DW41" s="81"/>
      <c r="DX41" s="18"/>
      <c r="DY41" s="136"/>
    </row>
    <row r="42" customFormat="false" ht="13.5" hidden="false" customHeight="false" outlineLevel="0" collapsed="false">
      <c r="A42" s="110" t="n">
        <f aca="false">EOMONTH(A41,0)+1</f>
        <v>46813</v>
      </c>
      <c r="B42" s="99" t="n">
        <f aca="false">'Gas Curves'!C46</f>
        <v>0.071442655152774</v>
      </c>
      <c r="C42" s="99"/>
      <c r="D42" s="145" t="n">
        <v>36610</v>
      </c>
      <c r="E42" s="146" t="n">
        <v>32.9</v>
      </c>
      <c r="F42" s="146" t="n">
        <v>33.25</v>
      </c>
      <c r="G42" s="146" t="n">
        <v>33.6</v>
      </c>
      <c r="H42" s="127"/>
      <c r="I42" s="146" t="n">
        <v>20.325</v>
      </c>
      <c r="J42" s="146" t="n">
        <v>20.5</v>
      </c>
      <c r="K42" s="146" t="n">
        <v>20.675</v>
      </c>
      <c r="L42" s="105"/>
      <c r="M42" s="106" t="n">
        <v>37257</v>
      </c>
      <c r="N42" s="147" t="n">
        <v>28.1237483978272</v>
      </c>
      <c r="O42" s="147" t="n">
        <v>28.6487483978272</v>
      </c>
      <c r="P42" s="147" t="n">
        <v>29.1737483978271</v>
      </c>
      <c r="Q42" s="18"/>
      <c r="R42" s="147" t="n">
        <v>24.1525001525879</v>
      </c>
      <c r="S42" s="147" t="n">
        <v>27.1525001525879</v>
      </c>
      <c r="T42" s="147" t="n">
        <v>30.1525001525879</v>
      </c>
      <c r="U42" s="18"/>
      <c r="V42" s="147" t="n">
        <v>1.2</v>
      </c>
      <c r="W42" s="147" t="n">
        <v>1.2</v>
      </c>
      <c r="X42" s="147" t="n">
        <v>1.2</v>
      </c>
      <c r="Y42" s="18"/>
      <c r="Z42" s="147" t="n">
        <v>0.1349</v>
      </c>
      <c r="AA42" s="147" t="n">
        <v>0.2698</v>
      </c>
      <c r="AB42" s="147" t="n">
        <v>0.4047</v>
      </c>
      <c r="AC42" s="18"/>
      <c r="AD42" s="147" t="n">
        <v>0.033614</v>
      </c>
      <c r="AE42" s="147" t="n">
        <v>0.067228</v>
      </c>
      <c r="AF42" s="147" t="n">
        <v>0.100842</v>
      </c>
      <c r="AG42" s="18"/>
      <c r="AH42" s="147" t="n">
        <v>-0.75</v>
      </c>
      <c r="AI42" s="147" t="n">
        <v>2</v>
      </c>
      <c r="AJ42" s="147" t="n">
        <v>0.75</v>
      </c>
      <c r="AK42" s="18"/>
      <c r="AL42" s="147" t="n">
        <v>-0.15</v>
      </c>
      <c r="AM42" s="147" t="n">
        <v>0.5</v>
      </c>
      <c r="AN42" s="147" t="n">
        <v>0.2</v>
      </c>
      <c r="AO42" s="18"/>
      <c r="AP42" s="105" t="n">
        <v>8</v>
      </c>
      <c r="AQ42" s="148" t="n">
        <v>0.2</v>
      </c>
      <c r="AR42" s="18"/>
      <c r="AS42" s="105" t="n">
        <v>2200</v>
      </c>
      <c r="AT42" s="162" t="n">
        <v>0.8215</v>
      </c>
      <c r="AU42" s="162" t="n">
        <v>0.8215</v>
      </c>
      <c r="AV42" s="162" t="n">
        <v>0.8315</v>
      </c>
      <c r="AW42" s="162" t="n">
        <v>0.983581820797299</v>
      </c>
      <c r="AX42" s="162" t="n">
        <v>1.03746279799953</v>
      </c>
      <c r="AY42" s="162" t="n">
        <v>0.918676341064463</v>
      </c>
      <c r="AZ42" s="162" t="n">
        <v>0.956386841611783</v>
      </c>
      <c r="BA42" s="162" t="n">
        <v>0.893384556929962</v>
      </c>
      <c r="BB42" s="162" t="n">
        <v>0.909087579880249</v>
      </c>
      <c r="BC42" s="162" t="n">
        <v>0.8867</v>
      </c>
      <c r="BD42" s="162" t="n">
        <v>0.8662</v>
      </c>
      <c r="BE42" s="162" t="n">
        <v>0.8515</v>
      </c>
      <c r="BF42" s="105" t="s">
        <v>102</v>
      </c>
      <c r="BG42" s="18"/>
      <c r="BH42" s="106" t="n">
        <v>37257</v>
      </c>
      <c r="BI42" s="150" t="n">
        <v>0.9</v>
      </c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58"/>
      <c r="CI42" s="138" t="n">
        <f aca="false">BG42</f>
        <v>0</v>
      </c>
      <c r="CJ42" s="176" t="n">
        <f aca="false">CI42+BE42</f>
        <v>0.8515</v>
      </c>
      <c r="CK42" s="177" t="n">
        <f aca="false">CI42+BF42</f>
        <v>1</v>
      </c>
      <c r="CM42" s="175"/>
      <c r="CN42" s="175"/>
      <c r="CO42" s="151"/>
      <c r="CP42" s="0"/>
      <c r="CQ42" s="0"/>
      <c r="CR42" s="0"/>
      <c r="CS42" s="0"/>
      <c r="CT42" s="0"/>
      <c r="CY42" s="152" t="n">
        <f aca="false">M42</f>
        <v>37257</v>
      </c>
      <c r="CZ42" s="153" t="n">
        <f aca="false">AI42+AH42</f>
        <v>1.25</v>
      </c>
      <c r="DA42" s="153" t="n">
        <f aca="false">AI42</f>
        <v>2</v>
      </c>
      <c r="DB42" s="153" t="n">
        <f aca="false">AI42+AJ42</f>
        <v>2.75</v>
      </c>
      <c r="DD42" s="153" t="n">
        <f aca="false">Z42</f>
        <v>0.1349</v>
      </c>
      <c r="DE42" s="153" t="n">
        <f aca="false">AA42</f>
        <v>0.2698</v>
      </c>
      <c r="DF42" s="153" t="n">
        <f aca="false">AB42</f>
        <v>0.4047</v>
      </c>
      <c r="DH42" s="152" t="n">
        <f aca="false">BH42</f>
        <v>37257</v>
      </c>
      <c r="DI42" s="99" t="n">
        <v>0.9</v>
      </c>
      <c r="DP42" s="0" t="n">
        <v>24</v>
      </c>
      <c r="DQ42" s="178" t="s">
        <v>179</v>
      </c>
      <c r="DR42" s="179" t="s">
        <v>180</v>
      </c>
      <c r="DS42" s="180" t="s">
        <v>181</v>
      </c>
      <c r="DT42" s="63"/>
      <c r="DV42" s="170"/>
      <c r="DW42" s="171"/>
      <c r="DX42" s="81"/>
      <c r="DY42" s="18"/>
    </row>
    <row r="43" customFormat="false" ht="13.5" hidden="false" customHeight="false" outlineLevel="0" collapsed="false">
      <c r="A43" s="110" t="n">
        <f aca="false">EOMONTH(A42,0)+1</f>
        <v>46844</v>
      </c>
      <c r="B43" s="99" t="n">
        <f aca="false">'Gas Curves'!C47</f>
        <v>0.071542259185125</v>
      </c>
      <c r="C43" s="99"/>
      <c r="D43" s="145" t="n">
        <v>36611</v>
      </c>
      <c r="E43" s="146" t="n">
        <v>32.9</v>
      </c>
      <c r="F43" s="146" t="n">
        <v>33.25</v>
      </c>
      <c r="G43" s="146" t="n">
        <v>33.6</v>
      </c>
      <c r="H43" s="127"/>
      <c r="I43" s="146" t="n">
        <v>20.325</v>
      </c>
      <c r="J43" s="146" t="n">
        <v>20.5</v>
      </c>
      <c r="K43" s="146" t="n">
        <v>20.675</v>
      </c>
      <c r="L43" s="105"/>
      <c r="M43" s="106" t="n">
        <v>37288</v>
      </c>
      <c r="N43" s="147" t="n">
        <v>27.1212501525879</v>
      </c>
      <c r="O43" s="147" t="n">
        <v>27.6462501525879</v>
      </c>
      <c r="P43" s="147" t="n">
        <v>28.1712501525879</v>
      </c>
      <c r="Q43" s="18"/>
      <c r="R43" s="147" t="n">
        <v>22.1474994659424</v>
      </c>
      <c r="S43" s="147" t="n">
        <v>25.1474994659424</v>
      </c>
      <c r="T43" s="147" t="n">
        <v>28.1474994659424</v>
      </c>
      <c r="U43" s="18"/>
      <c r="V43" s="147" t="n">
        <v>1.2</v>
      </c>
      <c r="W43" s="147" t="n">
        <v>1.2</v>
      </c>
      <c r="X43" s="147" t="n">
        <v>1.2</v>
      </c>
      <c r="Y43" s="18"/>
      <c r="Z43" s="147" t="n">
        <v>0.13015</v>
      </c>
      <c r="AA43" s="147" t="n">
        <v>0.2603</v>
      </c>
      <c r="AB43" s="147" t="n">
        <v>0.39045</v>
      </c>
      <c r="AC43" s="18"/>
      <c r="AD43" s="147" t="n">
        <v>0.033614</v>
      </c>
      <c r="AE43" s="147" t="n">
        <v>0.067228</v>
      </c>
      <c r="AF43" s="147" t="n">
        <v>0.100842</v>
      </c>
      <c r="AG43" s="18"/>
      <c r="AH43" s="147" t="n">
        <v>-0.75</v>
      </c>
      <c r="AI43" s="147" t="n">
        <v>2</v>
      </c>
      <c r="AJ43" s="147" t="n">
        <v>0.75</v>
      </c>
      <c r="AK43" s="18"/>
      <c r="AL43" s="147" t="n">
        <v>-0.15</v>
      </c>
      <c r="AM43" s="147" t="n">
        <v>0.5</v>
      </c>
      <c r="AN43" s="147" t="n">
        <v>0.2</v>
      </c>
      <c r="AO43" s="18"/>
      <c r="AP43" s="105" t="n">
        <v>9</v>
      </c>
      <c r="AQ43" s="148" t="n">
        <v>0.2</v>
      </c>
      <c r="AR43" s="18"/>
      <c r="AS43" s="105" t="n">
        <v>2300</v>
      </c>
      <c r="AT43" s="162" t="n">
        <v>0.6725</v>
      </c>
      <c r="AU43" s="162" t="n">
        <v>0.6725</v>
      </c>
      <c r="AV43" s="162" t="n">
        <v>0.6825</v>
      </c>
      <c r="AW43" s="162" t="n">
        <v>0.868935227612237</v>
      </c>
      <c r="AX43" s="162" t="n">
        <v>0.832261165713818</v>
      </c>
      <c r="AY43" s="162" t="n">
        <v>0.736685819737449</v>
      </c>
      <c r="AZ43" s="162" t="n">
        <v>0.66417015666642</v>
      </c>
      <c r="BA43" s="162" t="n">
        <v>0.723434795457424</v>
      </c>
      <c r="BB43" s="162" t="n">
        <v>0.720414553311483</v>
      </c>
      <c r="BC43" s="162" t="n">
        <v>0.756</v>
      </c>
      <c r="BD43" s="162" t="n">
        <v>0.7305</v>
      </c>
      <c r="BE43" s="162" t="n">
        <v>0.7025</v>
      </c>
      <c r="BF43" s="105" t="s">
        <v>102</v>
      </c>
      <c r="BG43" s="18"/>
      <c r="BH43" s="106" t="n">
        <v>37288</v>
      </c>
      <c r="BI43" s="150" t="n">
        <v>0.9</v>
      </c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63"/>
      <c r="CI43" s="138" t="n">
        <f aca="false">BG43</f>
        <v>0</v>
      </c>
      <c r="CJ43" s="176" t="n">
        <f aca="false">CI43+BE43</f>
        <v>0.7025</v>
      </c>
      <c r="CK43" s="177" t="n">
        <f aca="false">CI43+BF43</f>
        <v>1</v>
      </c>
      <c r="CM43" s="175"/>
      <c r="CN43" s="175"/>
      <c r="CO43" s="151"/>
      <c r="CP43" s="0"/>
      <c r="CQ43" s="0"/>
      <c r="CR43" s="0"/>
      <c r="CS43" s="0"/>
      <c r="CT43" s="0"/>
      <c r="CY43" s="152" t="n">
        <f aca="false">M43</f>
        <v>37288</v>
      </c>
      <c r="CZ43" s="153" t="n">
        <f aca="false">AI43+AH43</f>
        <v>1.25</v>
      </c>
      <c r="DA43" s="153" t="n">
        <f aca="false">AI43</f>
        <v>2</v>
      </c>
      <c r="DB43" s="153" t="n">
        <f aca="false">AI43+AJ43</f>
        <v>2.75</v>
      </c>
      <c r="DD43" s="153" t="n">
        <f aca="false">Z43</f>
        <v>0.13015</v>
      </c>
      <c r="DE43" s="153" t="n">
        <f aca="false">AA43</f>
        <v>0.2603</v>
      </c>
      <c r="DF43" s="153" t="n">
        <f aca="false">AB43</f>
        <v>0.39045</v>
      </c>
      <c r="DH43" s="152" t="n">
        <f aca="false">BH43</f>
        <v>37288</v>
      </c>
      <c r="DI43" s="99" t="n">
        <v>0.9</v>
      </c>
      <c r="DP43" s="0" t="n">
        <v>25</v>
      </c>
      <c r="DQ43" s="178" t="s">
        <v>182</v>
      </c>
      <c r="DR43" s="179" t="s">
        <v>183</v>
      </c>
      <c r="DS43" s="180" t="n">
        <v>9</v>
      </c>
      <c r="DT43" s="63"/>
      <c r="DV43" s="170"/>
      <c r="DW43" s="171"/>
      <c r="DX43" s="81"/>
      <c r="DY43" s="18"/>
    </row>
    <row r="44" customFormat="false" ht="13.5" hidden="false" customHeight="false" outlineLevel="0" collapsed="false">
      <c r="A44" s="110" t="n">
        <f aca="false">EOMONTH(A43,0)+1</f>
        <v>46874</v>
      </c>
      <c r="B44" s="99" t="n">
        <f aca="false">'Gas Curves'!C48</f>
        <v>0.071631839731324</v>
      </c>
      <c r="C44" s="99"/>
      <c r="D44" s="145" t="n">
        <v>36612</v>
      </c>
      <c r="E44" s="146" t="n">
        <v>32.9</v>
      </c>
      <c r="F44" s="146" t="n">
        <v>33.25</v>
      </c>
      <c r="G44" s="146" t="n">
        <v>33.6</v>
      </c>
      <c r="H44" s="127"/>
      <c r="I44" s="146" t="n">
        <v>20.325</v>
      </c>
      <c r="J44" s="146" t="n">
        <v>20.5</v>
      </c>
      <c r="K44" s="146" t="n">
        <v>20.675</v>
      </c>
      <c r="L44" s="105"/>
      <c r="M44" s="106" t="n">
        <v>37316</v>
      </c>
      <c r="N44" s="147" t="n">
        <v>20.4972496032715</v>
      </c>
      <c r="O44" s="147" t="n">
        <v>20.8347496032715</v>
      </c>
      <c r="P44" s="147" t="n">
        <v>21.1722496032715</v>
      </c>
      <c r="Q44" s="18"/>
      <c r="R44" s="147" t="n">
        <v>17.4644989013672</v>
      </c>
      <c r="S44" s="147" t="n">
        <v>20.4644989013672</v>
      </c>
      <c r="T44" s="147" t="n">
        <v>23.4644989013672</v>
      </c>
      <c r="U44" s="18"/>
      <c r="V44" s="147" t="n">
        <v>0.7</v>
      </c>
      <c r="W44" s="147" t="n">
        <v>0.7</v>
      </c>
      <c r="X44" s="147" t="n">
        <v>0.7</v>
      </c>
      <c r="Y44" s="18"/>
      <c r="Z44" s="147" t="n">
        <v>0.126860625</v>
      </c>
      <c r="AA44" s="147" t="n">
        <v>0.25372125</v>
      </c>
      <c r="AB44" s="147" t="n">
        <v>0.380581875</v>
      </c>
      <c r="AC44" s="18"/>
      <c r="AD44" s="147" t="n">
        <v>0.028812</v>
      </c>
      <c r="AE44" s="147" t="n">
        <v>0.057624</v>
      </c>
      <c r="AF44" s="147" t="n">
        <v>0.086436</v>
      </c>
      <c r="AG44" s="18"/>
      <c r="AH44" s="147" t="n">
        <v>-0.25</v>
      </c>
      <c r="AI44" s="147" t="n">
        <v>1.3</v>
      </c>
      <c r="AJ44" s="147" t="n">
        <v>0.3</v>
      </c>
      <c r="AK44" s="18"/>
      <c r="AL44" s="147" t="n">
        <v>-0.15</v>
      </c>
      <c r="AM44" s="147" t="n">
        <v>0.35</v>
      </c>
      <c r="AN44" s="147" t="n">
        <v>0.2</v>
      </c>
      <c r="AO44" s="18"/>
      <c r="AP44" s="105" t="n">
        <v>9</v>
      </c>
      <c r="AQ44" s="148" t="n">
        <v>0.2</v>
      </c>
      <c r="AR44" s="18"/>
      <c r="AS44" s="105" t="n">
        <v>2400</v>
      </c>
      <c r="AT44" s="162" t="n">
        <v>1.045</v>
      </c>
      <c r="AU44" s="162" t="n">
        <v>1.045</v>
      </c>
      <c r="AV44" s="162" t="n">
        <v>1.045</v>
      </c>
      <c r="AW44" s="162" t="n">
        <v>1.04962749498905</v>
      </c>
      <c r="AX44" s="162" t="n">
        <v>1.17796859185739</v>
      </c>
      <c r="AY44" s="162" t="n">
        <v>1.3963883955003</v>
      </c>
      <c r="AZ44" s="162" t="n">
        <v>1.26165887596478</v>
      </c>
      <c r="BA44" s="162" t="n">
        <v>1.2636171008351</v>
      </c>
      <c r="BB44" s="162" t="n">
        <v>1.12499208910828</v>
      </c>
      <c r="BC44" s="162" t="n">
        <v>1.0505</v>
      </c>
      <c r="BD44" s="162" t="n">
        <v>1.0505</v>
      </c>
      <c r="BE44" s="162" t="n">
        <v>1.0505</v>
      </c>
      <c r="BF44" s="105" t="s">
        <v>110</v>
      </c>
      <c r="BG44" s="18"/>
      <c r="BH44" s="106" t="n">
        <v>37316</v>
      </c>
      <c r="BI44" s="150" t="n">
        <v>0.9</v>
      </c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63"/>
      <c r="CI44" s="138" t="n">
        <f aca="false">BG44</f>
        <v>0</v>
      </c>
      <c r="CJ44" s="176" t="n">
        <f aca="false">CI44+BE44</f>
        <v>1.0505</v>
      </c>
      <c r="CK44" s="177" t="n">
        <f aca="false">CI44+BF44</f>
        <v>2</v>
      </c>
      <c r="CM44" s="175"/>
      <c r="CN44" s="175"/>
      <c r="CO44" s="151"/>
      <c r="CP44" s="0"/>
      <c r="CQ44" s="0"/>
      <c r="CR44" s="0"/>
      <c r="CS44" s="0"/>
      <c r="CT44" s="0"/>
      <c r="CY44" s="152" t="n">
        <f aca="false">M44</f>
        <v>37316</v>
      </c>
      <c r="CZ44" s="153" t="n">
        <f aca="false">AI44+AH44</f>
        <v>1.05</v>
      </c>
      <c r="DA44" s="153" t="n">
        <f aca="false">AI44</f>
        <v>1.3</v>
      </c>
      <c r="DB44" s="153" t="n">
        <f aca="false">AI44+AJ44</f>
        <v>1.6</v>
      </c>
      <c r="DD44" s="153" t="n">
        <f aca="false">Z44</f>
        <v>0.126860625</v>
      </c>
      <c r="DE44" s="153" t="n">
        <f aca="false">AA44</f>
        <v>0.25372125</v>
      </c>
      <c r="DF44" s="153" t="n">
        <f aca="false">AB44</f>
        <v>0.380581875</v>
      </c>
      <c r="DH44" s="152" t="n">
        <f aca="false">BH44</f>
        <v>37316</v>
      </c>
      <c r="DI44" s="99" t="n">
        <v>0.9</v>
      </c>
      <c r="DP44" s="0" t="n">
        <v>26</v>
      </c>
      <c r="DQ44" s="178" t="s">
        <v>184</v>
      </c>
      <c r="DR44" s="179" t="s">
        <v>185</v>
      </c>
      <c r="DS44" s="180" t="n">
        <v>10</v>
      </c>
      <c r="DT44" s="63"/>
      <c r="DV44" s="170"/>
      <c r="DW44" s="171"/>
      <c r="DX44" s="81"/>
      <c r="DY44" s="18"/>
    </row>
    <row r="45" customFormat="false" ht="13.5" hidden="false" customHeight="false" outlineLevel="0" collapsed="false">
      <c r="A45" s="110" t="n">
        <f aca="false">EOMONTH(A44,0)+1</f>
        <v>46905</v>
      </c>
      <c r="B45" s="99" t="n">
        <f aca="false">'Gas Curves'!C49</f>
        <v>0.071718530585009</v>
      </c>
      <c r="C45" s="99"/>
      <c r="D45" s="145" t="n">
        <v>36613</v>
      </c>
      <c r="E45" s="146" t="n">
        <v>32.9</v>
      </c>
      <c r="F45" s="146" t="n">
        <v>33.25</v>
      </c>
      <c r="G45" s="146" t="n">
        <v>33.6</v>
      </c>
      <c r="H45" s="127"/>
      <c r="I45" s="146" t="n">
        <v>20.325</v>
      </c>
      <c r="J45" s="146" t="n">
        <v>20.5</v>
      </c>
      <c r="K45" s="146" t="n">
        <v>20.675</v>
      </c>
      <c r="L45" s="105"/>
      <c r="M45" s="106" t="n">
        <v>37347</v>
      </c>
      <c r="N45" s="147" t="n">
        <v>21.2925003051758</v>
      </c>
      <c r="O45" s="147" t="n">
        <v>21.5175003051758</v>
      </c>
      <c r="P45" s="147" t="n">
        <v>21.7425003051758</v>
      </c>
      <c r="Q45" s="18"/>
      <c r="R45" s="147" t="n">
        <v>17.2349990844727</v>
      </c>
      <c r="S45" s="147" t="n">
        <v>20.2349990844727</v>
      </c>
      <c r="T45" s="147" t="n">
        <v>23.2349990844727</v>
      </c>
      <c r="U45" s="18"/>
      <c r="V45" s="147" t="n">
        <v>0.7</v>
      </c>
      <c r="W45" s="147" t="n">
        <v>0.7</v>
      </c>
      <c r="X45" s="147" t="n">
        <v>0.7</v>
      </c>
      <c r="Y45" s="18"/>
      <c r="Z45" s="147" t="n">
        <v>0.11307375</v>
      </c>
      <c r="AA45" s="147" t="n">
        <v>0.2261475</v>
      </c>
      <c r="AB45" s="147" t="n">
        <v>0.33922125</v>
      </c>
      <c r="AC45" s="18"/>
      <c r="AD45" s="147" t="n">
        <v>0.028812</v>
      </c>
      <c r="AE45" s="147" t="n">
        <v>0.057624</v>
      </c>
      <c r="AF45" s="147" t="n">
        <v>0.086436</v>
      </c>
      <c r="AG45" s="18"/>
      <c r="AH45" s="147" t="n">
        <v>-0.25</v>
      </c>
      <c r="AI45" s="147" t="n">
        <v>1.1</v>
      </c>
      <c r="AJ45" s="147" t="n">
        <v>0.3</v>
      </c>
      <c r="AK45" s="18"/>
      <c r="AL45" s="147" t="n">
        <v>-0.15</v>
      </c>
      <c r="AM45" s="147" t="n">
        <v>0.35</v>
      </c>
      <c r="AN45" s="147" t="n">
        <v>0.2</v>
      </c>
      <c r="AO45" s="18"/>
      <c r="AP45" s="105" t="n">
        <v>9</v>
      </c>
      <c r="AQ45" s="148" t="n">
        <v>0.2</v>
      </c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06" t="n">
        <v>37347</v>
      </c>
      <c r="BI45" s="150" t="n">
        <v>0.9</v>
      </c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63"/>
      <c r="CI45" s="138" t="n">
        <f aca="false">BG45</f>
        <v>0</v>
      </c>
      <c r="CJ45" s="176" t="n">
        <f aca="false">CI45+BE45</f>
        <v>0</v>
      </c>
      <c r="CK45" s="177" t="n">
        <f aca="false">CI45+BF45</f>
        <v>0</v>
      </c>
      <c r="CM45" s="175"/>
      <c r="CN45" s="175"/>
      <c r="CO45" s="151"/>
      <c r="CP45" s="0"/>
      <c r="CQ45" s="0"/>
      <c r="CR45" s="0"/>
      <c r="CS45" s="0"/>
      <c r="CT45" s="0"/>
      <c r="CY45" s="152" t="n">
        <f aca="false">M45</f>
        <v>37347</v>
      </c>
      <c r="CZ45" s="153" t="n">
        <f aca="false">AI45+AH45</f>
        <v>0.85</v>
      </c>
      <c r="DA45" s="153" t="n">
        <f aca="false">AI45</f>
        <v>1.1</v>
      </c>
      <c r="DB45" s="153" t="n">
        <f aca="false">AI45+AJ45</f>
        <v>1.4</v>
      </c>
      <c r="DD45" s="153" t="n">
        <f aca="false">Z45</f>
        <v>0.11307375</v>
      </c>
      <c r="DE45" s="153" t="n">
        <f aca="false">AA45</f>
        <v>0.2261475</v>
      </c>
      <c r="DF45" s="153" t="n">
        <f aca="false">AB45</f>
        <v>0.33922125</v>
      </c>
      <c r="DH45" s="152" t="n">
        <f aca="false">BH45</f>
        <v>37347</v>
      </c>
      <c r="DI45" s="99" t="n">
        <v>0.9</v>
      </c>
      <c r="DP45" s="0" t="n">
        <v>27</v>
      </c>
      <c r="DQ45" s="181" t="s">
        <v>186</v>
      </c>
      <c r="DR45" s="182" t="s">
        <v>187</v>
      </c>
      <c r="DS45" s="183" t="n">
        <v>11</v>
      </c>
      <c r="DT45" s="63"/>
      <c r="DV45" s="170"/>
      <c r="DW45" s="171"/>
      <c r="DX45" s="81"/>
      <c r="DY45" s="18"/>
    </row>
    <row r="46" customFormat="false" ht="13.5" hidden="false" customHeight="false" outlineLevel="0" collapsed="false">
      <c r="A46" s="110" t="n">
        <f aca="false">EOMONTH(A45,0)+1</f>
        <v>46935</v>
      </c>
      <c r="B46" s="99" t="n">
        <f aca="false">'Gas Curves'!C50</f>
        <v>0.071808036216495</v>
      </c>
      <c r="C46" s="99"/>
      <c r="D46" s="145" t="n">
        <v>36614</v>
      </c>
      <c r="E46" s="146" t="n">
        <v>32.9</v>
      </c>
      <c r="F46" s="146" t="n">
        <v>33.25</v>
      </c>
      <c r="G46" s="146" t="n">
        <v>33.6</v>
      </c>
      <c r="H46" s="127"/>
      <c r="I46" s="146" t="n">
        <v>20.325</v>
      </c>
      <c r="J46" s="146" t="n">
        <v>20.5</v>
      </c>
      <c r="K46" s="146" t="n">
        <v>20.675</v>
      </c>
      <c r="L46" s="105"/>
      <c r="M46" s="106" t="n">
        <v>37377</v>
      </c>
      <c r="N46" s="147" t="n">
        <v>20.8825000762939</v>
      </c>
      <c r="O46" s="147" t="n">
        <v>21.6325000762939</v>
      </c>
      <c r="P46" s="147" t="n">
        <v>22.3825000762939</v>
      </c>
      <c r="Q46" s="18"/>
      <c r="R46" s="147" t="n">
        <v>17.7649997711182</v>
      </c>
      <c r="S46" s="147" t="n">
        <v>20.7649997711182</v>
      </c>
      <c r="T46" s="147" t="n">
        <v>23.7649997711182</v>
      </c>
      <c r="U46" s="18"/>
      <c r="V46" s="147" t="n">
        <v>0.7</v>
      </c>
      <c r="W46" s="147" t="n">
        <v>0.7</v>
      </c>
      <c r="X46" s="147" t="n">
        <v>0.7</v>
      </c>
      <c r="Y46" s="18"/>
      <c r="Z46" s="147" t="n">
        <v>0.13017375</v>
      </c>
      <c r="AA46" s="147" t="n">
        <v>0.2603475</v>
      </c>
      <c r="AB46" s="147" t="n">
        <v>0.39052125</v>
      </c>
      <c r="AC46" s="18"/>
      <c r="AD46" s="147" t="n">
        <v>0.033614</v>
      </c>
      <c r="AE46" s="147" t="n">
        <v>0.067228</v>
      </c>
      <c r="AF46" s="147" t="n">
        <v>0.100842</v>
      </c>
      <c r="AG46" s="18"/>
      <c r="AH46" s="147" t="n">
        <v>-0.25</v>
      </c>
      <c r="AI46" s="147" t="n">
        <v>1.1</v>
      </c>
      <c r="AJ46" s="147" t="n">
        <v>0.3</v>
      </c>
      <c r="AK46" s="18"/>
      <c r="AL46" s="147" t="n">
        <v>-0.15</v>
      </c>
      <c r="AM46" s="147" t="n">
        <v>0.5</v>
      </c>
      <c r="AN46" s="147" t="n">
        <v>0.2</v>
      </c>
      <c r="AO46" s="18"/>
      <c r="AP46" s="105" t="n">
        <v>10</v>
      </c>
      <c r="AQ46" s="148" t="n">
        <v>0.2</v>
      </c>
      <c r="AR46" s="18"/>
      <c r="AS46" s="105" t="s">
        <v>188</v>
      </c>
      <c r="AT46" s="18"/>
      <c r="AU46" s="18"/>
      <c r="AV46" s="105" t="s">
        <v>189</v>
      </c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06" t="n">
        <v>37377</v>
      </c>
      <c r="BI46" s="150" t="n">
        <v>0.9</v>
      </c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63"/>
      <c r="CI46" s="138" t="n">
        <f aca="false">BG46</f>
        <v>0</v>
      </c>
      <c r="CJ46" s="176" t="n">
        <f aca="false">CI46+BE46</f>
        <v>0</v>
      </c>
      <c r="CK46" s="177" t="n">
        <f aca="false">CI46+BF46</f>
        <v>0</v>
      </c>
      <c r="CM46" s="175"/>
      <c r="CN46" s="175"/>
      <c r="CO46" s="151"/>
      <c r="CP46" s="0"/>
      <c r="CQ46" s="0"/>
      <c r="CR46" s="0"/>
      <c r="CS46" s="0"/>
      <c r="CT46" s="0"/>
      <c r="CY46" s="152" t="n">
        <f aca="false">M46</f>
        <v>37377</v>
      </c>
      <c r="CZ46" s="153" t="n">
        <f aca="false">AI46+AH46</f>
        <v>0.85</v>
      </c>
      <c r="DA46" s="153" t="n">
        <f aca="false">AI46</f>
        <v>1.1</v>
      </c>
      <c r="DB46" s="153" t="n">
        <f aca="false">AI46+AJ46</f>
        <v>1.4</v>
      </c>
      <c r="DD46" s="153" t="n">
        <f aca="false">Z46</f>
        <v>0.13017375</v>
      </c>
      <c r="DE46" s="153" t="n">
        <f aca="false">AA46</f>
        <v>0.2603475</v>
      </c>
      <c r="DF46" s="153" t="n">
        <f aca="false">AB46</f>
        <v>0.39052125</v>
      </c>
      <c r="DH46" s="152" t="n">
        <f aca="false">BH46</f>
        <v>37377</v>
      </c>
      <c r="DI46" s="99" t="n">
        <v>0.9</v>
      </c>
      <c r="DT46" s="63"/>
      <c r="DV46" s="170"/>
      <c r="DW46" s="171"/>
      <c r="DX46" s="81"/>
      <c r="DY46" s="18"/>
    </row>
    <row r="47" customFormat="false" ht="13.5" hidden="false" customHeight="false" outlineLevel="0" collapsed="false">
      <c r="A47" s="110" t="n">
        <f aca="false">EOMONTH(A46,0)+1</f>
        <v>46966</v>
      </c>
      <c r="B47" s="99" t="n">
        <f aca="false">'Gas Curves'!C51</f>
        <v>0.071897450876422</v>
      </c>
      <c r="C47" s="99"/>
      <c r="D47" s="145" t="n">
        <v>36615</v>
      </c>
      <c r="E47" s="146" t="n">
        <v>32.9</v>
      </c>
      <c r="F47" s="146" t="n">
        <v>33.25</v>
      </c>
      <c r="G47" s="146" t="n">
        <v>33.6</v>
      </c>
      <c r="H47" s="127"/>
      <c r="I47" s="146" t="n">
        <v>20.325</v>
      </c>
      <c r="J47" s="146" t="n">
        <v>20.5</v>
      </c>
      <c r="K47" s="146" t="n">
        <v>20.675</v>
      </c>
      <c r="L47" s="105"/>
      <c r="M47" s="106" t="n">
        <v>37408</v>
      </c>
      <c r="N47" s="147" t="n">
        <v>23.8837501525879</v>
      </c>
      <c r="O47" s="147" t="n">
        <v>26.0587501525879</v>
      </c>
      <c r="P47" s="147" t="n">
        <v>28.2337501525879</v>
      </c>
      <c r="Q47" s="18"/>
      <c r="R47" s="147" t="n">
        <v>16.5424995422363</v>
      </c>
      <c r="S47" s="147" t="n">
        <v>19.5424995422363</v>
      </c>
      <c r="T47" s="147" t="n">
        <v>22.5424995422363</v>
      </c>
      <c r="U47" s="18"/>
      <c r="V47" s="147" t="n">
        <v>0.7</v>
      </c>
      <c r="W47" s="147" t="n">
        <v>0.7</v>
      </c>
      <c r="X47" s="147" t="n">
        <v>0.7</v>
      </c>
      <c r="Y47" s="18"/>
      <c r="Z47" s="147" t="n">
        <v>0.163198125</v>
      </c>
      <c r="AA47" s="147" t="n">
        <v>0.32639625</v>
      </c>
      <c r="AB47" s="147" t="n">
        <v>0.489594375</v>
      </c>
      <c r="AC47" s="18"/>
      <c r="AD47" s="147" t="n">
        <v>0.043218</v>
      </c>
      <c r="AE47" s="147" t="n">
        <v>0.086436</v>
      </c>
      <c r="AF47" s="147" t="n">
        <v>0.129654</v>
      </c>
      <c r="AG47" s="18"/>
      <c r="AH47" s="147" t="n">
        <v>-0.35</v>
      </c>
      <c r="AI47" s="147" t="n">
        <v>2</v>
      </c>
      <c r="AJ47" s="147" t="n">
        <v>0.3</v>
      </c>
      <c r="AK47" s="18"/>
      <c r="AL47" s="147" t="n">
        <v>-0.15</v>
      </c>
      <c r="AM47" s="147" t="n">
        <v>0.65</v>
      </c>
      <c r="AN47" s="147" t="n">
        <v>0.2</v>
      </c>
      <c r="AO47" s="18"/>
      <c r="AP47" s="105" t="n">
        <v>10</v>
      </c>
      <c r="AQ47" s="148" t="n">
        <v>0.2</v>
      </c>
      <c r="AR47" s="18"/>
      <c r="AS47" s="148" t="n">
        <v>-5</v>
      </c>
      <c r="AT47" s="184" t="n">
        <v>0.015</v>
      </c>
      <c r="AU47" s="18"/>
      <c r="AV47" s="148" t="n">
        <v>1</v>
      </c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06" t="n">
        <v>37408</v>
      </c>
      <c r="BI47" s="150" t="n">
        <v>0.9</v>
      </c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63"/>
      <c r="CI47" s="138" t="n">
        <f aca="false">BG47</f>
        <v>0</v>
      </c>
      <c r="CJ47" s="176" t="n">
        <f aca="false">CI47+BE47</f>
        <v>0</v>
      </c>
      <c r="CK47" s="177" t="n">
        <f aca="false">CI47+BF47</f>
        <v>0</v>
      </c>
      <c r="CM47" s="175"/>
      <c r="CN47" s="175"/>
      <c r="CO47" s="151"/>
      <c r="CP47" s="0"/>
      <c r="CQ47" s="0"/>
      <c r="CR47" s="0"/>
      <c r="CS47" s="0"/>
      <c r="CT47" s="0"/>
      <c r="CY47" s="152" t="n">
        <f aca="false">M47</f>
        <v>37408</v>
      </c>
      <c r="CZ47" s="153" t="n">
        <f aca="false">AI47+AH47</f>
        <v>1.65</v>
      </c>
      <c r="DA47" s="153" t="n">
        <f aca="false">AI47</f>
        <v>2</v>
      </c>
      <c r="DB47" s="153" t="n">
        <f aca="false">AI47+AJ47</f>
        <v>2.3</v>
      </c>
      <c r="DD47" s="153" t="n">
        <f aca="false">Z47</f>
        <v>0.163198125</v>
      </c>
      <c r="DE47" s="153" t="n">
        <f aca="false">AA47</f>
        <v>0.32639625</v>
      </c>
      <c r="DF47" s="153" t="n">
        <f aca="false">AB47</f>
        <v>0.489594375</v>
      </c>
      <c r="DH47" s="152" t="n">
        <f aca="false">BH47</f>
        <v>37408</v>
      </c>
      <c r="DI47" s="99" t="n">
        <v>0.9</v>
      </c>
      <c r="DT47" s="63"/>
      <c r="DV47" s="170"/>
      <c r="DW47" s="171"/>
      <c r="DX47" s="81"/>
      <c r="DY47" s="18"/>
    </row>
    <row r="48" customFormat="false" ht="12.75" hidden="false" customHeight="false" outlineLevel="0" collapsed="false">
      <c r="A48" s="110" t="n">
        <f aca="false">EOMONTH(A47,0)+1</f>
        <v>46997</v>
      </c>
      <c r="B48" s="99" t="n">
        <f aca="false">'Gas Curves'!C52</f>
        <v>0.071978212507014</v>
      </c>
      <c r="C48" s="99"/>
      <c r="D48" s="145" t="n">
        <v>36616</v>
      </c>
      <c r="E48" s="146" t="n">
        <v>32.9</v>
      </c>
      <c r="F48" s="146" t="n">
        <v>33.25</v>
      </c>
      <c r="G48" s="146" t="n">
        <v>33.6</v>
      </c>
      <c r="H48" s="127"/>
      <c r="I48" s="146" t="n">
        <v>20.325</v>
      </c>
      <c r="J48" s="146" t="n">
        <v>20.5</v>
      </c>
      <c r="K48" s="146" t="n">
        <v>20.675</v>
      </c>
      <c r="L48" s="105"/>
      <c r="M48" s="106" t="n">
        <v>37438</v>
      </c>
      <c r="N48" s="147" t="n">
        <v>36.7612495422363</v>
      </c>
      <c r="O48" s="147" t="n">
        <v>39.7612495422363</v>
      </c>
      <c r="P48" s="147" t="n">
        <v>42.7612495422363</v>
      </c>
      <c r="Q48" s="18"/>
      <c r="R48" s="147" t="n">
        <v>26.2474994659424</v>
      </c>
      <c r="S48" s="147" t="n">
        <v>29.2474994659424</v>
      </c>
      <c r="T48" s="147" t="n">
        <v>32.2474994659424</v>
      </c>
      <c r="U48" s="18"/>
      <c r="V48" s="147" t="n">
        <v>0.7</v>
      </c>
      <c r="W48" s="147" t="n">
        <v>0.7</v>
      </c>
      <c r="X48" s="147" t="n">
        <v>0.7</v>
      </c>
      <c r="Y48" s="18"/>
      <c r="Z48" s="147" t="n">
        <v>0.193123125</v>
      </c>
      <c r="AA48" s="147" t="n">
        <v>0.38624625</v>
      </c>
      <c r="AB48" s="147" t="n">
        <v>0.579369375</v>
      </c>
      <c r="AC48" s="18"/>
      <c r="AD48" s="147" t="n">
        <v>0.057624</v>
      </c>
      <c r="AE48" s="147" t="n">
        <v>0.115248</v>
      </c>
      <c r="AF48" s="147" t="n">
        <v>0.172872</v>
      </c>
      <c r="AG48" s="18"/>
      <c r="AH48" s="147" t="n">
        <v>-0.35</v>
      </c>
      <c r="AI48" s="147" t="n">
        <v>3</v>
      </c>
      <c r="AJ48" s="147" t="n">
        <v>0.5</v>
      </c>
      <c r="AK48" s="18"/>
      <c r="AL48" s="147" t="n">
        <v>-0.15</v>
      </c>
      <c r="AM48" s="147" t="n">
        <v>0.75</v>
      </c>
      <c r="AN48" s="147" t="n">
        <v>0.2</v>
      </c>
      <c r="AO48" s="18"/>
      <c r="AP48" s="105" t="n">
        <v>10</v>
      </c>
      <c r="AQ48" s="148" t="n">
        <v>0.2</v>
      </c>
      <c r="AR48" s="18"/>
      <c r="AS48" s="148" t="n">
        <v>-4.5</v>
      </c>
      <c r="AT48" s="150" t="n">
        <v>0.015</v>
      </c>
      <c r="AU48" s="18"/>
      <c r="AV48" s="148" t="n">
        <v>2</v>
      </c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06" t="n">
        <v>37438</v>
      </c>
      <c r="BI48" s="150" t="n">
        <v>0.9</v>
      </c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63"/>
      <c r="CI48" s="138" t="n">
        <f aca="false">BG48</f>
        <v>0</v>
      </c>
      <c r="CJ48" s="176" t="n">
        <f aca="false">CI48+BE48</f>
        <v>0</v>
      </c>
      <c r="CK48" s="177" t="n">
        <f aca="false">CI48+BF48</f>
        <v>0</v>
      </c>
      <c r="CM48" s="175"/>
      <c r="CN48" s="175"/>
      <c r="CO48" s="151"/>
      <c r="CP48" s="0"/>
      <c r="CQ48" s="0"/>
      <c r="CR48" s="0"/>
      <c r="CS48" s="0"/>
      <c r="CT48" s="0"/>
      <c r="CY48" s="152" t="n">
        <f aca="false">M48</f>
        <v>37438</v>
      </c>
      <c r="CZ48" s="153" t="n">
        <f aca="false">AI48+AH48</f>
        <v>2.65</v>
      </c>
      <c r="DA48" s="153" t="n">
        <f aca="false">AI48</f>
        <v>3</v>
      </c>
      <c r="DB48" s="153" t="n">
        <f aca="false">AI48+AJ48</f>
        <v>3.5</v>
      </c>
      <c r="DD48" s="153" t="n">
        <f aca="false">Z48</f>
        <v>0.193123125</v>
      </c>
      <c r="DE48" s="153" t="n">
        <f aca="false">AA48</f>
        <v>0.38624625</v>
      </c>
      <c r="DF48" s="153" t="n">
        <f aca="false">AB48</f>
        <v>0.579369375</v>
      </c>
      <c r="DH48" s="152" t="n">
        <f aca="false">BH48</f>
        <v>37438</v>
      </c>
      <c r="DI48" s="99" t="n">
        <v>0.9</v>
      </c>
      <c r="DT48" s="63"/>
      <c r="DV48" s="170"/>
      <c r="DW48" s="171"/>
      <c r="DX48" s="81"/>
      <c r="DY48" s="18"/>
    </row>
    <row r="49" customFormat="false" ht="13.5" hidden="false" customHeight="false" outlineLevel="0" collapsed="false">
      <c r="A49" s="110" t="n">
        <f aca="false">EOMONTH(A48,0)+1</f>
        <v>47027</v>
      </c>
      <c r="B49" s="99" t="n">
        <f aca="false">'Gas Curves'!C53</f>
        <v>0.0720561019016</v>
      </c>
      <c r="C49" s="99"/>
      <c r="D49" s="145" t="n">
        <v>36617</v>
      </c>
      <c r="E49" s="146" t="n">
        <v>31.8</v>
      </c>
      <c r="F49" s="146" t="n">
        <v>32</v>
      </c>
      <c r="G49" s="146" t="n">
        <v>32.2</v>
      </c>
      <c r="H49" s="127"/>
      <c r="I49" s="146" t="n">
        <v>19.3999980926514</v>
      </c>
      <c r="J49" s="146" t="n">
        <v>19.4999980926514</v>
      </c>
      <c r="K49" s="146" t="n">
        <v>19.5999980926514</v>
      </c>
      <c r="L49" s="105"/>
      <c r="M49" s="106" t="n">
        <v>37469</v>
      </c>
      <c r="N49" s="147" t="n">
        <v>39.0224990844727</v>
      </c>
      <c r="O49" s="147" t="n">
        <v>42.0224990844727</v>
      </c>
      <c r="P49" s="147" t="n">
        <v>45.0224990844727</v>
      </c>
      <c r="Q49" s="18"/>
      <c r="R49" s="147" t="n">
        <v>27.7450008392334</v>
      </c>
      <c r="S49" s="147" t="n">
        <v>30.7450008392334</v>
      </c>
      <c r="T49" s="147" t="n">
        <v>33.7450008392334</v>
      </c>
      <c r="U49" s="18"/>
      <c r="V49" s="147" t="n">
        <v>0.7</v>
      </c>
      <c r="W49" s="147" t="n">
        <v>0.7</v>
      </c>
      <c r="X49" s="147" t="n">
        <v>0.7</v>
      </c>
      <c r="Y49" s="18"/>
      <c r="Z49" s="147" t="n">
        <v>0.19002375</v>
      </c>
      <c r="AA49" s="147" t="n">
        <v>0.3800475</v>
      </c>
      <c r="AB49" s="147" t="n">
        <v>0.57007125</v>
      </c>
      <c r="AC49" s="18"/>
      <c r="AD49" s="147" t="n">
        <v>0.057624</v>
      </c>
      <c r="AE49" s="147" t="n">
        <v>0.115248</v>
      </c>
      <c r="AF49" s="147" t="n">
        <v>0.172872</v>
      </c>
      <c r="AG49" s="18"/>
      <c r="AH49" s="147" t="n">
        <v>-0.35</v>
      </c>
      <c r="AI49" s="147" t="n">
        <v>3</v>
      </c>
      <c r="AJ49" s="147" t="n">
        <v>0.5</v>
      </c>
      <c r="AK49" s="18"/>
      <c r="AL49" s="147" t="n">
        <v>-0.15</v>
      </c>
      <c r="AM49" s="147" t="n">
        <v>0.75</v>
      </c>
      <c r="AN49" s="147" t="n">
        <v>0.2</v>
      </c>
      <c r="AO49" s="18"/>
      <c r="AP49" s="105" t="n">
        <v>11</v>
      </c>
      <c r="AQ49" s="148" t="n">
        <v>0.3</v>
      </c>
      <c r="AR49" s="18"/>
      <c r="AS49" s="185" t="n">
        <v>-4</v>
      </c>
      <c r="AT49" s="184" t="n">
        <v>0.0125</v>
      </c>
      <c r="AU49" s="18"/>
      <c r="AV49" s="148" t="n">
        <v>3</v>
      </c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06" t="n">
        <v>37469</v>
      </c>
      <c r="BI49" s="150" t="n">
        <v>0.9</v>
      </c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63"/>
      <c r="CM49" s="175"/>
      <c r="CN49" s="175"/>
      <c r="CO49" s="151"/>
      <c r="CP49" s="0"/>
      <c r="CQ49" s="0"/>
      <c r="CR49" s="0"/>
      <c r="CS49" s="0"/>
      <c r="CT49" s="0"/>
      <c r="CY49" s="152" t="n">
        <f aca="false">M49</f>
        <v>37469</v>
      </c>
      <c r="CZ49" s="153" t="n">
        <f aca="false">AI49+AH49</f>
        <v>2.65</v>
      </c>
      <c r="DA49" s="153" t="n">
        <f aca="false">AI49</f>
        <v>3</v>
      </c>
      <c r="DB49" s="153" t="n">
        <f aca="false">AI49+AJ49</f>
        <v>3.5</v>
      </c>
      <c r="DD49" s="153" t="n">
        <f aca="false">Z49</f>
        <v>0.19002375</v>
      </c>
      <c r="DE49" s="153" t="n">
        <f aca="false">AA49</f>
        <v>0.3800475</v>
      </c>
      <c r="DF49" s="153" t="n">
        <f aca="false">AB49</f>
        <v>0.57007125</v>
      </c>
      <c r="DH49" s="152" t="n">
        <f aca="false">BH49</f>
        <v>37469</v>
      </c>
      <c r="DI49" s="99" t="n">
        <v>0.9</v>
      </c>
      <c r="DT49" s="63"/>
    </row>
    <row r="50" customFormat="false" ht="13.5" hidden="false" customHeight="false" outlineLevel="0" collapsed="false">
      <c r="A50" s="110" t="n">
        <f aca="false">EOMONTH(A49,0)+1</f>
        <v>47058</v>
      </c>
      <c r="B50" s="99" t="n">
        <f aca="false">'Gas Curves'!C54</f>
        <v>0.072116257975074</v>
      </c>
      <c r="C50" s="99"/>
      <c r="D50" s="145" t="n">
        <v>36646</v>
      </c>
      <c r="E50" s="146" t="n">
        <v>31.8</v>
      </c>
      <c r="F50" s="146" t="n">
        <v>32</v>
      </c>
      <c r="G50" s="146" t="n">
        <v>32.2</v>
      </c>
      <c r="H50" s="127"/>
      <c r="I50" s="146" t="n">
        <v>19.3999980926514</v>
      </c>
      <c r="J50" s="146" t="n">
        <v>19.4999980926514</v>
      </c>
      <c r="K50" s="146" t="n">
        <v>19.5999980926514</v>
      </c>
      <c r="L50" s="105"/>
      <c r="M50" s="106" t="n">
        <v>37500</v>
      </c>
      <c r="N50" s="147" t="n">
        <v>22.3049991607666</v>
      </c>
      <c r="O50" s="147" t="n">
        <v>22.9049991607666</v>
      </c>
      <c r="P50" s="147" t="n">
        <v>23.5049991607666</v>
      </c>
      <c r="Q50" s="18"/>
      <c r="R50" s="147" t="n">
        <v>20.4</v>
      </c>
      <c r="S50" s="147" t="n">
        <v>23.4</v>
      </c>
      <c r="T50" s="147" t="n">
        <v>26.4</v>
      </c>
      <c r="U50" s="18"/>
      <c r="V50" s="147" t="n">
        <v>1.2</v>
      </c>
      <c r="W50" s="147" t="n">
        <v>1.2</v>
      </c>
      <c r="X50" s="147" t="n">
        <v>1.2</v>
      </c>
      <c r="Y50" s="18"/>
      <c r="Z50" s="147" t="n">
        <v>0.12589875</v>
      </c>
      <c r="AA50" s="147" t="n">
        <v>0.2517975</v>
      </c>
      <c r="AB50" s="147" t="n">
        <v>0.37769625</v>
      </c>
      <c r="AC50" s="18"/>
      <c r="AD50" s="147" t="n">
        <v>0.038416</v>
      </c>
      <c r="AE50" s="147" t="n">
        <v>0.076832</v>
      </c>
      <c r="AF50" s="147" t="n">
        <v>0.115248</v>
      </c>
      <c r="AG50" s="18"/>
      <c r="AH50" s="147" t="n">
        <v>-0.35</v>
      </c>
      <c r="AI50" s="147" t="n">
        <v>1.25</v>
      </c>
      <c r="AJ50" s="147" t="n">
        <v>0.3</v>
      </c>
      <c r="AK50" s="18"/>
      <c r="AL50" s="147" t="n">
        <v>-0.15</v>
      </c>
      <c r="AM50" s="147" t="n">
        <v>0.4</v>
      </c>
      <c r="AN50" s="147" t="n">
        <v>0.2</v>
      </c>
      <c r="AO50" s="18"/>
      <c r="AP50" s="105" t="n">
        <v>11</v>
      </c>
      <c r="AQ50" s="148" t="n">
        <v>0.3</v>
      </c>
      <c r="AR50" s="18"/>
      <c r="AS50" s="148" t="n">
        <v>-3.5</v>
      </c>
      <c r="AT50" s="184" t="n">
        <v>0.0125</v>
      </c>
      <c r="AU50" s="18"/>
      <c r="AV50" s="148" t="n">
        <v>4</v>
      </c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06" t="n">
        <v>37500</v>
      </c>
      <c r="BI50" s="150" t="n">
        <v>0.9</v>
      </c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63"/>
      <c r="CI50" s="112" t="s">
        <v>190</v>
      </c>
      <c r="CJ50" s="112"/>
      <c r="CK50" s="112"/>
      <c r="CM50" s="175"/>
      <c r="CN50" s="175"/>
      <c r="CO50" s="151"/>
      <c r="CP50" s="0"/>
      <c r="CQ50" s="0"/>
      <c r="CR50" s="0"/>
      <c r="CS50" s="0"/>
      <c r="CT50" s="0"/>
      <c r="CY50" s="152" t="n">
        <f aca="false">M50</f>
        <v>37500</v>
      </c>
      <c r="CZ50" s="153" t="n">
        <f aca="false">AI50+AH50</f>
        <v>0.9</v>
      </c>
      <c r="DA50" s="153" t="n">
        <f aca="false">AI50</f>
        <v>1.25</v>
      </c>
      <c r="DB50" s="153" t="n">
        <f aca="false">AI50+AJ50</f>
        <v>1.55</v>
      </c>
      <c r="DD50" s="153" t="n">
        <f aca="false">Z50</f>
        <v>0.12589875</v>
      </c>
      <c r="DE50" s="153" t="n">
        <f aca="false">AA50</f>
        <v>0.2517975</v>
      </c>
      <c r="DF50" s="153" t="n">
        <f aca="false">AB50</f>
        <v>0.37769625</v>
      </c>
      <c r="DH50" s="152" t="n">
        <f aca="false">BH50</f>
        <v>37500</v>
      </c>
      <c r="DI50" s="99" t="n">
        <v>0.9</v>
      </c>
      <c r="DT50" s="63"/>
      <c r="DU50" s="63"/>
      <c r="DV50" s="63"/>
      <c r="DW50" s="63"/>
      <c r="DX50" s="63"/>
      <c r="DY50" s="63"/>
    </row>
    <row r="51" customFormat="false" ht="12.75" hidden="false" customHeight="false" outlineLevel="0" collapsed="false">
      <c r="A51" s="110" t="n">
        <f aca="false">EOMONTH(A50,0)+1</f>
        <v>47088</v>
      </c>
      <c r="B51" s="99" t="n">
        <f aca="false">'Gas Curves'!C55</f>
        <v>0.072178419252254</v>
      </c>
      <c r="C51" s="99"/>
      <c r="D51" s="145" t="n">
        <v>36647</v>
      </c>
      <c r="E51" s="146" t="n">
        <v>34.5</v>
      </c>
      <c r="F51" s="146" t="n">
        <v>35</v>
      </c>
      <c r="G51" s="146" t="n">
        <v>35.5</v>
      </c>
      <c r="H51" s="127"/>
      <c r="I51" s="146" t="n">
        <v>19.2499980926514</v>
      </c>
      <c r="J51" s="146" t="n">
        <v>19.4999980926514</v>
      </c>
      <c r="K51" s="146" t="n">
        <v>19.7499980926514</v>
      </c>
      <c r="L51" s="105"/>
      <c r="M51" s="106" t="n">
        <v>37530</v>
      </c>
      <c r="N51" s="147" t="n">
        <v>22.5130001068115</v>
      </c>
      <c r="O51" s="147" t="n">
        <v>23.0005001068115</v>
      </c>
      <c r="P51" s="147" t="n">
        <v>23.4880001068115</v>
      </c>
      <c r="Q51" s="18"/>
      <c r="R51" s="147" t="n">
        <v>18.0009998321533</v>
      </c>
      <c r="S51" s="147" t="n">
        <v>21.0009998321533</v>
      </c>
      <c r="T51" s="147" t="n">
        <v>24.0009998321533</v>
      </c>
      <c r="U51" s="18"/>
      <c r="V51" s="147" t="n">
        <v>1.2</v>
      </c>
      <c r="W51" s="147" t="n">
        <v>1.2</v>
      </c>
      <c r="X51" s="147" t="n">
        <v>1.2</v>
      </c>
      <c r="Y51" s="18"/>
      <c r="Z51" s="147" t="n">
        <v>0.1149975</v>
      </c>
      <c r="AA51" s="147" t="n">
        <v>0.229995</v>
      </c>
      <c r="AB51" s="147" t="n">
        <v>0.3449925</v>
      </c>
      <c r="AC51" s="18"/>
      <c r="AD51" s="147" t="n">
        <v>0.028812</v>
      </c>
      <c r="AE51" s="147" t="n">
        <v>0.057624</v>
      </c>
      <c r="AF51" s="147" t="n">
        <v>0.086436</v>
      </c>
      <c r="AG51" s="18"/>
      <c r="AH51" s="147" t="n">
        <v>-0.25</v>
      </c>
      <c r="AI51" s="147" t="n">
        <v>1.1</v>
      </c>
      <c r="AJ51" s="147" t="n">
        <v>0.3</v>
      </c>
      <c r="AK51" s="18"/>
      <c r="AL51" s="147" t="n">
        <v>-0.15</v>
      </c>
      <c r="AM51" s="147" t="n">
        <v>0.35</v>
      </c>
      <c r="AN51" s="147" t="n">
        <v>0.2</v>
      </c>
      <c r="AO51" s="18"/>
      <c r="AP51" s="105" t="n">
        <v>11</v>
      </c>
      <c r="AQ51" s="148" t="n">
        <v>0.3</v>
      </c>
      <c r="AR51" s="18"/>
      <c r="AS51" s="148" t="n">
        <v>-3</v>
      </c>
      <c r="AT51" s="184" t="n">
        <v>0.01</v>
      </c>
      <c r="AU51" s="18"/>
      <c r="AV51" s="148" t="n">
        <v>10</v>
      </c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06" t="n">
        <v>37530</v>
      </c>
      <c r="BI51" s="150" t="n">
        <v>0.9</v>
      </c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63"/>
      <c r="CI51" s="118" t="s">
        <v>68</v>
      </c>
      <c r="CJ51" s="119" t="s">
        <v>69</v>
      </c>
      <c r="CK51" s="120" t="s">
        <v>70</v>
      </c>
      <c r="CM51" s="175"/>
      <c r="CN51" s="175"/>
      <c r="CO51" s="151"/>
      <c r="CP51" s="0"/>
      <c r="CQ51" s="0"/>
      <c r="CR51" s="0"/>
      <c r="CS51" s="0"/>
      <c r="CT51" s="0"/>
      <c r="CY51" s="152" t="n">
        <f aca="false">M51</f>
        <v>37530</v>
      </c>
      <c r="CZ51" s="153" t="n">
        <f aca="false">AI51+AH51</f>
        <v>0.85</v>
      </c>
      <c r="DA51" s="153" t="n">
        <f aca="false">AI51</f>
        <v>1.1</v>
      </c>
      <c r="DB51" s="153" t="n">
        <f aca="false">AI51+AJ51</f>
        <v>1.4</v>
      </c>
      <c r="DD51" s="153" t="n">
        <f aca="false">Z51</f>
        <v>0.1149975</v>
      </c>
      <c r="DE51" s="153" t="n">
        <f aca="false">AA51</f>
        <v>0.229995</v>
      </c>
      <c r="DF51" s="153" t="n">
        <f aca="false">AB51</f>
        <v>0.3449925</v>
      </c>
      <c r="DH51" s="152" t="n">
        <f aca="false">BH51</f>
        <v>37530</v>
      </c>
      <c r="DI51" s="99" t="n">
        <v>0.9</v>
      </c>
      <c r="DT51" s="63"/>
      <c r="DU51" s="63"/>
      <c r="DV51" s="63"/>
      <c r="DW51" s="63"/>
      <c r="DX51" s="63"/>
      <c r="DY51" s="63"/>
    </row>
    <row r="52" customFormat="false" ht="13.5" hidden="false" customHeight="false" outlineLevel="0" collapsed="false">
      <c r="A52" s="110" t="n">
        <f aca="false">EOMONTH(A51,0)+1</f>
        <v>47119</v>
      </c>
      <c r="B52" s="99" t="n">
        <f aca="false">'Gas Curves'!C56</f>
        <v>0.072234722830806</v>
      </c>
      <c r="C52" s="99"/>
      <c r="D52" s="145" t="n">
        <v>36678</v>
      </c>
      <c r="E52" s="146" t="n">
        <v>72.5</v>
      </c>
      <c r="F52" s="146" t="n">
        <v>74</v>
      </c>
      <c r="G52" s="146" t="n">
        <v>75.5</v>
      </c>
      <c r="H52" s="127"/>
      <c r="I52" s="146" t="n">
        <v>18.7549991607666</v>
      </c>
      <c r="J52" s="146" t="n">
        <v>19.5049991607666</v>
      </c>
      <c r="K52" s="146" t="n">
        <v>20.2549991607666</v>
      </c>
      <c r="L52" s="105"/>
      <c r="M52" s="106" t="n">
        <v>37561</v>
      </c>
      <c r="N52" s="147" t="n">
        <v>23.5172515869141</v>
      </c>
      <c r="O52" s="147" t="n">
        <v>24.0047515869141</v>
      </c>
      <c r="P52" s="147" t="n">
        <v>24.4922515869141</v>
      </c>
      <c r="Q52" s="18"/>
      <c r="R52" s="147" t="n">
        <v>19.0044998168945</v>
      </c>
      <c r="S52" s="147" t="n">
        <v>22.0044998168945</v>
      </c>
      <c r="T52" s="147" t="n">
        <v>25.0044998168945</v>
      </c>
      <c r="U52" s="18"/>
      <c r="V52" s="147" t="n">
        <v>1.2</v>
      </c>
      <c r="W52" s="147" t="n">
        <v>1.2</v>
      </c>
      <c r="X52" s="147" t="n">
        <v>1.2</v>
      </c>
      <c r="Y52" s="18"/>
      <c r="Z52" s="147" t="n">
        <v>0.1149975</v>
      </c>
      <c r="AA52" s="147" t="n">
        <v>0.229995</v>
      </c>
      <c r="AB52" s="147" t="n">
        <v>0.3449925</v>
      </c>
      <c r="AC52" s="18"/>
      <c r="AD52" s="147" t="n">
        <v>0.028812</v>
      </c>
      <c r="AE52" s="147" t="n">
        <v>0.057624</v>
      </c>
      <c r="AF52" s="147" t="n">
        <v>0.086436</v>
      </c>
      <c r="AG52" s="18"/>
      <c r="AH52" s="147" t="n">
        <v>-0.25</v>
      </c>
      <c r="AI52" s="147" t="n">
        <v>1.25</v>
      </c>
      <c r="AJ52" s="147" t="n">
        <v>0.3</v>
      </c>
      <c r="AK52" s="18"/>
      <c r="AL52" s="147" t="n">
        <v>-0.15</v>
      </c>
      <c r="AM52" s="147" t="n">
        <v>0.3</v>
      </c>
      <c r="AN52" s="147" t="n">
        <v>0.2</v>
      </c>
      <c r="AO52" s="18"/>
      <c r="AP52" s="105" t="n">
        <v>12</v>
      </c>
      <c r="AQ52" s="148" t="n">
        <v>0.3</v>
      </c>
      <c r="AR52" s="18"/>
      <c r="AS52" s="148" t="n">
        <v>-2.5</v>
      </c>
      <c r="AT52" s="150" t="n">
        <v>0.005</v>
      </c>
      <c r="AU52" s="18"/>
      <c r="AV52" s="148" t="n">
        <v>0</v>
      </c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06" t="n">
        <v>37561</v>
      </c>
      <c r="BI52" s="150" t="n">
        <v>0.9</v>
      </c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63"/>
      <c r="CI52" s="129" t="s">
        <v>77</v>
      </c>
      <c r="CJ52" s="130" t="s">
        <v>77</v>
      </c>
      <c r="CK52" s="131" t="s">
        <v>77</v>
      </c>
      <c r="CM52" s="175"/>
      <c r="CN52" s="175"/>
      <c r="CO52" s="151"/>
      <c r="CP52" s="0"/>
      <c r="CQ52" s="0"/>
      <c r="CR52" s="0"/>
      <c r="CS52" s="0"/>
      <c r="CT52" s="0"/>
      <c r="CY52" s="152" t="n">
        <f aca="false">M52</f>
        <v>37561</v>
      </c>
      <c r="CZ52" s="153" t="n">
        <f aca="false">AI52+AH52</f>
        <v>1</v>
      </c>
      <c r="DA52" s="153" t="n">
        <f aca="false">AI52</f>
        <v>1.25</v>
      </c>
      <c r="DB52" s="153" t="n">
        <f aca="false">AI52+AJ52</f>
        <v>1.55</v>
      </c>
      <c r="DD52" s="153" t="n">
        <f aca="false">Z52</f>
        <v>0.1149975</v>
      </c>
      <c r="DE52" s="153" t="n">
        <f aca="false">AA52</f>
        <v>0.229995</v>
      </c>
      <c r="DF52" s="153" t="n">
        <f aca="false">AB52</f>
        <v>0.3449925</v>
      </c>
      <c r="DH52" s="152" t="n">
        <f aca="false">BH52</f>
        <v>37561</v>
      </c>
      <c r="DI52" s="99" t="n">
        <v>0.9</v>
      </c>
      <c r="DT52" s="63"/>
      <c r="DU52" s="63"/>
      <c r="DV52" s="63"/>
      <c r="DW52" s="63"/>
      <c r="DX52" s="63"/>
      <c r="DY52" s="63"/>
    </row>
    <row r="53" customFormat="false" ht="13.5" hidden="false" customHeight="false" outlineLevel="0" collapsed="false">
      <c r="A53" s="110" t="n">
        <f aca="false">EOMONTH(A52,0)+1</f>
        <v>47150</v>
      </c>
      <c r="B53" s="99" t="n">
        <f aca="false">'Gas Curves'!C57</f>
        <v>0.07228736065921</v>
      </c>
      <c r="C53" s="99"/>
      <c r="D53" s="145" t="n">
        <v>36708</v>
      </c>
      <c r="E53" s="146" t="n">
        <v>107.5</v>
      </c>
      <c r="F53" s="146" t="n">
        <v>110</v>
      </c>
      <c r="G53" s="146" t="n">
        <v>112.5</v>
      </c>
      <c r="H53" s="127"/>
      <c r="I53" s="146" t="n">
        <v>23.7499980926514</v>
      </c>
      <c r="J53" s="146" t="n">
        <v>24.9999980926514</v>
      </c>
      <c r="K53" s="146" t="n">
        <v>26.2499980926514</v>
      </c>
      <c r="L53" s="105"/>
      <c r="M53" s="106" t="n">
        <v>37591</v>
      </c>
      <c r="N53" s="147" t="n">
        <v>24.9674983978271</v>
      </c>
      <c r="O53" s="147" t="n">
        <v>25.4549983978271</v>
      </c>
      <c r="P53" s="147" t="n">
        <v>25.9424983978271</v>
      </c>
      <c r="Q53" s="18"/>
      <c r="R53" s="147" t="n">
        <v>18.9499992370605</v>
      </c>
      <c r="S53" s="147" t="n">
        <v>21.9499992370605</v>
      </c>
      <c r="T53" s="147" t="n">
        <v>24.9499992370605</v>
      </c>
      <c r="U53" s="18"/>
      <c r="V53" s="147" t="n">
        <v>1.2</v>
      </c>
      <c r="W53" s="147" t="n">
        <v>1.2</v>
      </c>
      <c r="X53" s="147" t="n">
        <v>1.2</v>
      </c>
      <c r="Y53" s="18"/>
      <c r="Z53" s="147" t="n">
        <v>0.1191015</v>
      </c>
      <c r="AA53" s="147" t="n">
        <v>0.238203</v>
      </c>
      <c r="AB53" s="147" t="n">
        <v>0.3573045</v>
      </c>
      <c r="AC53" s="18"/>
      <c r="AD53" s="147" t="n">
        <v>0.028812</v>
      </c>
      <c r="AE53" s="147" t="n">
        <v>0.057624</v>
      </c>
      <c r="AF53" s="147" t="n">
        <v>0.086436</v>
      </c>
      <c r="AG53" s="18"/>
      <c r="AH53" s="147" t="n">
        <v>-0.25</v>
      </c>
      <c r="AI53" s="147" t="n">
        <v>1.25</v>
      </c>
      <c r="AJ53" s="147" t="n">
        <v>0.35</v>
      </c>
      <c r="AK53" s="18"/>
      <c r="AL53" s="147" t="n">
        <v>-0.15</v>
      </c>
      <c r="AM53" s="147" t="n">
        <v>0.3</v>
      </c>
      <c r="AN53" s="147" t="n">
        <v>0.2</v>
      </c>
      <c r="AO53" s="18"/>
      <c r="AP53" s="105" t="n">
        <v>12</v>
      </c>
      <c r="AQ53" s="148" t="n">
        <v>0.3</v>
      </c>
      <c r="AR53" s="18"/>
      <c r="AS53" s="148" t="n">
        <v>-2</v>
      </c>
      <c r="AT53" s="150" t="n">
        <v>0.0025</v>
      </c>
      <c r="AU53" s="18"/>
      <c r="AV53" s="148" t="n">
        <v>0</v>
      </c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06" t="n">
        <v>37591</v>
      </c>
      <c r="BI53" s="150" t="n">
        <v>0.9</v>
      </c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63"/>
      <c r="CI53" s="138" t="n">
        <f aca="false">CE21</f>
        <v>0</v>
      </c>
      <c r="CJ53" s="176" t="n">
        <f aca="false">CI53+CF21</f>
        <v>0</v>
      </c>
      <c r="CK53" s="177" t="n">
        <f aca="false">CI53+CG21</f>
        <v>0</v>
      </c>
      <c r="CM53" s="175"/>
      <c r="CN53" s="175"/>
      <c r="CO53" s="151"/>
      <c r="CP53" s="0"/>
      <c r="CQ53" s="0"/>
      <c r="CR53" s="0"/>
      <c r="CS53" s="0"/>
      <c r="CT53" s="0"/>
      <c r="CY53" s="152" t="n">
        <f aca="false">M53</f>
        <v>37591</v>
      </c>
      <c r="CZ53" s="153" t="n">
        <f aca="false">AI53+AH53</f>
        <v>1</v>
      </c>
      <c r="DA53" s="153" t="n">
        <f aca="false">AI53</f>
        <v>1.25</v>
      </c>
      <c r="DB53" s="153" t="n">
        <f aca="false">AI53+AJ53</f>
        <v>1.6</v>
      </c>
      <c r="DD53" s="153" t="n">
        <f aca="false">Z53</f>
        <v>0.1191015</v>
      </c>
      <c r="DE53" s="153" t="n">
        <f aca="false">AA53</f>
        <v>0.238203</v>
      </c>
      <c r="DF53" s="153" t="n">
        <f aca="false">AB53</f>
        <v>0.3573045</v>
      </c>
      <c r="DH53" s="152" t="n">
        <f aca="false">BH53</f>
        <v>37591</v>
      </c>
      <c r="DI53" s="99" t="n">
        <v>0.9</v>
      </c>
      <c r="DP53" s="81"/>
      <c r="DT53" s="63"/>
      <c r="DU53" s="63"/>
      <c r="DV53" s="63"/>
      <c r="DW53" s="63"/>
      <c r="DX53" s="63"/>
      <c r="DY53" s="63"/>
    </row>
    <row r="54" customFormat="false" ht="13.5" hidden="false" customHeight="false" outlineLevel="0" collapsed="false">
      <c r="A54" s="110" t="n">
        <f aca="false">EOMONTH(A53,0)+1</f>
        <v>47178</v>
      </c>
      <c r="B54" s="99" t="n">
        <f aca="false">'Gas Curves'!C58</f>
        <v>0.072339998488529</v>
      </c>
      <c r="C54" s="99"/>
      <c r="D54" s="145" t="n">
        <v>36739</v>
      </c>
      <c r="E54" s="146" t="n">
        <v>95</v>
      </c>
      <c r="F54" s="146" t="n">
        <v>97.5</v>
      </c>
      <c r="G54" s="146" t="n">
        <v>100</v>
      </c>
      <c r="H54" s="127"/>
      <c r="I54" s="146" t="n">
        <v>23.7499980926514</v>
      </c>
      <c r="J54" s="146" t="n">
        <v>24.9999980926514</v>
      </c>
      <c r="K54" s="146" t="n">
        <v>26.2499980926514</v>
      </c>
      <c r="L54" s="105"/>
      <c r="M54" s="106" t="n">
        <v>37622</v>
      </c>
      <c r="N54" s="147" t="n">
        <v>28.0487483978271</v>
      </c>
      <c r="O54" s="147" t="n">
        <v>28.6487483978272</v>
      </c>
      <c r="P54" s="147" t="n">
        <v>29.2487483978272</v>
      </c>
      <c r="Q54" s="18"/>
      <c r="R54" s="147" t="n">
        <v>23.8525001525879</v>
      </c>
      <c r="S54" s="147" t="n">
        <v>27.1525001525879</v>
      </c>
      <c r="T54" s="147" t="n">
        <v>30.4525001525879</v>
      </c>
      <c r="U54" s="18"/>
      <c r="V54" s="147" t="n">
        <v>1.1</v>
      </c>
      <c r="W54" s="147" t="n">
        <v>1.1</v>
      </c>
      <c r="X54" s="147" t="n">
        <v>1.1</v>
      </c>
      <c r="Y54" s="18"/>
      <c r="Z54" s="147" t="n">
        <v>0.128155</v>
      </c>
      <c r="AA54" s="147" t="n">
        <v>0.25631</v>
      </c>
      <c r="AB54" s="147" t="n">
        <v>0.384465</v>
      </c>
      <c r="AC54" s="18"/>
      <c r="AD54" s="147" t="n">
        <v>0.03294172</v>
      </c>
      <c r="AE54" s="147" t="n">
        <v>0.06588344</v>
      </c>
      <c r="AF54" s="147" t="n">
        <v>0.09882516</v>
      </c>
      <c r="AG54" s="18"/>
      <c r="AH54" s="147" t="n">
        <v>-0.75</v>
      </c>
      <c r="AI54" s="147" t="n">
        <v>2</v>
      </c>
      <c r="AJ54" s="147" t="n">
        <v>0.75</v>
      </c>
      <c r="AK54" s="18"/>
      <c r="AL54" s="147" t="n">
        <v>-0.15</v>
      </c>
      <c r="AM54" s="147" t="n">
        <v>0.5</v>
      </c>
      <c r="AN54" s="147" t="n">
        <v>0.2</v>
      </c>
      <c r="AO54" s="18"/>
      <c r="AP54" s="105" t="n">
        <v>12</v>
      </c>
      <c r="AQ54" s="148" t="n">
        <v>0.3</v>
      </c>
      <c r="AR54" s="18"/>
      <c r="AS54" s="148" t="n">
        <v>-1.5</v>
      </c>
      <c r="AT54" s="150" t="n">
        <v>0</v>
      </c>
      <c r="AU54" s="18"/>
      <c r="AV54" s="148" t="n">
        <v>0</v>
      </c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06" t="n">
        <v>37622</v>
      </c>
      <c r="BI54" s="150" t="n">
        <v>0.9</v>
      </c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63"/>
      <c r="CI54" s="138" t="n">
        <f aca="false">CE22</f>
        <v>0</v>
      </c>
      <c r="CJ54" s="176" t="n">
        <f aca="false">CI54+CF22</f>
        <v>0</v>
      </c>
      <c r="CK54" s="177" t="n">
        <f aca="false">CI54+CG22</f>
        <v>0</v>
      </c>
      <c r="CM54" s="175"/>
      <c r="CN54" s="175"/>
      <c r="CO54" s="151"/>
      <c r="CP54" s="0"/>
      <c r="CQ54" s="0"/>
      <c r="CR54" s="0"/>
      <c r="CS54" s="0"/>
      <c r="CT54" s="0"/>
      <c r="CY54" s="152" t="n">
        <f aca="false">M54</f>
        <v>37622</v>
      </c>
      <c r="CZ54" s="153" t="n">
        <f aca="false">AI54+AH54</f>
        <v>1.25</v>
      </c>
      <c r="DA54" s="153" t="n">
        <f aca="false">AI54</f>
        <v>2</v>
      </c>
      <c r="DB54" s="153" t="n">
        <f aca="false">AI54+AJ54</f>
        <v>2.75</v>
      </c>
      <c r="DD54" s="153" t="n">
        <f aca="false">Z54</f>
        <v>0.128155</v>
      </c>
      <c r="DE54" s="153" t="n">
        <f aca="false">AA54</f>
        <v>0.25631</v>
      </c>
      <c r="DF54" s="153" t="n">
        <f aca="false">AB54</f>
        <v>0.384465</v>
      </c>
      <c r="DH54" s="152" t="n">
        <f aca="false">BH54</f>
        <v>37622</v>
      </c>
      <c r="DI54" s="99" t="n">
        <v>0.9</v>
      </c>
    </row>
    <row r="55" customFormat="false" ht="13.5" hidden="false" customHeight="false" outlineLevel="0" collapsed="false">
      <c r="A55" s="110" t="n">
        <f aca="false">EOMONTH(A54,0)+1</f>
        <v>47209</v>
      </c>
      <c r="B55" s="99" t="n">
        <f aca="false">'Gas Curves'!C59</f>
        <v>0.072387795190343</v>
      </c>
      <c r="C55" s="99"/>
      <c r="D55" s="145" t="n">
        <v>36770</v>
      </c>
      <c r="E55" s="146" t="n">
        <v>33.4</v>
      </c>
      <c r="F55" s="146" t="n">
        <v>34</v>
      </c>
      <c r="G55" s="146" t="n">
        <v>34.6</v>
      </c>
      <c r="H55" s="127"/>
      <c r="I55" s="146" t="n">
        <v>19.1999980926514</v>
      </c>
      <c r="J55" s="146" t="n">
        <v>19.4999980926514</v>
      </c>
      <c r="K55" s="146" t="n">
        <v>19.7999980926514</v>
      </c>
      <c r="L55" s="105"/>
      <c r="M55" s="106" t="n">
        <v>37653</v>
      </c>
      <c r="N55" s="147" t="n">
        <v>27.0462501525879</v>
      </c>
      <c r="O55" s="147" t="n">
        <v>27.6462501525879</v>
      </c>
      <c r="P55" s="147" t="n">
        <v>28.2462501525879</v>
      </c>
      <c r="Q55" s="18"/>
      <c r="R55" s="147" t="n">
        <v>21.8474994659424</v>
      </c>
      <c r="S55" s="147" t="n">
        <v>25.1474994659424</v>
      </c>
      <c r="T55" s="147" t="n">
        <v>28.4474994659424</v>
      </c>
      <c r="U55" s="18"/>
      <c r="V55" s="147" t="n">
        <v>1.1</v>
      </c>
      <c r="W55" s="147" t="n">
        <v>1.1</v>
      </c>
      <c r="X55" s="147" t="n">
        <v>1.1</v>
      </c>
      <c r="Y55" s="18"/>
      <c r="Z55" s="147" t="n">
        <v>0.1236425</v>
      </c>
      <c r="AA55" s="147" t="n">
        <v>0.247285</v>
      </c>
      <c r="AB55" s="147" t="n">
        <v>0.3709275</v>
      </c>
      <c r="AC55" s="18"/>
      <c r="AD55" s="147" t="n">
        <v>0.03294172</v>
      </c>
      <c r="AE55" s="147" t="n">
        <v>0.06588344</v>
      </c>
      <c r="AF55" s="147" t="n">
        <v>0.09882516</v>
      </c>
      <c r="AG55" s="18"/>
      <c r="AH55" s="147" t="n">
        <v>-0.75</v>
      </c>
      <c r="AI55" s="147" t="n">
        <v>2</v>
      </c>
      <c r="AJ55" s="147" t="n">
        <v>0.75</v>
      </c>
      <c r="AK55" s="18"/>
      <c r="AL55" s="147" t="n">
        <v>-0.15</v>
      </c>
      <c r="AM55" s="147" t="n">
        <v>0.5</v>
      </c>
      <c r="AN55" s="147" t="n">
        <v>0.2</v>
      </c>
      <c r="AO55" s="18"/>
      <c r="AP55" s="105" t="n">
        <v>13</v>
      </c>
      <c r="AQ55" s="148" t="n">
        <v>0.3</v>
      </c>
      <c r="AR55" s="18"/>
      <c r="AS55" s="148" t="n">
        <v>-1</v>
      </c>
      <c r="AT55" s="150" t="n">
        <v>0</v>
      </c>
      <c r="AU55" s="18"/>
      <c r="AV55" s="148" t="n">
        <v>0</v>
      </c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06" t="n">
        <v>37653</v>
      </c>
      <c r="BI55" s="150" t="n">
        <v>0.9</v>
      </c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I55" s="138" t="n">
        <f aca="false">CE23</f>
        <v>0</v>
      </c>
      <c r="CJ55" s="176" t="n">
        <f aca="false">CI55+CF23</f>
        <v>0</v>
      </c>
      <c r="CK55" s="177" t="n">
        <f aca="false">CI55+CG23</f>
        <v>0</v>
      </c>
      <c r="CM55" s="175"/>
      <c r="CN55" s="175"/>
      <c r="CO55" s="151"/>
      <c r="CP55" s="0"/>
      <c r="CQ55" s="0"/>
      <c r="CR55" s="0"/>
      <c r="CS55" s="0"/>
      <c r="CT55" s="0"/>
      <c r="CY55" s="152" t="n">
        <f aca="false">M55</f>
        <v>37653</v>
      </c>
      <c r="CZ55" s="153" t="n">
        <f aca="false">AI55+AH55</f>
        <v>1.25</v>
      </c>
      <c r="DA55" s="153" t="n">
        <f aca="false">AI55</f>
        <v>2</v>
      </c>
      <c r="DB55" s="153" t="n">
        <f aca="false">AI55+AJ55</f>
        <v>2.75</v>
      </c>
      <c r="DD55" s="153" t="n">
        <f aca="false">Z55</f>
        <v>0.1236425</v>
      </c>
      <c r="DE55" s="153" t="n">
        <f aca="false">AA55</f>
        <v>0.247285</v>
      </c>
      <c r="DF55" s="153" t="n">
        <f aca="false">AB55</f>
        <v>0.3709275</v>
      </c>
      <c r="DH55" s="152" t="n">
        <f aca="false">BH55</f>
        <v>37653</v>
      </c>
      <c r="DI55" s="99" t="n">
        <v>0.9</v>
      </c>
    </row>
    <row r="56" customFormat="false" ht="13.5" hidden="false" customHeight="false" outlineLevel="0" collapsed="false">
      <c r="A56" s="110" t="n">
        <f aca="false">EOMONTH(A55,0)+1</f>
        <v>47239</v>
      </c>
      <c r="B56" s="99" t="n">
        <f aca="false">'Gas Curves'!C60</f>
        <v>0.072433234070915</v>
      </c>
      <c r="C56" s="99"/>
      <c r="D56" s="145" t="n">
        <v>36800</v>
      </c>
      <c r="E56" s="146" t="n">
        <v>31.05</v>
      </c>
      <c r="F56" s="146" t="n">
        <v>31.5</v>
      </c>
      <c r="G56" s="146" t="n">
        <v>31.95</v>
      </c>
      <c r="H56" s="127"/>
      <c r="I56" s="146" t="n">
        <v>19.2749980926514</v>
      </c>
      <c r="J56" s="146" t="n">
        <v>19.4999980926514</v>
      </c>
      <c r="K56" s="146" t="n">
        <v>19.7249980926514</v>
      </c>
      <c r="L56" s="105"/>
      <c r="M56" s="106" t="n">
        <v>37681</v>
      </c>
      <c r="N56" s="147" t="n">
        <v>20.4597496032715</v>
      </c>
      <c r="O56" s="147" t="n">
        <v>20.8347496032715</v>
      </c>
      <c r="P56" s="147" t="n">
        <v>21.2097496032715</v>
      </c>
      <c r="Q56" s="18"/>
      <c r="R56" s="147" t="n">
        <v>17.1644989013672</v>
      </c>
      <c r="S56" s="147" t="n">
        <v>20.4644989013672</v>
      </c>
      <c r="T56" s="147" t="n">
        <v>23.7644989013672</v>
      </c>
      <c r="U56" s="18"/>
      <c r="V56" s="147" t="n">
        <v>0.6</v>
      </c>
      <c r="W56" s="147" t="n">
        <v>0.6</v>
      </c>
      <c r="X56" s="147" t="n">
        <v>0.6</v>
      </c>
      <c r="Y56" s="18"/>
      <c r="Z56" s="147" t="n">
        <v>0.12051759375</v>
      </c>
      <c r="AA56" s="147" t="n">
        <v>0.2410351875</v>
      </c>
      <c r="AB56" s="147" t="n">
        <v>0.36155278125</v>
      </c>
      <c r="AC56" s="18"/>
      <c r="AD56" s="147" t="n">
        <v>0.02823576</v>
      </c>
      <c r="AE56" s="147" t="n">
        <v>0.05647152</v>
      </c>
      <c r="AF56" s="147" t="n">
        <v>0.08470728</v>
      </c>
      <c r="AG56" s="18"/>
      <c r="AH56" s="147" t="n">
        <v>-0.25</v>
      </c>
      <c r="AI56" s="147" t="n">
        <v>1.3</v>
      </c>
      <c r="AJ56" s="147" t="n">
        <v>0.3</v>
      </c>
      <c r="AK56" s="18"/>
      <c r="AL56" s="147" t="n">
        <v>-0.15</v>
      </c>
      <c r="AM56" s="147" t="n">
        <v>0.35</v>
      </c>
      <c r="AN56" s="147" t="n">
        <v>0.2</v>
      </c>
      <c r="AO56" s="18"/>
      <c r="AP56" s="105" t="n">
        <v>13</v>
      </c>
      <c r="AQ56" s="148" t="n">
        <v>0.3</v>
      </c>
      <c r="AR56" s="18"/>
      <c r="AS56" s="148" t="n">
        <v>-0.5</v>
      </c>
      <c r="AT56" s="150" t="n">
        <v>0</v>
      </c>
      <c r="AU56" s="18"/>
      <c r="AV56" s="148" t="n">
        <v>0</v>
      </c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06" t="n">
        <v>37681</v>
      </c>
      <c r="BI56" s="150" t="n">
        <v>0.9</v>
      </c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I56" s="138" t="n">
        <f aca="false">CE24</f>
        <v>0</v>
      </c>
      <c r="CJ56" s="176" t="n">
        <f aca="false">CI56+CF24</f>
        <v>0</v>
      </c>
      <c r="CK56" s="177" t="n">
        <f aca="false">CI56+CG24</f>
        <v>0</v>
      </c>
      <c r="CM56" s="175"/>
      <c r="CN56" s="175"/>
      <c r="CO56" s="151"/>
      <c r="CP56" s="0"/>
      <c r="CQ56" s="0"/>
      <c r="CR56" s="0"/>
      <c r="CS56" s="0"/>
      <c r="CT56" s="0"/>
      <c r="CY56" s="152" t="n">
        <f aca="false">M56</f>
        <v>37681</v>
      </c>
      <c r="CZ56" s="153" t="n">
        <f aca="false">AI56+AH56</f>
        <v>1.05</v>
      </c>
      <c r="DA56" s="153" t="n">
        <f aca="false">AI56</f>
        <v>1.3</v>
      </c>
      <c r="DB56" s="153" t="n">
        <f aca="false">AI56+AJ56</f>
        <v>1.6</v>
      </c>
      <c r="DD56" s="153" t="n">
        <f aca="false">Z56</f>
        <v>0.12051759375</v>
      </c>
      <c r="DE56" s="153" t="n">
        <f aca="false">AA56</f>
        <v>0.2410351875</v>
      </c>
      <c r="DF56" s="153" t="n">
        <f aca="false">AB56</f>
        <v>0.36155278125</v>
      </c>
      <c r="DH56" s="152" t="n">
        <f aca="false">BH56</f>
        <v>37681</v>
      </c>
      <c r="DI56" s="99" t="n">
        <v>0.9</v>
      </c>
    </row>
    <row r="57" customFormat="false" ht="13.5" hidden="false" customHeight="false" outlineLevel="0" collapsed="false">
      <c r="A57" s="110" t="n">
        <f aca="false">EOMONTH(A56,0)+1</f>
        <v>47270</v>
      </c>
      <c r="B57" s="99" t="n">
        <f aca="false">'Gas Curves'!C61</f>
        <v>0.072477207181795</v>
      </c>
      <c r="C57" s="99"/>
      <c r="D57" s="145" t="n">
        <v>36831</v>
      </c>
      <c r="E57" s="146" t="n">
        <v>31.55</v>
      </c>
      <c r="F57" s="146" t="n">
        <v>32</v>
      </c>
      <c r="G57" s="146" t="n">
        <v>32.45</v>
      </c>
      <c r="H57" s="127"/>
      <c r="I57" s="146" t="n">
        <v>19.2749980926514</v>
      </c>
      <c r="J57" s="146" t="n">
        <v>19.4999980926514</v>
      </c>
      <c r="K57" s="146" t="n">
        <v>19.7249980926514</v>
      </c>
      <c r="L57" s="105"/>
      <c r="M57" s="106" t="n">
        <v>37712</v>
      </c>
      <c r="N57" s="147" t="n">
        <v>21.2550003051758</v>
      </c>
      <c r="O57" s="147" t="n">
        <v>21.5175003051758</v>
      </c>
      <c r="P57" s="147" t="n">
        <v>21.7800003051758</v>
      </c>
      <c r="Q57" s="18"/>
      <c r="R57" s="147" t="n">
        <v>16.9349990844727</v>
      </c>
      <c r="S57" s="147" t="n">
        <v>20.2349990844727</v>
      </c>
      <c r="T57" s="147" t="n">
        <v>23.5349990844727</v>
      </c>
      <c r="U57" s="18"/>
      <c r="V57" s="147" t="n">
        <v>0.6</v>
      </c>
      <c r="W57" s="147" t="n">
        <v>0.6</v>
      </c>
      <c r="X57" s="147" t="n">
        <v>0.6</v>
      </c>
      <c r="Y57" s="18"/>
      <c r="Z57" s="147" t="n">
        <v>0.1074200625</v>
      </c>
      <c r="AA57" s="147" t="n">
        <v>0.214840125</v>
      </c>
      <c r="AB57" s="147" t="n">
        <v>0.3222601875</v>
      </c>
      <c r="AC57" s="18"/>
      <c r="AD57" s="147" t="n">
        <v>0.02823576</v>
      </c>
      <c r="AE57" s="147" t="n">
        <v>0.05647152</v>
      </c>
      <c r="AF57" s="147" t="n">
        <v>0.08470728</v>
      </c>
      <c r="AG57" s="18"/>
      <c r="AH57" s="147" t="n">
        <v>-0.25</v>
      </c>
      <c r="AI57" s="147" t="n">
        <v>1.1</v>
      </c>
      <c r="AJ57" s="147" t="n">
        <v>0.3</v>
      </c>
      <c r="AK57" s="18"/>
      <c r="AL57" s="147" t="n">
        <v>-0.15</v>
      </c>
      <c r="AM57" s="147" t="n">
        <v>0.35</v>
      </c>
      <c r="AN57" s="147" t="n">
        <v>0.2</v>
      </c>
      <c r="AO57" s="18"/>
      <c r="AP57" s="105" t="n">
        <v>13</v>
      </c>
      <c r="AQ57" s="148" t="n">
        <v>0.3</v>
      </c>
      <c r="AR57" s="18"/>
      <c r="AS57" s="148" t="n">
        <v>0</v>
      </c>
      <c r="AT57" s="150" t="n">
        <v>0</v>
      </c>
      <c r="AU57" s="18"/>
      <c r="AV57" s="148" t="n">
        <v>0</v>
      </c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06" t="n">
        <v>37712</v>
      </c>
      <c r="BI57" s="150" t="n">
        <v>0.9</v>
      </c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I57" s="138" t="n">
        <f aca="false">CE25</f>
        <v>0</v>
      </c>
      <c r="CJ57" s="176" t="n">
        <f aca="false">CI57+CF25</f>
        <v>0</v>
      </c>
      <c r="CK57" s="177" t="n">
        <f aca="false">CI57+CG25</f>
        <v>0</v>
      </c>
      <c r="CM57" s="175"/>
      <c r="CN57" s="175"/>
      <c r="CO57" s="151"/>
      <c r="CP57" s="0"/>
      <c r="CQ57" s="0"/>
      <c r="CR57" s="0"/>
      <c r="CS57" s="0"/>
      <c r="CT57" s="0"/>
      <c r="CY57" s="152" t="n">
        <f aca="false">M57</f>
        <v>37712</v>
      </c>
      <c r="CZ57" s="153" t="n">
        <f aca="false">AI57+AH57</f>
        <v>0.85</v>
      </c>
      <c r="DA57" s="153" t="n">
        <f aca="false">AI57</f>
        <v>1.1</v>
      </c>
      <c r="DB57" s="153" t="n">
        <f aca="false">AI57+AJ57</f>
        <v>1.4</v>
      </c>
      <c r="DD57" s="153" t="n">
        <f aca="false">Z57</f>
        <v>0.1074200625</v>
      </c>
      <c r="DE57" s="153" t="n">
        <f aca="false">AA57</f>
        <v>0.214840125</v>
      </c>
      <c r="DF57" s="153" t="n">
        <f aca="false">AB57</f>
        <v>0.3222601875</v>
      </c>
      <c r="DH57" s="152" t="n">
        <f aca="false">BH57</f>
        <v>37712</v>
      </c>
      <c r="DI57" s="99" t="n">
        <v>0.9</v>
      </c>
    </row>
    <row r="58" customFormat="false" ht="13.5" hidden="false" customHeight="false" outlineLevel="0" collapsed="false">
      <c r="A58" s="110" t="n">
        <f aca="false">EOMONTH(A57,0)+1</f>
        <v>47300</v>
      </c>
      <c r="B58" s="99" t="n">
        <f aca="false">'Gas Curves'!C62</f>
        <v>0.072526454080711</v>
      </c>
      <c r="C58" s="99"/>
      <c r="D58" s="145" t="n">
        <v>36861</v>
      </c>
      <c r="E58" s="146" t="n">
        <v>32.05</v>
      </c>
      <c r="F58" s="146" t="n">
        <v>32.5</v>
      </c>
      <c r="G58" s="146" t="n">
        <v>32.95</v>
      </c>
      <c r="H58" s="127"/>
      <c r="I58" s="146" t="n">
        <v>20.8249992370605</v>
      </c>
      <c r="J58" s="146" t="n">
        <v>21.0499992370605</v>
      </c>
      <c r="K58" s="146" t="n">
        <v>21.2749992370606</v>
      </c>
      <c r="L58" s="105"/>
      <c r="M58" s="106" t="n">
        <v>37742</v>
      </c>
      <c r="N58" s="147" t="n">
        <v>20.6950000762939</v>
      </c>
      <c r="O58" s="147" t="n">
        <v>21.6325000762939</v>
      </c>
      <c r="P58" s="147" t="n">
        <v>22.5700000762939</v>
      </c>
      <c r="Q58" s="18"/>
      <c r="R58" s="147" t="n">
        <v>17.4649997711182</v>
      </c>
      <c r="S58" s="147" t="n">
        <v>20.7649997711182</v>
      </c>
      <c r="T58" s="147" t="n">
        <v>24.0649997711182</v>
      </c>
      <c r="U58" s="18"/>
      <c r="V58" s="147" t="n">
        <v>0.6</v>
      </c>
      <c r="W58" s="147" t="n">
        <v>0.6</v>
      </c>
      <c r="X58" s="147" t="n">
        <v>0.6</v>
      </c>
      <c r="Y58" s="18"/>
      <c r="Z58" s="147" t="n">
        <v>0.1236650625</v>
      </c>
      <c r="AA58" s="147" t="n">
        <v>0.247330125</v>
      </c>
      <c r="AB58" s="147" t="n">
        <v>0.3709951875</v>
      </c>
      <c r="AC58" s="18"/>
      <c r="AD58" s="147" t="n">
        <v>0.03294172</v>
      </c>
      <c r="AE58" s="147" t="n">
        <v>0.06588344</v>
      </c>
      <c r="AF58" s="147" t="n">
        <v>0.09882516</v>
      </c>
      <c r="AG58" s="18"/>
      <c r="AH58" s="147" t="n">
        <v>-0.25</v>
      </c>
      <c r="AI58" s="147" t="n">
        <v>1.1</v>
      </c>
      <c r="AJ58" s="147" t="n">
        <v>0.3</v>
      </c>
      <c r="AK58" s="18"/>
      <c r="AL58" s="147" t="n">
        <v>-0.15</v>
      </c>
      <c r="AM58" s="147" t="n">
        <v>0.5</v>
      </c>
      <c r="AN58" s="147" t="n">
        <v>0.2</v>
      </c>
      <c r="AO58" s="18"/>
      <c r="AP58" s="105" t="n">
        <v>14</v>
      </c>
      <c r="AQ58" s="148" t="n">
        <v>0.3</v>
      </c>
      <c r="AR58" s="18"/>
      <c r="AS58" s="148" t="n">
        <v>1</v>
      </c>
      <c r="AT58" s="150" t="n">
        <v>0</v>
      </c>
      <c r="AU58" s="18"/>
      <c r="AV58" s="148" t="n">
        <v>0</v>
      </c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06" t="n">
        <v>37742</v>
      </c>
      <c r="BI58" s="150" t="n">
        <v>0.9</v>
      </c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I58" s="138" t="n">
        <f aca="false">CE26</f>
        <v>0</v>
      </c>
      <c r="CJ58" s="176" t="n">
        <f aca="false">CI58+CF26</f>
        <v>0</v>
      </c>
      <c r="CK58" s="177" t="n">
        <f aca="false">CI58+CG26</f>
        <v>0</v>
      </c>
      <c r="CM58" s="175"/>
      <c r="CN58" s="175"/>
      <c r="CO58" s="151"/>
      <c r="CP58" s="0"/>
      <c r="CQ58" s="0"/>
      <c r="CR58" s="0"/>
      <c r="CS58" s="0"/>
      <c r="CT58" s="0"/>
      <c r="CY58" s="152" t="n">
        <f aca="false">M58</f>
        <v>37742</v>
      </c>
      <c r="CZ58" s="153" t="n">
        <f aca="false">AI58+AH58</f>
        <v>0.85</v>
      </c>
      <c r="DA58" s="153" t="n">
        <f aca="false">AI58</f>
        <v>1.1</v>
      </c>
      <c r="DB58" s="153" t="n">
        <f aca="false">AI58+AJ58</f>
        <v>1.4</v>
      </c>
      <c r="DD58" s="153" t="n">
        <f aca="false">Z58</f>
        <v>0.1236650625</v>
      </c>
      <c r="DE58" s="153" t="n">
        <f aca="false">AA58</f>
        <v>0.247330125</v>
      </c>
      <c r="DF58" s="153" t="n">
        <f aca="false">AB58</f>
        <v>0.3709951875</v>
      </c>
      <c r="DH58" s="152" t="n">
        <f aca="false">BH58</f>
        <v>37742</v>
      </c>
      <c r="DI58" s="99" t="n">
        <v>0.9</v>
      </c>
    </row>
    <row r="59" customFormat="false" ht="13.5" hidden="false" customHeight="false" outlineLevel="0" collapsed="false">
      <c r="A59" s="110" t="n">
        <f aca="false">EOMONTH(A58,0)+1</f>
        <v>47331</v>
      </c>
      <c r="B59" s="99" t="n">
        <f aca="false">'Gas Curves'!C63</f>
        <v>0.072579762865304</v>
      </c>
      <c r="C59" s="99"/>
      <c r="D59" s="145" t="n">
        <v>36892</v>
      </c>
      <c r="E59" s="146" t="n">
        <v>36.9</v>
      </c>
      <c r="F59" s="146" t="n">
        <v>37.5</v>
      </c>
      <c r="G59" s="146" t="n">
        <v>38.1</v>
      </c>
      <c r="H59" s="127"/>
      <c r="I59" s="146" t="n">
        <v>20.5400001525879</v>
      </c>
      <c r="J59" s="146" t="n">
        <v>20.8400001525879</v>
      </c>
      <c r="K59" s="146" t="n">
        <v>21.1400001525879</v>
      </c>
      <c r="L59" s="105"/>
      <c r="M59" s="106" t="n">
        <v>37773</v>
      </c>
      <c r="N59" s="147" t="n">
        <v>23.3362501525879</v>
      </c>
      <c r="O59" s="147" t="n">
        <v>26.0587501525879</v>
      </c>
      <c r="P59" s="147" t="n">
        <v>28.7812501525879</v>
      </c>
      <c r="Q59" s="18"/>
      <c r="R59" s="147" t="n">
        <v>16.2424995422363</v>
      </c>
      <c r="S59" s="147" t="n">
        <v>19.5424995422363</v>
      </c>
      <c r="T59" s="147" t="n">
        <v>22.8424995422363</v>
      </c>
      <c r="U59" s="18"/>
      <c r="V59" s="147" t="n">
        <v>0.6</v>
      </c>
      <c r="W59" s="147" t="n">
        <v>0.6</v>
      </c>
      <c r="X59" s="147" t="n">
        <v>0.6</v>
      </c>
      <c r="Y59" s="18"/>
      <c r="Z59" s="147" t="n">
        <v>0.15503821875</v>
      </c>
      <c r="AA59" s="147" t="n">
        <v>0.3100764375</v>
      </c>
      <c r="AB59" s="147" t="n">
        <v>0.46511465625</v>
      </c>
      <c r="AC59" s="18"/>
      <c r="AD59" s="147" t="n">
        <v>0.04235364</v>
      </c>
      <c r="AE59" s="147" t="n">
        <v>0.08470728</v>
      </c>
      <c r="AF59" s="147" t="n">
        <v>0.12706092</v>
      </c>
      <c r="AG59" s="18"/>
      <c r="AH59" s="147" t="n">
        <v>-0.35</v>
      </c>
      <c r="AI59" s="147" t="n">
        <v>2</v>
      </c>
      <c r="AJ59" s="147" t="n">
        <v>0.3</v>
      </c>
      <c r="AK59" s="18"/>
      <c r="AL59" s="147" t="n">
        <v>-0.15</v>
      </c>
      <c r="AM59" s="147" t="n">
        <v>0.65</v>
      </c>
      <c r="AN59" s="147" t="n">
        <v>0.2</v>
      </c>
      <c r="AO59" s="18"/>
      <c r="AP59" s="105" t="n">
        <v>14</v>
      </c>
      <c r="AQ59" s="148" t="n">
        <v>0.3</v>
      </c>
      <c r="AR59" s="18"/>
      <c r="AS59" s="148" t="n">
        <v>2</v>
      </c>
      <c r="AT59" s="150" t="n">
        <v>0</v>
      </c>
      <c r="AU59" s="18"/>
      <c r="AV59" s="148" t="n">
        <v>0</v>
      </c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06" t="n">
        <v>37773</v>
      </c>
      <c r="BI59" s="150" t="n">
        <v>0.9</v>
      </c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I59" s="138" t="n">
        <f aca="false">CE27</f>
        <v>0</v>
      </c>
      <c r="CJ59" s="176" t="n">
        <f aca="false">CI59+CF27</f>
        <v>0</v>
      </c>
      <c r="CK59" s="177" t="n">
        <f aca="false">CI59+CG27</f>
        <v>0</v>
      </c>
      <c r="CM59" s="175"/>
      <c r="CN59" s="175"/>
      <c r="CO59" s="151"/>
      <c r="CP59" s="0"/>
      <c r="CQ59" s="0"/>
      <c r="CR59" s="0"/>
      <c r="CS59" s="0"/>
      <c r="CT59" s="0"/>
      <c r="CY59" s="152" t="n">
        <f aca="false">M59</f>
        <v>37773</v>
      </c>
      <c r="CZ59" s="153" t="n">
        <f aca="false">AI59+AH59</f>
        <v>1.65</v>
      </c>
      <c r="DA59" s="153" t="n">
        <f aca="false">AI59</f>
        <v>2</v>
      </c>
      <c r="DB59" s="153" t="n">
        <f aca="false">AI59+AJ59</f>
        <v>2.3</v>
      </c>
      <c r="DD59" s="153" t="n">
        <f aca="false">Z59</f>
        <v>0.15503821875</v>
      </c>
      <c r="DE59" s="153" t="n">
        <f aca="false">AA59</f>
        <v>0.3100764375</v>
      </c>
      <c r="DF59" s="153" t="n">
        <f aca="false">AB59</f>
        <v>0.46511465625</v>
      </c>
      <c r="DH59" s="152" t="n">
        <f aca="false">BH59</f>
        <v>37773</v>
      </c>
      <c r="DI59" s="99" t="n">
        <v>0.9</v>
      </c>
    </row>
    <row r="60" customFormat="false" ht="13.5" hidden="false" customHeight="false" outlineLevel="0" collapsed="false">
      <c r="A60" s="110" t="n">
        <f aca="false">EOMONTH(A59,0)+1</f>
        <v>47362</v>
      </c>
      <c r="B60" s="99" t="n">
        <f aca="false">'Gas Curves'!C64</f>
        <v>0.07262963237432</v>
      </c>
      <c r="C60" s="99"/>
      <c r="D60" s="145" t="n">
        <v>36923</v>
      </c>
      <c r="E60" s="146" t="n">
        <v>36.9</v>
      </c>
      <c r="F60" s="146" t="n">
        <v>37.5</v>
      </c>
      <c r="G60" s="146" t="n">
        <v>38.1</v>
      </c>
      <c r="H60" s="127"/>
      <c r="I60" s="146" t="n">
        <v>20.3499977111816</v>
      </c>
      <c r="J60" s="146" t="n">
        <v>20.6499977111816</v>
      </c>
      <c r="K60" s="146" t="n">
        <v>20.9499977111816</v>
      </c>
      <c r="L60" s="105"/>
      <c r="M60" s="106" t="n">
        <v>37803</v>
      </c>
      <c r="N60" s="147" t="n">
        <v>36.2612495422363</v>
      </c>
      <c r="O60" s="147" t="n">
        <v>39.2612495422363</v>
      </c>
      <c r="P60" s="147" t="n">
        <v>42.2612495422363</v>
      </c>
      <c r="Q60" s="18"/>
      <c r="R60" s="147" t="n">
        <v>25.4474994659424</v>
      </c>
      <c r="S60" s="147" t="n">
        <v>28.7474994659424</v>
      </c>
      <c r="T60" s="147" t="n">
        <v>32.0474994659424</v>
      </c>
      <c r="U60" s="18"/>
      <c r="V60" s="147" t="n">
        <v>0.6</v>
      </c>
      <c r="W60" s="147" t="n">
        <v>0.6</v>
      </c>
      <c r="X60" s="147" t="n">
        <v>0.6</v>
      </c>
      <c r="Y60" s="18"/>
      <c r="Z60" s="147" t="n">
        <v>0.18346696875</v>
      </c>
      <c r="AA60" s="147" t="n">
        <v>0.3669339375</v>
      </c>
      <c r="AB60" s="147" t="n">
        <v>0.55040090625</v>
      </c>
      <c r="AC60" s="18"/>
      <c r="AD60" s="147" t="n">
        <v>0.05647152</v>
      </c>
      <c r="AE60" s="147" t="n">
        <v>0.11294304</v>
      </c>
      <c r="AF60" s="147" t="n">
        <v>0.16941456</v>
      </c>
      <c r="AG60" s="18"/>
      <c r="AH60" s="147" t="n">
        <v>-0.35</v>
      </c>
      <c r="AI60" s="147" t="n">
        <v>3</v>
      </c>
      <c r="AJ60" s="147" t="n">
        <v>0.5</v>
      </c>
      <c r="AK60" s="18"/>
      <c r="AL60" s="147" t="n">
        <v>-0.15</v>
      </c>
      <c r="AM60" s="147" t="n">
        <v>0.75</v>
      </c>
      <c r="AN60" s="147" t="n">
        <v>0.2</v>
      </c>
      <c r="AO60" s="18"/>
      <c r="AP60" s="105" t="n">
        <v>14</v>
      </c>
      <c r="AQ60" s="148" t="n">
        <v>0.3</v>
      </c>
      <c r="AR60" s="18"/>
      <c r="AS60" s="148" t="n">
        <v>3</v>
      </c>
      <c r="AT60" s="150" t="n">
        <v>0.01</v>
      </c>
      <c r="AU60" s="18"/>
      <c r="AV60" s="148" t="n">
        <v>0</v>
      </c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06" t="n">
        <v>37803</v>
      </c>
      <c r="BI60" s="150" t="n">
        <v>0.9</v>
      </c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I60" s="138" t="n">
        <f aca="false">CE28</f>
        <v>0</v>
      </c>
      <c r="CJ60" s="176" t="n">
        <f aca="false">CI60+CF28</f>
        <v>0</v>
      </c>
      <c r="CK60" s="177" t="n">
        <f aca="false">CI60+CG28</f>
        <v>0</v>
      </c>
      <c r="CM60" s="175"/>
      <c r="CN60" s="175"/>
      <c r="CO60" s="151"/>
      <c r="CP60" s="0"/>
      <c r="CQ60" s="0"/>
      <c r="CR60" s="0"/>
      <c r="CS60" s="0"/>
      <c r="CT60" s="0"/>
      <c r="CY60" s="152" t="n">
        <f aca="false">M60</f>
        <v>37803</v>
      </c>
      <c r="CZ60" s="153" t="n">
        <f aca="false">AI60+AH60</f>
        <v>2.65</v>
      </c>
      <c r="DA60" s="153" t="n">
        <f aca="false">AI60</f>
        <v>3</v>
      </c>
      <c r="DB60" s="153" t="n">
        <f aca="false">AI60+AJ60</f>
        <v>3.5</v>
      </c>
      <c r="DD60" s="153" t="n">
        <f aca="false">Z60</f>
        <v>0.18346696875</v>
      </c>
      <c r="DE60" s="153" t="n">
        <f aca="false">AA60</f>
        <v>0.3669339375</v>
      </c>
      <c r="DF60" s="153" t="n">
        <f aca="false">AB60</f>
        <v>0.55040090625</v>
      </c>
      <c r="DH60" s="152" t="n">
        <f aca="false">BH60</f>
        <v>37803</v>
      </c>
      <c r="DI60" s="99" t="n">
        <v>0.9</v>
      </c>
    </row>
    <row r="61" customFormat="false" ht="13.5" hidden="false" customHeight="false" outlineLevel="0" collapsed="false">
      <c r="A61" s="110" t="n">
        <f aca="false">EOMONTH(A60,0)+1</f>
        <v>47392</v>
      </c>
      <c r="B61" s="99" t="n">
        <f aca="false">'Gas Curves'!C65</f>
        <v>0.0726751478777</v>
      </c>
      <c r="C61" s="99"/>
      <c r="D61" s="145" t="n">
        <v>36951</v>
      </c>
      <c r="E61" s="146" t="n">
        <v>33.35</v>
      </c>
      <c r="F61" s="146" t="n">
        <v>33.75</v>
      </c>
      <c r="G61" s="146" t="n">
        <v>34.15</v>
      </c>
      <c r="H61" s="127"/>
      <c r="I61" s="146" t="n">
        <v>19.4499996185303</v>
      </c>
      <c r="J61" s="146" t="n">
        <v>19.6499996185303</v>
      </c>
      <c r="K61" s="146" t="n">
        <v>19.8499996185303</v>
      </c>
      <c r="L61" s="105"/>
      <c r="M61" s="106" t="n">
        <v>37834</v>
      </c>
      <c r="N61" s="147" t="n">
        <v>38.5224990844727</v>
      </c>
      <c r="O61" s="147" t="n">
        <v>41.5224990844727</v>
      </c>
      <c r="P61" s="147" t="n">
        <v>44.5224990844727</v>
      </c>
      <c r="Q61" s="18"/>
      <c r="R61" s="147" t="n">
        <v>26.9450008392334</v>
      </c>
      <c r="S61" s="147" t="n">
        <v>30.2450008392334</v>
      </c>
      <c r="T61" s="147" t="n">
        <v>33.5450008392334</v>
      </c>
      <c r="U61" s="18"/>
      <c r="V61" s="147" t="n">
        <v>0.6</v>
      </c>
      <c r="W61" s="147" t="n">
        <v>0.6</v>
      </c>
      <c r="X61" s="147" t="n">
        <v>0.6</v>
      </c>
      <c r="Y61" s="18"/>
      <c r="Z61" s="147" t="n">
        <v>0.1805225625</v>
      </c>
      <c r="AA61" s="147" t="n">
        <v>0.361045125</v>
      </c>
      <c r="AB61" s="147" t="n">
        <v>0.5415676875</v>
      </c>
      <c r="AC61" s="18"/>
      <c r="AD61" s="147" t="n">
        <v>0.05647152</v>
      </c>
      <c r="AE61" s="147" t="n">
        <v>0.11294304</v>
      </c>
      <c r="AF61" s="147" t="n">
        <v>0.16941456</v>
      </c>
      <c r="AG61" s="18"/>
      <c r="AH61" s="147" t="n">
        <v>-0.35</v>
      </c>
      <c r="AI61" s="147" t="n">
        <v>3</v>
      </c>
      <c r="AJ61" s="147" t="n">
        <v>0.5</v>
      </c>
      <c r="AK61" s="18"/>
      <c r="AL61" s="147" t="n">
        <v>-0.15</v>
      </c>
      <c r="AM61" s="147" t="n">
        <v>0.75</v>
      </c>
      <c r="AN61" s="147" t="n">
        <v>0.2</v>
      </c>
      <c r="AO61" s="18"/>
      <c r="AP61" s="105" t="n">
        <v>15</v>
      </c>
      <c r="AQ61" s="148" t="n">
        <v>0.4</v>
      </c>
      <c r="AR61" s="18"/>
      <c r="AS61" s="148" t="n">
        <v>4</v>
      </c>
      <c r="AT61" s="150" t="n">
        <v>0.015</v>
      </c>
      <c r="AU61" s="18"/>
      <c r="AV61" s="148" t="n">
        <v>0</v>
      </c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06" t="n">
        <v>37834</v>
      </c>
      <c r="BI61" s="150" t="n">
        <v>0.9</v>
      </c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0"/>
      <c r="CI61" s="138" t="n">
        <f aca="false">CE29</f>
        <v>0</v>
      </c>
      <c r="CJ61" s="176" t="n">
        <f aca="false">CI61+CF29</f>
        <v>0</v>
      </c>
      <c r="CK61" s="177" t="n">
        <f aca="false">CI61+CG29</f>
        <v>0</v>
      </c>
      <c r="CM61" s="175"/>
      <c r="CN61" s="175"/>
      <c r="CO61" s="151"/>
      <c r="CP61" s="0"/>
      <c r="CQ61" s="0"/>
      <c r="CR61" s="0"/>
      <c r="CS61" s="0"/>
      <c r="CT61" s="0"/>
      <c r="CY61" s="152" t="n">
        <f aca="false">M61</f>
        <v>37834</v>
      </c>
      <c r="CZ61" s="153" t="n">
        <f aca="false">AI61+AH61</f>
        <v>2.65</v>
      </c>
      <c r="DA61" s="153" t="n">
        <f aca="false">AI61</f>
        <v>3</v>
      </c>
      <c r="DB61" s="153" t="n">
        <f aca="false">AI61+AJ61</f>
        <v>3.5</v>
      </c>
      <c r="DD61" s="153" t="n">
        <f aca="false">Z61</f>
        <v>0.1805225625</v>
      </c>
      <c r="DE61" s="153" t="n">
        <f aca="false">AA61</f>
        <v>0.361045125</v>
      </c>
      <c r="DF61" s="153" t="n">
        <f aca="false">AB61</f>
        <v>0.5415676875</v>
      </c>
      <c r="DH61" s="152" t="n">
        <f aca="false">BH61</f>
        <v>37834</v>
      </c>
      <c r="DI61" s="99" t="n">
        <v>0.9</v>
      </c>
    </row>
    <row r="62" customFormat="false" ht="13.5" hidden="false" customHeight="false" outlineLevel="0" collapsed="false">
      <c r="A62" s="110" t="n">
        <f aca="false">EOMONTH(A61,0)+1</f>
        <v>47423</v>
      </c>
      <c r="B62" s="99" t="n">
        <f aca="false">'Gas Curves'!C66</f>
        <v>0.072711150460336</v>
      </c>
      <c r="C62" s="99"/>
      <c r="D62" s="145" t="n">
        <v>36982</v>
      </c>
      <c r="E62" s="146" t="n">
        <v>32.25</v>
      </c>
      <c r="F62" s="146" t="n">
        <v>32.5</v>
      </c>
      <c r="G62" s="146" t="n">
        <v>32.75</v>
      </c>
      <c r="H62" s="127"/>
      <c r="I62" s="146" t="n">
        <v>19.5249977111816</v>
      </c>
      <c r="J62" s="146" t="n">
        <v>19.6499977111816</v>
      </c>
      <c r="K62" s="146" t="n">
        <v>19.7749977111816</v>
      </c>
      <c r="L62" s="105"/>
      <c r="M62" s="106" t="n">
        <v>37865</v>
      </c>
      <c r="N62" s="147" t="n">
        <v>22.2299991607666</v>
      </c>
      <c r="O62" s="147" t="n">
        <v>22.9049991607666</v>
      </c>
      <c r="P62" s="147" t="n">
        <v>23.5799991607666</v>
      </c>
      <c r="Q62" s="18"/>
      <c r="R62" s="147" t="n">
        <v>20.1</v>
      </c>
      <c r="S62" s="147" t="n">
        <v>23.4</v>
      </c>
      <c r="T62" s="147" t="n">
        <v>26.7</v>
      </c>
      <c r="U62" s="18"/>
      <c r="V62" s="147" t="n">
        <v>1.1</v>
      </c>
      <c r="W62" s="147" t="n">
        <v>1.1</v>
      </c>
      <c r="X62" s="147" t="n">
        <v>1.1</v>
      </c>
      <c r="Y62" s="18"/>
      <c r="Z62" s="147" t="n">
        <v>0.1196038125</v>
      </c>
      <c r="AA62" s="147" t="n">
        <v>0.239207625</v>
      </c>
      <c r="AB62" s="147" t="n">
        <v>0.3588114375</v>
      </c>
      <c r="AC62" s="18"/>
      <c r="AD62" s="147" t="n">
        <v>0.03764768</v>
      </c>
      <c r="AE62" s="147" t="n">
        <v>0.07529536</v>
      </c>
      <c r="AF62" s="147" t="n">
        <v>0.11294304</v>
      </c>
      <c r="AG62" s="18"/>
      <c r="AH62" s="147" t="n">
        <v>-0.35</v>
      </c>
      <c r="AI62" s="147" t="n">
        <v>1.5</v>
      </c>
      <c r="AJ62" s="147" t="n">
        <v>0.3</v>
      </c>
      <c r="AK62" s="18"/>
      <c r="AL62" s="147" t="n">
        <v>-0.15</v>
      </c>
      <c r="AM62" s="147" t="n">
        <v>0.4</v>
      </c>
      <c r="AN62" s="147" t="n">
        <v>0.2</v>
      </c>
      <c r="AO62" s="18"/>
      <c r="AP62" s="105" t="n">
        <v>15</v>
      </c>
      <c r="AQ62" s="148" t="n">
        <v>0.4</v>
      </c>
      <c r="AR62" s="18"/>
      <c r="AS62" s="148" t="n">
        <v>5</v>
      </c>
      <c r="AT62" s="150" t="n">
        <v>0.0175</v>
      </c>
      <c r="AU62" s="18"/>
      <c r="AV62" s="148" t="n">
        <v>0</v>
      </c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06" t="n">
        <v>37865</v>
      </c>
      <c r="BI62" s="150" t="n">
        <v>0.9</v>
      </c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0"/>
      <c r="CI62" s="138" t="n">
        <f aca="false">CE30</f>
        <v>0</v>
      </c>
      <c r="CJ62" s="176" t="n">
        <f aca="false">CI62+CF30</f>
        <v>0</v>
      </c>
      <c r="CK62" s="177" t="n">
        <f aca="false">CI62+CG30</f>
        <v>0</v>
      </c>
      <c r="CM62" s="175"/>
      <c r="CN62" s="175"/>
      <c r="CO62" s="151"/>
      <c r="CP62" s="0"/>
      <c r="CQ62" s="0"/>
      <c r="CR62" s="0"/>
      <c r="CS62" s="0"/>
      <c r="CT62" s="0"/>
      <c r="CY62" s="152" t="n">
        <f aca="false">M62</f>
        <v>37865</v>
      </c>
      <c r="CZ62" s="153" t="n">
        <f aca="false">AI62+AH62</f>
        <v>1.15</v>
      </c>
      <c r="DA62" s="153" t="n">
        <f aca="false">AI62</f>
        <v>1.5</v>
      </c>
      <c r="DB62" s="153" t="n">
        <f aca="false">AI62+AJ62</f>
        <v>1.8</v>
      </c>
      <c r="DD62" s="153" t="n">
        <f aca="false">Z62</f>
        <v>0.1196038125</v>
      </c>
      <c r="DE62" s="153" t="n">
        <f aca="false">AA62</f>
        <v>0.239207625</v>
      </c>
      <c r="DF62" s="153" t="n">
        <f aca="false">AB62</f>
        <v>0.3588114375</v>
      </c>
      <c r="DH62" s="152" t="n">
        <f aca="false">BH62</f>
        <v>37865</v>
      </c>
      <c r="DI62" s="99" t="n">
        <v>0.9</v>
      </c>
    </row>
    <row r="63" customFormat="false" ht="13.5" hidden="false" customHeight="false" outlineLevel="0" collapsed="false">
      <c r="A63" s="110" t="n">
        <f aca="false">EOMONTH(A62,0)+1</f>
        <v>47453</v>
      </c>
      <c r="B63" s="99" t="n">
        <f aca="false">'Gas Curves'!C67</f>
        <v>0.072748353129509</v>
      </c>
      <c r="C63" s="99"/>
      <c r="D63" s="145" t="n">
        <v>37012</v>
      </c>
      <c r="E63" s="146" t="n">
        <v>33.7</v>
      </c>
      <c r="F63" s="146" t="n">
        <v>34.5</v>
      </c>
      <c r="G63" s="146" t="n">
        <v>35.3</v>
      </c>
      <c r="H63" s="127"/>
      <c r="I63" s="146" t="n">
        <v>19.2499977111816</v>
      </c>
      <c r="J63" s="146" t="n">
        <v>19.6499977111816</v>
      </c>
      <c r="K63" s="146" t="n">
        <v>20.0499977111816</v>
      </c>
      <c r="L63" s="105"/>
      <c r="M63" s="106" t="n">
        <v>37895</v>
      </c>
      <c r="N63" s="147" t="n">
        <v>22.4380001068115</v>
      </c>
      <c r="O63" s="147" t="n">
        <v>23.0005001068115</v>
      </c>
      <c r="P63" s="147" t="n">
        <v>23.5630001068115</v>
      </c>
      <c r="Q63" s="18"/>
      <c r="R63" s="147" t="n">
        <v>17.7009998321533</v>
      </c>
      <c r="S63" s="147" t="n">
        <v>21.0009998321533</v>
      </c>
      <c r="T63" s="147" t="n">
        <v>24.3009998321533</v>
      </c>
      <c r="U63" s="18"/>
      <c r="V63" s="147" t="n">
        <v>1.1</v>
      </c>
      <c r="W63" s="147" t="n">
        <v>1.1</v>
      </c>
      <c r="X63" s="147" t="n">
        <v>1.1</v>
      </c>
      <c r="Y63" s="18"/>
      <c r="Z63" s="147" t="n">
        <v>0.109247625</v>
      </c>
      <c r="AA63" s="147" t="n">
        <v>0.21849525</v>
      </c>
      <c r="AB63" s="147" t="n">
        <v>0.327742875</v>
      </c>
      <c r="AC63" s="18"/>
      <c r="AD63" s="147" t="n">
        <v>0.02823576</v>
      </c>
      <c r="AE63" s="147" t="n">
        <v>0.05647152</v>
      </c>
      <c r="AF63" s="147" t="n">
        <v>0.08470728</v>
      </c>
      <c r="AG63" s="18"/>
      <c r="AH63" s="147" t="n">
        <v>-0.25</v>
      </c>
      <c r="AI63" s="147" t="n">
        <v>1.1</v>
      </c>
      <c r="AJ63" s="147" t="n">
        <v>0.3</v>
      </c>
      <c r="AK63" s="18"/>
      <c r="AL63" s="147" t="n">
        <v>-0.15</v>
      </c>
      <c r="AM63" s="147" t="n">
        <v>0.35</v>
      </c>
      <c r="AN63" s="147" t="n">
        <v>0.2</v>
      </c>
      <c r="AO63" s="18"/>
      <c r="AP63" s="105" t="n">
        <v>15</v>
      </c>
      <c r="AQ63" s="148" t="n">
        <v>0.4</v>
      </c>
      <c r="AR63" s="18"/>
      <c r="AS63" s="148" t="n">
        <v>6</v>
      </c>
      <c r="AT63" s="150" t="n">
        <v>0.025</v>
      </c>
      <c r="AU63" s="18"/>
      <c r="AV63" s="148" t="n">
        <v>0</v>
      </c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06" t="n">
        <v>37895</v>
      </c>
      <c r="BI63" s="150" t="n">
        <v>0.9</v>
      </c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0"/>
      <c r="CI63" s="138" t="n">
        <f aca="false">CE31</f>
        <v>0</v>
      </c>
      <c r="CJ63" s="176" t="n">
        <f aca="false">CI63+CF31</f>
        <v>0</v>
      </c>
      <c r="CK63" s="177" t="n">
        <f aca="false">CI63+CG31</f>
        <v>0</v>
      </c>
      <c r="CM63" s="175"/>
      <c r="CN63" s="175"/>
      <c r="CO63" s="151"/>
      <c r="CP63" s="0"/>
      <c r="CQ63" s="0"/>
      <c r="CR63" s="0"/>
      <c r="CS63" s="0"/>
      <c r="CT63" s="0"/>
      <c r="CY63" s="152" t="n">
        <f aca="false">M63</f>
        <v>37895</v>
      </c>
      <c r="CZ63" s="153" t="n">
        <f aca="false">AI63+AH63</f>
        <v>0.85</v>
      </c>
      <c r="DA63" s="153" t="n">
        <f aca="false">AI63</f>
        <v>1.1</v>
      </c>
      <c r="DB63" s="153" t="n">
        <f aca="false">AI63+AJ63</f>
        <v>1.4</v>
      </c>
      <c r="DD63" s="153" t="n">
        <f aca="false">Z63</f>
        <v>0.109247625</v>
      </c>
      <c r="DE63" s="153" t="n">
        <f aca="false">AA63</f>
        <v>0.21849525</v>
      </c>
      <c r="DF63" s="153" t="n">
        <f aca="false">AB63</f>
        <v>0.327742875</v>
      </c>
      <c r="DH63" s="152" t="n">
        <f aca="false">BH63</f>
        <v>37895</v>
      </c>
      <c r="DI63" s="99" t="n">
        <v>0.9</v>
      </c>
    </row>
    <row r="64" customFormat="false" ht="12.75" hidden="false" customHeight="false" outlineLevel="0" collapsed="false">
      <c r="A64" s="110" t="n">
        <f aca="false">EOMONTH(A63,0)+1</f>
        <v>47484</v>
      </c>
      <c r="B64" s="99" t="n">
        <f aca="false">'Gas Curves'!C68</f>
        <v>0.072784355713015</v>
      </c>
      <c r="C64" s="99"/>
      <c r="D64" s="145" t="n">
        <v>37043</v>
      </c>
      <c r="E64" s="146" t="n">
        <v>48.7</v>
      </c>
      <c r="F64" s="146" t="n">
        <v>51</v>
      </c>
      <c r="G64" s="146" t="n">
        <v>53.3</v>
      </c>
      <c r="H64" s="127"/>
      <c r="I64" s="146" t="n">
        <v>18.5049987792969</v>
      </c>
      <c r="J64" s="146" t="n">
        <v>19.6549987792969</v>
      </c>
      <c r="K64" s="146" t="n">
        <v>20.8049987792969</v>
      </c>
      <c r="L64" s="105"/>
      <c r="M64" s="106" t="n">
        <v>37926</v>
      </c>
      <c r="N64" s="147" t="n">
        <v>23.4422515869141</v>
      </c>
      <c r="O64" s="147" t="n">
        <v>24.0047515869141</v>
      </c>
      <c r="P64" s="147" t="n">
        <v>24.5672515869141</v>
      </c>
      <c r="Q64" s="18"/>
      <c r="R64" s="147" t="n">
        <v>18.7044998168945</v>
      </c>
      <c r="S64" s="147" t="n">
        <v>22.0044998168945</v>
      </c>
      <c r="T64" s="147" t="n">
        <v>25.3044998168945</v>
      </c>
      <c r="U64" s="18"/>
      <c r="V64" s="147" t="n">
        <v>1.1</v>
      </c>
      <c r="W64" s="147" t="n">
        <v>1.1</v>
      </c>
      <c r="X64" s="147" t="n">
        <v>1.1</v>
      </c>
      <c r="Y64" s="18"/>
      <c r="Z64" s="147" t="n">
        <v>0.109247625</v>
      </c>
      <c r="AA64" s="147" t="n">
        <v>0.21849525</v>
      </c>
      <c r="AB64" s="147" t="n">
        <v>0.327742875</v>
      </c>
      <c r="AC64" s="18"/>
      <c r="AD64" s="147" t="n">
        <v>0.02823576</v>
      </c>
      <c r="AE64" s="147" t="n">
        <v>0.05647152</v>
      </c>
      <c r="AF64" s="147" t="n">
        <v>0.08470728</v>
      </c>
      <c r="AG64" s="18"/>
      <c r="AH64" s="147" t="n">
        <v>-0.25</v>
      </c>
      <c r="AI64" s="147" t="n">
        <v>1.25</v>
      </c>
      <c r="AJ64" s="147" t="n">
        <v>0.3</v>
      </c>
      <c r="AK64" s="18"/>
      <c r="AL64" s="147" t="n">
        <v>-0.15</v>
      </c>
      <c r="AM64" s="147" t="n">
        <v>0.3</v>
      </c>
      <c r="AN64" s="147" t="n">
        <v>0.2</v>
      </c>
      <c r="AO64" s="18"/>
      <c r="AP64" s="105" t="n">
        <v>16</v>
      </c>
      <c r="AQ64" s="148" t="n">
        <v>0.4</v>
      </c>
      <c r="AR64" s="18"/>
      <c r="AS64" s="148" t="n">
        <v>7</v>
      </c>
      <c r="AT64" s="150" t="n">
        <v>0.035</v>
      </c>
      <c r="AU64" s="18"/>
      <c r="AV64" s="148" t="n">
        <v>0</v>
      </c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06" t="n">
        <v>37926</v>
      </c>
      <c r="BI64" s="150" t="n">
        <v>0.9</v>
      </c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0"/>
      <c r="CI64" s="138" t="n">
        <f aca="false">CE32</f>
        <v>0</v>
      </c>
      <c r="CJ64" s="176" t="n">
        <f aca="false">CI64+CF32</f>
        <v>0</v>
      </c>
      <c r="CK64" s="177" t="n">
        <f aca="false">CI64+CG32</f>
        <v>0</v>
      </c>
      <c r="CM64" s="175"/>
      <c r="CN64" s="175"/>
      <c r="CO64" s="151"/>
      <c r="CP64" s="0"/>
      <c r="CQ64" s="0"/>
      <c r="CR64" s="0"/>
      <c r="CS64" s="0"/>
      <c r="CT64" s="0"/>
      <c r="CY64" s="152" t="n">
        <f aca="false">M64</f>
        <v>37926</v>
      </c>
      <c r="CZ64" s="153" t="n">
        <f aca="false">AI64+AH64</f>
        <v>1</v>
      </c>
      <c r="DA64" s="153" t="n">
        <f aca="false">AI64</f>
        <v>1.25</v>
      </c>
      <c r="DB64" s="153" t="n">
        <f aca="false">AI64+AJ64</f>
        <v>1.55</v>
      </c>
      <c r="DD64" s="153" t="n">
        <f aca="false">Z64</f>
        <v>0.109247625</v>
      </c>
      <c r="DE64" s="153" t="n">
        <f aca="false">AA64</f>
        <v>0.21849525</v>
      </c>
      <c r="DF64" s="153" t="n">
        <f aca="false">AB64</f>
        <v>0.327742875</v>
      </c>
      <c r="DH64" s="152" t="n">
        <f aca="false">BH64</f>
        <v>37926</v>
      </c>
      <c r="DI64" s="99" t="n">
        <v>0.9</v>
      </c>
    </row>
    <row r="65" customFormat="false" ht="13.5" hidden="false" customHeight="false" outlineLevel="0" collapsed="false">
      <c r="A65" s="110" t="n">
        <f aca="false">EOMONTH(A64,0)+1</f>
        <v>47515</v>
      </c>
      <c r="B65" s="99" t="n">
        <f aca="false">'Gas Curves'!C69</f>
        <v>0.072821558383088</v>
      </c>
      <c r="C65" s="99"/>
      <c r="D65" s="145" t="n">
        <v>37073</v>
      </c>
      <c r="E65" s="146" t="n">
        <v>72</v>
      </c>
      <c r="F65" s="146" t="n">
        <v>75</v>
      </c>
      <c r="G65" s="146" t="n">
        <v>78</v>
      </c>
      <c r="H65" s="127"/>
      <c r="I65" s="146" t="n">
        <v>22.6499977111816</v>
      </c>
      <c r="J65" s="146" t="n">
        <v>24.1499977111816</v>
      </c>
      <c r="K65" s="146" t="n">
        <v>25.6499977111816</v>
      </c>
      <c r="L65" s="105"/>
      <c r="M65" s="106" t="n">
        <v>37956</v>
      </c>
      <c r="N65" s="147" t="n">
        <v>24.8924983978271</v>
      </c>
      <c r="O65" s="147" t="n">
        <v>25.4549983978271</v>
      </c>
      <c r="P65" s="147" t="n">
        <v>26.0174983978271</v>
      </c>
      <c r="Q65" s="18"/>
      <c r="R65" s="147" t="n">
        <v>18.6499992370605</v>
      </c>
      <c r="S65" s="147" t="n">
        <v>21.9499992370605</v>
      </c>
      <c r="T65" s="147" t="n">
        <v>25.2499992370605</v>
      </c>
      <c r="U65" s="18"/>
      <c r="V65" s="147" t="n">
        <v>1.1</v>
      </c>
      <c r="W65" s="147" t="n">
        <v>1.1</v>
      </c>
      <c r="X65" s="147" t="n">
        <v>1.1</v>
      </c>
      <c r="Y65" s="18"/>
      <c r="Z65" s="147" t="n">
        <v>0.113146425</v>
      </c>
      <c r="AA65" s="147" t="n">
        <v>0.22629285</v>
      </c>
      <c r="AB65" s="147" t="n">
        <v>0.339439275</v>
      </c>
      <c r="AC65" s="18"/>
      <c r="AD65" s="147" t="n">
        <v>0.02823576</v>
      </c>
      <c r="AE65" s="147" t="n">
        <v>0.05647152</v>
      </c>
      <c r="AF65" s="147" t="n">
        <v>0.08470728</v>
      </c>
      <c r="AG65" s="18"/>
      <c r="AH65" s="147" t="n">
        <v>-0.25</v>
      </c>
      <c r="AI65" s="147" t="n">
        <v>1.25</v>
      </c>
      <c r="AJ65" s="147" t="n">
        <v>0.35</v>
      </c>
      <c r="AK65" s="18"/>
      <c r="AL65" s="147" t="n">
        <v>-0.15</v>
      </c>
      <c r="AM65" s="147" t="n">
        <v>0.3</v>
      </c>
      <c r="AN65" s="147" t="n">
        <v>0.2</v>
      </c>
      <c r="AO65" s="18"/>
      <c r="AP65" s="105" t="n">
        <v>16</v>
      </c>
      <c r="AQ65" s="148" t="n">
        <v>0.4</v>
      </c>
      <c r="AR65" s="18"/>
      <c r="AS65" s="148" t="n">
        <v>8</v>
      </c>
      <c r="AT65" s="150" t="n">
        <v>0.04</v>
      </c>
      <c r="AU65" s="18"/>
      <c r="AV65" s="148" t="n">
        <v>0</v>
      </c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06" t="n">
        <v>37956</v>
      </c>
      <c r="BI65" s="150" t="n">
        <v>0.9</v>
      </c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0"/>
      <c r="CM65" s="175"/>
      <c r="CN65" s="175"/>
      <c r="CO65" s="151"/>
      <c r="CP65" s="0"/>
      <c r="CQ65" s="0"/>
      <c r="CR65" s="0"/>
      <c r="CS65" s="0"/>
      <c r="CT65" s="0"/>
      <c r="CY65" s="152" t="n">
        <f aca="false">M65</f>
        <v>37956</v>
      </c>
      <c r="CZ65" s="153" t="n">
        <f aca="false">AI65+AH65</f>
        <v>1</v>
      </c>
      <c r="DA65" s="153" t="n">
        <f aca="false">AI65</f>
        <v>1.25</v>
      </c>
      <c r="DB65" s="153" t="n">
        <f aca="false">AI65+AJ65</f>
        <v>1.6</v>
      </c>
      <c r="DD65" s="153" t="n">
        <f aca="false">Z65</f>
        <v>0.113146425</v>
      </c>
      <c r="DE65" s="153" t="n">
        <f aca="false">AA65</f>
        <v>0.22629285</v>
      </c>
      <c r="DF65" s="153" t="n">
        <f aca="false">AB65</f>
        <v>0.339439275</v>
      </c>
      <c r="DH65" s="152" t="n">
        <f aca="false">BH65</f>
        <v>37956</v>
      </c>
      <c r="DI65" s="99" t="n">
        <v>0.9</v>
      </c>
    </row>
    <row r="66" customFormat="false" ht="13.5" hidden="false" customHeight="false" outlineLevel="0" collapsed="false">
      <c r="A66" s="110" t="n">
        <f aca="false">EOMONTH(A65,0)+1</f>
        <v>47543</v>
      </c>
      <c r="B66" s="99" t="n">
        <f aca="false">'Gas Curves'!C70</f>
        <v>0.072858761053618</v>
      </c>
      <c r="C66" s="99"/>
      <c r="D66" s="145" t="n">
        <v>37104</v>
      </c>
      <c r="E66" s="146" t="n">
        <v>67.5</v>
      </c>
      <c r="F66" s="146" t="n">
        <v>70.5</v>
      </c>
      <c r="G66" s="146" t="n">
        <v>73.5</v>
      </c>
      <c r="H66" s="127"/>
      <c r="I66" s="146" t="n">
        <v>22.9999980926514</v>
      </c>
      <c r="J66" s="146" t="n">
        <v>24.4999980926514</v>
      </c>
      <c r="K66" s="146" t="n">
        <v>25.9999980926514</v>
      </c>
      <c r="L66" s="105"/>
      <c r="M66" s="106" t="n">
        <v>37987</v>
      </c>
      <c r="N66" s="147" t="n">
        <v>28.1737483978271</v>
      </c>
      <c r="O66" s="147" t="n">
        <v>28.8487483978271</v>
      </c>
      <c r="P66" s="147" t="n">
        <v>29.5237483978272</v>
      </c>
      <c r="Q66" s="18"/>
      <c r="R66" s="147" t="n">
        <v>24.0525001525879</v>
      </c>
      <c r="S66" s="147" t="n">
        <v>27.3525001525879</v>
      </c>
      <c r="T66" s="147" t="n">
        <v>30.6525001525879</v>
      </c>
      <c r="U66" s="18"/>
      <c r="V66" s="147" t="n">
        <v>1</v>
      </c>
      <c r="W66" s="147" t="n">
        <v>1</v>
      </c>
      <c r="X66" s="147" t="n">
        <v>1</v>
      </c>
      <c r="Y66" s="18"/>
      <c r="Z66" s="147" t="n">
        <v>0.12174725</v>
      </c>
      <c r="AA66" s="147" t="n">
        <v>0.2434945</v>
      </c>
      <c r="AB66" s="147" t="n">
        <v>0.36524175</v>
      </c>
      <c r="AC66" s="18"/>
      <c r="AD66" s="147" t="n">
        <v>0.0322828856</v>
      </c>
      <c r="AE66" s="147" t="n">
        <v>0.0645657712</v>
      </c>
      <c r="AF66" s="147" t="n">
        <v>0.0968486568</v>
      </c>
      <c r="AG66" s="18"/>
      <c r="AH66" s="147" t="n">
        <v>-0.75</v>
      </c>
      <c r="AI66" s="147" t="n">
        <v>2</v>
      </c>
      <c r="AJ66" s="147" t="n">
        <v>0.75</v>
      </c>
      <c r="AK66" s="18"/>
      <c r="AL66" s="147" t="n">
        <v>-0.15</v>
      </c>
      <c r="AM66" s="147" t="n">
        <v>0.5</v>
      </c>
      <c r="AN66" s="147" t="n">
        <v>0.2</v>
      </c>
      <c r="AO66" s="18"/>
      <c r="AP66" s="105" t="n">
        <v>16</v>
      </c>
      <c r="AQ66" s="148" t="n">
        <v>0.4</v>
      </c>
      <c r="AR66" s="18"/>
      <c r="AS66" s="148" t="n">
        <v>9</v>
      </c>
      <c r="AT66" s="150" t="n">
        <v>0.05</v>
      </c>
      <c r="AU66" s="18"/>
      <c r="AV66" s="148" t="n">
        <v>0</v>
      </c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06" t="n">
        <v>37987</v>
      </c>
      <c r="BI66" s="150" t="n">
        <v>0.9</v>
      </c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0"/>
      <c r="CI66" s="112" t="s">
        <v>191</v>
      </c>
      <c r="CJ66" s="112"/>
      <c r="CK66" s="112"/>
      <c r="CM66" s="175"/>
      <c r="CN66" s="175"/>
      <c r="CO66" s="151"/>
      <c r="CP66" s="0"/>
      <c r="CQ66" s="0"/>
      <c r="CR66" s="0"/>
      <c r="CS66" s="0"/>
      <c r="CT66" s="0"/>
      <c r="CY66" s="152" t="n">
        <f aca="false">M66</f>
        <v>37987</v>
      </c>
      <c r="CZ66" s="153" t="n">
        <f aca="false">AI66+AH66</f>
        <v>1.25</v>
      </c>
      <c r="DA66" s="153" t="n">
        <f aca="false">AI66</f>
        <v>2</v>
      </c>
      <c r="DB66" s="153" t="n">
        <f aca="false">AI66+AJ66</f>
        <v>2.75</v>
      </c>
      <c r="DD66" s="153" t="n">
        <f aca="false">Z66</f>
        <v>0.12174725</v>
      </c>
      <c r="DE66" s="153" t="n">
        <f aca="false">AA66</f>
        <v>0.2434945</v>
      </c>
      <c r="DF66" s="153" t="n">
        <f aca="false">AB66</f>
        <v>0.36524175</v>
      </c>
      <c r="DH66" s="152" t="n">
        <f aca="false">BH66</f>
        <v>37987</v>
      </c>
      <c r="DI66" s="99" t="n">
        <v>0.9</v>
      </c>
    </row>
    <row r="67" customFormat="false" ht="12.75" hidden="false" customHeight="false" outlineLevel="0" collapsed="false">
      <c r="A67" s="110" t="n">
        <f aca="false">EOMONTH(A66,0)+1</f>
        <v>47574</v>
      </c>
      <c r="B67" s="99" t="n">
        <f aca="false">'Gas Curves'!C71</f>
        <v>0.072894763638437</v>
      </c>
      <c r="C67" s="99"/>
      <c r="D67" s="145" t="n">
        <v>37135</v>
      </c>
      <c r="E67" s="146" t="n">
        <v>32.8</v>
      </c>
      <c r="F67" s="146" t="n">
        <v>33.5</v>
      </c>
      <c r="G67" s="146" t="n">
        <v>34.2</v>
      </c>
      <c r="H67" s="127"/>
      <c r="I67" s="146" t="n">
        <v>19.6499980926514</v>
      </c>
      <c r="J67" s="146" t="n">
        <v>19.9999980926514</v>
      </c>
      <c r="K67" s="146" t="n">
        <v>20.3499980926514</v>
      </c>
      <c r="L67" s="105"/>
      <c r="M67" s="106" t="n">
        <v>38018</v>
      </c>
      <c r="N67" s="147" t="n">
        <v>27.1712501525879</v>
      </c>
      <c r="O67" s="147" t="n">
        <v>27.8462501525879</v>
      </c>
      <c r="P67" s="147" t="n">
        <v>28.5212501525879</v>
      </c>
      <c r="Q67" s="18"/>
      <c r="R67" s="147" t="n">
        <v>22.0474994659424</v>
      </c>
      <c r="S67" s="147" t="n">
        <v>25.3474994659424</v>
      </c>
      <c r="T67" s="147" t="n">
        <v>28.6474994659424</v>
      </c>
      <c r="U67" s="18"/>
      <c r="V67" s="147" t="n">
        <v>1</v>
      </c>
      <c r="W67" s="147" t="n">
        <v>1</v>
      </c>
      <c r="X67" s="147" t="n">
        <v>1</v>
      </c>
      <c r="Y67" s="18"/>
      <c r="Z67" s="147" t="n">
        <v>0.117460375</v>
      </c>
      <c r="AA67" s="147" t="n">
        <v>0.23492075</v>
      </c>
      <c r="AB67" s="147" t="n">
        <v>0.352381125</v>
      </c>
      <c r="AC67" s="18"/>
      <c r="AD67" s="147" t="n">
        <v>0.0322828856</v>
      </c>
      <c r="AE67" s="147" t="n">
        <v>0.0645657712</v>
      </c>
      <c r="AF67" s="147" t="n">
        <v>0.0968486568</v>
      </c>
      <c r="AG67" s="18"/>
      <c r="AH67" s="147" t="n">
        <v>-0.75</v>
      </c>
      <c r="AI67" s="147" t="n">
        <v>2</v>
      </c>
      <c r="AJ67" s="147" t="n">
        <v>0.75</v>
      </c>
      <c r="AK67" s="18"/>
      <c r="AL67" s="147" t="n">
        <v>-0.15</v>
      </c>
      <c r="AM67" s="147" t="n">
        <v>0.5</v>
      </c>
      <c r="AN67" s="147" t="n">
        <v>0.2</v>
      </c>
      <c r="AO67" s="18"/>
      <c r="AP67" s="105" t="n">
        <v>17</v>
      </c>
      <c r="AQ67" s="148" t="n">
        <v>0.4</v>
      </c>
      <c r="AR67" s="18"/>
      <c r="AS67" s="148" t="n">
        <v>10</v>
      </c>
      <c r="AT67" s="150" t="n">
        <v>0.06</v>
      </c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06" t="n">
        <v>38018</v>
      </c>
      <c r="BI67" s="150" t="n">
        <v>0.9</v>
      </c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0"/>
      <c r="CI67" s="118" t="s">
        <v>68</v>
      </c>
      <c r="CJ67" s="119" t="s">
        <v>69</v>
      </c>
      <c r="CK67" s="120" t="s">
        <v>70</v>
      </c>
      <c r="CM67" s="175"/>
      <c r="CN67" s="175"/>
      <c r="CO67" s="151"/>
      <c r="CP67" s="0"/>
      <c r="CQ67" s="0"/>
      <c r="CR67" s="0"/>
      <c r="CS67" s="0"/>
      <c r="CT67" s="0"/>
      <c r="CY67" s="152" t="n">
        <f aca="false">M67</f>
        <v>38018</v>
      </c>
      <c r="CZ67" s="153" t="n">
        <f aca="false">AI67+AH67</f>
        <v>1.25</v>
      </c>
      <c r="DA67" s="153" t="n">
        <f aca="false">AI67</f>
        <v>2</v>
      </c>
      <c r="DB67" s="153" t="n">
        <f aca="false">AI67+AJ67</f>
        <v>2.75</v>
      </c>
      <c r="DD67" s="153" t="n">
        <f aca="false">Z67</f>
        <v>0.117460375</v>
      </c>
      <c r="DE67" s="153" t="n">
        <f aca="false">AA67</f>
        <v>0.23492075</v>
      </c>
      <c r="DF67" s="153" t="n">
        <f aca="false">AB67</f>
        <v>0.352381125</v>
      </c>
      <c r="DH67" s="152" t="n">
        <f aca="false">BH67</f>
        <v>38018</v>
      </c>
      <c r="DI67" s="99" t="n">
        <v>0.9</v>
      </c>
    </row>
    <row r="68" customFormat="false" ht="13.5" hidden="false" customHeight="false" outlineLevel="0" collapsed="false">
      <c r="A68" s="110" t="n">
        <f aca="false">EOMONTH(A67,0)+1</f>
        <v>47604</v>
      </c>
      <c r="B68" s="99" t="n">
        <f aca="false">'Gas Curves'!C72</f>
        <v>0.072931966309865</v>
      </c>
      <c r="C68" s="99"/>
      <c r="D68" s="145" t="n">
        <v>37165</v>
      </c>
      <c r="E68" s="146" t="n">
        <v>30.7</v>
      </c>
      <c r="F68" s="146" t="n">
        <v>31.25</v>
      </c>
      <c r="G68" s="146" t="n">
        <v>31.8</v>
      </c>
      <c r="H68" s="127"/>
      <c r="I68" s="146" t="n">
        <v>19.4249988555908</v>
      </c>
      <c r="J68" s="146" t="n">
        <v>19.6999988555908</v>
      </c>
      <c r="K68" s="146" t="n">
        <v>19.9749988555908</v>
      </c>
      <c r="L68" s="105"/>
      <c r="M68" s="106" t="n">
        <v>38047</v>
      </c>
      <c r="N68" s="147" t="n">
        <v>20.6222496032715</v>
      </c>
      <c r="O68" s="147" t="n">
        <v>21.0347496032715</v>
      </c>
      <c r="P68" s="147" t="n">
        <v>21.4472496032715</v>
      </c>
      <c r="Q68" s="18"/>
      <c r="R68" s="147" t="n">
        <v>17.3644989013672</v>
      </c>
      <c r="S68" s="147" t="n">
        <v>20.6644989013672</v>
      </c>
      <c r="T68" s="147" t="n">
        <v>23.9644989013672</v>
      </c>
      <c r="U68" s="18"/>
      <c r="V68" s="147" t="n">
        <v>0.5</v>
      </c>
      <c r="W68" s="147" t="n">
        <v>0.5</v>
      </c>
      <c r="X68" s="147" t="n">
        <v>0.5</v>
      </c>
      <c r="Y68" s="18"/>
      <c r="Z68" s="147" t="n">
        <v>0.1144917140625</v>
      </c>
      <c r="AA68" s="147" t="n">
        <v>0.228983428125</v>
      </c>
      <c r="AB68" s="147" t="n">
        <v>0.3434751421875</v>
      </c>
      <c r="AC68" s="18"/>
      <c r="AD68" s="147" t="n">
        <v>0.0276710448</v>
      </c>
      <c r="AE68" s="147" t="n">
        <v>0.0553420896</v>
      </c>
      <c r="AF68" s="147" t="n">
        <v>0.0830131344</v>
      </c>
      <c r="AG68" s="18"/>
      <c r="AH68" s="147" t="n">
        <v>-0.25</v>
      </c>
      <c r="AI68" s="147" t="n">
        <v>1.3</v>
      </c>
      <c r="AJ68" s="147" t="n">
        <v>0.3</v>
      </c>
      <c r="AK68" s="18"/>
      <c r="AL68" s="147" t="n">
        <v>-0.15</v>
      </c>
      <c r="AM68" s="147" t="n">
        <v>0.35</v>
      </c>
      <c r="AN68" s="147" t="n">
        <v>0.2</v>
      </c>
      <c r="AO68" s="18"/>
      <c r="AP68" s="105" t="n">
        <v>17</v>
      </c>
      <c r="AQ68" s="148" t="n">
        <v>0.4</v>
      </c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06" t="n">
        <v>38047</v>
      </c>
      <c r="BI68" s="150" t="n">
        <v>0.9</v>
      </c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0"/>
      <c r="CI68" s="129" t="s">
        <v>77</v>
      </c>
      <c r="CJ68" s="130" t="s">
        <v>77</v>
      </c>
      <c r="CK68" s="131" t="s">
        <v>77</v>
      </c>
      <c r="CM68" s="175"/>
      <c r="CN68" s="175"/>
      <c r="CO68" s="151"/>
      <c r="CP68" s="0"/>
      <c r="CQ68" s="0"/>
      <c r="CR68" s="0"/>
      <c r="CS68" s="0"/>
      <c r="CT68" s="0"/>
      <c r="CY68" s="152" t="n">
        <f aca="false">M68</f>
        <v>38047</v>
      </c>
      <c r="CZ68" s="153" t="n">
        <f aca="false">AI68+AH68</f>
        <v>1.05</v>
      </c>
      <c r="DA68" s="153" t="n">
        <f aca="false">AI68</f>
        <v>1.3</v>
      </c>
      <c r="DB68" s="153" t="n">
        <f aca="false">AI68+AJ68</f>
        <v>1.6</v>
      </c>
      <c r="DD68" s="153" t="n">
        <f aca="false">Z68</f>
        <v>0.1144917140625</v>
      </c>
      <c r="DE68" s="153" t="n">
        <f aca="false">AA68</f>
        <v>0.228983428125</v>
      </c>
      <c r="DF68" s="153" t="n">
        <f aca="false">AB68</f>
        <v>0.3434751421875</v>
      </c>
      <c r="DH68" s="152" t="n">
        <f aca="false">BH68</f>
        <v>38047</v>
      </c>
      <c r="DI68" s="99" t="n">
        <v>0.9</v>
      </c>
    </row>
    <row r="69" customFormat="false" ht="13.5" hidden="false" customHeight="false" outlineLevel="0" collapsed="false">
      <c r="A69" s="110" t="n">
        <f aca="false">EOMONTH(A68,0)+1</f>
        <v>47635</v>
      </c>
      <c r="B69" s="99" t="n">
        <f aca="false">'Gas Curves'!C73</f>
        <v>0.072967968895555</v>
      </c>
      <c r="C69" s="99"/>
      <c r="D69" s="145" t="n">
        <v>37196</v>
      </c>
      <c r="E69" s="146" t="n">
        <v>31.075</v>
      </c>
      <c r="F69" s="146" t="n">
        <v>31.625</v>
      </c>
      <c r="G69" s="146" t="n">
        <v>32.175</v>
      </c>
      <c r="H69" s="127"/>
      <c r="I69" s="146" t="n">
        <v>19.3499980926514</v>
      </c>
      <c r="J69" s="146" t="n">
        <v>19.6249980926514</v>
      </c>
      <c r="K69" s="146" t="n">
        <v>19.8999980926514</v>
      </c>
      <c r="L69" s="105"/>
      <c r="M69" s="106" t="n">
        <v>38078</v>
      </c>
      <c r="N69" s="147" t="n">
        <v>21.4175003051758</v>
      </c>
      <c r="O69" s="147" t="n">
        <v>21.7175003051758</v>
      </c>
      <c r="P69" s="147" t="n">
        <v>22.0175003051758</v>
      </c>
      <c r="Q69" s="18"/>
      <c r="R69" s="147" t="n">
        <v>17.1349990844727</v>
      </c>
      <c r="S69" s="147" t="n">
        <v>20.4349990844727</v>
      </c>
      <c r="T69" s="147" t="n">
        <v>23.7349990844727</v>
      </c>
      <c r="U69" s="18"/>
      <c r="V69" s="147" t="n">
        <v>0.5</v>
      </c>
      <c r="W69" s="147" t="n">
        <v>0.5</v>
      </c>
      <c r="X69" s="147" t="n">
        <v>0.5</v>
      </c>
      <c r="Y69" s="18"/>
      <c r="Z69" s="147" t="n">
        <v>0.102049059375</v>
      </c>
      <c r="AA69" s="147" t="n">
        <v>0.20409811875</v>
      </c>
      <c r="AB69" s="147" t="n">
        <v>0.306147178125</v>
      </c>
      <c r="AC69" s="18"/>
      <c r="AD69" s="147" t="n">
        <v>0.0276710448</v>
      </c>
      <c r="AE69" s="147" t="n">
        <v>0.0553420896</v>
      </c>
      <c r="AF69" s="147" t="n">
        <v>0.0830131344</v>
      </c>
      <c r="AG69" s="18"/>
      <c r="AH69" s="147" t="n">
        <v>-0.25</v>
      </c>
      <c r="AI69" s="147" t="n">
        <v>1.1</v>
      </c>
      <c r="AJ69" s="147" t="n">
        <v>0.3</v>
      </c>
      <c r="AK69" s="18"/>
      <c r="AL69" s="147" t="n">
        <v>-0.15</v>
      </c>
      <c r="AM69" s="147" t="n">
        <v>0.35</v>
      </c>
      <c r="AN69" s="147" t="n">
        <v>0.2</v>
      </c>
      <c r="AO69" s="18"/>
      <c r="AP69" s="105" t="n">
        <v>17</v>
      </c>
      <c r="AQ69" s="148" t="n">
        <v>0.4</v>
      </c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06" t="n">
        <v>38078</v>
      </c>
      <c r="BI69" s="150" t="n">
        <v>0.9</v>
      </c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0"/>
      <c r="CI69" s="138" t="n">
        <f aca="false">CE49</f>
        <v>0</v>
      </c>
      <c r="CJ69" s="176" t="n">
        <f aca="false">CI69+CF49</f>
        <v>0</v>
      </c>
      <c r="CK69" s="177" t="n">
        <f aca="false">CI69+CG49</f>
        <v>0</v>
      </c>
      <c r="CM69" s="175"/>
      <c r="CN69" s="175"/>
      <c r="CO69" s="151"/>
      <c r="CP69" s="0"/>
      <c r="CQ69" s="0"/>
      <c r="CR69" s="0"/>
      <c r="CS69" s="0"/>
      <c r="CT69" s="0"/>
      <c r="CY69" s="152" t="n">
        <f aca="false">M69</f>
        <v>38078</v>
      </c>
      <c r="CZ69" s="153" t="n">
        <f aca="false">AI69+AH69</f>
        <v>0.85</v>
      </c>
      <c r="DA69" s="153" t="n">
        <f aca="false">AI69</f>
        <v>1.1</v>
      </c>
      <c r="DB69" s="153" t="n">
        <f aca="false">AI69+AJ69</f>
        <v>1.4</v>
      </c>
      <c r="DD69" s="153" t="n">
        <f aca="false">Z69</f>
        <v>0.102049059375</v>
      </c>
      <c r="DE69" s="153" t="n">
        <f aca="false">AA69</f>
        <v>0.20409811875</v>
      </c>
      <c r="DF69" s="153" t="n">
        <f aca="false">AB69</f>
        <v>0.306147178125</v>
      </c>
      <c r="DH69" s="152" t="n">
        <f aca="false">BH69</f>
        <v>38078</v>
      </c>
      <c r="DI69" s="99" t="n">
        <v>0.9</v>
      </c>
    </row>
    <row r="70" customFormat="false" ht="13.5" hidden="false" customHeight="false" outlineLevel="0" collapsed="false">
      <c r="A70" s="110" t="n">
        <f aca="false">EOMONTH(A69,0)+1</f>
        <v>47665</v>
      </c>
      <c r="B70" s="99" t="n">
        <f aca="false">'Gas Curves'!C74</f>
        <v>0.073005171567883</v>
      </c>
      <c r="C70" s="99"/>
      <c r="D70" s="145" t="n">
        <v>37226</v>
      </c>
      <c r="E70" s="146" t="n">
        <v>30.95</v>
      </c>
      <c r="F70" s="146" t="n">
        <v>31.5</v>
      </c>
      <c r="G70" s="146" t="n">
        <v>32.05</v>
      </c>
      <c r="H70" s="127"/>
      <c r="I70" s="146" t="n">
        <v>20.7749992370606</v>
      </c>
      <c r="J70" s="146" t="n">
        <v>21.0499992370605</v>
      </c>
      <c r="K70" s="146" t="n">
        <v>21.3249992370605</v>
      </c>
      <c r="L70" s="105"/>
      <c r="M70" s="106" t="n">
        <v>38108</v>
      </c>
      <c r="N70" s="147" t="n">
        <v>20.7975000762939</v>
      </c>
      <c r="O70" s="147" t="n">
        <v>21.8325000762939</v>
      </c>
      <c r="P70" s="147" t="n">
        <v>22.8675000762939</v>
      </c>
      <c r="Q70" s="18"/>
      <c r="R70" s="147" t="n">
        <v>17.6649997711182</v>
      </c>
      <c r="S70" s="147" t="n">
        <v>20.9649997711182</v>
      </c>
      <c r="T70" s="147" t="n">
        <v>24.2649997711182</v>
      </c>
      <c r="U70" s="18"/>
      <c r="V70" s="147" t="n">
        <v>0.5</v>
      </c>
      <c r="W70" s="147" t="n">
        <v>0.5</v>
      </c>
      <c r="X70" s="147" t="n">
        <v>0.5</v>
      </c>
      <c r="Y70" s="18"/>
      <c r="Z70" s="147" t="n">
        <v>0.117481809375</v>
      </c>
      <c r="AA70" s="147" t="n">
        <v>0.23496361875</v>
      </c>
      <c r="AB70" s="147" t="n">
        <v>0.352445428125</v>
      </c>
      <c r="AC70" s="18"/>
      <c r="AD70" s="147" t="n">
        <v>0.0322828856</v>
      </c>
      <c r="AE70" s="147" t="n">
        <v>0.0645657712</v>
      </c>
      <c r="AF70" s="147" t="n">
        <v>0.0968486568</v>
      </c>
      <c r="AG70" s="18"/>
      <c r="AH70" s="147" t="n">
        <v>-0.25</v>
      </c>
      <c r="AI70" s="147" t="n">
        <v>1.1</v>
      </c>
      <c r="AJ70" s="147" t="n">
        <v>0.3</v>
      </c>
      <c r="AK70" s="18"/>
      <c r="AL70" s="147" t="n">
        <v>-0.15</v>
      </c>
      <c r="AM70" s="147" t="n">
        <v>0.5</v>
      </c>
      <c r="AN70" s="147" t="n">
        <v>0.2</v>
      </c>
      <c r="AO70" s="18"/>
      <c r="AP70" s="105" t="n">
        <v>18</v>
      </c>
      <c r="AQ70" s="148" t="n">
        <v>0.4</v>
      </c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06" t="n">
        <v>38108</v>
      </c>
      <c r="BI70" s="150" t="n">
        <v>0.9</v>
      </c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0"/>
      <c r="CI70" s="138" t="n">
        <f aca="false">CE50</f>
        <v>0</v>
      </c>
      <c r="CJ70" s="176" t="n">
        <f aca="false">CI70+CF50</f>
        <v>0</v>
      </c>
      <c r="CK70" s="177" t="n">
        <f aca="false">CI70+CG50</f>
        <v>0</v>
      </c>
      <c r="CM70" s="175"/>
      <c r="CN70" s="175"/>
      <c r="CO70" s="151"/>
      <c r="CP70" s="0"/>
      <c r="CQ70" s="0"/>
      <c r="CR70" s="0"/>
      <c r="CS70" s="0"/>
      <c r="CT70" s="0"/>
      <c r="CY70" s="152" t="n">
        <f aca="false">M70</f>
        <v>38108</v>
      </c>
      <c r="CZ70" s="153" t="n">
        <f aca="false">AI70+AH70</f>
        <v>0.85</v>
      </c>
      <c r="DA70" s="153" t="n">
        <f aca="false">AI70</f>
        <v>1.1</v>
      </c>
      <c r="DB70" s="153" t="n">
        <f aca="false">AI70+AJ70</f>
        <v>1.4</v>
      </c>
      <c r="DD70" s="153" t="n">
        <f aca="false">Z70</f>
        <v>0.117481809375</v>
      </c>
      <c r="DE70" s="153" t="n">
        <f aca="false">AA70</f>
        <v>0.23496361875</v>
      </c>
      <c r="DF70" s="153" t="n">
        <f aca="false">AB70</f>
        <v>0.352445428125</v>
      </c>
      <c r="DH70" s="152" t="n">
        <f aca="false">BH70</f>
        <v>38108</v>
      </c>
      <c r="DI70" s="99" t="n">
        <v>0.9</v>
      </c>
    </row>
    <row r="71" customFormat="false" ht="13.5" hidden="false" customHeight="false" outlineLevel="0" collapsed="false">
      <c r="A71" s="110" t="n">
        <f aca="false">EOMONTH(A70,0)+1</f>
        <v>47696</v>
      </c>
      <c r="B71" s="99" t="n">
        <f aca="false">'Gas Curves'!C75</f>
        <v>0.073042374240668</v>
      </c>
      <c r="C71" s="99"/>
      <c r="D71" s="145" t="n">
        <v>37257</v>
      </c>
      <c r="E71" s="146" t="n">
        <v>36.3</v>
      </c>
      <c r="F71" s="146" t="n">
        <v>37</v>
      </c>
      <c r="G71" s="146" t="n">
        <v>37.7</v>
      </c>
      <c r="H71" s="127"/>
      <c r="I71" s="146" t="n">
        <v>20.4400009155273</v>
      </c>
      <c r="J71" s="146" t="n">
        <v>20.7900009155273</v>
      </c>
      <c r="K71" s="146" t="n">
        <v>21.1400009155273</v>
      </c>
      <c r="L71" s="105"/>
      <c r="M71" s="106" t="n">
        <v>38139</v>
      </c>
      <c r="N71" s="147" t="n">
        <v>23.2587501525879</v>
      </c>
      <c r="O71" s="147" t="n">
        <v>26.2587501525879</v>
      </c>
      <c r="P71" s="147" t="n">
        <v>29.2587501525879</v>
      </c>
      <c r="Q71" s="18"/>
      <c r="R71" s="147" t="n">
        <v>16.4424995422363</v>
      </c>
      <c r="S71" s="147" t="n">
        <v>19.7424995422363</v>
      </c>
      <c r="T71" s="147" t="n">
        <v>23.0424995422363</v>
      </c>
      <c r="U71" s="18"/>
      <c r="V71" s="147" t="n">
        <v>0.5</v>
      </c>
      <c r="W71" s="147" t="n">
        <v>0.5</v>
      </c>
      <c r="X71" s="147" t="n">
        <v>0.5</v>
      </c>
      <c r="Y71" s="18"/>
      <c r="Z71" s="147" t="n">
        <v>0.1472863078125</v>
      </c>
      <c r="AA71" s="147" t="n">
        <v>0.294572615625</v>
      </c>
      <c r="AB71" s="147" t="n">
        <v>0.4418589234375</v>
      </c>
      <c r="AC71" s="18"/>
      <c r="AD71" s="147" t="n">
        <v>0.0415065672</v>
      </c>
      <c r="AE71" s="147" t="n">
        <v>0.0830131344</v>
      </c>
      <c r="AF71" s="147" t="n">
        <v>0.1245197016</v>
      </c>
      <c r="AG71" s="18"/>
      <c r="AH71" s="147" t="n">
        <v>-0.35</v>
      </c>
      <c r="AI71" s="147" t="n">
        <v>2</v>
      </c>
      <c r="AJ71" s="147" t="n">
        <v>0.3</v>
      </c>
      <c r="AK71" s="18"/>
      <c r="AL71" s="147" t="n">
        <v>-0.15</v>
      </c>
      <c r="AM71" s="147" t="n">
        <v>0.65</v>
      </c>
      <c r="AN71" s="147" t="n">
        <v>0.2</v>
      </c>
      <c r="AO71" s="18"/>
      <c r="AP71" s="105" t="n">
        <v>18</v>
      </c>
      <c r="AQ71" s="148" t="n">
        <v>0.4</v>
      </c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06" t="n">
        <v>38139</v>
      </c>
      <c r="BI71" s="150" t="n">
        <v>0.9</v>
      </c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0"/>
      <c r="CI71" s="138" t="n">
        <f aca="false">CE51</f>
        <v>0</v>
      </c>
      <c r="CJ71" s="176" t="n">
        <f aca="false">CI71+CF51</f>
        <v>0</v>
      </c>
      <c r="CK71" s="177" t="n">
        <f aca="false">CI71+CG51</f>
        <v>0</v>
      </c>
      <c r="CM71" s="175"/>
      <c r="CN71" s="175"/>
      <c r="CO71" s="151"/>
      <c r="CP71" s="0"/>
      <c r="CQ71" s="0"/>
      <c r="CR71" s="0"/>
      <c r="CS71" s="0"/>
      <c r="CT71" s="0"/>
      <c r="CY71" s="152" t="n">
        <f aca="false">M71</f>
        <v>38139</v>
      </c>
      <c r="CZ71" s="153" t="n">
        <f aca="false">AI71+AH71</f>
        <v>1.65</v>
      </c>
      <c r="DA71" s="153" t="n">
        <f aca="false">AI71</f>
        <v>2</v>
      </c>
      <c r="DB71" s="153" t="n">
        <f aca="false">AI71+AJ71</f>
        <v>2.3</v>
      </c>
      <c r="DD71" s="153" t="n">
        <f aca="false">Z71</f>
        <v>0.1472863078125</v>
      </c>
      <c r="DE71" s="153" t="n">
        <f aca="false">AA71</f>
        <v>0.294572615625</v>
      </c>
      <c r="DF71" s="153" t="n">
        <f aca="false">AB71</f>
        <v>0.4418589234375</v>
      </c>
      <c r="DH71" s="152" t="n">
        <f aca="false">BH71</f>
        <v>38139</v>
      </c>
      <c r="DI71" s="99" t="n">
        <v>0.9</v>
      </c>
    </row>
    <row r="72" customFormat="false" ht="13.5" hidden="false" customHeight="false" outlineLevel="0" collapsed="false">
      <c r="A72" s="110" t="n">
        <f aca="false">EOMONTH(A71,0)+1</f>
        <v>47727</v>
      </c>
      <c r="B72" s="99" t="n">
        <f aca="false">'Gas Curves'!C76</f>
        <v>0.073075976655189</v>
      </c>
      <c r="C72" s="99"/>
      <c r="D72" s="145" t="n">
        <v>37288</v>
      </c>
      <c r="E72" s="146" t="n">
        <v>36.3</v>
      </c>
      <c r="F72" s="146" t="n">
        <v>37</v>
      </c>
      <c r="G72" s="146" t="n">
        <v>37.7</v>
      </c>
      <c r="H72" s="127"/>
      <c r="I72" s="146" t="n">
        <v>20.2499977111816</v>
      </c>
      <c r="J72" s="146" t="n">
        <v>20.5999977111816</v>
      </c>
      <c r="K72" s="146" t="n">
        <v>20.9499977111816</v>
      </c>
      <c r="L72" s="105"/>
      <c r="M72" s="106" t="n">
        <v>38169</v>
      </c>
      <c r="N72" s="147" t="n">
        <v>36.4612495422363</v>
      </c>
      <c r="O72" s="147" t="n">
        <v>39.4612495422363</v>
      </c>
      <c r="P72" s="147" t="n">
        <v>42.4612495422363</v>
      </c>
      <c r="Q72" s="18"/>
      <c r="R72" s="147" t="n">
        <v>25.6474994659424</v>
      </c>
      <c r="S72" s="147" t="n">
        <v>28.9474994659424</v>
      </c>
      <c r="T72" s="147" t="n">
        <v>32.2474994659424</v>
      </c>
      <c r="U72" s="18"/>
      <c r="V72" s="147" t="n">
        <v>0.5</v>
      </c>
      <c r="W72" s="147" t="n">
        <v>0.5</v>
      </c>
      <c r="X72" s="147" t="n">
        <v>0.5</v>
      </c>
      <c r="Y72" s="18"/>
      <c r="Z72" s="147" t="n">
        <v>0.1742936203125</v>
      </c>
      <c r="AA72" s="147" t="n">
        <v>0.348587240625</v>
      </c>
      <c r="AB72" s="147" t="n">
        <v>0.5228808609375</v>
      </c>
      <c r="AC72" s="18"/>
      <c r="AD72" s="147" t="n">
        <v>0.0553420896</v>
      </c>
      <c r="AE72" s="147" t="n">
        <v>0.1106841792</v>
      </c>
      <c r="AF72" s="147" t="n">
        <v>0.1660262688</v>
      </c>
      <c r="AG72" s="18"/>
      <c r="AH72" s="147" t="n">
        <v>-0.35</v>
      </c>
      <c r="AI72" s="147" t="n">
        <v>3</v>
      </c>
      <c r="AJ72" s="147" t="n">
        <v>0.5</v>
      </c>
      <c r="AK72" s="18"/>
      <c r="AL72" s="147" t="n">
        <v>-0.15</v>
      </c>
      <c r="AM72" s="147" t="n">
        <v>0.75</v>
      </c>
      <c r="AN72" s="147" t="n">
        <v>0.2</v>
      </c>
      <c r="AO72" s="18"/>
      <c r="AP72" s="105" t="n">
        <v>18</v>
      </c>
      <c r="AQ72" s="148" t="n">
        <v>0.4</v>
      </c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06" t="n">
        <v>38169</v>
      </c>
      <c r="BI72" s="150" t="n">
        <v>0.9</v>
      </c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0"/>
      <c r="CI72" s="138" t="n">
        <f aca="false">CE52</f>
        <v>0</v>
      </c>
      <c r="CJ72" s="176" t="n">
        <f aca="false">CI72+CF52</f>
        <v>0</v>
      </c>
      <c r="CK72" s="177" t="n">
        <f aca="false">CI72+CG52</f>
        <v>0</v>
      </c>
      <c r="CM72" s="175"/>
      <c r="CN72" s="175"/>
      <c r="CO72" s="151"/>
      <c r="CP72" s="0"/>
      <c r="CQ72" s="0"/>
      <c r="CR72" s="0"/>
      <c r="CS72" s="0"/>
      <c r="CT72" s="0"/>
      <c r="CY72" s="152" t="n">
        <f aca="false">M72</f>
        <v>38169</v>
      </c>
      <c r="CZ72" s="153" t="n">
        <f aca="false">AI72+AH72</f>
        <v>2.65</v>
      </c>
      <c r="DA72" s="153" t="n">
        <f aca="false">AI72</f>
        <v>3</v>
      </c>
      <c r="DB72" s="153" t="n">
        <f aca="false">AI72+AJ72</f>
        <v>3.5</v>
      </c>
      <c r="DD72" s="153" t="n">
        <f aca="false">Z72</f>
        <v>0.1742936203125</v>
      </c>
      <c r="DE72" s="153" t="n">
        <f aca="false">AA72</f>
        <v>0.348587240625</v>
      </c>
      <c r="DF72" s="153" t="n">
        <f aca="false">AB72</f>
        <v>0.5228808609375</v>
      </c>
      <c r="DH72" s="152" t="n">
        <f aca="false">BH72</f>
        <v>38169</v>
      </c>
      <c r="DI72" s="99" t="n">
        <v>0.9</v>
      </c>
    </row>
    <row r="73" customFormat="false" ht="13.5" hidden="false" customHeight="false" outlineLevel="0" collapsed="false">
      <c r="A73" s="110" t="n">
        <f aca="false">EOMONTH(A72,0)+1</f>
        <v>47757</v>
      </c>
      <c r="B73" s="99" t="n">
        <f aca="false">'Gas Curves'!C77</f>
        <v>0.073101626699756</v>
      </c>
      <c r="C73" s="99"/>
      <c r="D73" s="145" t="n">
        <v>37316</v>
      </c>
      <c r="E73" s="146" t="n">
        <v>32.8</v>
      </c>
      <c r="F73" s="146" t="n">
        <v>33.25</v>
      </c>
      <c r="G73" s="146" t="n">
        <v>33.7</v>
      </c>
      <c r="H73" s="127"/>
      <c r="I73" s="146" t="n">
        <v>19.3749996185303</v>
      </c>
      <c r="J73" s="146" t="n">
        <v>19.5999996185303</v>
      </c>
      <c r="K73" s="146" t="n">
        <v>19.8249996185303</v>
      </c>
      <c r="L73" s="105"/>
      <c r="M73" s="106" t="n">
        <v>38200</v>
      </c>
      <c r="N73" s="147" t="n">
        <v>38.7224990844727</v>
      </c>
      <c r="O73" s="147" t="n">
        <v>41.7224990844727</v>
      </c>
      <c r="P73" s="147" t="n">
        <v>44.7224990844727</v>
      </c>
      <c r="Q73" s="18"/>
      <c r="R73" s="147" t="n">
        <v>27.1450008392334</v>
      </c>
      <c r="S73" s="147" t="n">
        <v>30.4450008392334</v>
      </c>
      <c r="T73" s="147" t="n">
        <v>33.7450008392334</v>
      </c>
      <c r="U73" s="18"/>
      <c r="V73" s="147" t="n">
        <v>0.5</v>
      </c>
      <c r="W73" s="147" t="n">
        <v>0.5</v>
      </c>
      <c r="X73" s="147" t="n">
        <v>0.5</v>
      </c>
      <c r="Y73" s="18"/>
      <c r="Z73" s="147" t="n">
        <v>0.171496434375</v>
      </c>
      <c r="AA73" s="147" t="n">
        <v>0.34299286875</v>
      </c>
      <c r="AB73" s="147" t="n">
        <v>0.514489303125</v>
      </c>
      <c r="AC73" s="18"/>
      <c r="AD73" s="147" t="n">
        <v>0.0553420896</v>
      </c>
      <c r="AE73" s="147" t="n">
        <v>0.1106841792</v>
      </c>
      <c r="AF73" s="147" t="n">
        <v>0.1660262688</v>
      </c>
      <c r="AG73" s="18"/>
      <c r="AH73" s="147" t="n">
        <v>-0.35</v>
      </c>
      <c r="AI73" s="147" t="n">
        <v>3</v>
      </c>
      <c r="AJ73" s="147" t="n">
        <v>0.5</v>
      </c>
      <c r="AK73" s="18"/>
      <c r="AL73" s="147" t="n">
        <v>-0.15</v>
      </c>
      <c r="AM73" s="147" t="n">
        <v>0.75</v>
      </c>
      <c r="AN73" s="147" t="n">
        <v>0.2</v>
      </c>
      <c r="AO73" s="18"/>
      <c r="AP73" s="105" t="n">
        <v>19</v>
      </c>
      <c r="AQ73" s="148" t="n">
        <v>0.4</v>
      </c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06" t="n">
        <v>38200</v>
      </c>
      <c r="BI73" s="150" t="n">
        <v>0.9</v>
      </c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0"/>
      <c r="CI73" s="138" t="n">
        <f aca="false">CE53</f>
        <v>0</v>
      </c>
      <c r="CJ73" s="176" t="n">
        <f aca="false">CI73+CF53</f>
        <v>0</v>
      </c>
      <c r="CK73" s="177" t="n">
        <f aca="false">CI73+CG53</f>
        <v>0</v>
      </c>
      <c r="CM73" s="175"/>
      <c r="CN73" s="175"/>
      <c r="CO73" s="151"/>
      <c r="CP73" s="0"/>
      <c r="CQ73" s="0"/>
      <c r="CR73" s="0"/>
      <c r="CS73" s="0"/>
      <c r="CT73" s="0"/>
      <c r="CY73" s="152" t="n">
        <f aca="false">M73</f>
        <v>38200</v>
      </c>
      <c r="CZ73" s="153" t="n">
        <f aca="false">AI73+AH73</f>
        <v>2.65</v>
      </c>
      <c r="DA73" s="153" t="n">
        <f aca="false">AI73</f>
        <v>3</v>
      </c>
      <c r="DB73" s="153" t="n">
        <f aca="false">AI73+AJ73</f>
        <v>3.5</v>
      </c>
      <c r="DD73" s="153" t="n">
        <f aca="false">Z73</f>
        <v>0.171496434375</v>
      </c>
      <c r="DE73" s="153" t="n">
        <f aca="false">AA73</f>
        <v>0.34299286875</v>
      </c>
      <c r="DF73" s="153" t="n">
        <f aca="false">AB73</f>
        <v>0.514489303125</v>
      </c>
      <c r="DH73" s="152" t="n">
        <f aca="false">BH73</f>
        <v>38200</v>
      </c>
      <c r="DI73" s="99" t="n">
        <v>0.9</v>
      </c>
    </row>
    <row r="74" customFormat="false" ht="13.5" hidden="false" customHeight="false" outlineLevel="0" collapsed="false">
      <c r="A74" s="110" t="n">
        <f aca="false">EOMONTH(A73,0)+1</f>
        <v>47788</v>
      </c>
      <c r="B74" s="99" t="n">
        <f aca="false">'Gas Curves'!C78</f>
        <v>0.073125678291756</v>
      </c>
      <c r="C74" s="99"/>
      <c r="D74" s="145" t="n">
        <v>37347</v>
      </c>
      <c r="E74" s="146" t="n">
        <v>31.7</v>
      </c>
      <c r="F74" s="146" t="n">
        <v>32</v>
      </c>
      <c r="G74" s="146" t="n">
        <v>32.3</v>
      </c>
      <c r="H74" s="127"/>
      <c r="I74" s="146" t="n">
        <v>19.4499977111816</v>
      </c>
      <c r="J74" s="146" t="n">
        <v>19.5999977111816</v>
      </c>
      <c r="K74" s="146" t="n">
        <v>19.7499977111816</v>
      </c>
      <c r="L74" s="105"/>
      <c r="M74" s="106" t="n">
        <v>38231</v>
      </c>
      <c r="N74" s="147" t="n">
        <v>22.3549991607666</v>
      </c>
      <c r="O74" s="147" t="n">
        <v>23.1049991607666</v>
      </c>
      <c r="P74" s="147" t="n">
        <v>23.8549991607666</v>
      </c>
      <c r="Q74" s="18"/>
      <c r="R74" s="147" t="n">
        <v>20.3</v>
      </c>
      <c r="S74" s="147" t="n">
        <v>23.6</v>
      </c>
      <c r="T74" s="147" t="n">
        <v>26.9</v>
      </c>
      <c r="U74" s="18"/>
      <c r="V74" s="147" t="n">
        <v>1</v>
      </c>
      <c r="W74" s="147" t="n">
        <v>1</v>
      </c>
      <c r="X74" s="147" t="n">
        <v>1</v>
      </c>
      <c r="Y74" s="18"/>
      <c r="Z74" s="147" t="n">
        <v>0.113623621875</v>
      </c>
      <c r="AA74" s="147" t="n">
        <v>0.22724724375</v>
      </c>
      <c r="AB74" s="147" t="n">
        <v>0.340870865625</v>
      </c>
      <c r="AC74" s="18"/>
      <c r="AD74" s="147" t="n">
        <v>0.0368947264</v>
      </c>
      <c r="AE74" s="147" t="n">
        <v>0.0737894528</v>
      </c>
      <c r="AF74" s="147" t="n">
        <v>0.1106841792</v>
      </c>
      <c r="AG74" s="18"/>
      <c r="AH74" s="147" t="n">
        <v>-0.35</v>
      </c>
      <c r="AI74" s="147" t="n">
        <v>1.5</v>
      </c>
      <c r="AJ74" s="147" t="n">
        <v>0.3</v>
      </c>
      <c r="AK74" s="18"/>
      <c r="AL74" s="147" t="n">
        <v>-0.15</v>
      </c>
      <c r="AM74" s="147" t="n">
        <v>0.4</v>
      </c>
      <c r="AN74" s="147" t="n">
        <v>0.2</v>
      </c>
      <c r="AO74" s="18"/>
      <c r="AP74" s="105" t="n">
        <v>19</v>
      </c>
      <c r="AQ74" s="148" t="n">
        <v>0.4</v>
      </c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06" t="n">
        <v>38231</v>
      </c>
      <c r="BI74" s="150" t="n">
        <v>0.9</v>
      </c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0"/>
      <c r="CI74" s="138" t="n">
        <f aca="false">CE54</f>
        <v>0</v>
      </c>
      <c r="CJ74" s="176" t="n">
        <f aca="false">CI74+CF54</f>
        <v>0</v>
      </c>
      <c r="CK74" s="177" t="n">
        <f aca="false">CI74+CG54</f>
        <v>0</v>
      </c>
      <c r="CM74" s="175"/>
      <c r="CN74" s="175"/>
      <c r="CO74" s="151"/>
      <c r="CP74" s="0"/>
      <c r="CQ74" s="0"/>
      <c r="CR74" s="0"/>
      <c r="CS74" s="0"/>
      <c r="CT74" s="0"/>
      <c r="CY74" s="152" t="n">
        <f aca="false">M74</f>
        <v>38231</v>
      </c>
      <c r="CZ74" s="153" t="n">
        <f aca="false">AI74+AH74</f>
        <v>1.15</v>
      </c>
      <c r="DA74" s="153" t="n">
        <f aca="false">AI74</f>
        <v>1.5</v>
      </c>
      <c r="DB74" s="153" t="n">
        <f aca="false">AI74+AJ74</f>
        <v>1.8</v>
      </c>
      <c r="DD74" s="153" t="n">
        <f aca="false">Z74</f>
        <v>0.113623621875</v>
      </c>
      <c r="DE74" s="153" t="n">
        <f aca="false">AA74</f>
        <v>0.22724724375</v>
      </c>
      <c r="DF74" s="153" t="n">
        <f aca="false">AB74</f>
        <v>0.340870865625</v>
      </c>
      <c r="DH74" s="152" t="n">
        <f aca="false">BH74</f>
        <v>38231</v>
      </c>
      <c r="DI74" s="99" t="n">
        <v>0.9</v>
      </c>
    </row>
    <row r="75" customFormat="false" ht="13.5" hidden="false" customHeight="false" outlineLevel="0" collapsed="false">
      <c r="A75" s="110" t="n">
        <f aca="false">EOMONTH(A74,0)+1</f>
        <v>47818</v>
      </c>
      <c r="B75" s="99" t="n">
        <f aca="false">'Gas Curves'!C79</f>
        <v>0.07315053160369</v>
      </c>
      <c r="C75" s="99"/>
      <c r="D75" s="145" t="n">
        <v>37377</v>
      </c>
      <c r="E75" s="146" t="n">
        <v>33</v>
      </c>
      <c r="F75" s="146" t="n">
        <v>34</v>
      </c>
      <c r="G75" s="146" t="n">
        <v>35</v>
      </c>
      <c r="H75" s="127"/>
      <c r="I75" s="146" t="n">
        <v>19.0999977111816</v>
      </c>
      <c r="J75" s="146" t="n">
        <v>19.5999977111816</v>
      </c>
      <c r="K75" s="146" t="n">
        <v>20.0999977111816</v>
      </c>
      <c r="L75" s="105"/>
      <c r="M75" s="106" t="n">
        <v>38261</v>
      </c>
      <c r="N75" s="147" t="n">
        <v>22.5630001068115</v>
      </c>
      <c r="O75" s="147" t="n">
        <v>23.2005001068115</v>
      </c>
      <c r="P75" s="147" t="n">
        <v>23.8380001068115</v>
      </c>
      <c r="Q75" s="18"/>
      <c r="R75" s="147" t="n">
        <v>17.9009998321533</v>
      </c>
      <c r="S75" s="147" t="n">
        <v>21.2009998321533</v>
      </c>
      <c r="T75" s="147" t="n">
        <v>24.5009998321533</v>
      </c>
      <c r="U75" s="18"/>
      <c r="V75" s="147" t="n">
        <v>1</v>
      </c>
      <c r="W75" s="147" t="n">
        <v>1</v>
      </c>
      <c r="X75" s="147" t="n">
        <v>1</v>
      </c>
      <c r="Y75" s="18"/>
      <c r="Z75" s="147" t="n">
        <v>0.10378524375</v>
      </c>
      <c r="AA75" s="147" t="n">
        <v>0.2075704875</v>
      </c>
      <c r="AB75" s="147" t="n">
        <v>0.31135573125</v>
      </c>
      <c r="AC75" s="18"/>
      <c r="AD75" s="147" t="n">
        <v>0.0276710448</v>
      </c>
      <c r="AE75" s="147" t="n">
        <v>0.0553420896</v>
      </c>
      <c r="AF75" s="147" t="n">
        <v>0.0830131344</v>
      </c>
      <c r="AG75" s="18"/>
      <c r="AH75" s="147" t="n">
        <v>-0.25</v>
      </c>
      <c r="AI75" s="147" t="n">
        <v>1.1</v>
      </c>
      <c r="AJ75" s="147" t="n">
        <v>0.3</v>
      </c>
      <c r="AK75" s="18"/>
      <c r="AL75" s="147" t="n">
        <v>-0.15</v>
      </c>
      <c r="AM75" s="147" t="n">
        <v>0.35</v>
      </c>
      <c r="AN75" s="147" t="n">
        <v>0.2</v>
      </c>
      <c r="AO75" s="18"/>
      <c r="AP75" s="105" t="n">
        <v>19</v>
      </c>
      <c r="AQ75" s="148" t="n">
        <v>0.4</v>
      </c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06" t="n">
        <v>38261</v>
      </c>
      <c r="BI75" s="150" t="n">
        <v>0.9</v>
      </c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0"/>
      <c r="CI75" s="138" t="n">
        <f aca="false">CE55</f>
        <v>0</v>
      </c>
      <c r="CJ75" s="176" t="n">
        <f aca="false">CI75+CF55</f>
        <v>0</v>
      </c>
      <c r="CK75" s="177" t="n">
        <f aca="false">CI75+CG55</f>
        <v>0</v>
      </c>
      <c r="CM75" s="175"/>
      <c r="CN75" s="175"/>
      <c r="CO75" s="151"/>
      <c r="CP75" s="0"/>
      <c r="CQ75" s="0"/>
      <c r="CR75" s="0"/>
      <c r="CS75" s="0"/>
      <c r="CT75" s="0"/>
      <c r="CY75" s="152" t="n">
        <f aca="false">M75</f>
        <v>38261</v>
      </c>
      <c r="CZ75" s="153" t="n">
        <f aca="false">AI75+AH75</f>
        <v>0.85</v>
      </c>
      <c r="DA75" s="153" t="n">
        <f aca="false">AI75</f>
        <v>1.1</v>
      </c>
      <c r="DB75" s="153" t="n">
        <f aca="false">AI75+AJ75</f>
        <v>1.4</v>
      </c>
      <c r="DD75" s="153" t="n">
        <f aca="false">Z75</f>
        <v>0.10378524375</v>
      </c>
      <c r="DE75" s="153" t="n">
        <f aca="false">AA75</f>
        <v>0.2075704875</v>
      </c>
      <c r="DF75" s="153" t="n">
        <f aca="false">AB75</f>
        <v>0.31135573125</v>
      </c>
      <c r="DH75" s="152" t="n">
        <f aca="false">BH75</f>
        <v>38261</v>
      </c>
      <c r="DI75" s="99" t="n">
        <v>0.9</v>
      </c>
    </row>
    <row r="76" customFormat="false" ht="13.5" hidden="false" customHeight="false" outlineLevel="0" collapsed="false">
      <c r="A76" s="110" t="n">
        <f aca="false">EOMONTH(A75,0)+1</f>
        <v>47849</v>
      </c>
      <c r="B76" s="99" t="n">
        <f aca="false">'Gas Curves'!C80</f>
        <v>0.073174583196079</v>
      </c>
      <c r="C76" s="99"/>
      <c r="D76" s="145" t="n">
        <v>37408</v>
      </c>
      <c r="E76" s="146" t="n">
        <v>46.85</v>
      </c>
      <c r="F76" s="146" t="n">
        <v>49.75</v>
      </c>
      <c r="G76" s="146" t="n">
        <v>52.65</v>
      </c>
      <c r="H76" s="127"/>
      <c r="I76" s="146" t="n">
        <v>18.1049987792969</v>
      </c>
      <c r="J76" s="146" t="n">
        <v>19.5549987792969</v>
      </c>
      <c r="K76" s="146" t="n">
        <v>21.0049987792969</v>
      </c>
      <c r="L76" s="105"/>
      <c r="M76" s="106" t="n">
        <v>38292</v>
      </c>
      <c r="N76" s="147" t="n">
        <v>23.5672515869141</v>
      </c>
      <c r="O76" s="147" t="n">
        <v>24.2047515869141</v>
      </c>
      <c r="P76" s="147" t="n">
        <v>24.8422515869141</v>
      </c>
      <c r="Q76" s="18"/>
      <c r="R76" s="147" t="n">
        <v>18.9044998168945</v>
      </c>
      <c r="S76" s="147" t="n">
        <v>22.2044998168945</v>
      </c>
      <c r="T76" s="147" t="n">
        <v>25.5044998168945</v>
      </c>
      <c r="U76" s="18"/>
      <c r="V76" s="147" t="n">
        <v>1</v>
      </c>
      <c r="W76" s="147" t="n">
        <v>1</v>
      </c>
      <c r="X76" s="147" t="n">
        <v>1</v>
      </c>
      <c r="Y76" s="18"/>
      <c r="Z76" s="147" t="n">
        <v>0.10378524375</v>
      </c>
      <c r="AA76" s="147" t="n">
        <v>0.2075704875</v>
      </c>
      <c r="AB76" s="147" t="n">
        <v>0.31135573125</v>
      </c>
      <c r="AC76" s="18"/>
      <c r="AD76" s="147" t="n">
        <v>0.0276710448</v>
      </c>
      <c r="AE76" s="147" t="n">
        <v>0.0553420896</v>
      </c>
      <c r="AF76" s="147" t="n">
        <v>0.0830131344</v>
      </c>
      <c r="AG76" s="18"/>
      <c r="AH76" s="147" t="n">
        <v>-0.25</v>
      </c>
      <c r="AI76" s="147" t="n">
        <v>1.25</v>
      </c>
      <c r="AJ76" s="147" t="n">
        <v>0.3</v>
      </c>
      <c r="AK76" s="18"/>
      <c r="AL76" s="147" t="n">
        <v>-0.15</v>
      </c>
      <c r="AM76" s="147" t="n">
        <v>0.3</v>
      </c>
      <c r="AN76" s="147" t="n">
        <v>0.2</v>
      </c>
      <c r="AO76" s="18"/>
      <c r="AP76" s="105" t="n">
        <v>20</v>
      </c>
      <c r="AQ76" s="148" t="n">
        <v>0.4</v>
      </c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06" t="n">
        <v>38292</v>
      </c>
      <c r="BI76" s="150" t="n">
        <v>0.9</v>
      </c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0"/>
      <c r="CI76" s="138" t="n">
        <f aca="false">CE56</f>
        <v>0</v>
      </c>
      <c r="CJ76" s="176" t="n">
        <f aca="false">CI76+CF56</f>
        <v>0</v>
      </c>
      <c r="CK76" s="177" t="n">
        <f aca="false">CI76+CG56</f>
        <v>0</v>
      </c>
      <c r="CM76" s="175"/>
      <c r="CN76" s="175"/>
      <c r="CO76" s="151"/>
      <c r="CP76" s="0"/>
      <c r="CQ76" s="0"/>
      <c r="CR76" s="0"/>
      <c r="CS76" s="0"/>
      <c r="CT76" s="0"/>
      <c r="CY76" s="152" t="n">
        <f aca="false">M76</f>
        <v>38292</v>
      </c>
      <c r="CZ76" s="153" t="n">
        <f aca="false">AI76+AH76</f>
        <v>1</v>
      </c>
      <c r="DA76" s="153" t="n">
        <f aca="false">AI76</f>
        <v>1.25</v>
      </c>
      <c r="DB76" s="153" t="n">
        <f aca="false">AI76+AJ76</f>
        <v>1.55</v>
      </c>
      <c r="DD76" s="153" t="n">
        <f aca="false">Z76</f>
        <v>0.10378524375</v>
      </c>
      <c r="DE76" s="153" t="n">
        <f aca="false">AA76</f>
        <v>0.2075704875</v>
      </c>
      <c r="DF76" s="153" t="n">
        <f aca="false">AB76</f>
        <v>0.31135573125</v>
      </c>
      <c r="DH76" s="152" t="n">
        <f aca="false">BH76</f>
        <v>38292</v>
      </c>
      <c r="DI76" s="99" t="n">
        <v>0.9</v>
      </c>
    </row>
    <row r="77" customFormat="false" ht="13.5" hidden="false" customHeight="false" outlineLevel="0" collapsed="false">
      <c r="A77" s="110" t="n">
        <f aca="false">EOMONTH(A76,0)+1</f>
        <v>47880</v>
      </c>
      <c r="B77" s="99" t="n">
        <f aca="false">'Gas Curves'!C81</f>
        <v>0.073199436508415</v>
      </c>
      <c r="C77" s="99"/>
      <c r="D77" s="145" t="n">
        <v>37438</v>
      </c>
      <c r="E77" s="146" t="n">
        <v>68.5</v>
      </c>
      <c r="F77" s="146" t="n">
        <v>72.5</v>
      </c>
      <c r="G77" s="146" t="n">
        <v>76.5</v>
      </c>
      <c r="H77" s="127"/>
      <c r="I77" s="146" t="n">
        <v>22.0499977111816</v>
      </c>
      <c r="J77" s="146" t="n">
        <v>24.0499977111816</v>
      </c>
      <c r="K77" s="146" t="n">
        <v>26.0499977111816</v>
      </c>
      <c r="L77" s="105"/>
      <c r="M77" s="106" t="n">
        <v>38322</v>
      </c>
      <c r="N77" s="147" t="n">
        <v>25.0174983978271</v>
      </c>
      <c r="O77" s="147" t="n">
        <v>25.6549983978271</v>
      </c>
      <c r="P77" s="147" t="n">
        <v>26.2924983978271</v>
      </c>
      <c r="Q77" s="18"/>
      <c r="R77" s="147" t="n">
        <v>18.8499992370605</v>
      </c>
      <c r="S77" s="147" t="n">
        <v>22.1499992370605</v>
      </c>
      <c r="T77" s="147" t="n">
        <v>25.4499992370605</v>
      </c>
      <c r="U77" s="18"/>
      <c r="V77" s="147" t="n">
        <v>1</v>
      </c>
      <c r="W77" s="147" t="n">
        <v>1</v>
      </c>
      <c r="X77" s="147" t="n">
        <v>1</v>
      </c>
      <c r="Y77" s="18"/>
      <c r="Z77" s="147" t="n">
        <v>0.10748910375</v>
      </c>
      <c r="AA77" s="147" t="n">
        <v>0.2149782075</v>
      </c>
      <c r="AB77" s="147" t="n">
        <v>0.32246731125</v>
      </c>
      <c r="AC77" s="18"/>
      <c r="AD77" s="147" t="n">
        <v>0.0276710448</v>
      </c>
      <c r="AE77" s="147" t="n">
        <v>0.0553420896</v>
      </c>
      <c r="AF77" s="147" t="n">
        <v>0.0830131344</v>
      </c>
      <c r="AG77" s="18"/>
      <c r="AH77" s="147" t="n">
        <v>-0.25</v>
      </c>
      <c r="AI77" s="147" t="n">
        <v>1.25</v>
      </c>
      <c r="AJ77" s="147" t="n">
        <v>0.35</v>
      </c>
      <c r="AK77" s="18"/>
      <c r="AL77" s="147" t="n">
        <v>-0.15</v>
      </c>
      <c r="AM77" s="147" t="n">
        <v>0.3</v>
      </c>
      <c r="AN77" s="147" t="n">
        <v>0.2</v>
      </c>
      <c r="AO77" s="18"/>
      <c r="AP77" s="105" t="n">
        <v>20</v>
      </c>
      <c r="AQ77" s="148" t="n">
        <v>0.4</v>
      </c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06" t="n">
        <v>38322</v>
      </c>
      <c r="BI77" s="150" t="n">
        <v>0.9</v>
      </c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0"/>
      <c r="CI77" s="138" t="n">
        <f aca="false">CE57</f>
        <v>0</v>
      </c>
      <c r="CJ77" s="176" t="n">
        <f aca="false">CI77+CF57</f>
        <v>0</v>
      </c>
      <c r="CK77" s="177" t="n">
        <f aca="false">CI77+CG57</f>
        <v>0</v>
      </c>
      <c r="CM77" s="175"/>
      <c r="CN77" s="175"/>
      <c r="CO77" s="151"/>
      <c r="CP77" s="0"/>
      <c r="CQ77" s="0"/>
      <c r="CR77" s="0"/>
      <c r="CS77" s="0"/>
      <c r="CT77" s="0"/>
      <c r="CY77" s="152" t="n">
        <f aca="false">M77</f>
        <v>38322</v>
      </c>
      <c r="CZ77" s="153" t="n">
        <f aca="false">AI77+AH77</f>
        <v>1</v>
      </c>
      <c r="DA77" s="153" t="n">
        <f aca="false">AI77</f>
        <v>1.25</v>
      </c>
      <c r="DB77" s="153" t="n">
        <f aca="false">AI77+AJ77</f>
        <v>1.6</v>
      </c>
      <c r="DD77" s="153" t="n">
        <f aca="false">Z77</f>
        <v>0.10748910375</v>
      </c>
      <c r="DE77" s="153" t="n">
        <f aca="false">AA77</f>
        <v>0.2149782075</v>
      </c>
      <c r="DF77" s="153" t="n">
        <f aca="false">AB77</f>
        <v>0.32246731125</v>
      </c>
      <c r="DH77" s="152" t="n">
        <f aca="false">BH77</f>
        <v>38322</v>
      </c>
      <c r="DI77" s="99" t="n">
        <v>0.9</v>
      </c>
    </row>
    <row r="78" customFormat="false" ht="13.5" hidden="false" customHeight="false" outlineLevel="0" collapsed="false">
      <c r="A78" s="110" t="n">
        <f aca="false">EOMONTH(A77,0)+1</f>
        <v>47908</v>
      </c>
      <c r="B78" s="99" t="n">
        <f aca="false">'Gas Curves'!C82</f>
        <v>0.073224289820955</v>
      </c>
      <c r="C78" s="99"/>
      <c r="D78" s="145" t="n">
        <v>37469</v>
      </c>
      <c r="E78" s="146" t="n">
        <v>64</v>
      </c>
      <c r="F78" s="146" t="n">
        <v>68</v>
      </c>
      <c r="G78" s="146" t="n">
        <v>72</v>
      </c>
      <c r="H78" s="127"/>
      <c r="I78" s="146" t="n">
        <v>22.3999980926514</v>
      </c>
      <c r="J78" s="146" t="n">
        <v>24.3999980926514</v>
      </c>
      <c r="K78" s="146" t="n">
        <v>26.3999980926514</v>
      </c>
      <c r="L78" s="105"/>
      <c r="M78" s="106" t="n">
        <v>38353</v>
      </c>
      <c r="N78" s="147" t="n">
        <v>28.2987483978271</v>
      </c>
      <c r="O78" s="147" t="n">
        <v>29.0487483978271</v>
      </c>
      <c r="P78" s="147" t="n">
        <v>29.7987483978271</v>
      </c>
      <c r="Q78" s="18"/>
      <c r="R78" s="147" t="n">
        <v>24.2525001525879</v>
      </c>
      <c r="S78" s="147" t="n">
        <v>27.5525001525879</v>
      </c>
      <c r="T78" s="147" t="n">
        <v>30.8525001525879</v>
      </c>
      <c r="U78" s="18"/>
      <c r="V78" s="147" t="n">
        <v>0.9</v>
      </c>
      <c r="W78" s="147" t="n">
        <v>0.9</v>
      </c>
      <c r="X78" s="147" t="n">
        <v>0.9</v>
      </c>
      <c r="Y78" s="18"/>
      <c r="Z78" s="147" t="n">
        <v>0.1156598875</v>
      </c>
      <c r="AA78" s="147" t="n">
        <v>0.231319775</v>
      </c>
      <c r="AB78" s="147" t="n">
        <v>0.3469796625</v>
      </c>
      <c r="AC78" s="18"/>
      <c r="AD78" s="147" t="n">
        <v>0.031637227888</v>
      </c>
      <c r="AE78" s="147" t="n">
        <v>0.063274455776</v>
      </c>
      <c r="AF78" s="147" t="n">
        <v>0.094911683664</v>
      </c>
      <c r="AG78" s="18"/>
      <c r="AH78" s="147" t="n">
        <v>-0.75</v>
      </c>
      <c r="AI78" s="147" t="n">
        <v>2</v>
      </c>
      <c r="AJ78" s="147" t="n">
        <v>0.75</v>
      </c>
      <c r="AK78" s="18"/>
      <c r="AL78" s="147" t="n">
        <v>-0.15</v>
      </c>
      <c r="AM78" s="147" t="n">
        <v>0.5</v>
      </c>
      <c r="AN78" s="147" t="n">
        <v>0.2</v>
      </c>
      <c r="AO78" s="18"/>
      <c r="AP78" s="105" t="n">
        <v>20</v>
      </c>
      <c r="AQ78" s="148" t="n">
        <v>0.4</v>
      </c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06" t="n">
        <v>38353</v>
      </c>
      <c r="BI78" s="150" t="n">
        <v>0.9</v>
      </c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0"/>
      <c r="CI78" s="138" t="n">
        <f aca="false">CE58</f>
        <v>0</v>
      </c>
      <c r="CJ78" s="176" t="n">
        <f aca="false">CI78+CF58</f>
        <v>0</v>
      </c>
      <c r="CK78" s="177" t="n">
        <f aca="false">CI78+CG58</f>
        <v>0</v>
      </c>
      <c r="CM78" s="175"/>
      <c r="CN78" s="175"/>
      <c r="CO78" s="151"/>
      <c r="CP78" s="0"/>
      <c r="CQ78" s="0"/>
      <c r="CR78" s="0"/>
      <c r="CS78" s="0"/>
      <c r="CT78" s="0"/>
      <c r="CY78" s="152" t="n">
        <f aca="false">M78</f>
        <v>38353</v>
      </c>
      <c r="CZ78" s="153" t="n">
        <f aca="false">AI78+AH78</f>
        <v>1.25</v>
      </c>
      <c r="DA78" s="153" t="n">
        <f aca="false">AI78</f>
        <v>2</v>
      </c>
      <c r="DB78" s="153" t="n">
        <f aca="false">AI78+AJ78</f>
        <v>2.75</v>
      </c>
      <c r="DD78" s="153" t="n">
        <f aca="false">Z78</f>
        <v>0.1156598875</v>
      </c>
      <c r="DE78" s="153" t="n">
        <f aca="false">AA78</f>
        <v>0.231319775</v>
      </c>
      <c r="DF78" s="153" t="n">
        <f aca="false">AB78</f>
        <v>0.3469796625</v>
      </c>
      <c r="DH78" s="152" t="n">
        <f aca="false">BH78</f>
        <v>38353</v>
      </c>
      <c r="DI78" s="99" t="n">
        <v>0.9</v>
      </c>
    </row>
    <row r="79" customFormat="false" ht="13.5" hidden="false" customHeight="false" outlineLevel="0" collapsed="false">
      <c r="A79" s="110" t="n">
        <f aca="false">EOMONTH(A78,0)+1</f>
        <v>47939</v>
      </c>
      <c r="B79" s="99" t="n">
        <f aca="false">'Gas Curves'!C83</f>
        <v>0.07324834141393</v>
      </c>
      <c r="C79" s="99"/>
      <c r="D79" s="145" t="n">
        <v>37500</v>
      </c>
      <c r="E79" s="146" t="n">
        <v>32.2</v>
      </c>
      <c r="F79" s="146" t="n">
        <v>33</v>
      </c>
      <c r="G79" s="146" t="n">
        <v>33.8</v>
      </c>
      <c r="H79" s="127"/>
      <c r="I79" s="146" t="n">
        <v>19.5499980926514</v>
      </c>
      <c r="J79" s="146" t="n">
        <v>19.9499980926514</v>
      </c>
      <c r="K79" s="146" t="n">
        <v>20.3499980926514</v>
      </c>
      <c r="L79" s="105"/>
      <c r="M79" s="106" t="n">
        <v>38384</v>
      </c>
      <c r="N79" s="147" t="n">
        <v>27.2962501525879</v>
      </c>
      <c r="O79" s="147" t="n">
        <v>28.0462501525879</v>
      </c>
      <c r="P79" s="147" t="n">
        <v>28.7962501525879</v>
      </c>
      <c r="Q79" s="18"/>
      <c r="R79" s="147" t="n">
        <v>22.2474994659424</v>
      </c>
      <c r="S79" s="147" t="n">
        <v>25.5474994659424</v>
      </c>
      <c r="T79" s="147" t="n">
        <v>28.8474994659424</v>
      </c>
      <c r="U79" s="18"/>
      <c r="V79" s="147" t="n">
        <v>0.9</v>
      </c>
      <c r="W79" s="147" t="n">
        <v>0.9</v>
      </c>
      <c r="X79" s="147" t="n">
        <v>0.9</v>
      </c>
      <c r="Y79" s="18"/>
      <c r="Z79" s="147" t="n">
        <v>0.11158735625</v>
      </c>
      <c r="AA79" s="147" t="n">
        <v>0.2231747125</v>
      </c>
      <c r="AB79" s="147" t="n">
        <v>0.33476206875</v>
      </c>
      <c r="AC79" s="18"/>
      <c r="AD79" s="147" t="n">
        <v>0.031637227888</v>
      </c>
      <c r="AE79" s="147" t="n">
        <v>0.063274455776</v>
      </c>
      <c r="AF79" s="147" t="n">
        <v>0.094911683664</v>
      </c>
      <c r="AG79" s="18"/>
      <c r="AH79" s="147" t="n">
        <v>-0.75</v>
      </c>
      <c r="AI79" s="147" t="n">
        <v>2</v>
      </c>
      <c r="AJ79" s="147" t="n">
        <v>0.75</v>
      </c>
      <c r="AK79" s="18"/>
      <c r="AL79" s="147" t="n">
        <v>-0.15</v>
      </c>
      <c r="AM79" s="147" t="n">
        <v>0.5</v>
      </c>
      <c r="AN79" s="147" t="n">
        <v>0.2</v>
      </c>
      <c r="AO79" s="18"/>
      <c r="AP79" s="105" t="n">
        <v>21</v>
      </c>
      <c r="AQ79" s="148" t="n">
        <v>0.4</v>
      </c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06" t="n">
        <v>38384</v>
      </c>
      <c r="BI79" s="150" t="n">
        <v>0.9</v>
      </c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0"/>
      <c r="CI79" s="138" t="n">
        <f aca="false">CE59</f>
        <v>0</v>
      </c>
      <c r="CJ79" s="176" t="n">
        <f aca="false">CI79+CF59</f>
        <v>0</v>
      </c>
      <c r="CK79" s="177" t="n">
        <f aca="false">CI79+CG59</f>
        <v>0</v>
      </c>
      <c r="CM79" s="175"/>
      <c r="CN79" s="175"/>
      <c r="CO79" s="151"/>
      <c r="CP79" s="0"/>
      <c r="CQ79" s="0"/>
      <c r="CR79" s="0"/>
      <c r="CS79" s="0"/>
      <c r="CT79" s="0"/>
      <c r="CY79" s="152" t="n">
        <f aca="false">M79</f>
        <v>38384</v>
      </c>
      <c r="CZ79" s="153" t="n">
        <f aca="false">AI79+AH79</f>
        <v>1.25</v>
      </c>
      <c r="DA79" s="153" t="n">
        <f aca="false">AI79</f>
        <v>2</v>
      </c>
      <c r="DB79" s="153" t="n">
        <f aca="false">AI79+AJ79</f>
        <v>2.75</v>
      </c>
      <c r="DD79" s="153" t="n">
        <f aca="false">Z79</f>
        <v>0.11158735625</v>
      </c>
      <c r="DE79" s="153" t="n">
        <f aca="false">AA79</f>
        <v>0.2231747125</v>
      </c>
      <c r="DF79" s="153" t="n">
        <f aca="false">AB79</f>
        <v>0.33476206875</v>
      </c>
      <c r="DH79" s="152" t="n">
        <f aca="false">BH79</f>
        <v>38384</v>
      </c>
      <c r="DI79" s="99" t="n">
        <v>0.9</v>
      </c>
    </row>
    <row r="80" customFormat="false" ht="12.75" hidden="false" customHeight="false" outlineLevel="0" collapsed="false">
      <c r="A80" s="110" t="n">
        <f aca="false">EOMONTH(A79,0)+1</f>
        <v>47969</v>
      </c>
      <c r="B80" s="99" t="n">
        <f aca="false">'Gas Curves'!C84</f>
        <v>0.073273194726871</v>
      </c>
      <c r="C80" s="99"/>
      <c r="D80" s="145" t="n">
        <v>37530</v>
      </c>
      <c r="E80" s="146" t="n">
        <v>30.1</v>
      </c>
      <c r="F80" s="146" t="n">
        <v>30.75</v>
      </c>
      <c r="G80" s="146" t="n">
        <v>31.4</v>
      </c>
      <c r="H80" s="127"/>
      <c r="I80" s="146" t="n">
        <v>19.3249988555908</v>
      </c>
      <c r="J80" s="146" t="n">
        <v>19.6499988555908</v>
      </c>
      <c r="K80" s="146" t="n">
        <v>19.9749988555908</v>
      </c>
      <c r="L80" s="105"/>
      <c r="M80" s="106" t="n">
        <v>38412</v>
      </c>
      <c r="N80" s="147" t="n">
        <v>20.7847496032715</v>
      </c>
      <c r="O80" s="147" t="n">
        <v>21.2347496032715</v>
      </c>
      <c r="P80" s="147" t="n">
        <v>21.6847496032715</v>
      </c>
      <c r="Q80" s="18"/>
      <c r="R80" s="147" t="n">
        <v>17.5644989013672</v>
      </c>
      <c r="S80" s="147" t="n">
        <v>20.8644989013672</v>
      </c>
      <c r="T80" s="147" t="n">
        <v>24.1644989013672</v>
      </c>
      <c r="U80" s="18"/>
      <c r="V80" s="147" t="n">
        <v>0.4</v>
      </c>
      <c r="W80" s="147" t="n">
        <v>0.4</v>
      </c>
      <c r="X80" s="147" t="n">
        <v>0.4</v>
      </c>
      <c r="Y80" s="18"/>
      <c r="Z80" s="147" t="n">
        <v>0.108767128359375</v>
      </c>
      <c r="AA80" s="147" t="n">
        <v>0.21753425671875</v>
      </c>
      <c r="AB80" s="147" t="n">
        <v>0.326301385078125</v>
      </c>
      <c r="AC80" s="18"/>
      <c r="AD80" s="147" t="n">
        <v>0.027117623904</v>
      </c>
      <c r="AE80" s="147" t="n">
        <v>0.054235247808</v>
      </c>
      <c r="AF80" s="147" t="n">
        <v>0.081352871712</v>
      </c>
      <c r="AG80" s="18"/>
      <c r="AH80" s="147" t="n">
        <v>-0.25</v>
      </c>
      <c r="AI80" s="147" t="n">
        <v>1.3</v>
      </c>
      <c r="AJ80" s="147" t="n">
        <v>0.3</v>
      </c>
      <c r="AK80" s="18"/>
      <c r="AL80" s="147" t="n">
        <v>-0.15</v>
      </c>
      <c r="AM80" s="147" t="n">
        <v>0.35</v>
      </c>
      <c r="AN80" s="147" t="n">
        <v>0.2</v>
      </c>
      <c r="AO80" s="18"/>
      <c r="AP80" s="105" t="n">
        <v>21</v>
      </c>
      <c r="AQ80" s="148" t="n">
        <v>0.4</v>
      </c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06" t="n">
        <v>38412</v>
      </c>
      <c r="BI80" s="150" t="n">
        <v>0.9</v>
      </c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0"/>
      <c r="CI80" s="138" t="n">
        <f aca="false">CE60</f>
        <v>0</v>
      </c>
      <c r="CJ80" s="176" t="n">
        <f aca="false">CI80+CF60</f>
        <v>0</v>
      </c>
      <c r="CK80" s="177" t="n">
        <f aca="false">CI80+CG60</f>
        <v>0</v>
      </c>
      <c r="CM80" s="175"/>
      <c r="CN80" s="175"/>
      <c r="CO80" s="151"/>
      <c r="CP80" s="0"/>
      <c r="CQ80" s="0"/>
      <c r="CR80" s="0"/>
      <c r="CS80" s="0"/>
      <c r="CT80" s="0"/>
      <c r="CY80" s="152" t="n">
        <f aca="false">M80</f>
        <v>38412</v>
      </c>
      <c r="CZ80" s="153" t="n">
        <f aca="false">AI80+AH80</f>
        <v>1.05</v>
      </c>
      <c r="DA80" s="153" t="n">
        <f aca="false">AI80</f>
        <v>1.3</v>
      </c>
      <c r="DB80" s="153" t="n">
        <f aca="false">AI80+AJ80</f>
        <v>1.6</v>
      </c>
      <c r="DD80" s="153" t="n">
        <f aca="false">Z80</f>
        <v>0.108767128359375</v>
      </c>
      <c r="DE80" s="153" t="n">
        <f aca="false">AA80</f>
        <v>0.21753425671875</v>
      </c>
      <c r="DF80" s="153" t="n">
        <f aca="false">AB80</f>
        <v>0.326301385078125</v>
      </c>
      <c r="DH80" s="152" t="n">
        <f aca="false">BH80</f>
        <v>38412</v>
      </c>
      <c r="DI80" s="99" t="n">
        <v>0.9</v>
      </c>
    </row>
    <row r="81" customFormat="false" ht="12.75" hidden="false" customHeight="false" outlineLevel="0" collapsed="false">
      <c r="A81" s="110" t="n">
        <f aca="false">EOMONTH(A80,0)+1</f>
        <v>48000</v>
      </c>
      <c r="B81" s="99" t="n">
        <f aca="false">'Gas Curves'!C85</f>
        <v>0.073297246320234</v>
      </c>
      <c r="C81" s="99"/>
      <c r="D81" s="145" t="n">
        <v>37561</v>
      </c>
      <c r="E81" s="146" t="n">
        <v>30.475</v>
      </c>
      <c r="F81" s="146" t="n">
        <v>31.125</v>
      </c>
      <c r="G81" s="146" t="n">
        <v>31.775</v>
      </c>
      <c r="H81" s="127"/>
      <c r="I81" s="146" t="n">
        <v>19.2499980926514</v>
      </c>
      <c r="J81" s="146" t="n">
        <v>19.5749980926514</v>
      </c>
      <c r="K81" s="146" t="n">
        <v>19.8999980926514</v>
      </c>
      <c r="L81" s="105"/>
      <c r="M81" s="106" t="n">
        <v>38443</v>
      </c>
      <c r="N81" s="147" t="n">
        <v>21.5800003051758</v>
      </c>
      <c r="O81" s="147" t="n">
        <v>21.9175003051758</v>
      </c>
      <c r="P81" s="147" t="n">
        <v>22.2550003051758</v>
      </c>
      <c r="Q81" s="18"/>
      <c r="R81" s="147" t="n">
        <v>17.3349990844727</v>
      </c>
      <c r="S81" s="147" t="n">
        <v>20.6349990844727</v>
      </c>
      <c r="T81" s="147" t="n">
        <v>23.9349990844727</v>
      </c>
      <c r="U81" s="18"/>
      <c r="V81" s="147" t="n">
        <v>0.4</v>
      </c>
      <c r="W81" s="147" t="n">
        <v>0.4</v>
      </c>
      <c r="X81" s="147" t="n">
        <v>0.4</v>
      </c>
      <c r="Y81" s="18"/>
      <c r="Z81" s="147" t="n">
        <v>0.09694660640625</v>
      </c>
      <c r="AA81" s="147" t="n">
        <v>0.1938932128125</v>
      </c>
      <c r="AB81" s="147" t="n">
        <v>0.29083981921875</v>
      </c>
      <c r="AC81" s="18"/>
      <c r="AD81" s="147" t="n">
        <v>0.027117623904</v>
      </c>
      <c r="AE81" s="147" t="n">
        <v>0.054235247808</v>
      </c>
      <c r="AF81" s="147" t="n">
        <v>0.081352871712</v>
      </c>
      <c r="AG81" s="18"/>
      <c r="AH81" s="147" t="n">
        <v>-0.25</v>
      </c>
      <c r="AI81" s="147" t="n">
        <v>1.1</v>
      </c>
      <c r="AJ81" s="147" t="n">
        <v>0.3</v>
      </c>
      <c r="AK81" s="18"/>
      <c r="AL81" s="147" t="n">
        <v>-0.15</v>
      </c>
      <c r="AM81" s="147" t="n">
        <v>0.35</v>
      </c>
      <c r="AN81" s="147" t="n">
        <v>0.2</v>
      </c>
      <c r="AO81" s="18"/>
      <c r="AP81" s="105" t="n">
        <v>21</v>
      </c>
      <c r="AQ81" s="148" t="n">
        <v>0.4</v>
      </c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06" t="n">
        <v>38443</v>
      </c>
      <c r="BI81" s="150" t="n">
        <v>0.9</v>
      </c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0"/>
      <c r="CM81" s="175"/>
      <c r="CN81" s="175"/>
      <c r="CO81" s="151"/>
      <c r="CP81" s="0"/>
      <c r="CQ81" s="0"/>
      <c r="CR81" s="0"/>
      <c r="CS81" s="0"/>
      <c r="CT81" s="0"/>
      <c r="CY81" s="152" t="n">
        <f aca="false">M81</f>
        <v>38443</v>
      </c>
      <c r="CZ81" s="153" t="n">
        <f aca="false">AI81+AH81</f>
        <v>0.85</v>
      </c>
      <c r="DA81" s="153" t="n">
        <f aca="false">AI81</f>
        <v>1.1</v>
      </c>
      <c r="DB81" s="153" t="n">
        <f aca="false">AI81+AJ81</f>
        <v>1.4</v>
      </c>
      <c r="DD81" s="153" t="n">
        <f aca="false">Z81</f>
        <v>0.09694660640625</v>
      </c>
      <c r="DE81" s="153" t="n">
        <f aca="false">AA81</f>
        <v>0.1938932128125</v>
      </c>
      <c r="DF81" s="153" t="n">
        <f aca="false">AB81</f>
        <v>0.29083981921875</v>
      </c>
      <c r="DH81" s="152" t="n">
        <f aca="false">BH81</f>
        <v>38443</v>
      </c>
      <c r="DI81" s="99" t="n">
        <v>0.9</v>
      </c>
    </row>
    <row r="82" customFormat="false" ht="12.75" hidden="false" customHeight="false" outlineLevel="0" collapsed="false">
      <c r="A82" s="110" t="n">
        <f aca="false">EOMONTH(A81,0)+1</f>
        <v>48030</v>
      </c>
      <c r="B82" s="99" t="n">
        <f aca="false">'Gas Curves'!C86</f>
        <v>0.073322099633577</v>
      </c>
      <c r="C82" s="99"/>
      <c r="D82" s="145" t="n">
        <v>37591</v>
      </c>
      <c r="E82" s="146" t="n">
        <v>30.35</v>
      </c>
      <c r="F82" s="146" t="n">
        <v>31</v>
      </c>
      <c r="G82" s="146" t="n">
        <v>31.65</v>
      </c>
      <c r="H82" s="127"/>
      <c r="I82" s="146" t="n">
        <v>20.6749992370605</v>
      </c>
      <c r="J82" s="146" t="n">
        <v>20.9999992370605</v>
      </c>
      <c r="K82" s="146" t="n">
        <v>21.3249992370605</v>
      </c>
      <c r="L82" s="105"/>
      <c r="M82" s="106" t="n">
        <v>38473</v>
      </c>
      <c r="N82" s="147" t="n">
        <v>20.8925000762939</v>
      </c>
      <c r="O82" s="147" t="n">
        <v>22.0325000762939</v>
      </c>
      <c r="P82" s="147" t="n">
        <v>23.1725000762939</v>
      </c>
      <c r="Q82" s="18"/>
      <c r="R82" s="147" t="n">
        <v>17.8649997711182</v>
      </c>
      <c r="S82" s="147" t="n">
        <v>21.1649997711182</v>
      </c>
      <c r="T82" s="147" t="n">
        <v>24.4649997711182</v>
      </c>
      <c r="U82" s="18"/>
      <c r="V82" s="147" t="n">
        <v>0.4</v>
      </c>
      <c r="W82" s="147" t="n">
        <v>0.4</v>
      </c>
      <c r="X82" s="147" t="n">
        <v>0.4</v>
      </c>
      <c r="Y82" s="18"/>
      <c r="Z82" s="147" t="n">
        <v>0.11160771890625</v>
      </c>
      <c r="AA82" s="147" t="n">
        <v>0.2232154378125</v>
      </c>
      <c r="AB82" s="147" t="n">
        <v>0.33482315671875</v>
      </c>
      <c r="AC82" s="18"/>
      <c r="AD82" s="147" t="n">
        <v>0.031637227888</v>
      </c>
      <c r="AE82" s="147" t="n">
        <v>0.063274455776</v>
      </c>
      <c r="AF82" s="147" t="n">
        <v>0.094911683664</v>
      </c>
      <c r="AG82" s="18"/>
      <c r="AH82" s="147" t="n">
        <v>-0.25</v>
      </c>
      <c r="AI82" s="147" t="n">
        <v>1.1</v>
      </c>
      <c r="AJ82" s="147" t="n">
        <v>0.3</v>
      </c>
      <c r="AK82" s="18"/>
      <c r="AL82" s="147" t="n">
        <v>-0.15</v>
      </c>
      <c r="AM82" s="147" t="n">
        <v>0.5</v>
      </c>
      <c r="AN82" s="147" t="n">
        <v>0.2</v>
      </c>
      <c r="AO82" s="18"/>
      <c r="AP82" s="105" t="n">
        <v>22</v>
      </c>
      <c r="AQ82" s="148" t="n">
        <v>0.4</v>
      </c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06" t="n">
        <v>38473</v>
      </c>
      <c r="BI82" s="150" t="n">
        <v>0.9</v>
      </c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0"/>
      <c r="CM82" s="175"/>
      <c r="CN82" s="175"/>
      <c r="CO82" s="151"/>
      <c r="CP82" s="0"/>
      <c r="CQ82" s="0"/>
      <c r="CR82" s="0"/>
      <c r="CS82" s="0"/>
      <c r="CT82" s="0"/>
      <c r="CY82" s="152" t="n">
        <f aca="false">M82</f>
        <v>38473</v>
      </c>
      <c r="CZ82" s="153" t="n">
        <f aca="false">AI82+AH82</f>
        <v>0.85</v>
      </c>
      <c r="DA82" s="153" t="n">
        <f aca="false">AI82</f>
        <v>1.1</v>
      </c>
      <c r="DB82" s="153" t="n">
        <f aca="false">AI82+AJ82</f>
        <v>1.4</v>
      </c>
      <c r="DD82" s="153" t="n">
        <f aca="false">Z82</f>
        <v>0.11160771890625</v>
      </c>
      <c r="DE82" s="153" t="n">
        <f aca="false">AA82</f>
        <v>0.2232154378125</v>
      </c>
      <c r="DF82" s="153" t="n">
        <f aca="false">AB82</f>
        <v>0.33482315671875</v>
      </c>
      <c r="DH82" s="152" t="n">
        <f aca="false">BH82</f>
        <v>38473</v>
      </c>
      <c r="DI82" s="99" t="n">
        <v>0.9</v>
      </c>
    </row>
    <row r="83" customFormat="false" ht="12.75" hidden="false" customHeight="false" outlineLevel="0" collapsed="false">
      <c r="A83" s="110" t="n">
        <f aca="false">EOMONTH(A82,0)+1</f>
        <v>48061</v>
      </c>
      <c r="B83" s="99" t="n">
        <f aca="false">'Gas Curves'!C87</f>
        <v>0.073346952947122</v>
      </c>
      <c r="C83" s="99"/>
      <c r="D83" s="145" t="n">
        <v>37622</v>
      </c>
      <c r="E83" s="146" t="n">
        <v>35.85</v>
      </c>
      <c r="F83" s="146" t="n">
        <v>36.65</v>
      </c>
      <c r="G83" s="146" t="n">
        <v>37.45</v>
      </c>
      <c r="H83" s="127"/>
      <c r="I83" s="146" t="n">
        <v>20.3900009155273</v>
      </c>
      <c r="J83" s="146" t="n">
        <v>20.7900009155273</v>
      </c>
      <c r="K83" s="146" t="n">
        <v>21.1900009155273</v>
      </c>
      <c r="L83" s="105"/>
      <c r="M83" s="106" t="n">
        <v>38504</v>
      </c>
      <c r="N83" s="147" t="n">
        <v>23.1587501525879</v>
      </c>
      <c r="O83" s="147" t="n">
        <v>26.4587501525879</v>
      </c>
      <c r="P83" s="147" t="n">
        <v>29.7587501525879</v>
      </c>
      <c r="Q83" s="18"/>
      <c r="R83" s="147" t="n">
        <v>16.6424995422363</v>
      </c>
      <c r="S83" s="147" t="n">
        <v>19.9424995422363</v>
      </c>
      <c r="T83" s="147" t="n">
        <v>23.2424995422363</v>
      </c>
      <c r="U83" s="18"/>
      <c r="V83" s="147" t="n">
        <v>0.4</v>
      </c>
      <c r="W83" s="147" t="n">
        <v>0.4</v>
      </c>
      <c r="X83" s="147" t="n">
        <v>0.4</v>
      </c>
      <c r="Y83" s="18"/>
      <c r="Z83" s="147" t="n">
        <v>0.139921992421875</v>
      </c>
      <c r="AA83" s="147" t="n">
        <v>0.27984398484375</v>
      </c>
      <c r="AB83" s="147" t="n">
        <v>0.419765977265625</v>
      </c>
      <c r="AC83" s="18"/>
      <c r="AD83" s="147" t="n">
        <v>0.040676435856</v>
      </c>
      <c r="AE83" s="147" t="n">
        <v>0.081352871712</v>
      </c>
      <c r="AF83" s="147" t="n">
        <v>0.122029307568</v>
      </c>
      <c r="AG83" s="18"/>
      <c r="AH83" s="147" t="n">
        <v>-0.35</v>
      </c>
      <c r="AI83" s="147" t="n">
        <v>2</v>
      </c>
      <c r="AJ83" s="147" t="n">
        <v>0.3</v>
      </c>
      <c r="AK83" s="18"/>
      <c r="AL83" s="147" t="n">
        <v>-0.15</v>
      </c>
      <c r="AM83" s="147" t="n">
        <v>0.65</v>
      </c>
      <c r="AN83" s="147" t="n">
        <v>0.2</v>
      </c>
      <c r="AO83" s="18"/>
      <c r="AP83" s="105" t="n">
        <v>22</v>
      </c>
      <c r="AQ83" s="148" t="n">
        <v>0.4</v>
      </c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06" t="n">
        <v>38504</v>
      </c>
      <c r="BI83" s="150" t="n">
        <v>0.9</v>
      </c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0"/>
      <c r="CM83" s="175"/>
      <c r="CN83" s="175"/>
      <c r="CO83" s="151"/>
      <c r="CP83" s="0"/>
      <c r="CQ83" s="0"/>
      <c r="CR83" s="0"/>
      <c r="CS83" s="0"/>
      <c r="CT83" s="0"/>
      <c r="CY83" s="152" t="n">
        <f aca="false">M83</f>
        <v>38504</v>
      </c>
      <c r="CZ83" s="153" t="n">
        <f aca="false">AI83+AH83</f>
        <v>1.65</v>
      </c>
      <c r="DA83" s="153" t="n">
        <f aca="false">AI83</f>
        <v>2</v>
      </c>
      <c r="DB83" s="153" t="n">
        <f aca="false">AI83+AJ83</f>
        <v>2.3</v>
      </c>
      <c r="DD83" s="153" t="n">
        <f aca="false">Z83</f>
        <v>0.139921992421875</v>
      </c>
      <c r="DE83" s="153" t="n">
        <f aca="false">AA83</f>
        <v>0.27984398484375</v>
      </c>
      <c r="DF83" s="153" t="n">
        <f aca="false">AB83</f>
        <v>0.419765977265625</v>
      </c>
      <c r="DH83" s="152" t="n">
        <f aca="false">BH83</f>
        <v>38504</v>
      </c>
      <c r="DI83" s="99" t="n">
        <v>0.9</v>
      </c>
    </row>
    <row r="84" customFormat="false" ht="12.75" hidden="false" customHeight="false" outlineLevel="0" collapsed="false">
      <c r="A84" s="110" t="n">
        <f aca="false">EOMONTH(A83,0)+1</f>
        <v>48092</v>
      </c>
      <c r="B84" s="99" t="n">
        <f aca="false">'Gas Curves'!C88</f>
        <v>0.073369401101469</v>
      </c>
      <c r="C84" s="99"/>
      <c r="D84" s="145" t="n">
        <v>37653</v>
      </c>
      <c r="E84" s="146" t="n">
        <v>35.85</v>
      </c>
      <c r="F84" s="146" t="n">
        <v>36.65</v>
      </c>
      <c r="G84" s="146" t="n">
        <v>37.45</v>
      </c>
      <c r="H84" s="127"/>
      <c r="I84" s="146" t="n">
        <v>20.1999977111816</v>
      </c>
      <c r="J84" s="146" t="n">
        <v>20.5999977111816</v>
      </c>
      <c r="K84" s="146" t="n">
        <v>20.9999977111816</v>
      </c>
      <c r="L84" s="105"/>
      <c r="M84" s="106" t="n">
        <v>38534</v>
      </c>
      <c r="N84" s="147" t="n">
        <v>36.6612495422363</v>
      </c>
      <c r="O84" s="147" t="n">
        <v>39.6612495422363</v>
      </c>
      <c r="P84" s="147" t="n">
        <v>42.6612495422363</v>
      </c>
      <c r="Q84" s="18"/>
      <c r="R84" s="147" t="n">
        <v>25.8474994659424</v>
      </c>
      <c r="S84" s="147" t="n">
        <v>29.1474994659424</v>
      </c>
      <c r="T84" s="147" t="n">
        <v>32.4474994659424</v>
      </c>
      <c r="U84" s="18"/>
      <c r="V84" s="147" t="n">
        <v>0.4</v>
      </c>
      <c r="W84" s="147" t="n">
        <v>0.4</v>
      </c>
      <c r="X84" s="147" t="n">
        <v>0.4</v>
      </c>
      <c r="Y84" s="18"/>
      <c r="Z84" s="147" t="n">
        <v>0.165578939296875</v>
      </c>
      <c r="AA84" s="147" t="n">
        <v>0.33115787859375</v>
      </c>
      <c r="AB84" s="147" t="n">
        <v>0.496736817890625</v>
      </c>
      <c r="AC84" s="18"/>
      <c r="AD84" s="147" t="n">
        <v>0.054235247808</v>
      </c>
      <c r="AE84" s="147" t="n">
        <v>0.108470495616</v>
      </c>
      <c r="AF84" s="147" t="n">
        <v>0.162705743424</v>
      </c>
      <c r="AG84" s="18"/>
      <c r="AH84" s="147" t="n">
        <v>-0.35</v>
      </c>
      <c r="AI84" s="147" t="n">
        <v>3</v>
      </c>
      <c r="AJ84" s="147" t="n">
        <v>0.5</v>
      </c>
      <c r="AK84" s="18"/>
      <c r="AL84" s="147" t="n">
        <v>-0.15</v>
      </c>
      <c r="AM84" s="147" t="n">
        <v>0.75</v>
      </c>
      <c r="AN84" s="147" t="n">
        <v>0.2</v>
      </c>
      <c r="AO84" s="18"/>
      <c r="AP84" s="105" t="n">
        <v>22</v>
      </c>
      <c r="AQ84" s="148" t="n">
        <v>0.4</v>
      </c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06" t="n">
        <v>38534</v>
      </c>
      <c r="BI84" s="150" t="n">
        <v>0.9</v>
      </c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0"/>
      <c r="CM84" s="175"/>
      <c r="CN84" s="175"/>
      <c r="CO84" s="151"/>
      <c r="CP84" s="0"/>
      <c r="CQ84" s="0"/>
      <c r="CR84" s="0"/>
      <c r="CS84" s="0"/>
      <c r="CT84" s="0"/>
      <c r="CY84" s="152" t="n">
        <f aca="false">M84</f>
        <v>38534</v>
      </c>
      <c r="CZ84" s="153" t="n">
        <f aca="false">AI84+AH84</f>
        <v>2.65</v>
      </c>
      <c r="DA84" s="153" t="n">
        <f aca="false">AI84</f>
        <v>3</v>
      </c>
      <c r="DB84" s="153" t="n">
        <f aca="false">AI84+AJ84</f>
        <v>3.5</v>
      </c>
      <c r="DD84" s="153" t="n">
        <f aca="false">Z84</f>
        <v>0.165578939296875</v>
      </c>
      <c r="DE84" s="153" t="n">
        <f aca="false">AA84</f>
        <v>0.33115787859375</v>
      </c>
      <c r="DF84" s="153" t="n">
        <f aca="false">AB84</f>
        <v>0.496736817890625</v>
      </c>
      <c r="DH84" s="152" t="n">
        <f aca="false">BH84</f>
        <v>38534</v>
      </c>
      <c r="DI84" s="99" t="n">
        <v>0.9</v>
      </c>
    </row>
    <row r="85" customFormat="false" ht="12.75" hidden="false" customHeight="false" outlineLevel="0" collapsed="false">
      <c r="A85" s="110" t="n">
        <f aca="false">EOMONTH(A84,0)+1</f>
        <v>48122</v>
      </c>
      <c r="B85" s="99" t="n">
        <f aca="false">'Gas Curves'!C89</f>
        <v>0.073394254415403</v>
      </c>
      <c r="C85" s="99"/>
      <c r="D85" s="145" t="n">
        <v>37681</v>
      </c>
      <c r="E85" s="146" t="n">
        <v>32.4</v>
      </c>
      <c r="F85" s="146" t="n">
        <v>32.9</v>
      </c>
      <c r="G85" s="146" t="n">
        <v>33.4</v>
      </c>
      <c r="H85" s="127"/>
      <c r="I85" s="146" t="n">
        <v>19.3499996185303</v>
      </c>
      <c r="J85" s="146" t="n">
        <v>19.5999996185303</v>
      </c>
      <c r="K85" s="146" t="n">
        <v>19.8499996185303</v>
      </c>
      <c r="L85" s="105"/>
      <c r="M85" s="106" t="n">
        <v>38565</v>
      </c>
      <c r="N85" s="147" t="n">
        <v>38.9224990844727</v>
      </c>
      <c r="O85" s="147" t="n">
        <v>41.9224990844727</v>
      </c>
      <c r="P85" s="147" t="n">
        <v>44.9224990844727</v>
      </c>
      <c r="Q85" s="18"/>
      <c r="R85" s="147" t="n">
        <v>27.3450008392334</v>
      </c>
      <c r="S85" s="147" t="n">
        <v>30.6450008392334</v>
      </c>
      <c r="T85" s="147" t="n">
        <v>33.9450008392334</v>
      </c>
      <c r="U85" s="18"/>
      <c r="V85" s="147" t="n">
        <v>0.4</v>
      </c>
      <c r="W85" s="147" t="n">
        <v>0.4</v>
      </c>
      <c r="X85" s="147" t="n">
        <v>0.4</v>
      </c>
      <c r="Y85" s="18"/>
      <c r="Z85" s="147" t="n">
        <v>0.16292161265625</v>
      </c>
      <c r="AA85" s="147" t="n">
        <v>0.3258432253125</v>
      </c>
      <c r="AB85" s="147" t="n">
        <v>0.48876483796875</v>
      </c>
      <c r="AC85" s="18"/>
      <c r="AD85" s="147" t="n">
        <v>0.054235247808</v>
      </c>
      <c r="AE85" s="147" t="n">
        <v>0.108470495616</v>
      </c>
      <c r="AF85" s="147" t="n">
        <v>0.162705743424</v>
      </c>
      <c r="AG85" s="18"/>
      <c r="AH85" s="147" t="n">
        <v>-0.35</v>
      </c>
      <c r="AI85" s="147" t="n">
        <v>3</v>
      </c>
      <c r="AJ85" s="147" t="n">
        <v>0.5</v>
      </c>
      <c r="AK85" s="18"/>
      <c r="AL85" s="147" t="n">
        <v>-0.15</v>
      </c>
      <c r="AM85" s="147" t="n">
        <v>0.75</v>
      </c>
      <c r="AN85" s="147" t="n">
        <v>0.2</v>
      </c>
      <c r="AO85" s="18"/>
      <c r="AP85" s="105" t="n">
        <v>23</v>
      </c>
      <c r="AQ85" s="148" t="n">
        <v>0.4</v>
      </c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06" t="n">
        <v>38565</v>
      </c>
      <c r="BI85" s="150" t="n">
        <v>0.9</v>
      </c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0"/>
      <c r="CM85" s="175"/>
      <c r="CN85" s="175"/>
      <c r="CO85" s="151"/>
      <c r="CP85" s="0"/>
      <c r="CQ85" s="0"/>
      <c r="CR85" s="0"/>
      <c r="CS85" s="0"/>
      <c r="CT85" s="0"/>
      <c r="CY85" s="152" t="n">
        <f aca="false">M85</f>
        <v>38565</v>
      </c>
      <c r="CZ85" s="153" t="n">
        <f aca="false">AI85+AH85</f>
        <v>2.65</v>
      </c>
      <c r="DA85" s="153" t="n">
        <f aca="false">AI85</f>
        <v>3</v>
      </c>
      <c r="DB85" s="153" t="n">
        <f aca="false">AI85+AJ85</f>
        <v>3.5</v>
      </c>
      <c r="DD85" s="153" t="n">
        <f aca="false">Z85</f>
        <v>0.16292161265625</v>
      </c>
      <c r="DE85" s="153" t="n">
        <f aca="false">AA85</f>
        <v>0.3258432253125</v>
      </c>
      <c r="DF85" s="153" t="n">
        <f aca="false">AB85</f>
        <v>0.48876483796875</v>
      </c>
      <c r="DH85" s="152" t="n">
        <f aca="false">BH85</f>
        <v>38565</v>
      </c>
      <c r="DI85" s="99" t="n">
        <v>0.9</v>
      </c>
    </row>
    <row r="86" customFormat="false" ht="12.75" hidden="false" customHeight="false" outlineLevel="0" collapsed="false">
      <c r="A86" s="110" t="n">
        <f aca="false">EOMONTH(A85,0)+1</f>
        <v>48153</v>
      </c>
      <c r="B86" s="99" t="n">
        <f aca="false">'Gas Curves'!C90</f>
        <v>0.073418306009727</v>
      </c>
      <c r="C86" s="99"/>
      <c r="D86" s="145" t="n">
        <v>37712</v>
      </c>
      <c r="E86" s="146" t="n">
        <v>31.3</v>
      </c>
      <c r="F86" s="146" t="n">
        <v>31.65</v>
      </c>
      <c r="G86" s="146" t="n">
        <v>32</v>
      </c>
      <c r="H86" s="127"/>
      <c r="I86" s="146" t="n">
        <v>19.4249977111816</v>
      </c>
      <c r="J86" s="146" t="n">
        <v>19.5999977111816</v>
      </c>
      <c r="K86" s="146" t="n">
        <v>19.7749977111816</v>
      </c>
      <c r="L86" s="105"/>
      <c r="M86" s="106" t="n">
        <v>38596</v>
      </c>
      <c r="N86" s="147" t="n">
        <v>22.4799991607666</v>
      </c>
      <c r="O86" s="147" t="n">
        <v>23.3049991607666</v>
      </c>
      <c r="P86" s="147" t="n">
        <v>24.1299991607666</v>
      </c>
      <c r="Q86" s="18"/>
      <c r="R86" s="147" t="n">
        <v>20.5</v>
      </c>
      <c r="S86" s="147" t="n">
        <v>23.8</v>
      </c>
      <c r="T86" s="147" t="n">
        <v>27.1</v>
      </c>
      <c r="U86" s="18"/>
      <c r="V86" s="147" t="n">
        <v>0.9</v>
      </c>
      <c r="W86" s="147" t="n">
        <v>0.9</v>
      </c>
      <c r="X86" s="147" t="n">
        <v>0.9</v>
      </c>
      <c r="Y86" s="18"/>
      <c r="Z86" s="147" t="n">
        <v>0.10794244078125</v>
      </c>
      <c r="AA86" s="147" t="n">
        <v>0.2158848815625</v>
      </c>
      <c r="AB86" s="147" t="n">
        <v>0.32382732234375</v>
      </c>
      <c r="AC86" s="18"/>
      <c r="AD86" s="147" t="n">
        <v>0.036156831872</v>
      </c>
      <c r="AE86" s="147" t="n">
        <v>0.072313663744</v>
      </c>
      <c r="AF86" s="147" t="n">
        <v>0.108470495616</v>
      </c>
      <c r="AG86" s="18"/>
      <c r="AH86" s="147" t="n">
        <v>-0.35</v>
      </c>
      <c r="AI86" s="147" t="n">
        <v>1.5</v>
      </c>
      <c r="AJ86" s="147" t="n">
        <v>0.3</v>
      </c>
      <c r="AK86" s="18"/>
      <c r="AL86" s="147" t="n">
        <v>-0.15</v>
      </c>
      <c r="AM86" s="147" t="n">
        <v>0.4</v>
      </c>
      <c r="AN86" s="147" t="n">
        <v>0.2</v>
      </c>
      <c r="AO86" s="18"/>
      <c r="AP86" s="105" t="n">
        <v>23</v>
      </c>
      <c r="AQ86" s="148" t="n">
        <v>0.4</v>
      </c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06" t="n">
        <v>38596</v>
      </c>
      <c r="BI86" s="150" t="n">
        <v>0.9</v>
      </c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0"/>
      <c r="CM86" s="175"/>
      <c r="CN86" s="175"/>
      <c r="CO86" s="151"/>
      <c r="CP86" s="0"/>
      <c r="CQ86" s="0"/>
      <c r="CR86" s="0"/>
      <c r="CS86" s="0"/>
      <c r="CT86" s="0"/>
      <c r="CY86" s="152" t="n">
        <f aca="false">M86</f>
        <v>38596</v>
      </c>
      <c r="CZ86" s="153" t="n">
        <f aca="false">AI86+AH86</f>
        <v>1.15</v>
      </c>
      <c r="DA86" s="153" t="n">
        <f aca="false">AI86</f>
        <v>1.5</v>
      </c>
      <c r="DB86" s="153" t="n">
        <f aca="false">AI86+AJ86</f>
        <v>1.8</v>
      </c>
      <c r="DD86" s="153" t="n">
        <f aca="false">Z86</f>
        <v>0.10794244078125</v>
      </c>
      <c r="DE86" s="153" t="n">
        <f aca="false">AA86</f>
        <v>0.2158848815625</v>
      </c>
      <c r="DF86" s="153" t="n">
        <f aca="false">AB86</f>
        <v>0.32382732234375</v>
      </c>
      <c r="DH86" s="152" t="n">
        <f aca="false">BH86</f>
        <v>38596</v>
      </c>
      <c r="DI86" s="99" t="n">
        <v>0.9</v>
      </c>
    </row>
    <row r="87" customFormat="false" ht="12.75" hidden="false" customHeight="false" outlineLevel="0" collapsed="false">
      <c r="A87" s="110" t="n">
        <f aca="false">EOMONTH(A86,0)+1</f>
        <v>48183</v>
      </c>
      <c r="B87" s="99" t="n">
        <f aca="false">'Gas Curves'!C91</f>
        <v>0.073443159324063</v>
      </c>
      <c r="C87" s="99"/>
      <c r="D87" s="145" t="n">
        <v>37742</v>
      </c>
      <c r="E87" s="146" t="n">
        <v>32.4</v>
      </c>
      <c r="F87" s="146" t="n">
        <v>33.65</v>
      </c>
      <c r="G87" s="146" t="n">
        <v>34.9</v>
      </c>
      <c r="H87" s="127"/>
      <c r="I87" s="146" t="n">
        <v>18.9749977111816</v>
      </c>
      <c r="J87" s="146" t="n">
        <v>19.5999977111816</v>
      </c>
      <c r="K87" s="146" t="n">
        <v>20.2249977111816</v>
      </c>
      <c r="L87" s="105"/>
      <c r="M87" s="106" t="n">
        <v>38626</v>
      </c>
      <c r="N87" s="147" t="n">
        <v>22.6880001068115</v>
      </c>
      <c r="O87" s="147" t="n">
        <v>23.4005001068115</v>
      </c>
      <c r="P87" s="147" t="n">
        <v>24.1130001068115</v>
      </c>
      <c r="Q87" s="18"/>
      <c r="R87" s="147" t="n">
        <v>18.1009998321533</v>
      </c>
      <c r="S87" s="147" t="n">
        <v>21.4009998321533</v>
      </c>
      <c r="T87" s="147" t="n">
        <v>24.7009998321533</v>
      </c>
      <c r="U87" s="18"/>
      <c r="V87" s="147" t="n">
        <v>0.9</v>
      </c>
      <c r="W87" s="147" t="n">
        <v>0.9</v>
      </c>
      <c r="X87" s="147" t="n">
        <v>0.9</v>
      </c>
      <c r="Y87" s="18"/>
      <c r="Z87" s="147" t="n">
        <v>0.0985959815625</v>
      </c>
      <c r="AA87" s="147" t="n">
        <v>0.197191963125</v>
      </c>
      <c r="AB87" s="147" t="n">
        <v>0.2957879446875</v>
      </c>
      <c r="AC87" s="18"/>
      <c r="AD87" s="147" t="n">
        <v>0.027117623904</v>
      </c>
      <c r="AE87" s="147" t="n">
        <v>0.054235247808</v>
      </c>
      <c r="AF87" s="147" t="n">
        <v>0.081352871712</v>
      </c>
      <c r="AG87" s="18"/>
      <c r="AH87" s="147" t="n">
        <v>-0.25</v>
      </c>
      <c r="AI87" s="147" t="n">
        <v>1.1</v>
      </c>
      <c r="AJ87" s="147" t="n">
        <v>0.3</v>
      </c>
      <c r="AK87" s="18"/>
      <c r="AL87" s="147" t="n">
        <v>-0.15</v>
      </c>
      <c r="AM87" s="147" t="n">
        <v>0.35</v>
      </c>
      <c r="AN87" s="147" t="n">
        <v>0.2</v>
      </c>
      <c r="AO87" s="18"/>
      <c r="AP87" s="105" t="n">
        <v>23</v>
      </c>
      <c r="AQ87" s="148" t="n">
        <v>0.4</v>
      </c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06" t="n">
        <v>38626</v>
      </c>
      <c r="BI87" s="150" t="n">
        <v>0.9</v>
      </c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0"/>
      <c r="CM87" s="175"/>
      <c r="CN87" s="175"/>
      <c r="CO87" s="151"/>
      <c r="CP87" s="0"/>
      <c r="CQ87" s="0"/>
      <c r="CR87" s="0"/>
      <c r="CS87" s="0"/>
      <c r="CT87" s="0"/>
      <c r="CY87" s="152" t="n">
        <f aca="false">M87</f>
        <v>38626</v>
      </c>
      <c r="CZ87" s="153" t="n">
        <f aca="false">AI87+AH87</f>
        <v>0.85</v>
      </c>
      <c r="DA87" s="153" t="n">
        <f aca="false">AI87</f>
        <v>1.1</v>
      </c>
      <c r="DB87" s="153" t="n">
        <f aca="false">AI87+AJ87</f>
        <v>1.4</v>
      </c>
      <c r="DD87" s="153" t="n">
        <f aca="false">Z87</f>
        <v>0.0985959815625</v>
      </c>
      <c r="DE87" s="153" t="n">
        <f aca="false">AA87</f>
        <v>0.197191963125</v>
      </c>
      <c r="DF87" s="153" t="n">
        <f aca="false">AB87</f>
        <v>0.2957879446875</v>
      </c>
      <c r="DH87" s="152" t="n">
        <f aca="false">BH87</f>
        <v>38626</v>
      </c>
      <c r="DI87" s="99" t="n">
        <v>0.9</v>
      </c>
    </row>
    <row r="88" customFormat="false" ht="12.75" hidden="false" customHeight="false" outlineLevel="0" collapsed="false">
      <c r="A88" s="110" t="n">
        <f aca="false">EOMONTH(A87,0)+1</f>
        <v>48214</v>
      </c>
      <c r="B88" s="99" t="n">
        <f aca="false">'Gas Curves'!C92</f>
        <v>0.073467210918776</v>
      </c>
      <c r="C88" s="99"/>
      <c r="D88" s="145" t="n">
        <v>37773</v>
      </c>
      <c r="E88" s="146" t="n">
        <v>45.37</v>
      </c>
      <c r="F88" s="146" t="n">
        <v>49</v>
      </c>
      <c r="G88" s="146" t="n">
        <v>52.63</v>
      </c>
      <c r="H88" s="127"/>
      <c r="I88" s="146" t="n">
        <v>17.7399987792969</v>
      </c>
      <c r="J88" s="146" t="n">
        <v>19.5549987792969</v>
      </c>
      <c r="K88" s="146" t="n">
        <v>21.3699987792969</v>
      </c>
      <c r="L88" s="105"/>
      <c r="M88" s="106" t="n">
        <v>38657</v>
      </c>
      <c r="N88" s="147" t="n">
        <v>23.6922515869141</v>
      </c>
      <c r="O88" s="147" t="n">
        <v>24.4047515869141</v>
      </c>
      <c r="P88" s="147" t="n">
        <v>25.1172515869141</v>
      </c>
      <c r="Q88" s="18"/>
      <c r="R88" s="147" t="n">
        <v>19.1044998168945</v>
      </c>
      <c r="S88" s="147" t="n">
        <v>22.4044998168945</v>
      </c>
      <c r="T88" s="147" t="n">
        <v>25.7044998168945</v>
      </c>
      <c r="U88" s="18"/>
      <c r="V88" s="147" t="n">
        <v>0.9</v>
      </c>
      <c r="W88" s="147" t="n">
        <v>0.9</v>
      </c>
      <c r="X88" s="147" t="n">
        <v>0.9</v>
      </c>
      <c r="Y88" s="18"/>
      <c r="Z88" s="147" t="n">
        <v>0.0985959815625</v>
      </c>
      <c r="AA88" s="147" t="n">
        <v>0.197191963125</v>
      </c>
      <c r="AB88" s="147" t="n">
        <v>0.2957879446875</v>
      </c>
      <c r="AC88" s="18"/>
      <c r="AD88" s="147" t="n">
        <v>0.027117623904</v>
      </c>
      <c r="AE88" s="147" t="n">
        <v>0.054235247808</v>
      </c>
      <c r="AF88" s="147" t="n">
        <v>0.081352871712</v>
      </c>
      <c r="AG88" s="18"/>
      <c r="AH88" s="147" t="n">
        <v>-0.25</v>
      </c>
      <c r="AI88" s="147" t="n">
        <v>1.25</v>
      </c>
      <c r="AJ88" s="147" t="n">
        <v>0.3</v>
      </c>
      <c r="AK88" s="18"/>
      <c r="AL88" s="147" t="n">
        <v>-0.15</v>
      </c>
      <c r="AM88" s="147" t="n">
        <v>0.3</v>
      </c>
      <c r="AN88" s="147" t="n">
        <v>0.2</v>
      </c>
      <c r="AO88" s="18"/>
      <c r="AP88" s="105" t="n">
        <v>24</v>
      </c>
      <c r="AQ88" s="148" t="n">
        <v>0.4</v>
      </c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06" t="n">
        <v>38657</v>
      </c>
      <c r="BI88" s="150" t="n">
        <v>0.9</v>
      </c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0"/>
      <c r="CM88" s="175"/>
      <c r="CN88" s="175"/>
      <c r="CO88" s="151"/>
      <c r="CP88" s="0"/>
      <c r="CQ88" s="0"/>
      <c r="CR88" s="0"/>
      <c r="CS88" s="0"/>
      <c r="CT88" s="0"/>
      <c r="CY88" s="152" t="n">
        <f aca="false">M88</f>
        <v>38657</v>
      </c>
      <c r="CZ88" s="153" t="n">
        <f aca="false">AI88+AH88</f>
        <v>1</v>
      </c>
      <c r="DA88" s="153" t="n">
        <f aca="false">AI88</f>
        <v>1.25</v>
      </c>
      <c r="DB88" s="153" t="n">
        <f aca="false">AI88+AJ88</f>
        <v>1.55</v>
      </c>
      <c r="DD88" s="153" t="n">
        <f aca="false">Z88</f>
        <v>0.0985959815625</v>
      </c>
      <c r="DE88" s="153" t="n">
        <f aca="false">AA88</f>
        <v>0.197191963125</v>
      </c>
      <c r="DF88" s="153" t="n">
        <f aca="false">AB88</f>
        <v>0.2957879446875</v>
      </c>
      <c r="DH88" s="152" t="n">
        <f aca="false">BH88</f>
        <v>38657</v>
      </c>
      <c r="DI88" s="99" t="n">
        <v>0.9</v>
      </c>
    </row>
    <row r="89" customFormat="false" ht="12.75" hidden="false" customHeight="false" outlineLevel="0" collapsed="false">
      <c r="A89" s="110" t="n">
        <f aca="false">EOMONTH(A88,0)+1</f>
        <v>48245</v>
      </c>
      <c r="B89" s="99" t="n">
        <f aca="false">'Gas Curves'!C93</f>
        <v>0.073492064233513</v>
      </c>
      <c r="C89" s="99"/>
      <c r="D89" s="145" t="n">
        <v>37803</v>
      </c>
      <c r="E89" s="146" t="n">
        <v>66.5</v>
      </c>
      <c r="F89" s="146" t="n">
        <v>70.5</v>
      </c>
      <c r="G89" s="146" t="n">
        <v>74.5</v>
      </c>
      <c r="H89" s="127"/>
      <c r="I89" s="146" t="n">
        <v>22.0499977111816</v>
      </c>
      <c r="J89" s="146" t="n">
        <v>24.0499977111816</v>
      </c>
      <c r="K89" s="146" t="n">
        <v>26.0499977111816</v>
      </c>
      <c r="L89" s="105"/>
      <c r="M89" s="106" t="n">
        <v>38687</v>
      </c>
      <c r="N89" s="147" t="n">
        <v>25.1424983978271</v>
      </c>
      <c r="O89" s="147" t="n">
        <v>25.8549983978271</v>
      </c>
      <c r="P89" s="147" t="n">
        <v>26.5674983978271</v>
      </c>
      <c r="Q89" s="18"/>
      <c r="R89" s="147" t="n">
        <v>19.0499992370605</v>
      </c>
      <c r="S89" s="147" t="n">
        <v>22.3499992370605</v>
      </c>
      <c r="T89" s="147" t="n">
        <v>25.6499992370605</v>
      </c>
      <c r="U89" s="18"/>
      <c r="V89" s="147" t="n">
        <v>0.9</v>
      </c>
      <c r="W89" s="147" t="n">
        <v>0.9</v>
      </c>
      <c r="X89" s="147" t="n">
        <v>0.9</v>
      </c>
      <c r="Y89" s="18"/>
      <c r="Z89" s="147" t="n">
        <v>0.1021146485625</v>
      </c>
      <c r="AA89" s="147" t="n">
        <v>0.204229297125</v>
      </c>
      <c r="AB89" s="147" t="n">
        <v>0.3063439456875</v>
      </c>
      <c r="AC89" s="18"/>
      <c r="AD89" s="147" t="n">
        <v>0.027117623904</v>
      </c>
      <c r="AE89" s="147" t="n">
        <v>0.054235247808</v>
      </c>
      <c r="AF89" s="147" t="n">
        <v>0.081352871712</v>
      </c>
      <c r="AG89" s="18"/>
      <c r="AH89" s="147" t="n">
        <v>-0.25</v>
      </c>
      <c r="AI89" s="147" t="n">
        <v>1.25</v>
      </c>
      <c r="AJ89" s="147" t="n">
        <v>0.35</v>
      </c>
      <c r="AK89" s="18"/>
      <c r="AL89" s="147" t="n">
        <v>-0.15</v>
      </c>
      <c r="AM89" s="147" t="n">
        <v>0.3</v>
      </c>
      <c r="AN89" s="147" t="n">
        <v>0.2</v>
      </c>
      <c r="AO89" s="18"/>
      <c r="AP89" s="105" t="n">
        <v>24</v>
      </c>
      <c r="AQ89" s="148" t="n">
        <v>0.4</v>
      </c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06" t="n">
        <v>38687</v>
      </c>
      <c r="BI89" s="150" t="n">
        <v>0.9</v>
      </c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0"/>
      <c r="CM89" s="175"/>
      <c r="CN89" s="175"/>
      <c r="CO89" s="151"/>
      <c r="CP89" s="0"/>
      <c r="CQ89" s="0"/>
      <c r="CR89" s="0"/>
      <c r="CS89" s="0"/>
      <c r="CT89" s="0"/>
      <c r="CY89" s="152" t="n">
        <f aca="false">M89</f>
        <v>38687</v>
      </c>
      <c r="CZ89" s="153" t="n">
        <f aca="false">AI89+AH89</f>
        <v>1</v>
      </c>
      <c r="DA89" s="153" t="n">
        <f aca="false">AI89</f>
        <v>1.25</v>
      </c>
      <c r="DB89" s="153" t="n">
        <f aca="false">AI89+AJ89</f>
        <v>1.6</v>
      </c>
      <c r="DD89" s="153" t="n">
        <f aca="false">Z89</f>
        <v>0.1021146485625</v>
      </c>
      <c r="DE89" s="153" t="n">
        <f aca="false">AA89</f>
        <v>0.204229297125</v>
      </c>
      <c r="DF89" s="153" t="n">
        <f aca="false">AB89</f>
        <v>0.3063439456875</v>
      </c>
      <c r="DH89" s="152" t="n">
        <f aca="false">BH89</f>
        <v>38687</v>
      </c>
      <c r="DI89" s="99" t="n">
        <v>0.9</v>
      </c>
    </row>
    <row r="90" customFormat="false" ht="12.75" hidden="false" customHeight="false" outlineLevel="0" collapsed="false">
      <c r="A90" s="110" t="n">
        <f aca="false">EOMONTH(A89,0)+1</f>
        <v>48274</v>
      </c>
      <c r="B90" s="99" t="n">
        <f aca="false">'Gas Curves'!C94</f>
        <v>0.073516917548453</v>
      </c>
      <c r="C90" s="99"/>
      <c r="D90" s="145" t="n">
        <v>37834</v>
      </c>
      <c r="E90" s="146" t="n">
        <v>62</v>
      </c>
      <c r="F90" s="146" t="n">
        <v>66</v>
      </c>
      <c r="G90" s="146" t="n">
        <v>70</v>
      </c>
      <c r="H90" s="127"/>
      <c r="I90" s="146" t="n">
        <v>22.3999980926514</v>
      </c>
      <c r="J90" s="146" t="n">
        <v>24.3999980926514</v>
      </c>
      <c r="K90" s="146" t="n">
        <v>26.3999980926514</v>
      </c>
      <c r="L90" s="105"/>
      <c r="M90" s="106" t="n">
        <v>38718</v>
      </c>
      <c r="N90" s="147" t="n">
        <v>28.4237483978271</v>
      </c>
      <c r="O90" s="147" t="n">
        <v>29.2487483978271</v>
      </c>
      <c r="P90" s="147" t="n">
        <v>30.0737483978271</v>
      </c>
      <c r="Q90" s="18"/>
      <c r="R90" s="147" t="n">
        <v>24.4525001525879</v>
      </c>
      <c r="S90" s="147" t="n">
        <v>27.7525001525879</v>
      </c>
      <c r="T90" s="147" t="n">
        <v>31.0525001525879</v>
      </c>
      <c r="U90" s="18"/>
      <c r="V90" s="147" t="n">
        <v>0.8</v>
      </c>
      <c r="W90" s="147" t="n">
        <v>0.8</v>
      </c>
      <c r="X90" s="147" t="n">
        <v>0.8</v>
      </c>
      <c r="Y90" s="18"/>
      <c r="Z90" s="147" t="n">
        <v>0.109876893125</v>
      </c>
      <c r="AA90" s="147" t="n">
        <v>0.21975378625</v>
      </c>
      <c r="AB90" s="147" t="n">
        <v>0.329630679375</v>
      </c>
      <c r="AC90" s="18"/>
      <c r="AD90" s="147" t="n">
        <v>0.03100448333024</v>
      </c>
      <c r="AE90" s="147" t="n">
        <v>0.06200896666048</v>
      </c>
      <c r="AF90" s="147" t="n">
        <v>0.09301344999072</v>
      </c>
      <c r="AG90" s="18"/>
      <c r="AH90" s="147" t="n">
        <v>-0.75</v>
      </c>
      <c r="AI90" s="147" t="n">
        <v>2</v>
      </c>
      <c r="AJ90" s="147" t="n">
        <v>0.75</v>
      </c>
      <c r="AK90" s="18"/>
      <c r="AL90" s="147" t="n">
        <v>-0.15</v>
      </c>
      <c r="AM90" s="147" t="n">
        <v>0.5</v>
      </c>
      <c r="AN90" s="147" t="n">
        <v>0.2</v>
      </c>
      <c r="AO90" s="18"/>
      <c r="AP90" s="105" t="n">
        <v>24</v>
      </c>
      <c r="AQ90" s="148" t="n">
        <v>0.4</v>
      </c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06" t="n">
        <v>38718</v>
      </c>
      <c r="BI90" s="150" t="n">
        <v>0.9</v>
      </c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0"/>
      <c r="CM90" s="175"/>
      <c r="CN90" s="175"/>
      <c r="CO90" s="151"/>
      <c r="CP90" s="0"/>
      <c r="CQ90" s="0"/>
      <c r="CR90" s="0"/>
      <c r="CS90" s="0"/>
      <c r="CT90" s="0"/>
      <c r="CY90" s="152" t="n">
        <f aca="false">M90</f>
        <v>38718</v>
      </c>
      <c r="CZ90" s="153" t="n">
        <f aca="false">AI90+AH90</f>
        <v>1.25</v>
      </c>
      <c r="DA90" s="153" t="n">
        <f aca="false">AI90</f>
        <v>2</v>
      </c>
      <c r="DB90" s="153" t="n">
        <f aca="false">AI90+AJ90</f>
        <v>2.75</v>
      </c>
      <c r="DD90" s="153" t="n">
        <f aca="false">Z90</f>
        <v>0.109876893125</v>
      </c>
      <c r="DE90" s="153" t="n">
        <f aca="false">AA90</f>
        <v>0.21975378625</v>
      </c>
      <c r="DF90" s="153" t="n">
        <f aca="false">AB90</f>
        <v>0.329630679375</v>
      </c>
      <c r="DH90" s="152" t="n">
        <f aca="false">BH90</f>
        <v>38718</v>
      </c>
      <c r="DI90" s="99" t="n">
        <v>0.9</v>
      </c>
    </row>
    <row r="91" customFormat="false" ht="12.75" hidden="false" customHeight="false" outlineLevel="0" collapsed="false">
      <c r="A91" s="110" t="n">
        <f aca="false">EOMONTH(A90,0)+1</f>
        <v>48305</v>
      </c>
      <c r="B91" s="99" t="n">
        <f aca="false">'Gas Curves'!C95</f>
        <v>0.073540969143751</v>
      </c>
      <c r="C91" s="99"/>
      <c r="D91" s="145" t="n">
        <v>37865</v>
      </c>
      <c r="E91" s="146" t="n">
        <v>31.75</v>
      </c>
      <c r="F91" s="146" t="n">
        <v>32.65</v>
      </c>
      <c r="G91" s="146" t="n">
        <v>33.55</v>
      </c>
      <c r="H91" s="127"/>
      <c r="I91" s="146" t="n">
        <v>19.4999980926514</v>
      </c>
      <c r="J91" s="146" t="n">
        <v>19.9499980926514</v>
      </c>
      <c r="K91" s="146" t="n">
        <v>20.3999980926514</v>
      </c>
      <c r="L91" s="105"/>
      <c r="M91" s="106" t="n">
        <v>38749</v>
      </c>
      <c r="N91" s="147" t="n">
        <v>27.4212501525879</v>
      </c>
      <c r="O91" s="147" t="n">
        <v>28.2462501525879</v>
      </c>
      <c r="P91" s="147" t="n">
        <v>29.0712501525879</v>
      </c>
      <c r="Q91" s="18"/>
      <c r="R91" s="147" t="n">
        <v>22.4474994659424</v>
      </c>
      <c r="S91" s="147" t="n">
        <v>25.7474994659424</v>
      </c>
      <c r="T91" s="147" t="n">
        <v>29.0474994659424</v>
      </c>
      <c r="U91" s="18"/>
      <c r="V91" s="147" t="n">
        <v>0.8</v>
      </c>
      <c r="W91" s="147" t="n">
        <v>0.8</v>
      </c>
      <c r="X91" s="147" t="n">
        <v>0.8</v>
      </c>
      <c r="Y91" s="18"/>
      <c r="Z91" s="147" t="n">
        <v>0.1060079884375</v>
      </c>
      <c r="AA91" s="147" t="n">
        <v>0.212015976875</v>
      </c>
      <c r="AB91" s="147" t="n">
        <v>0.3180239653125</v>
      </c>
      <c r="AC91" s="18"/>
      <c r="AD91" s="147" t="n">
        <v>0.03100448333024</v>
      </c>
      <c r="AE91" s="147" t="n">
        <v>0.06200896666048</v>
      </c>
      <c r="AF91" s="147" t="n">
        <v>0.09301344999072</v>
      </c>
      <c r="AG91" s="18"/>
      <c r="AH91" s="147" t="n">
        <v>-0.75</v>
      </c>
      <c r="AI91" s="147" t="n">
        <v>2</v>
      </c>
      <c r="AJ91" s="147" t="n">
        <v>0.75</v>
      </c>
      <c r="AK91" s="18"/>
      <c r="AL91" s="147" t="n">
        <v>-0.15</v>
      </c>
      <c r="AM91" s="147" t="n">
        <v>0.5</v>
      </c>
      <c r="AN91" s="147" t="n">
        <v>0.2</v>
      </c>
      <c r="AO91" s="18"/>
      <c r="AP91" s="105" t="n">
        <v>25</v>
      </c>
      <c r="AQ91" s="148" t="n">
        <v>0.4</v>
      </c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06" t="n">
        <v>38749</v>
      </c>
      <c r="BI91" s="150" t="n">
        <v>0.9</v>
      </c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0"/>
      <c r="CM91" s="175"/>
      <c r="CN91" s="175"/>
      <c r="CO91" s="151"/>
      <c r="CP91" s="0"/>
      <c r="CQ91" s="0"/>
      <c r="CR91" s="0"/>
      <c r="CS91" s="0"/>
      <c r="CT91" s="0"/>
      <c r="CY91" s="152" t="n">
        <f aca="false">M91</f>
        <v>38749</v>
      </c>
      <c r="CZ91" s="153" t="n">
        <f aca="false">AI91+AH91</f>
        <v>1.25</v>
      </c>
      <c r="DA91" s="153" t="n">
        <f aca="false">AI91</f>
        <v>2</v>
      </c>
      <c r="DB91" s="153" t="n">
        <f aca="false">AI91+AJ91</f>
        <v>2.75</v>
      </c>
      <c r="DD91" s="153" t="n">
        <f aca="false">Z91</f>
        <v>0.1060079884375</v>
      </c>
      <c r="DE91" s="153" t="n">
        <f aca="false">AA91</f>
        <v>0.212015976875</v>
      </c>
      <c r="DF91" s="153" t="n">
        <f aca="false">AB91</f>
        <v>0.3180239653125</v>
      </c>
      <c r="DH91" s="152" t="n">
        <f aca="false">BH91</f>
        <v>38749</v>
      </c>
      <c r="DI91" s="99" t="n">
        <v>0.9</v>
      </c>
    </row>
    <row r="92" customFormat="false" ht="12.75" hidden="false" customHeight="false" outlineLevel="0" collapsed="false">
      <c r="A92" s="110" t="n">
        <f aca="false">EOMONTH(A91,0)+1</f>
        <v>48335</v>
      </c>
      <c r="B92" s="99" t="n">
        <f aca="false">'Gas Curves'!C96</f>
        <v>0.073565822459093</v>
      </c>
      <c r="C92" s="99"/>
      <c r="D92" s="145" t="n">
        <v>37895</v>
      </c>
      <c r="E92" s="146" t="n">
        <v>29.65</v>
      </c>
      <c r="F92" s="146" t="n">
        <v>30.4</v>
      </c>
      <c r="G92" s="146" t="n">
        <v>31.15</v>
      </c>
      <c r="H92" s="127"/>
      <c r="I92" s="146" t="n">
        <v>19.2749988555908</v>
      </c>
      <c r="J92" s="146" t="n">
        <v>19.6499988555908</v>
      </c>
      <c r="K92" s="146" t="n">
        <v>20.0249988555908</v>
      </c>
      <c r="L92" s="105"/>
      <c r="M92" s="106" t="n">
        <v>38777</v>
      </c>
      <c r="N92" s="147" t="n">
        <v>20.9472496032715</v>
      </c>
      <c r="O92" s="147" t="n">
        <v>21.4347496032715</v>
      </c>
      <c r="P92" s="147" t="n">
        <v>21.9222496032715</v>
      </c>
      <c r="Q92" s="18"/>
      <c r="R92" s="147" t="n">
        <v>17.7644989013672</v>
      </c>
      <c r="S92" s="147" t="n">
        <v>21.0644989013672</v>
      </c>
      <c r="T92" s="147" t="n">
        <v>24.3644989013672</v>
      </c>
      <c r="U92" s="18"/>
      <c r="V92" s="147" t="n">
        <v>0.3</v>
      </c>
      <c r="W92" s="147" t="n">
        <v>0.3</v>
      </c>
      <c r="X92" s="147" t="n">
        <v>0.3</v>
      </c>
      <c r="Y92" s="18"/>
      <c r="Z92" s="147" t="n">
        <v>0.103328771941406</v>
      </c>
      <c r="AA92" s="147" t="n">
        <v>0.206657543882813</v>
      </c>
      <c r="AB92" s="147" t="n">
        <v>0.309986315824219</v>
      </c>
      <c r="AC92" s="18"/>
      <c r="AD92" s="147" t="n">
        <v>0.02657527142592</v>
      </c>
      <c r="AE92" s="147" t="n">
        <v>0.05315054285184</v>
      </c>
      <c r="AF92" s="147" t="n">
        <v>0.07972581427776</v>
      </c>
      <c r="AG92" s="18"/>
      <c r="AH92" s="147" t="n">
        <v>-0.25</v>
      </c>
      <c r="AI92" s="147" t="n">
        <v>1.3</v>
      </c>
      <c r="AJ92" s="147" t="n">
        <v>0.3</v>
      </c>
      <c r="AK92" s="18"/>
      <c r="AL92" s="147" t="n">
        <v>-0.15</v>
      </c>
      <c r="AM92" s="147" t="n">
        <v>0.35</v>
      </c>
      <c r="AN92" s="147" t="n">
        <v>0.2</v>
      </c>
      <c r="AO92" s="18"/>
      <c r="AP92" s="105" t="n">
        <v>25</v>
      </c>
      <c r="AQ92" s="148" t="n">
        <v>0.4</v>
      </c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06" t="n">
        <v>38777</v>
      </c>
      <c r="BI92" s="150" t="n">
        <v>0.9</v>
      </c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0"/>
      <c r="CM92" s="175"/>
      <c r="CN92" s="175"/>
      <c r="CO92" s="151"/>
      <c r="CP92" s="0"/>
      <c r="CQ92" s="0"/>
      <c r="CR92" s="0"/>
      <c r="CS92" s="0"/>
      <c r="CT92" s="0"/>
      <c r="CY92" s="152" t="n">
        <f aca="false">M92</f>
        <v>38777</v>
      </c>
      <c r="CZ92" s="153" t="n">
        <f aca="false">AI92+AH92</f>
        <v>1.05</v>
      </c>
      <c r="DA92" s="153" t="n">
        <f aca="false">AI92</f>
        <v>1.3</v>
      </c>
      <c r="DB92" s="153" t="n">
        <f aca="false">AI92+AJ92</f>
        <v>1.6</v>
      </c>
      <c r="DD92" s="153" t="n">
        <f aca="false">Z92</f>
        <v>0.103328771941406</v>
      </c>
      <c r="DE92" s="153" t="n">
        <f aca="false">AA92</f>
        <v>0.206657543882813</v>
      </c>
      <c r="DF92" s="153" t="n">
        <f aca="false">AB92</f>
        <v>0.309986315824219</v>
      </c>
      <c r="DH92" s="152" t="n">
        <f aca="false">BH92</f>
        <v>38777</v>
      </c>
      <c r="DI92" s="99" t="n">
        <v>0.9</v>
      </c>
    </row>
    <row r="93" customFormat="false" ht="12.75" hidden="false" customHeight="false" outlineLevel="0" collapsed="false">
      <c r="A93" s="110" t="n">
        <f aca="false">EOMONTH(A92,0)+1</f>
        <v>48366</v>
      </c>
      <c r="B93" s="99" t="n">
        <f aca="false">'Gas Curves'!C97</f>
        <v>0.073589874054779</v>
      </c>
      <c r="C93" s="99"/>
      <c r="D93" s="145" t="n">
        <v>37926</v>
      </c>
      <c r="E93" s="146" t="n">
        <v>30.025</v>
      </c>
      <c r="F93" s="146" t="n">
        <v>30.775</v>
      </c>
      <c r="G93" s="146" t="n">
        <v>31.525</v>
      </c>
      <c r="H93" s="127"/>
      <c r="I93" s="146" t="n">
        <v>19.1999980926514</v>
      </c>
      <c r="J93" s="146" t="n">
        <v>19.5749980926514</v>
      </c>
      <c r="K93" s="146" t="n">
        <v>19.9499980926514</v>
      </c>
      <c r="L93" s="105"/>
      <c r="M93" s="106" t="n">
        <v>38808</v>
      </c>
      <c r="N93" s="147" t="n">
        <v>21.7425003051758</v>
      </c>
      <c r="O93" s="147" t="n">
        <v>22.1175003051758</v>
      </c>
      <c r="P93" s="147" t="n">
        <v>22.4925003051758</v>
      </c>
      <c r="Q93" s="18"/>
      <c r="R93" s="147" t="n">
        <v>17.5349990844727</v>
      </c>
      <c r="S93" s="147" t="n">
        <v>20.8349990844727</v>
      </c>
      <c r="T93" s="147" t="n">
        <v>24.1349990844727</v>
      </c>
      <c r="U93" s="18"/>
      <c r="V93" s="147" t="n">
        <v>0.3</v>
      </c>
      <c r="W93" s="147" t="n">
        <v>0.3</v>
      </c>
      <c r="X93" s="147" t="n">
        <v>0.3</v>
      </c>
      <c r="Y93" s="18"/>
      <c r="Z93" s="147" t="n">
        <v>0.0920992760859375</v>
      </c>
      <c r="AA93" s="147" t="n">
        <v>0.184198552171875</v>
      </c>
      <c r="AB93" s="147" t="n">
        <v>0.276297828257812</v>
      </c>
      <c r="AC93" s="18"/>
      <c r="AD93" s="147" t="n">
        <v>0.02657527142592</v>
      </c>
      <c r="AE93" s="147" t="n">
        <v>0.05315054285184</v>
      </c>
      <c r="AF93" s="147" t="n">
        <v>0.07972581427776</v>
      </c>
      <c r="AG93" s="18"/>
      <c r="AH93" s="147" t="n">
        <v>-0.25</v>
      </c>
      <c r="AI93" s="147" t="n">
        <v>1.1</v>
      </c>
      <c r="AJ93" s="147" t="n">
        <v>0.3</v>
      </c>
      <c r="AK93" s="18"/>
      <c r="AL93" s="147" t="n">
        <v>-0.15</v>
      </c>
      <c r="AM93" s="147" t="n">
        <v>0.35</v>
      </c>
      <c r="AN93" s="147" t="n">
        <v>0.2</v>
      </c>
      <c r="AO93" s="18"/>
      <c r="AP93" s="105" t="n">
        <v>25</v>
      </c>
      <c r="AQ93" s="148" t="n">
        <v>0.4</v>
      </c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06" t="n">
        <v>38808</v>
      </c>
      <c r="BI93" s="150" t="n">
        <v>0.9</v>
      </c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0"/>
      <c r="CM93" s="175"/>
      <c r="CN93" s="175"/>
      <c r="CO93" s="151"/>
      <c r="CP93" s="0"/>
      <c r="CQ93" s="0"/>
      <c r="CR93" s="0"/>
      <c r="CS93" s="0"/>
      <c r="CT93" s="0"/>
      <c r="CY93" s="152" t="n">
        <f aca="false">M93</f>
        <v>38808</v>
      </c>
      <c r="CZ93" s="153" t="n">
        <f aca="false">AI93+AH93</f>
        <v>0.85</v>
      </c>
      <c r="DA93" s="153" t="n">
        <f aca="false">AI93</f>
        <v>1.1</v>
      </c>
      <c r="DB93" s="153" t="n">
        <f aca="false">AI93+AJ93</f>
        <v>1.4</v>
      </c>
      <c r="DD93" s="153" t="n">
        <f aca="false">Z93</f>
        <v>0.0920992760859375</v>
      </c>
      <c r="DE93" s="153" t="n">
        <f aca="false">AA93</f>
        <v>0.184198552171875</v>
      </c>
      <c r="DF93" s="153" t="n">
        <f aca="false">AB93</f>
        <v>0.276297828257812</v>
      </c>
      <c r="DH93" s="152" t="n">
        <f aca="false">BH93</f>
        <v>38808</v>
      </c>
      <c r="DI93" s="99" t="n">
        <v>0.9</v>
      </c>
    </row>
    <row r="94" customFormat="false" ht="12.75" hidden="false" customHeight="false" outlineLevel="0" collapsed="false">
      <c r="A94" s="110" t="n">
        <f aca="false">EOMONTH(A93,0)+1</f>
        <v>48396</v>
      </c>
      <c r="B94" s="99" t="n">
        <f aca="false">'Gas Curves'!C98</f>
        <v>0.073614727370523</v>
      </c>
      <c r="C94" s="99"/>
      <c r="D94" s="145" t="n">
        <v>37956</v>
      </c>
      <c r="E94" s="146" t="n">
        <v>29.9</v>
      </c>
      <c r="F94" s="146" t="n">
        <v>30.65</v>
      </c>
      <c r="G94" s="146" t="n">
        <v>31.4</v>
      </c>
      <c r="H94" s="127"/>
      <c r="I94" s="146" t="n">
        <v>20.6249992370605</v>
      </c>
      <c r="J94" s="146" t="n">
        <v>20.9999992370605</v>
      </c>
      <c r="K94" s="146" t="n">
        <v>21.3749992370605</v>
      </c>
      <c r="L94" s="105"/>
      <c r="M94" s="106" t="n">
        <v>38838</v>
      </c>
      <c r="N94" s="147" t="n">
        <v>20.9725000762939</v>
      </c>
      <c r="O94" s="147" t="n">
        <v>22.2325000762939</v>
      </c>
      <c r="P94" s="147" t="n">
        <v>23.4925000762939</v>
      </c>
      <c r="Q94" s="18"/>
      <c r="R94" s="147" t="n">
        <v>18.0649997711182</v>
      </c>
      <c r="S94" s="147" t="n">
        <v>21.3649997711182</v>
      </c>
      <c r="T94" s="147" t="n">
        <v>24.6649997711182</v>
      </c>
      <c r="U94" s="18"/>
      <c r="V94" s="147" t="n">
        <v>0.3</v>
      </c>
      <c r="W94" s="147" t="n">
        <v>0.3</v>
      </c>
      <c r="X94" s="147" t="n">
        <v>0.3</v>
      </c>
      <c r="Y94" s="18"/>
      <c r="Z94" s="147" t="n">
        <v>0.106027332960937</v>
      </c>
      <c r="AA94" s="147" t="n">
        <v>0.212054665921875</v>
      </c>
      <c r="AB94" s="147" t="n">
        <v>0.318081998882812</v>
      </c>
      <c r="AC94" s="18"/>
      <c r="AD94" s="147" t="n">
        <v>0.03100448333024</v>
      </c>
      <c r="AE94" s="147" t="n">
        <v>0.06200896666048</v>
      </c>
      <c r="AF94" s="147" t="n">
        <v>0.09301344999072</v>
      </c>
      <c r="AG94" s="18"/>
      <c r="AH94" s="147" t="n">
        <v>-0.25</v>
      </c>
      <c r="AI94" s="147" t="n">
        <v>1.1</v>
      </c>
      <c r="AJ94" s="147" t="n">
        <v>0.3</v>
      </c>
      <c r="AK94" s="18"/>
      <c r="AL94" s="147" t="n">
        <v>-0.15</v>
      </c>
      <c r="AM94" s="147" t="n">
        <v>0.5</v>
      </c>
      <c r="AN94" s="147" t="n">
        <v>0.2</v>
      </c>
      <c r="AO94" s="18"/>
      <c r="AP94" s="105" t="n">
        <v>26</v>
      </c>
      <c r="AQ94" s="148" t="n">
        <v>0.4</v>
      </c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06" t="n">
        <v>38838</v>
      </c>
      <c r="BI94" s="150" t="n">
        <v>0.9</v>
      </c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0"/>
      <c r="CM94" s="175"/>
      <c r="CN94" s="175"/>
      <c r="CO94" s="151"/>
      <c r="CP94" s="0"/>
      <c r="CQ94" s="0"/>
      <c r="CR94" s="0"/>
      <c r="CS94" s="0"/>
      <c r="CT94" s="0"/>
      <c r="CY94" s="152" t="n">
        <f aca="false">M94</f>
        <v>38838</v>
      </c>
      <c r="CZ94" s="153" t="n">
        <f aca="false">AI94+AH94</f>
        <v>0.85</v>
      </c>
      <c r="DA94" s="153" t="n">
        <f aca="false">AI94</f>
        <v>1.1</v>
      </c>
      <c r="DB94" s="153" t="n">
        <f aca="false">AI94+AJ94</f>
        <v>1.4</v>
      </c>
      <c r="DD94" s="153" t="n">
        <f aca="false">Z94</f>
        <v>0.106027332960937</v>
      </c>
      <c r="DE94" s="153" t="n">
        <f aca="false">AA94</f>
        <v>0.212054665921875</v>
      </c>
      <c r="DF94" s="153" t="n">
        <f aca="false">AB94</f>
        <v>0.318081998882812</v>
      </c>
      <c r="DH94" s="152" t="n">
        <f aca="false">BH94</f>
        <v>38838</v>
      </c>
      <c r="DI94" s="99" t="n">
        <v>0.9</v>
      </c>
    </row>
    <row r="95" customFormat="false" ht="12.75" hidden="false" customHeight="false" outlineLevel="0" collapsed="false">
      <c r="A95" s="110" t="n">
        <f aca="false">EOMONTH(A94,0)+1</f>
        <v>48427</v>
      </c>
      <c r="B95" s="99" t="n">
        <f aca="false">'Gas Curves'!C99</f>
        <v>0.07363958068647</v>
      </c>
      <c r="C95" s="99"/>
      <c r="D95" s="145" t="n">
        <v>37987</v>
      </c>
      <c r="E95" s="146" t="n">
        <v>35.75</v>
      </c>
      <c r="F95" s="146" t="n">
        <v>36.65</v>
      </c>
      <c r="G95" s="146" t="n">
        <v>37.55</v>
      </c>
      <c r="H95" s="127"/>
      <c r="I95" s="146" t="n">
        <v>20.3400009155273</v>
      </c>
      <c r="J95" s="146" t="n">
        <v>20.7900009155273</v>
      </c>
      <c r="K95" s="146" t="n">
        <v>21.2400009155273</v>
      </c>
      <c r="L95" s="105"/>
      <c r="M95" s="106" t="n">
        <v>38869</v>
      </c>
      <c r="N95" s="147" t="n">
        <v>23.0287501525879</v>
      </c>
      <c r="O95" s="147" t="n">
        <v>26.6587501525879</v>
      </c>
      <c r="P95" s="147" t="n">
        <v>30.2887501525879</v>
      </c>
      <c r="Q95" s="18"/>
      <c r="R95" s="147" t="n">
        <v>16.8424995422363</v>
      </c>
      <c r="S95" s="147" t="n">
        <v>20.1424995422363</v>
      </c>
      <c r="T95" s="147" t="n">
        <v>23.4424995422363</v>
      </c>
      <c r="U95" s="18"/>
      <c r="V95" s="147" t="n">
        <v>0.3</v>
      </c>
      <c r="W95" s="147" t="n">
        <v>0.3</v>
      </c>
      <c r="X95" s="147" t="n">
        <v>0.3</v>
      </c>
      <c r="Y95" s="18"/>
      <c r="Z95" s="147" t="n">
        <v>0.132925892800781</v>
      </c>
      <c r="AA95" s="147" t="n">
        <v>0.265851785601562</v>
      </c>
      <c r="AB95" s="147" t="n">
        <v>0.398777678402344</v>
      </c>
      <c r="AC95" s="18"/>
      <c r="AD95" s="147" t="n">
        <v>0.03986290713888</v>
      </c>
      <c r="AE95" s="147" t="n">
        <v>0.07972581427776</v>
      </c>
      <c r="AF95" s="147" t="n">
        <v>0.11958872141664</v>
      </c>
      <c r="AG95" s="18"/>
      <c r="AH95" s="147" t="n">
        <v>-0.35</v>
      </c>
      <c r="AI95" s="147" t="n">
        <v>2</v>
      </c>
      <c r="AJ95" s="147" t="n">
        <v>0.3</v>
      </c>
      <c r="AK95" s="18"/>
      <c r="AL95" s="147" t="n">
        <v>-0.15</v>
      </c>
      <c r="AM95" s="147" t="n">
        <v>0.65</v>
      </c>
      <c r="AN95" s="147" t="n">
        <v>0.2</v>
      </c>
      <c r="AO95" s="18"/>
      <c r="AP95" s="105" t="n">
        <v>26</v>
      </c>
      <c r="AQ95" s="148" t="n">
        <v>0.4</v>
      </c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06" t="n">
        <v>38869</v>
      </c>
      <c r="BI95" s="150" t="n">
        <v>0.9</v>
      </c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0"/>
      <c r="CM95" s="175"/>
      <c r="CN95" s="175"/>
      <c r="CO95" s="151"/>
      <c r="CP95" s="0"/>
      <c r="CQ95" s="0"/>
      <c r="CR95" s="0"/>
      <c r="CS95" s="0"/>
      <c r="CT95" s="0"/>
      <c r="CY95" s="152" t="n">
        <f aca="false">M95</f>
        <v>38869</v>
      </c>
      <c r="CZ95" s="153" t="n">
        <f aca="false">AI95+AH95</f>
        <v>1.65</v>
      </c>
      <c r="DA95" s="153" t="n">
        <f aca="false">AI95</f>
        <v>2</v>
      </c>
      <c r="DB95" s="153" t="n">
        <f aca="false">AI95+AJ95</f>
        <v>2.3</v>
      </c>
      <c r="DD95" s="153" t="n">
        <f aca="false">Z95</f>
        <v>0.132925892800781</v>
      </c>
      <c r="DE95" s="153" t="n">
        <f aca="false">AA95</f>
        <v>0.265851785601562</v>
      </c>
      <c r="DF95" s="153" t="n">
        <f aca="false">AB95</f>
        <v>0.398777678402344</v>
      </c>
      <c r="DH95" s="152" t="n">
        <f aca="false">BH95</f>
        <v>38869</v>
      </c>
      <c r="DI95" s="99" t="n">
        <v>0.9</v>
      </c>
    </row>
    <row r="96" customFormat="false" ht="12.75" hidden="false" customHeight="false" outlineLevel="0" collapsed="false">
      <c r="A96" s="110" t="n">
        <f aca="false">EOMONTH(A95,0)+1</f>
        <v>48458</v>
      </c>
      <c r="B96" s="99" t="n">
        <f aca="false">'Gas Curves'!C100</f>
        <v>0.073662028842985</v>
      </c>
      <c r="C96" s="99"/>
      <c r="D96" s="145" t="n">
        <v>38018</v>
      </c>
      <c r="E96" s="146" t="n">
        <v>35.75</v>
      </c>
      <c r="F96" s="146" t="n">
        <v>36.65</v>
      </c>
      <c r="G96" s="146" t="n">
        <v>37.55</v>
      </c>
      <c r="H96" s="127"/>
      <c r="I96" s="146" t="n">
        <v>20.1499977111816</v>
      </c>
      <c r="J96" s="146" t="n">
        <v>20.5999977111816</v>
      </c>
      <c r="K96" s="146" t="n">
        <v>21.0499977111816</v>
      </c>
      <c r="L96" s="105"/>
      <c r="M96" s="106" t="n">
        <v>38899</v>
      </c>
      <c r="N96" s="147" t="n">
        <v>36.8612495422363</v>
      </c>
      <c r="O96" s="147" t="n">
        <v>39.8612495422363</v>
      </c>
      <c r="P96" s="147" t="n">
        <v>42.8612495422363</v>
      </c>
      <c r="Q96" s="18"/>
      <c r="R96" s="147" t="n">
        <v>26.0474994659424</v>
      </c>
      <c r="S96" s="147" t="n">
        <v>29.3474994659424</v>
      </c>
      <c r="T96" s="147" t="n">
        <v>32.6474994659424</v>
      </c>
      <c r="U96" s="18"/>
      <c r="V96" s="147" t="n">
        <v>0.3</v>
      </c>
      <c r="W96" s="147" t="n">
        <v>0.3</v>
      </c>
      <c r="X96" s="147" t="n">
        <v>0.3</v>
      </c>
      <c r="Y96" s="18"/>
      <c r="Z96" s="147" t="n">
        <v>0.157299992332031</v>
      </c>
      <c r="AA96" s="147" t="n">
        <v>0.314599984664062</v>
      </c>
      <c r="AB96" s="147" t="n">
        <v>0.471899976996094</v>
      </c>
      <c r="AC96" s="18"/>
      <c r="AD96" s="147" t="n">
        <v>0.05315054285184</v>
      </c>
      <c r="AE96" s="147" t="n">
        <v>0.10630108570368</v>
      </c>
      <c r="AF96" s="147" t="n">
        <v>0.15945162855552</v>
      </c>
      <c r="AG96" s="18"/>
      <c r="AH96" s="147" t="n">
        <v>-0.35</v>
      </c>
      <c r="AI96" s="147" t="n">
        <v>3</v>
      </c>
      <c r="AJ96" s="147" t="n">
        <v>0.5</v>
      </c>
      <c r="AK96" s="18"/>
      <c r="AL96" s="147" t="n">
        <v>-0.15</v>
      </c>
      <c r="AM96" s="147" t="n">
        <v>0.75</v>
      </c>
      <c r="AN96" s="147" t="n">
        <v>0.2</v>
      </c>
      <c r="AO96" s="18"/>
      <c r="AP96" s="105" t="n">
        <v>26</v>
      </c>
      <c r="AQ96" s="148" t="n">
        <v>0.4</v>
      </c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06" t="n">
        <v>38899</v>
      </c>
      <c r="BI96" s="150" t="n">
        <v>0.9</v>
      </c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0"/>
      <c r="CM96" s="175"/>
      <c r="CN96" s="175"/>
      <c r="CO96" s="151"/>
      <c r="CP96" s="0"/>
      <c r="CQ96" s="0"/>
      <c r="CR96" s="0"/>
      <c r="CS96" s="0"/>
      <c r="CT96" s="0"/>
      <c r="CY96" s="152" t="n">
        <f aca="false">M96</f>
        <v>38899</v>
      </c>
      <c r="CZ96" s="153" t="n">
        <f aca="false">AI96+AH96</f>
        <v>2.65</v>
      </c>
      <c r="DA96" s="153" t="n">
        <f aca="false">AI96</f>
        <v>3</v>
      </c>
      <c r="DB96" s="153" t="n">
        <f aca="false">AI96+AJ96</f>
        <v>3.5</v>
      </c>
      <c r="DD96" s="153" t="n">
        <f aca="false">Z96</f>
        <v>0.157299992332031</v>
      </c>
      <c r="DE96" s="153" t="n">
        <f aca="false">AA96</f>
        <v>0.314599984664062</v>
      </c>
      <c r="DF96" s="153" t="n">
        <f aca="false">AB96</f>
        <v>0.471899976996094</v>
      </c>
      <c r="DH96" s="152" t="n">
        <f aca="false">BH96</f>
        <v>38899</v>
      </c>
      <c r="DI96" s="99" t="n">
        <v>0.9</v>
      </c>
    </row>
    <row r="97" customFormat="false" ht="12.75" hidden="false" customHeight="false" outlineLevel="0" collapsed="false">
      <c r="A97" s="110" t="n">
        <f aca="false">EOMONTH(A96,0)+1</f>
        <v>48488</v>
      </c>
      <c r="B97" s="99" t="n">
        <f aca="false">'Gas Curves'!C101</f>
        <v>0.073678548860932</v>
      </c>
      <c r="C97" s="99"/>
      <c r="D97" s="145" t="n">
        <v>38047</v>
      </c>
      <c r="E97" s="146" t="n">
        <v>32.35</v>
      </c>
      <c r="F97" s="146" t="n">
        <v>32.9</v>
      </c>
      <c r="G97" s="146" t="n">
        <v>33.45</v>
      </c>
      <c r="H97" s="127"/>
      <c r="I97" s="146" t="n">
        <v>19.3249996185303</v>
      </c>
      <c r="J97" s="146" t="n">
        <v>19.5999996185303</v>
      </c>
      <c r="K97" s="146" t="n">
        <v>19.8749996185303</v>
      </c>
      <c r="L97" s="105"/>
      <c r="M97" s="106" t="n">
        <v>38930</v>
      </c>
      <c r="N97" s="147" t="n">
        <v>39.1224990844727</v>
      </c>
      <c r="O97" s="147" t="n">
        <v>42.1224990844727</v>
      </c>
      <c r="P97" s="147" t="n">
        <v>45.1224990844727</v>
      </c>
      <c r="Q97" s="18"/>
      <c r="R97" s="147" t="n">
        <v>27.5450008392334</v>
      </c>
      <c r="S97" s="147" t="n">
        <v>30.8450008392334</v>
      </c>
      <c r="T97" s="147" t="n">
        <v>34.1450008392334</v>
      </c>
      <c r="U97" s="18"/>
      <c r="V97" s="147" t="n">
        <v>0.3</v>
      </c>
      <c r="W97" s="147" t="n">
        <v>0.3</v>
      </c>
      <c r="X97" s="147" t="n">
        <v>0.3</v>
      </c>
      <c r="Y97" s="18"/>
      <c r="Z97" s="147" t="n">
        <v>0.154775532023437</v>
      </c>
      <c r="AA97" s="147" t="n">
        <v>0.309551064046875</v>
      </c>
      <c r="AB97" s="147" t="n">
        <v>0.464326596070312</v>
      </c>
      <c r="AC97" s="18"/>
      <c r="AD97" s="147" t="n">
        <v>0.05315054285184</v>
      </c>
      <c r="AE97" s="147" t="n">
        <v>0.10630108570368</v>
      </c>
      <c r="AF97" s="147" t="n">
        <v>0.15945162855552</v>
      </c>
      <c r="AG97" s="18"/>
      <c r="AH97" s="147" t="n">
        <v>-0.35</v>
      </c>
      <c r="AI97" s="147" t="n">
        <v>3</v>
      </c>
      <c r="AJ97" s="147" t="n">
        <v>0.5</v>
      </c>
      <c r="AK97" s="18"/>
      <c r="AL97" s="147" t="n">
        <v>-0.15</v>
      </c>
      <c r="AM97" s="147" t="n">
        <v>0.75</v>
      </c>
      <c r="AN97" s="147" t="n">
        <v>0.2</v>
      </c>
      <c r="AO97" s="18"/>
      <c r="AP97" s="105" t="n">
        <v>27</v>
      </c>
      <c r="AQ97" s="148" t="n">
        <v>0.4</v>
      </c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06" t="n">
        <v>38930</v>
      </c>
      <c r="BI97" s="150" t="n">
        <v>0.9</v>
      </c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0"/>
      <c r="CM97" s="175"/>
      <c r="CN97" s="175"/>
      <c r="CO97" s="151"/>
      <c r="CP97" s="0"/>
      <c r="CQ97" s="0"/>
      <c r="CR97" s="0"/>
      <c r="CS97" s="0"/>
      <c r="CT97" s="0"/>
      <c r="CY97" s="152" t="n">
        <f aca="false">M97</f>
        <v>38930</v>
      </c>
      <c r="CZ97" s="153" t="n">
        <f aca="false">AI97+AH97</f>
        <v>2.65</v>
      </c>
      <c r="DA97" s="153" t="n">
        <f aca="false">AI97</f>
        <v>3</v>
      </c>
      <c r="DB97" s="153" t="n">
        <f aca="false">AI97+AJ97</f>
        <v>3.5</v>
      </c>
      <c r="DD97" s="153" t="n">
        <f aca="false">Z97</f>
        <v>0.154775532023437</v>
      </c>
      <c r="DE97" s="153" t="n">
        <f aca="false">AA97</f>
        <v>0.309551064046875</v>
      </c>
      <c r="DF97" s="153" t="n">
        <f aca="false">AB97</f>
        <v>0.464326596070312</v>
      </c>
      <c r="DH97" s="152" t="n">
        <f aca="false">BH97</f>
        <v>38930</v>
      </c>
      <c r="DI97" s="99" t="n">
        <v>0.9</v>
      </c>
    </row>
    <row r="98" customFormat="false" ht="12.75" hidden="false" customHeight="false" outlineLevel="0" collapsed="false">
      <c r="A98" s="110" t="n">
        <f aca="false">EOMONTH(A97,0)+1</f>
        <v>48519</v>
      </c>
      <c r="B98" s="99" t="n">
        <f aca="false">'Gas Curves'!C102</f>
        <v>0.073693341237035</v>
      </c>
      <c r="C98" s="99"/>
      <c r="D98" s="145" t="n">
        <v>38078</v>
      </c>
      <c r="E98" s="146" t="n">
        <v>31.25</v>
      </c>
      <c r="F98" s="146" t="n">
        <v>31.65</v>
      </c>
      <c r="G98" s="146" t="n">
        <v>32.05</v>
      </c>
      <c r="H98" s="127"/>
      <c r="I98" s="146" t="n">
        <v>19.3999977111816</v>
      </c>
      <c r="J98" s="146" t="n">
        <v>19.5999977111816</v>
      </c>
      <c r="K98" s="146" t="n">
        <v>19.7999977111816</v>
      </c>
      <c r="L98" s="105"/>
      <c r="M98" s="106" t="n">
        <v>38961</v>
      </c>
      <c r="N98" s="147" t="n">
        <v>22.6049991607666</v>
      </c>
      <c r="O98" s="147" t="n">
        <v>23.5049991607666</v>
      </c>
      <c r="P98" s="147" t="n">
        <v>24.4049991607666</v>
      </c>
      <c r="Q98" s="18"/>
      <c r="R98" s="147" t="n">
        <v>20.7</v>
      </c>
      <c r="S98" s="147" t="n">
        <v>24</v>
      </c>
      <c r="T98" s="147" t="n">
        <v>27.3</v>
      </c>
      <c r="U98" s="18"/>
      <c r="V98" s="147" t="n">
        <v>0.8</v>
      </c>
      <c r="W98" s="147" t="n">
        <v>0.8</v>
      </c>
      <c r="X98" s="147" t="n">
        <v>0.8</v>
      </c>
      <c r="Y98" s="18"/>
      <c r="Z98" s="147" t="n">
        <v>0.102545318742187</v>
      </c>
      <c r="AA98" s="147" t="n">
        <v>0.205090637484375</v>
      </c>
      <c r="AB98" s="147" t="n">
        <v>0.307635956226563</v>
      </c>
      <c r="AC98" s="18"/>
      <c r="AD98" s="147" t="n">
        <v>0.03543369523456</v>
      </c>
      <c r="AE98" s="147" t="n">
        <v>0.07086739046912</v>
      </c>
      <c r="AF98" s="147" t="n">
        <v>0.10630108570368</v>
      </c>
      <c r="AG98" s="18"/>
      <c r="AH98" s="147" t="n">
        <v>-0.35</v>
      </c>
      <c r="AI98" s="147" t="n">
        <v>1.5</v>
      </c>
      <c r="AJ98" s="147" t="n">
        <v>0.3</v>
      </c>
      <c r="AK98" s="18"/>
      <c r="AL98" s="147" t="n">
        <v>-0.15</v>
      </c>
      <c r="AM98" s="147" t="n">
        <v>0.4</v>
      </c>
      <c r="AN98" s="147" t="n">
        <v>0.2</v>
      </c>
      <c r="AO98" s="18"/>
      <c r="AP98" s="105" t="n">
        <v>27</v>
      </c>
      <c r="AQ98" s="148" t="n">
        <v>0.4</v>
      </c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06" t="n">
        <v>38961</v>
      </c>
      <c r="BI98" s="150" t="n">
        <v>0.9</v>
      </c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0"/>
      <c r="CM98" s="175"/>
      <c r="CN98" s="175"/>
      <c r="CO98" s="151"/>
      <c r="CP98" s="0"/>
      <c r="CQ98" s="0"/>
      <c r="CR98" s="0"/>
      <c r="CS98" s="0"/>
      <c r="CT98" s="0"/>
      <c r="CY98" s="152" t="n">
        <f aca="false">M98</f>
        <v>38961</v>
      </c>
      <c r="CZ98" s="153" t="n">
        <f aca="false">AI98+AH98</f>
        <v>1.15</v>
      </c>
      <c r="DA98" s="153" t="n">
        <f aca="false">AI98</f>
        <v>1.5</v>
      </c>
      <c r="DB98" s="153" t="n">
        <f aca="false">AI98+AJ98</f>
        <v>1.8</v>
      </c>
      <c r="DD98" s="153" t="n">
        <f aca="false">Z98</f>
        <v>0.102545318742187</v>
      </c>
      <c r="DE98" s="153" t="n">
        <f aca="false">AA98</f>
        <v>0.205090637484375</v>
      </c>
      <c r="DF98" s="153" t="n">
        <f aca="false">AB98</f>
        <v>0.307635956226563</v>
      </c>
      <c r="DH98" s="152" t="n">
        <f aca="false">BH98</f>
        <v>38961</v>
      </c>
      <c r="DI98" s="99" t="n">
        <v>0.9</v>
      </c>
    </row>
    <row r="99" customFormat="false" ht="12.75" hidden="false" customHeight="false" outlineLevel="0" collapsed="false">
      <c r="A99" s="110" t="n">
        <f aca="false">EOMONTH(A98,0)+1</f>
        <v>48549</v>
      </c>
      <c r="B99" s="99" t="n">
        <f aca="false">'Gas Curves'!C103</f>
        <v>0.073708626692418</v>
      </c>
      <c r="C99" s="99"/>
      <c r="D99" s="145" t="n">
        <v>38108</v>
      </c>
      <c r="E99" s="146" t="n">
        <v>32.27</v>
      </c>
      <c r="F99" s="146" t="n">
        <v>33.65</v>
      </c>
      <c r="G99" s="146" t="n">
        <v>35.03</v>
      </c>
      <c r="H99" s="127"/>
      <c r="I99" s="146" t="n">
        <v>18.9099977111816</v>
      </c>
      <c r="J99" s="146" t="n">
        <v>19.5999977111816</v>
      </c>
      <c r="K99" s="146" t="n">
        <v>20.2899977111816</v>
      </c>
      <c r="L99" s="105"/>
      <c r="M99" s="106" t="n">
        <v>38991</v>
      </c>
      <c r="N99" s="147" t="n">
        <v>22.8130001068115</v>
      </c>
      <c r="O99" s="147" t="n">
        <v>23.6005001068115</v>
      </c>
      <c r="P99" s="147" t="n">
        <v>24.3880001068115</v>
      </c>
      <c r="Q99" s="18"/>
      <c r="R99" s="147" t="n">
        <v>18.3009998321533</v>
      </c>
      <c r="S99" s="147" t="n">
        <v>21.6009998321533</v>
      </c>
      <c r="T99" s="147" t="n">
        <v>24.9009998321533</v>
      </c>
      <c r="U99" s="18"/>
      <c r="V99" s="147" t="n">
        <v>0.8</v>
      </c>
      <c r="W99" s="147" t="n">
        <v>0.8</v>
      </c>
      <c r="X99" s="147" t="n">
        <v>0.8</v>
      </c>
      <c r="Y99" s="18"/>
      <c r="Z99" s="147" t="n">
        <v>0.093666182484375</v>
      </c>
      <c r="AA99" s="147" t="n">
        <v>0.18733236496875</v>
      </c>
      <c r="AB99" s="147" t="n">
        <v>0.280998547453125</v>
      </c>
      <c r="AC99" s="18"/>
      <c r="AD99" s="147" t="n">
        <v>0.02657527142592</v>
      </c>
      <c r="AE99" s="147" t="n">
        <v>0.05315054285184</v>
      </c>
      <c r="AF99" s="147" t="n">
        <v>0.07972581427776</v>
      </c>
      <c r="AG99" s="18"/>
      <c r="AH99" s="147" t="n">
        <v>-0.25</v>
      </c>
      <c r="AI99" s="147" t="n">
        <v>1.1</v>
      </c>
      <c r="AJ99" s="147" t="n">
        <v>0.3</v>
      </c>
      <c r="AK99" s="18"/>
      <c r="AL99" s="147" t="n">
        <v>-0.15</v>
      </c>
      <c r="AM99" s="147" t="n">
        <v>0.35</v>
      </c>
      <c r="AN99" s="147" t="n">
        <v>0.2</v>
      </c>
      <c r="AO99" s="18"/>
      <c r="AP99" s="105" t="n">
        <v>27</v>
      </c>
      <c r="AQ99" s="148" t="n">
        <v>0.4</v>
      </c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06" t="n">
        <v>38991</v>
      </c>
      <c r="BI99" s="150" t="n">
        <v>0.9</v>
      </c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0"/>
      <c r="CM99" s="175"/>
      <c r="CN99" s="175"/>
      <c r="CO99" s="151"/>
      <c r="CP99" s="0"/>
      <c r="CQ99" s="0"/>
      <c r="CR99" s="0"/>
      <c r="CS99" s="0"/>
      <c r="CT99" s="0"/>
      <c r="CY99" s="152" t="n">
        <f aca="false">M99</f>
        <v>38991</v>
      </c>
      <c r="CZ99" s="153" t="n">
        <f aca="false">AI99+AH99</f>
        <v>0.85</v>
      </c>
      <c r="DA99" s="153" t="n">
        <f aca="false">AI99</f>
        <v>1.1</v>
      </c>
      <c r="DB99" s="153" t="n">
        <f aca="false">AI99+AJ99</f>
        <v>1.4</v>
      </c>
      <c r="DD99" s="153" t="n">
        <f aca="false">Z99</f>
        <v>0.093666182484375</v>
      </c>
      <c r="DE99" s="153" t="n">
        <f aca="false">AA99</f>
        <v>0.18733236496875</v>
      </c>
      <c r="DF99" s="153" t="n">
        <f aca="false">AB99</f>
        <v>0.280998547453125</v>
      </c>
      <c r="DH99" s="152" t="n">
        <f aca="false">BH99</f>
        <v>38991</v>
      </c>
      <c r="DI99" s="99" t="n">
        <v>0.9</v>
      </c>
    </row>
    <row r="100" customFormat="false" ht="12.75" hidden="false" customHeight="false" outlineLevel="0" collapsed="false">
      <c r="A100" s="110" t="n">
        <f aca="false">EOMONTH(A99,0)+1</f>
        <v>48580</v>
      </c>
      <c r="B100" s="99" t="n">
        <f aca="false">'Gas Curves'!C104</f>
        <v>0.073723419068669</v>
      </c>
      <c r="C100" s="99"/>
      <c r="D100" s="145" t="n">
        <v>38139</v>
      </c>
      <c r="E100" s="146" t="n">
        <v>44.75</v>
      </c>
      <c r="F100" s="146" t="n">
        <v>48.75</v>
      </c>
      <c r="G100" s="146" t="n">
        <v>52.75</v>
      </c>
      <c r="H100" s="127"/>
      <c r="I100" s="146" t="n">
        <v>17.5549987792969</v>
      </c>
      <c r="J100" s="146" t="n">
        <v>19.5549987792969</v>
      </c>
      <c r="K100" s="146" t="n">
        <v>21.5549987792969</v>
      </c>
      <c r="L100" s="105"/>
      <c r="M100" s="106" t="n">
        <v>39022</v>
      </c>
      <c r="N100" s="147" t="n">
        <v>23.8172515869141</v>
      </c>
      <c r="O100" s="147" t="n">
        <v>24.6047515869141</v>
      </c>
      <c r="P100" s="147" t="n">
        <v>25.3922515869141</v>
      </c>
      <c r="Q100" s="18"/>
      <c r="R100" s="147" t="n">
        <v>19.3044998168945</v>
      </c>
      <c r="S100" s="147" t="n">
        <v>22.6044998168945</v>
      </c>
      <c r="T100" s="147" t="n">
        <v>25.9044998168945</v>
      </c>
      <c r="U100" s="18"/>
      <c r="V100" s="147" t="n">
        <v>0.8</v>
      </c>
      <c r="W100" s="147" t="n">
        <v>0.8</v>
      </c>
      <c r="X100" s="147" t="n">
        <v>0.8</v>
      </c>
      <c r="Y100" s="18"/>
      <c r="Z100" s="147" t="n">
        <v>0.093666182484375</v>
      </c>
      <c r="AA100" s="147" t="n">
        <v>0.18733236496875</v>
      </c>
      <c r="AB100" s="147" t="n">
        <v>0.280998547453125</v>
      </c>
      <c r="AC100" s="18"/>
      <c r="AD100" s="147" t="n">
        <v>0.02657527142592</v>
      </c>
      <c r="AE100" s="147" t="n">
        <v>0.05315054285184</v>
      </c>
      <c r="AF100" s="147" t="n">
        <v>0.07972581427776</v>
      </c>
      <c r="AG100" s="18"/>
      <c r="AH100" s="147" t="n">
        <v>-0.25</v>
      </c>
      <c r="AI100" s="147" t="n">
        <v>1.25</v>
      </c>
      <c r="AJ100" s="147" t="n">
        <v>0.3</v>
      </c>
      <c r="AK100" s="18"/>
      <c r="AL100" s="147" t="n">
        <v>-0.15</v>
      </c>
      <c r="AM100" s="147" t="n">
        <v>0.3</v>
      </c>
      <c r="AN100" s="147" t="n">
        <v>0.2</v>
      </c>
      <c r="AO100" s="18"/>
      <c r="AP100" s="105" t="n">
        <v>28</v>
      </c>
      <c r="AQ100" s="148" t="n">
        <v>0.4</v>
      </c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06" t="n">
        <v>39022</v>
      </c>
      <c r="BI100" s="150" t="n">
        <v>0.9</v>
      </c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0"/>
      <c r="CM100" s="175"/>
      <c r="CN100" s="175"/>
      <c r="CO100" s="151"/>
      <c r="CP100" s="0"/>
      <c r="CQ100" s="0"/>
      <c r="CR100" s="0"/>
      <c r="CS100" s="0"/>
      <c r="CT100" s="0"/>
      <c r="CY100" s="152" t="n">
        <f aca="false">M100</f>
        <v>39022</v>
      </c>
      <c r="CZ100" s="153" t="n">
        <f aca="false">AI100+AH100</f>
        <v>1</v>
      </c>
      <c r="DA100" s="153" t="n">
        <f aca="false">AI100</f>
        <v>1.25</v>
      </c>
      <c r="DB100" s="153" t="n">
        <f aca="false">AI100+AJ100</f>
        <v>1.55</v>
      </c>
      <c r="DD100" s="153" t="n">
        <f aca="false">Z100</f>
        <v>0.093666182484375</v>
      </c>
      <c r="DE100" s="153" t="n">
        <f aca="false">AA100</f>
        <v>0.18733236496875</v>
      </c>
      <c r="DF100" s="153" t="n">
        <f aca="false">AB100</f>
        <v>0.280998547453125</v>
      </c>
      <c r="DH100" s="152" t="n">
        <f aca="false">BH100</f>
        <v>39022</v>
      </c>
      <c r="DI100" s="99" t="n">
        <v>0.9</v>
      </c>
    </row>
    <row r="101" customFormat="false" ht="12.75" hidden="false" customHeight="false" outlineLevel="0" collapsed="false">
      <c r="A101" s="110" t="n">
        <f aca="false">EOMONTH(A100,0)+1</f>
        <v>48611</v>
      </c>
      <c r="B101" s="99" t="n">
        <f aca="false">'Gas Curves'!C105</f>
        <v>0.073738704524204</v>
      </c>
      <c r="C101" s="99"/>
      <c r="D101" s="145" t="n">
        <v>38169</v>
      </c>
      <c r="E101" s="146" t="n">
        <v>65.5</v>
      </c>
      <c r="F101" s="146" t="n">
        <v>69.5</v>
      </c>
      <c r="G101" s="146" t="n">
        <v>73.5</v>
      </c>
      <c r="H101" s="127"/>
      <c r="I101" s="146" t="n">
        <v>22.0499977111816</v>
      </c>
      <c r="J101" s="146" t="n">
        <v>24.0499977111816</v>
      </c>
      <c r="K101" s="146" t="n">
        <v>26.0499977111816</v>
      </c>
      <c r="L101" s="105"/>
      <c r="M101" s="106" t="n">
        <v>39052</v>
      </c>
      <c r="N101" s="147" t="n">
        <v>25.2674983978271</v>
      </c>
      <c r="O101" s="147" t="n">
        <v>26.0549983978271</v>
      </c>
      <c r="P101" s="147" t="n">
        <v>26.8424983978271</v>
      </c>
      <c r="Q101" s="18"/>
      <c r="R101" s="147" t="n">
        <v>19.2499992370605</v>
      </c>
      <c r="S101" s="147" t="n">
        <v>22.5499992370605</v>
      </c>
      <c r="T101" s="147" t="n">
        <v>25.8499992370605</v>
      </c>
      <c r="U101" s="18"/>
      <c r="V101" s="147" t="n">
        <v>0.8</v>
      </c>
      <c r="W101" s="147" t="n">
        <v>0.8</v>
      </c>
      <c r="X101" s="147" t="n">
        <v>0.8</v>
      </c>
      <c r="Y101" s="18"/>
      <c r="Z101" s="147" t="n">
        <v>0.097008916134375</v>
      </c>
      <c r="AA101" s="147" t="n">
        <v>0.19401783226875</v>
      </c>
      <c r="AB101" s="147" t="n">
        <v>0.291026748403125</v>
      </c>
      <c r="AC101" s="18"/>
      <c r="AD101" s="147" t="n">
        <v>0.02657527142592</v>
      </c>
      <c r="AE101" s="147" t="n">
        <v>0.05315054285184</v>
      </c>
      <c r="AF101" s="147" t="n">
        <v>0.07972581427776</v>
      </c>
      <c r="AG101" s="18"/>
      <c r="AH101" s="147" t="n">
        <v>-0.25</v>
      </c>
      <c r="AI101" s="147" t="n">
        <v>1.25</v>
      </c>
      <c r="AJ101" s="147" t="n">
        <v>0.35</v>
      </c>
      <c r="AK101" s="18"/>
      <c r="AL101" s="147" t="n">
        <v>-0.15</v>
      </c>
      <c r="AM101" s="147" t="n">
        <v>0.3</v>
      </c>
      <c r="AN101" s="147" t="n">
        <v>0.2</v>
      </c>
      <c r="AO101" s="18"/>
      <c r="AP101" s="105" t="n">
        <v>28</v>
      </c>
      <c r="AQ101" s="148" t="n">
        <v>0.4</v>
      </c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06" t="n">
        <v>39052</v>
      </c>
      <c r="BI101" s="150" t="n">
        <v>0.9</v>
      </c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0"/>
      <c r="CM101" s="175"/>
      <c r="CN101" s="175"/>
      <c r="CO101" s="151"/>
      <c r="CP101" s="0"/>
      <c r="CQ101" s="0"/>
      <c r="CR101" s="0"/>
      <c r="CS101" s="0"/>
      <c r="CT101" s="0"/>
      <c r="CY101" s="152" t="n">
        <f aca="false">M101</f>
        <v>39052</v>
      </c>
      <c r="CZ101" s="153" t="n">
        <f aca="false">AI101+AH101</f>
        <v>1</v>
      </c>
      <c r="DA101" s="153" t="n">
        <f aca="false">AI101</f>
        <v>1.25</v>
      </c>
      <c r="DB101" s="153" t="n">
        <f aca="false">AI101+AJ101</f>
        <v>1.6</v>
      </c>
      <c r="DD101" s="153" t="n">
        <f aca="false">Z101</f>
        <v>0.097008916134375</v>
      </c>
      <c r="DE101" s="153" t="n">
        <f aca="false">AA101</f>
        <v>0.19401783226875</v>
      </c>
      <c r="DF101" s="153" t="n">
        <f aca="false">AB101</f>
        <v>0.291026748403125</v>
      </c>
      <c r="DH101" s="152" t="n">
        <f aca="false">BH101</f>
        <v>39052</v>
      </c>
      <c r="DI101" s="99" t="n">
        <v>0.9</v>
      </c>
    </row>
    <row r="102" customFormat="false" ht="12.75" hidden="false" customHeight="false" outlineLevel="0" collapsed="false">
      <c r="A102" s="110" t="n">
        <f aca="false">EOMONTH(A101,0)+1</f>
        <v>48639</v>
      </c>
      <c r="B102" s="99" t="n">
        <f aca="false">'Gas Curves'!C106</f>
        <v>0.073753989979815</v>
      </c>
      <c r="C102" s="99"/>
      <c r="D102" s="145" t="n">
        <v>38200</v>
      </c>
      <c r="E102" s="146" t="n">
        <v>61</v>
      </c>
      <c r="F102" s="146" t="n">
        <v>65</v>
      </c>
      <c r="G102" s="146" t="n">
        <v>69</v>
      </c>
      <c r="H102" s="127"/>
      <c r="I102" s="146" t="n">
        <v>22.3999980926514</v>
      </c>
      <c r="J102" s="146" t="n">
        <v>24.3999980926514</v>
      </c>
      <c r="K102" s="146" t="n">
        <v>26.3999980926514</v>
      </c>
      <c r="L102" s="105"/>
      <c r="M102" s="106" t="n">
        <v>39083</v>
      </c>
      <c r="N102" s="147" t="n">
        <v>28.5487483978271</v>
      </c>
      <c r="O102" s="147" t="n">
        <v>29.4487483978271</v>
      </c>
      <c r="P102" s="147" t="n">
        <v>30.3487483978271</v>
      </c>
      <c r="Q102" s="18"/>
      <c r="R102" s="147" t="n">
        <v>24.6525001525879</v>
      </c>
      <c r="S102" s="147" t="n">
        <v>27.9525001525879</v>
      </c>
      <c r="T102" s="147" t="n">
        <v>31.2525001525879</v>
      </c>
      <c r="U102" s="18"/>
      <c r="V102" s="147" t="n">
        <v>0.8</v>
      </c>
      <c r="W102" s="147" t="n">
        <v>0.8</v>
      </c>
      <c r="X102" s="147" t="n">
        <v>0.8</v>
      </c>
      <c r="Y102" s="18"/>
      <c r="Z102" s="147" t="n">
        <v>0.10438304846875</v>
      </c>
      <c r="AA102" s="147" t="n">
        <v>0.2087660969375</v>
      </c>
      <c r="AB102" s="147" t="n">
        <v>0.31314914540625</v>
      </c>
      <c r="AC102" s="18"/>
      <c r="AD102" s="147" t="n">
        <v>0.0303843936636352</v>
      </c>
      <c r="AE102" s="147" t="n">
        <v>0.0607687873272704</v>
      </c>
      <c r="AF102" s="147" t="n">
        <v>0.0911531809909056</v>
      </c>
      <c r="AG102" s="18"/>
      <c r="AH102" s="147" t="n">
        <v>-0.75</v>
      </c>
      <c r="AI102" s="147" t="n">
        <v>2</v>
      </c>
      <c r="AJ102" s="147" t="n">
        <v>0.75</v>
      </c>
      <c r="AK102" s="18"/>
      <c r="AL102" s="147" t="n">
        <v>-0.15</v>
      </c>
      <c r="AM102" s="147" t="n">
        <v>0.5</v>
      </c>
      <c r="AN102" s="147" t="n">
        <v>0.2</v>
      </c>
      <c r="AO102" s="18"/>
      <c r="AP102" s="105" t="n">
        <v>28</v>
      </c>
      <c r="AQ102" s="148" t="n">
        <v>0.4</v>
      </c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06" t="n">
        <v>39083</v>
      </c>
      <c r="BI102" s="150" t="n">
        <v>0.9</v>
      </c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0"/>
      <c r="CM102" s="175"/>
      <c r="CN102" s="175"/>
      <c r="CO102" s="151"/>
      <c r="CP102" s="0"/>
      <c r="CQ102" s="0"/>
      <c r="CR102" s="0"/>
      <c r="CS102" s="0"/>
      <c r="CT102" s="0"/>
      <c r="CY102" s="152" t="n">
        <f aca="false">M102</f>
        <v>39083</v>
      </c>
      <c r="CZ102" s="153" t="n">
        <f aca="false">AI102+AH102</f>
        <v>1.25</v>
      </c>
      <c r="DA102" s="153" t="n">
        <f aca="false">AI102</f>
        <v>2</v>
      </c>
      <c r="DB102" s="153" t="n">
        <f aca="false">AI102+AJ102</f>
        <v>2.75</v>
      </c>
      <c r="DD102" s="153" t="n">
        <f aca="false">Z102</f>
        <v>0.10438304846875</v>
      </c>
      <c r="DE102" s="153" t="n">
        <f aca="false">AA102</f>
        <v>0.2087660969375</v>
      </c>
      <c r="DF102" s="153" t="n">
        <f aca="false">AB102</f>
        <v>0.31314914540625</v>
      </c>
      <c r="DH102" s="152" t="n">
        <f aca="false">BH102</f>
        <v>39083</v>
      </c>
      <c r="DI102" s="99" t="n">
        <v>0.9</v>
      </c>
    </row>
    <row r="103" customFormat="false" ht="12.75" hidden="false" customHeight="false" outlineLevel="0" collapsed="false">
      <c r="A103" s="110" t="n">
        <f aca="false">EOMONTH(A102,0)+1</f>
        <v>48670</v>
      </c>
      <c r="B103" s="99" t="n">
        <f aca="false">'Gas Curves'!C107</f>
        <v>0.073768782356288</v>
      </c>
      <c r="C103" s="99"/>
      <c r="D103" s="145" t="n">
        <v>38231</v>
      </c>
      <c r="E103" s="146" t="n">
        <v>31.65</v>
      </c>
      <c r="F103" s="146" t="n">
        <v>32.65</v>
      </c>
      <c r="G103" s="146" t="n">
        <v>33.65</v>
      </c>
      <c r="H103" s="127"/>
      <c r="I103" s="146" t="n">
        <v>19.4499980926514</v>
      </c>
      <c r="J103" s="146" t="n">
        <v>19.9499980926514</v>
      </c>
      <c r="K103" s="146" t="n">
        <v>20.4499980926514</v>
      </c>
      <c r="L103" s="105"/>
      <c r="M103" s="106" t="n">
        <v>39114</v>
      </c>
      <c r="N103" s="147" t="n">
        <v>27.5462501525879</v>
      </c>
      <c r="O103" s="147" t="n">
        <v>28.4462501525879</v>
      </c>
      <c r="P103" s="147" t="n">
        <v>29.3462501525879</v>
      </c>
      <c r="Q103" s="18"/>
      <c r="R103" s="147" t="n">
        <v>22.6474994659424</v>
      </c>
      <c r="S103" s="147" t="n">
        <v>25.9474994659424</v>
      </c>
      <c r="T103" s="147" t="n">
        <v>29.2474994659424</v>
      </c>
      <c r="U103" s="18"/>
      <c r="V103" s="147" t="n">
        <v>0.8</v>
      </c>
      <c r="W103" s="147" t="n">
        <v>0.8</v>
      </c>
      <c r="X103" s="147" t="n">
        <v>0.8</v>
      </c>
      <c r="Y103" s="18"/>
      <c r="Z103" s="147" t="n">
        <v>0.100707589015625</v>
      </c>
      <c r="AA103" s="147" t="n">
        <v>0.20141517803125</v>
      </c>
      <c r="AB103" s="147" t="n">
        <v>0.302122767046875</v>
      </c>
      <c r="AC103" s="18"/>
      <c r="AD103" s="147" t="n">
        <v>0.0303843936636352</v>
      </c>
      <c r="AE103" s="147" t="n">
        <v>0.0607687873272704</v>
      </c>
      <c r="AF103" s="147" t="n">
        <v>0.0911531809909056</v>
      </c>
      <c r="AG103" s="18"/>
      <c r="AH103" s="147" t="n">
        <v>-0.75</v>
      </c>
      <c r="AI103" s="147" t="n">
        <v>2</v>
      </c>
      <c r="AJ103" s="147" t="n">
        <v>0.75</v>
      </c>
      <c r="AK103" s="18"/>
      <c r="AL103" s="147" t="n">
        <v>-0.15</v>
      </c>
      <c r="AM103" s="147" t="n">
        <v>0.5</v>
      </c>
      <c r="AN103" s="147" t="n">
        <v>0.2</v>
      </c>
      <c r="AO103" s="18"/>
      <c r="AP103" s="105" t="n">
        <v>29</v>
      </c>
      <c r="AQ103" s="148" t="n">
        <v>0.4</v>
      </c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06" t="n">
        <v>39114</v>
      </c>
      <c r="BI103" s="150" t="n">
        <v>0.9</v>
      </c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0"/>
      <c r="CM103" s="175"/>
      <c r="CN103" s="175"/>
      <c r="CO103" s="151"/>
      <c r="CP103" s="0"/>
      <c r="CQ103" s="0"/>
      <c r="CR103" s="0"/>
      <c r="CS103" s="0"/>
      <c r="CT103" s="0"/>
      <c r="CY103" s="152" t="n">
        <f aca="false">M103</f>
        <v>39114</v>
      </c>
      <c r="CZ103" s="153" t="n">
        <f aca="false">AI103+AH103</f>
        <v>1.25</v>
      </c>
      <c r="DA103" s="153" t="n">
        <f aca="false">AI103</f>
        <v>2</v>
      </c>
      <c r="DB103" s="153" t="n">
        <f aca="false">AI103+AJ103</f>
        <v>2.75</v>
      </c>
      <c r="DD103" s="153" t="n">
        <f aca="false">Z103</f>
        <v>0.100707589015625</v>
      </c>
      <c r="DE103" s="153" t="n">
        <f aca="false">AA103</f>
        <v>0.20141517803125</v>
      </c>
      <c r="DF103" s="153" t="n">
        <f aca="false">AB103</f>
        <v>0.302122767046875</v>
      </c>
      <c r="DH103" s="152" t="n">
        <f aca="false">BH103</f>
        <v>39114</v>
      </c>
      <c r="DI103" s="99" t="n">
        <v>0.9</v>
      </c>
    </row>
    <row r="104" customFormat="false" ht="12.75" hidden="false" customHeight="false" outlineLevel="0" collapsed="false">
      <c r="A104" s="110" t="n">
        <f aca="false">EOMONTH(A103,0)+1</f>
        <v>48700</v>
      </c>
      <c r="B104" s="99" t="n">
        <f aca="false">'Gas Curves'!C108</f>
        <v>0.073784067812051</v>
      </c>
      <c r="C104" s="99"/>
      <c r="D104" s="145" t="n">
        <v>38261</v>
      </c>
      <c r="E104" s="146" t="n">
        <v>29.55</v>
      </c>
      <c r="F104" s="146" t="n">
        <v>30.4</v>
      </c>
      <c r="G104" s="146" t="n">
        <v>31.25</v>
      </c>
      <c r="H104" s="127"/>
      <c r="I104" s="146" t="n">
        <v>19.2249988555908</v>
      </c>
      <c r="J104" s="146" t="n">
        <v>19.6499988555908</v>
      </c>
      <c r="K104" s="146" t="n">
        <v>20.0749988555908</v>
      </c>
      <c r="L104" s="105"/>
      <c r="M104" s="106" t="n">
        <v>39142</v>
      </c>
      <c r="N104" s="147" t="n">
        <v>21.1097496032715</v>
      </c>
      <c r="O104" s="147" t="n">
        <v>21.6347496032715</v>
      </c>
      <c r="P104" s="147" t="n">
        <v>22.1597496032715</v>
      </c>
      <c r="Q104" s="18"/>
      <c r="R104" s="147" t="n">
        <v>17.9644989013672</v>
      </c>
      <c r="S104" s="147" t="n">
        <v>21.2644989013672</v>
      </c>
      <c r="T104" s="147" t="n">
        <v>24.5644989013672</v>
      </c>
      <c r="U104" s="18"/>
      <c r="V104" s="147" t="n">
        <v>0.3</v>
      </c>
      <c r="W104" s="147" t="n">
        <v>0.3</v>
      </c>
      <c r="X104" s="147" t="n">
        <v>0.3</v>
      </c>
      <c r="Y104" s="18"/>
      <c r="Z104" s="147" t="n">
        <v>0.0981623333443359</v>
      </c>
      <c r="AA104" s="147" t="n">
        <v>0.196324666688672</v>
      </c>
      <c r="AB104" s="147" t="n">
        <v>0.294487000033008</v>
      </c>
      <c r="AC104" s="18"/>
      <c r="AD104" s="147" t="n">
        <v>0.0260437659974016</v>
      </c>
      <c r="AE104" s="147" t="n">
        <v>0.0520875319948032</v>
      </c>
      <c r="AF104" s="147" t="n">
        <v>0.0781312979922048</v>
      </c>
      <c r="AG104" s="18"/>
      <c r="AH104" s="147" t="n">
        <v>-0.25</v>
      </c>
      <c r="AI104" s="147" t="n">
        <v>1.3</v>
      </c>
      <c r="AJ104" s="147" t="n">
        <v>0.3</v>
      </c>
      <c r="AK104" s="18"/>
      <c r="AL104" s="147" t="n">
        <v>-0.15</v>
      </c>
      <c r="AM104" s="147" t="n">
        <v>0.35</v>
      </c>
      <c r="AN104" s="147" t="n">
        <v>0.2</v>
      </c>
      <c r="AO104" s="18"/>
      <c r="AP104" s="105" t="n">
        <v>29</v>
      </c>
      <c r="AQ104" s="148" t="n">
        <v>0.4</v>
      </c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06" t="n">
        <v>39142</v>
      </c>
      <c r="BI104" s="150" t="n">
        <v>0.9</v>
      </c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0"/>
      <c r="CM104" s="175"/>
      <c r="CN104" s="175"/>
      <c r="CO104" s="151"/>
      <c r="CP104" s="0"/>
      <c r="CQ104" s="0"/>
      <c r="CR104" s="0"/>
      <c r="CS104" s="0"/>
      <c r="CT104" s="0"/>
      <c r="CY104" s="152" t="n">
        <f aca="false">M104</f>
        <v>39142</v>
      </c>
      <c r="CZ104" s="153" t="n">
        <f aca="false">AI104+AH104</f>
        <v>1.05</v>
      </c>
      <c r="DA104" s="153" t="n">
        <f aca="false">AI104</f>
        <v>1.3</v>
      </c>
      <c r="DB104" s="153" t="n">
        <f aca="false">AI104+AJ104</f>
        <v>1.6</v>
      </c>
      <c r="DD104" s="153" t="n">
        <f aca="false">Z104</f>
        <v>0.0981623333443359</v>
      </c>
      <c r="DE104" s="153" t="n">
        <f aca="false">AA104</f>
        <v>0.196324666688672</v>
      </c>
      <c r="DF104" s="153" t="n">
        <f aca="false">AB104</f>
        <v>0.294487000033008</v>
      </c>
      <c r="DH104" s="152" t="n">
        <f aca="false">BH104</f>
        <v>39142</v>
      </c>
      <c r="DI104" s="99" t="n">
        <v>0.9</v>
      </c>
    </row>
    <row r="105" customFormat="false" ht="12.75" hidden="false" customHeight="false" outlineLevel="0" collapsed="false">
      <c r="A105" s="110" t="n">
        <f aca="false">EOMONTH(A104,0)+1</f>
        <v>48731</v>
      </c>
      <c r="B105" s="99" t="n">
        <f aca="false">'Gas Curves'!C109</f>
        <v>0.07379886018867</v>
      </c>
      <c r="C105" s="99"/>
      <c r="D105" s="145" t="n">
        <v>38292</v>
      </c>
      <c r="E105" s="146" t="n">
        <v>29.925</v>
      </c>
      <c r="F105" s="146" t="n">
        <v>30.775</v>
      </c>
      <c r="G105" s="146" t="n">
        <v>31.625</v>
      </c>
      <c r="H105" s="127"/>
      <c r="I105" s="146" t="n">
        <v>19.1499980926514</v>
      </c>
      <c r="J105" s="146" t="n">
        <v>19.5749980926514</v>
      </c>
      <c r="K105" s="146" t="n">
        <v>19.9999980926514</v>
      </c>
      <c r="L105" s="105"/>
      <c r="M105" s="106" t="n">
        <v>39173</v>
      </c>
      <c r="N105" s="147" t="n">
        <v>21.9050003051758</v>
      </c>
      <c r="O105" s="147" t="n">
        <v>22.3175003051758</v>
      </c>
      <c r="P105" s="147" t="n">
        <v>22.7300003051758</v>
      </c>
      <c r="Q105" s="18"/>
      <c r="R105" s="147" t="n">
        <v>17.7349990844727</v>
      </c>
      <c r="S105" s="147" t="n">
        <v>21.0349990844727</v>
      </c>
      <c r="T105" s="147" t="n">
        <v>24.3349990844727</v>
      </c>
      <c r="U105" s="18"/>
      <c r="V105" s="147" t="n">
        <v>0.3</v>
      </c>
      <c r="W105" s="147" t="n">
        <v>0.3</v>
      </c>
      <c r="X105" s="147" t="n">
        <v>0.3</v>
      </c>
      <c r="Y105" s="18"/>
      <c r="Z105" s="147" t="n">
        <v>0.0874943122816406</v>
      </c>
      <c r="AA105" s="147" t="n">
        <v>0.174988624563281</v>
      </c>
      <c r="AB105" s="147" t="n">
        <v>0.262482936844922</v>
      </c>
      <c r="AC105" s="18"/>
      <c r="AD105" s="147" t="n">
        <v>0.0260437659974016</v>
      </c>
      <c r="AE105" s="147" t="n">
        <v>0.0520875319948032</v>
      </c>
      <c r="AF105" s="147" t="n">
        <v>0.0781312979922048</v>
      </c>
      <c r="AG105" s="18"/>
      <c r="AH105" s="147" t="n">
        <v>-0.25</v>
      </c>
      <c r="AI105" s="147" t="n">
        <v>1.1</v>
      </c>
      <c r="AJ105" s="147" t="n">
        <v>0.3</v>
      </c>
      <c r="AK105" s="18"/>
      <c r="AL105" s="147" t="n">
        <v>-0.15</v>
      </c>
      <c r="AM105" s="147" t="n">
        <v>0.35</v>
      </c>
      <c r="AN105" s="147" t="n">
        <v>0.2</v>
      </c>
      <c r="AO105" s="18"/>
      <c r="AP105" s="105" t="n">
        <v>29</v>
      </c>
      <c r="AQ105" s="148" t="n">
        <v>0.4</v>
      </c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06" t="n">
        <v>39173</v>
      </c>
      <c r="BI105" s="150" t="n">
        <v>0.9</v>
      </c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0"/>
      <c r="CM105" s="175"/>
      <c r="CN105" s="175"/>
      <c r="CO105" s="151"/>
      <c r="CP105" s="0"/>
      <c r="CQ105" s="0"/>
      <c r="CR105" s="0"/>
      <c r="CS105" s="0"/>
      <c r="CT105" s="0"/>
      <c r="CY105" s="152" t="n">
        <f aca="false">M105</f>
        <v>39173</v>
      </c>
      <c r="CZ105" s="153" t="n">
        <f aca="false">AI105+AH105</f>
        <v>0.85</v>
      </c>
      <c r="DA105" s="153" t="n">
        <f aca="false">AI105</f>
        <v>1.1</v>
      </c>
      <c r="DB105" s="153" t="n">
        <f aca="false">AI105+AJ105</f>
        <v>1.4</v>
      </c>
      <c r="DD105" s="153" t="n">
        <f aca="false">Z105</f>
        <v>0.0874943122816406</v>
      </c>
      <c r="DE105" s="153" t="n">
        <f aca="false">AA105</f>
        <v>0.174988624563281</v>
      </c>
      <c r="DF105" s="153" t="n">
        <f aca="false">AB105</f>
        <v>0.262482936844922</v>
      </c>
      <c r="DH105" s="152" t="n">
        <f aca="false">BH105</f>
        <v>39173</v>
      </c>
      <c r="DI105" s="99" t="n">
        <v>0.9</v>
      </c>
    </row>
    <row r="106" customFormat="false" ht="12.75" hidden="false" customHeight="false" outlineLevel="0" collapsed="false">
      <c r="A106" s="110" t="n">
        <f aca="false">EOMONTH(A105,0)+1</f>
        <v>48761</v>
      </c>
      <c r="B106" s="99" t="n">
        <f aca="false">'Gas Curves'!C110</f>
        <v>0.073814145644586</v>
      </c>
      <c r="C106" s="99"/>
      <c r="D106" s="145" t="n">
        <v>38322</v>
      </c>
      <c r="E106" s="146" t="n">
        <v>29.8</v>
      </c>
      <c r="F106" s="146" t="n">
        <v>30.65</v>
      </c>
      <c r="G106" s="146" t="n">
        <v>31.5</v>
      </c>
      <c r="H106" s="127"/>
      <c r="I106" s="146" t="n">
        <v>20.5749992370605</v>
      </c>
      <c r="J106" s="146" t="n">
        <v>20.9999992370605</v>
      </c>
      <c r="K106" s="146" t="n">
        <v>21.4249992370605</v>
      </c>
      <c r="L106" s="105"/>
      <c r="M106" s="106" t="n">
        <v>39203</v>
      </c>
      <c r="N106" s="147" t="n">
        <v>21.0450000762939</v>
      </c>
      <c r="O106" s="147" t="n">
        <v>22.4325000762939</v>
      </c>
      <c r="P106" s="147" t="n">
        <v>23.8200000762939</v>
      </c>
      <c r="Q106" s="18"/>
      <c r="R106" s="147" t="n">
        <v>18.2649997711182</v>
      </c>
      <c r="S106" s="147" t="n">
        <v>21.5649997711182</v>
      </c>
      <c r="T106" s="147" t="n">
        <v>24.8649997711182</v>
      </c>
      <c r="U106" s="18"/>
      <c r="V106" s="147" t="n">
        <v>0.3</v>
      </c>
      <c r="W106" s="147" t="n">
        <v>0.3</v>
      </c>
      <c r="X106" s="147" t="n">
        <v>0.3</v>
      </c>
      <c r="Y106" s="18"/>
      <c r="Z106" s="147" t="n">
        <v>0.100725966312891</v>
      </c>
      <c r="AA106" s="147" t="n">
        <v>0.201451932625781</v>
      </c>
      <c r="AB106" s="147" t="n">
        <v>0.302177898938672</v>
      </c>
      <c r="AC106" s="18"/>
      <c r="AD106" s="147" t="n">
        <v>0.0303843936636352</v>
      </c>
      <c r="AE106" s="147" t="n">
        <v>0.0607687873272704</v>
      </c>
      <c r="AF106" s="147" t="n">
        <v>0.0911531809909056</v>
      </c>
      <c r="AG106" s="18"/>
      <c r="AH106" s="147" t="n">
        <v>-0.25</v>
      </c>
      <c r="AI106" s="147" t="n">
        <v>1.1</v>
      </c>
      <c r="AJ106" s="147" t="n">
        <v>0.3</v>
      </c>
      <c r="AK106" s="18"/>
      <c r="AL106" s="147" t="n">
        <v>-0.15</v>
      </c>
      <c r="AM106" s="147" t="n">
        <v>0.5</v>
      </c>
      <c r="AN106" s="147" t="n">
        <v>0.2</v>
      </c>
      <c r="AO106" s="18"/>
      <c r="AP106" s="105" t="n">
        <v>30</v>
      </c>
      <c r="AQ106" s="148" t="n">
        <v>0.4</v>
      </c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06" t="n">
        <v>39203</v>
      </c>
      <c r="BI106" s="150" t="n">
        <v>0.9</v>
      </c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0"/>
      <c r="CM106" s="175"/>
      <c r="CN106" s="175"/>
      <c r="CO106" s="151"/>
      <c r="CP106" s="0"/>
      <c r="CQ106" s="0"/>
      <c r="CR106" s="0"/>
      <c r="CS106" s="0"/>
      <c r="CT106" s="0"/>
      <c r="CY106" s="152" t="n">
        <f aca="false">M106</f>
        <v>39203</v>
      </c>
      <c r="CZ106" s="153" t="n">
        <f aca="false">AI106+AH106</f>
        <v>0.85</v>
      </c>
      <c r="DA106" s="153" t="n">
        <f aca="false">AI106</f>
        <v>1.1</v>
      </c>
      <c r="DB106" s="153" t="n">
        <f aca="false">AI106+AJ106</f>
        <v>1.4</v>
      </c>
      <c r="DD106" s="153" t="n">
        <f aca="false">Z106</f>
        <v>0.100725966312891</v>
      </c>
      <c r="DE106" s="153" t="n">
        <f aca="false">AA106</f>
        <v>0.201451932625781</v>
      </c>
      <c r="DF106" s="153" t="n">
        <f aca="false">AB106</f>
        <v>0.302177898938672</v>
      </c>
      <c r="DH106" s="152" t="n">
        <f aca="false">BH106</f>
        <v>39203</v>
      </c>
      <c r="DI106" s="99" t="n">
        <v>0.9</v>
      </c>
    </row>
    <row r="107" customFormat="false" ht="12.75" hidden="false" customHeight="false" outlineLevel="0" collapsed="false">
      <c r="A107" s="110" t="n">
        <f aca="false">EOMONTH(A106,0)+1</f>
        <v>48792</v>
      </c>
      <c r="B107" s="99" t="n">
        <f aca="false">'Gas Curves'!C111</f>
        <v>0.073829431100578</v>
      </c>
      <c r="C107" s="99"/>
      <c r="D107" s="145" t="n">
        <v>38353</v>
      </c>
      <c r="E107" s="146" t="n">
        <v>35.75</v>
      </c>
      <c r="F107" s="146" t="n">
        <v>36.75</v>
      </c>
      <c r="G107" s="146" t="n">
        <v>37.75</v>
      </c>
      <c r="H107" s="127"/>
      <c r="I107" s="146" t="n">
        <v>20.2900009155273</v>
      </c>
      <c r="J107" s="146" t="n">
        <v>20.7900009155273</v>
      </c>
      <c r="K107" s="146" t="n">
        <v>21.2900009155273</v>
      </c>
      <c r="L107" s="105"/>
      <c r="M107" s="106" t="n">
        <v>39234</v>
      </c>
      <c r="N107" s="147" t="n">
        <v>22.8612501525879</v>
      </c>
      <c r="O107" s="147" t="n">
        <v>26.8587501525879</v>
      </c>
      <c r="P107" s="147" t="n">
        <v>30.8562501525879</v>
      </c>
      <c r="Q107" s="18"/>
      <c r="R107" s="147" t="n">
        <v>17.0424995422363</v>
      </c>
      <c r="S107" s="147" t="n">
        <v>20.3424995422363</v>
      </c>
      <c r="T107" s="147" t="n">
        <v>23.6424995422363</v>
      </c>
      <c r="U107" s="18"/>
      <c r="V107" s="147" t="n">
        <v>0.3</v>
      </c>
      <c r="W107" s="147" t="n">
        <v>0.3</v>
      </c>
      <c r="X107" s="147" t="n">
        <v>0.3</v>
      </c>
      <c r="Y107" s="18"/>
      <c r="Z107" s="147" t="n">
        <v>0.126279598160742</v>
      </c>
      <c r="AA107" s="147" t="n">
        <v>0.252559196321484</v>
      </c>
      <c r="AB107" s="147" t="n">
        <v>0.378838794482226</v>
      </c>
      <c r="AC107" s="18"/>
      <c r="AD107" s="147" t="n">
        <v>0.0390656489961024</v>
      </c>
      <c r="AE107" s="147" t="n">
        <v>0.0781312979922048</v>
      </c>
      <c r="AF107" s="147" t="n">
        <v>0.117196946988307</v>
      </c>
      <c r="AG107" s="18"/>
      <c r="AH107" s="147" t="n">
        <v>-0.35</v>
      </c>
      <c r="AI107" s="147" t="n">
        <v>2</v>
      </c>
      <c r="AJ107" s="147" t="n">
        <v>0.3</v>
      </c>
      <c r="AK107" s="18"/>
      <c r="AL107" s="147" t="n">
        <v>-0.15</v>
      </c>
      <c r="AM107" s="147" t="n">
        <v>0.65</v>
      </c>
      <c r="AN107" s="147" t="n">
        <v>0.2</v>
      </c>
      <c r="AO107" s="18"/>
      <c r="AP107" s="105" t="n">
        <v>30</v>
      </c>
      <c r="AQ107" s="148" t="n">
        <v>0.4</v>
      </c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06" t="n">
        <v>39234</v>
      </c>
      <c r="BI107" s="150" t="n">
        <v>0.9</v>
      </c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0"/>
      <c r="CM107" s="175"/>
      <c r="CN107" s="175"/>
      <c r="CO107" s="151"/>
      <c r="CP107" s="0"/>
      <c r="CQ107" s="0"/>
      <c r="CR107" s="0"/>
      <c r="CS107" s="0"/>
      <c r="CT107" s="0"/>
      <c r="CY107" s="152" t="n">
        <f aca="false">M107</f>
        <v>39234</v>
      </c>
      <c r="CZ107" s="153" t="n">
        <f aca="false">AI107+AH107</f>
        <v>1.65</v>
      </c>
      <c r="DA107" s="153" t="n">
        <f aca="false">AI107</f>
        <v>2</v>
      </c>
      <c r="DB107" s="153" t="n">
        <f aca="false">AI107+AJ107</f>
        <v>2.3</v>
      </c>
      <c r="DD107" s="153" t="n">
        <f aca="false">Z107</f>
        <v>0.126279598160742</v>
      </c>
      <c r="DE107" s="153" t="n">
        <f aca="false">AA107</f>
        <v>0.252559196321484</v>
      </c>
      <c r="DF107" s="153" t="n">
        <f aca="false">AB107</f>
        <v>0.378838794482226</v>
      </c>
      <c r="DH107" s="152" t="n">
        <f aca="false">BH107</f>
        <v>39234</v>
      </c>
      <c r="DI107" s="99" t="n">
        <v>0.9</v>
      </c>
    </row>
    <row r="108" customFormat="false" ht="12.75" hidden="false" customHeight="false" outlineLevel="0" collapsed="false">
      <c r="A108" s="110" t="n">
        <f aca="false">EOMONTH(A107,0)+1</f>
        <v>48823</v>
      </c>
      <c r="B108" s="99" t="n">
        <f aca="false">'Gas Curves'!C112</f>
        <v>0.07384373039819</v>
      </c>
      <c r="C108" s="99"/>
      <c r="D108" s="145" t="n">
        <v>38384</v>
      </c>
      <c r="E108" s="146" t="n">
        <v>35.75</v>
      </c>
      <c r="F108" s="146" t="n">
        <v>36.75</v>
      </c>
      <c r="G108" s="146" t="n">
        <v>37.75</v>
      </c>
      <c r="H108" s="127"/>
      <c r="I108" s="146" t="n">
        <v>20.0999977111816</v>
      </c>
      <c r="J108" s="146" t="n">
        <v>20.5999977111816</v>
      </c>
      <c r="K108" s="146" t="n">
        <v>21.0999977111816</v>
      </c>
      <c r="L108" s="105"/>
      <c r="M108" s="106" t="n">
        <v>39264</v>
      </c>
      <c r="N108" s="147" t="n">
        <v>36.3112495422363</v>
      </c>
      <c r="O108" s="147" t="n">
        <v>40.0612495422363</v>
      </c>
      <c r="P108" s="147" t="n">
        <v>43.8112495422363</v>
      </c>
      <c r="Q108" s="18"/>
      <c r="R108" s="147" t="n">
        <v>26.2474994659424</v>
      </c>
      <c r="S108" s="147" t="n">
        <v>29.5474994659424</v>
      </c>
      <c r="T108" s="147" t="n">
        <v>32.8474994659424</v>
      </c>
      <c r="U108" s="18"/>
      <c r="V108" s="147" t="n">
        <v>0.3</v>
      </c>
      <c r="W108" s="147" t="n">
        <v>0.3</v>
      </c>
      <c r="X108" s="147" t="n">
        <v>0.3</v>
      </c>
      <c r="Y108" s="18"/>
      <c r="Z108" s="147" t="n">
        <v>0.14943499271543</v>
      </c>
      <c r="AA108" s="147" t="n">
        <v>0.298869985430859</v>
      </c>
      <c r="AB108" s="147" t="n">
        <v>0.448304978146289</v>
      </c>
      <c r="AC108" s="18"/>
      <c r="AD108" s="147" t="n">
        <v>0.0520875319948032</v>
      </c>
      <c r="AE108" s="147" t="n">
        <v>0.104175063989606</v>
      </c>
      <c r="AF108" s="147" t="n">
        <v>0.15626259598441</v>
      </c>
      <c r="AG108" s="18"/>
      <c r="AH108" s="147" t="n">
        <v>-0.35</v>
      </c>
      <c r="AI108" s="147" t="n">
        <v>3</v>
      </c>
      <c r="AJ108" s="147" t="n">
        <v>0.5</v>
      </c>
      <c r="AK108" s="18"/>
      <c r="AL108" s="147" t="n">
        <v>-0.15</v>
      </c>
      <c r="AM108" s="147" t="n">
        <v>0.75</v>
      </c>
      <c r="AN108" s="147" t="n">
        <v>0.2</v>
      </c>
      <c r="AO108" s="18"/>
      <c r="AP108" s="105" t="n">
        <v>30</v>
      </c>
      <c r="AQ108" s="148" t="n">
        <v>0.4</v>
      </c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06" t="n">
        <v>39264</v>
      </c>
      <c r="BI108" s="150" t="n">
        <v>0.9</v>
      </c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0"/>
      <c r="CM108" s="175"/>
      <c r="CN108" s="175"/>
      <c r="CO108" s="151"/>
      <c r="CP108" s="0"/>
      <c r="CQ108" s="0"/>
      <c r="CR108" s="0"/>
      <c r="CS108" s="0"/>
      <c r="CT108" s="0"/>
      <c r="CY108" s="152" t="n">
        <f aca="false">M108</f>
        <v>39264</v>
      </c>
      <c r="CZ108" s="153" t="n">
        <f aca="false">AI108+AH108</f>
        <v>2.65</v>
      </c>
      <c r="DA108" s="153" t="n">
        <f aca="false">AI108</f>
        <v>3</v>
      </c>
      <c r="DB108" s="153" t="n">
        <f aca="false">AI108+AJ108</f>
        <v>3.5</v>
      </c>
      <c r="DD108" s="153" t="n">
        <f aca="false">Z108</f>
        <v>0.14943499271543</v>
      </c>
      <c r="DE108" s="153" t="n">
        <f aca="false">AA108</f>
        <v>0.298869985430859</v>
      </c>
      <c r="DF108" s="153" t="n">
        <f aca="false">AB108</f>
        <v>0.448304978146289</v>
      </c>
      <c r="DH108" s="152" t="n">
        <f aca="false">BH108</f>
        <v>39264</v>
      </c>
      <c r="DI108" s="99" t="n">
        <v>0.9</v>
      </c>
    </row>
    <row r="109" customFormat="false" ht="12.75" hidden="false" customHeight="false" outlineLevel="0" collapsed="false">
      <c r="A109" s="110" t="n">
        <f aca="false">EOMONTH(A108,0)+1</f>
        <v>48853</v>
      </c>
      <c r="B109" s="99" t="n">
        <f aca="false">'Gas Curves'!C113</f>
        <v>0.073859015854331</v>
      </c>
      <c r="C109" s="99"/>
      <c r="D109" s="145" t="n">
        <v>38412</v>
      </c>
      <c r="E109" s="146" t="n">
        <v>32.4</v>
      </c>
      <c r="F109" s="146" t="n">
        <v>33</v>
      </c>
      <c r="G109" s="146" t="n">
        <v>33.6</v>
      </c>
      <c r="H109" s="127"/>
      <c r="I109" s="146" t="n">
        <v>19.2999996185303</v>
      </c>
      <c r="J109" s="146" t="n">
        <v>19.5999996185303</v>
      </c>
      <c r="K109" s="146" t="n">
        <v>19.8999996185303</v>
      </c>
      <c r="L109" s="105"/>
      <c r="M109" s="106" t="n">
        <v>39295</v>
      </c>
      <c r="N109" s="147" t="n">
        <v>38.5724990844727</v>
      </c>
      <c r="O109" s="147" t="n">
        <v>42.3224990844727</v>
      </c>
      <c r="P109" s="147" t="n">
        <v>46.0724990844727</v>
      </c>
      <c r="Q109" s="18"/>
      <c r="R109" s="147" t="n">
        <v>27.7450008392334</v>
      </c>
      <c r="S109" s="147" t="n">
        <v>31.0450008392334</v>
      </c>
      <c r="T109" s="147" t="n">
        <v>34.3450008392334</v>
      </c>
      <c r="U109" s="18"/>
      <c r="V109" s="147" t="n">
        <v>0.3</v>
      </c>
      <c r="W109" s="147" t="n">
        <v>0.3</v>
      </c>
      <c r="X109" s="147" t="n">
        <v>0.3</v>
      </c>
      <c r="Y109" s="18"/>
      <c r="Z109" s="147" t="n">
        <v>0.147036755422266</v>
      </c>
      <c r="AA109" s="147" t="n">
        <v>0.294073510844531</v>
      </c>
      <c r="AB109" s="147" t="n">
        <v>0.441110266266797</v>
      </c>
      <c r="AC109" s="18"/>
      <c r="AD109" s="147" t="n">
        <v>0.0520875319948032</v>
      </c>
      <c r="AE109" s="147" t="n">
        <v>0.104175063989606</v>
      </c>
      <c r="AF109" s="147" t="n">
        <v>0.15626259598441</v>
      </c>
      <c r="AG109" s="18"/>
      <c r="AH109" s="147" t="n">
        <v>-0.35</v>
      </c>
      <c r="AI109" s="147" t="n">
        <v>3</v>
      </c>
      <c r="AJ109" s="147" t="n">
        <v>0.5</v>
      </c>
      <c r="AK109" s="18"/>
      <c r="AL109" s="147" t="n">
        <v>-0.15</v>
      </c>
      <c r="AM109" s="147" t="n">
        <v>0.75</v>
      </c>
      <c r="AN109" s="147" t="n">
        <v>0.2</v>
      </c>
      <c r="AO109" s="18"/>
      <c r="AP109" s="105" t="n">
        <v>31</v>
      </c>
      <c r="AQ109" s="148" t="n">
        <v>0.4</v>
      </c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06" t="n">
        <v>39295</v>
      </c>
      <c r="BI109" s="150" t="n">
        <v>0.9</v>
      </c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0"/>
      <c r="CM109" s="175"/>
      <c r="CN109" s="175"/>
      <c r="CO109" s="151"/>
      <c r="CP109" s="0"/>
      <c r="CQ109" s="0"/>
      <c r="CR109" s="0"/>
      <c r="CS109" s="0"/>
      <c r="CT109" s="0"/>
      <c r="CY109" s="152" t="n">
        <f aca="false">M109</f>
        <v>39295</v>
      </c>
      <c r="CZ109" s="153" t="n">
        <f aca="false">AI109+AH109</f>
        <v>2.65</v>
      </c>
      <c r="DA109" s="153" t="n">
        <f aca="false">AI109</f>
        <v>3</v>
      </c>
      <c r="DB109" s="153" t="n">
        <f aca="false">AI109+AJ109</f>
        <v>3.5</v>
      </c>
      <c r="DD109" s="153" t="n">
        <f aca="false">Z109</f>
        <v>0.147036755422266</v>
      </c>
      <c r="DE109" s="153" t="n">
        <f aca="false">AA109</f>
        <v>0.294073510844531</v>
      </c>
      <c r="DF109" s="153" t="n">
        <f aca="false">AB109</f>
        <v>0.441110266266797</v>
      </c>
      <c r="DH109" s="152" t="n">
        <f aca="false">BH109</f>
        <v>39295</v>
      </c>
      <c r="DI109" s="99" t="n">
        <v>0.9</v>
      </c>
    </row>
    <row r="110" customFormat="false" ht="12.75" hidden="false" customHeight="false" outlineLevel="0" collapsed="false">
      <c r="A110" s="110" t="n">
        <f aca="false">EOMONTH(A109,0)+1</f>
        <v>48884</v>
      </c>
      <c r="B110" s="99" t="n">
        <f aca="false">'Gas Curves'!C114</f>
        <v>0.073873808231316</v>
      </c>
      <c r="C110" s="99"/>
      <c r="D110" s="145" t="n">
        <v>38443</v>
      </c>
      <c r="E110" s="146" t="n">
        <v>31.3</v>
      </c>
      <c r="F110" s="146" t="n">
        <v>31.75</v>
      </c>
      <c r="G110" s="146" t="n">
        <v>32.2</v>
      </c>
      <c r="H110" s="127"/>
      <c r="I110" s="146" t="n">
        <v>19.3749977111816</v>
      </c>
      <c r="J110" s="146" t="n">
        <v>19.5999977111816</v>
      </c>
      <c r="K110" s="146" t="n">
        <v>19.8249977111816</v>
      </c>
      <c r="L110" s="105"/>
      <c r="M110" s="106" t="n">
        <v>39326</v>
      </c>
      <c r="N110" s="147" t="n">
        <v>22.7299991607666</v>
      </c>
      <c r="O110" s="147" t="n">
        <v>23.7049991607666</v>
      </c>
      <c r="P110" s="147" t="n">
        <v>24.6799991607666</v>
      </c>
      <c r="Q110" s="18"/>
      <c r="R110" s="147" t="n">
        <v>20.9</v>
      </c>
      <c r="S110" s="147" t="n">
        <v>24.2</v>
      </c>
      <c r="T110" s="147" t="n">
        <v>27.5</v>
      </c>
      <c r="U110" s="18"/>
      <c r="V110" s="147" t="n">
        <v>0.8</v>
      </c>
      <c r="W110" s="147" t="n">
        <v>0.8</v>
      </c>
      <c r="X110" s="147" t="n">
        <v>0.8</v>
      </c>
      <c r="Y110" s="18"/>
      <c r="Z110" s="147" t="n">
        <v>0.0974180528050781</v>
      </c>
      <c r="AA110" s="147" t="n">
        <v>0.194836105610156</v>
      </c>
      <c r="AB110" s="147" t="n">
        <v>0.292254158415234</v>
      </c>
      <c r="AC110" s="18"/>
      <c r="AD110" s="147" t="n">
        <v>0.0347250213298688</v>
      </c>
      <c r="AE110" s="147" t="n">
        <v>0.0694500426597376</v>
      </c>
      <c r="AF110" s="147" t="n">
        <v>0.104175063989606</v>
      </c>
      <c r="AG110" s="18"/>
      <c r="AH110" s="147" t="n">
        <v>-0.35</v>
      </c>
      <c r="AI110" s="147" t="n">
        <v>1.5</v>
      </c>
      <c r="AJ110" s="147" t="n">
        <v>0.3</v>
      </c>
      <c r="AK110" s="18"/>
      <c r="AL110" s="147" t="n">
        <v>-0.15</v>
      </c>
      <c r="AM110" s="147" t="n">
        <v>0.4</v>
      </c>
      <c r="AN110" s="147" t="n">
        <v>0.2</v>
      </c>
      <c r="AO110" s="18"/>
      <c r="AP110" s="105" t="n">
        <v>31</v>
      </c>
      <c r="AQ110" s="148" t="n">
        <v>0.4</v>
      </c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06" t="n">
        <v>39326</v>
      </c>
      <c r="BI110" s="150" t="n">
        <v>0.9</v>
      </c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0"/>
      <c r="CM110" s="175"/>
      <c r="CN110" s="175"/>
      <c r="CO110" s="151"/>
      <c r="CP110" s="0"/>
      <c r="CQ110" s="0"/>
      <c r="CR110" s="0"/>
      <c r="CS110" s="0"/>
      <c r="CT110" s="0"/>
      <c r="CY110" s="152" t="n">
        <f aca="false">M110</f>
        <v>39326</v>
      </c>
      <c r="CZ110" s="153" t="n">
        <f aca="false">AI110+AH110</f>
        <v>1.15</v>
      </c>
      <c r="DA110" s="153" t="n">
        <f aca="false">AI110</f>
        <v>1.5</v>
      </c>
      <c r="DB110" s="153" t="n">
        <f aca="false">AI110+AJ110</f>
        <v>1.8</v>
      </c>
      <c r="DD110" s="153" t="n">
        <f aca="false">Z110</f>
        <v>0.0974180528050781</v>
      </c>
      <c r="DE110" s="153" t="n">
        <f aca="false">AA110</f>
        <v>0.194836105610156</v>
      </c>
      <c r="DF110" s="153" t="n">
        <f aca="false">AB110</f>
        <v>0.292254158415234</v>
      </c>
      <c r="DH110" s="152" t="n">
        <f aca="false">BH110</f>
        <v>39326</v>
      </c>
      <c r="DI110" s="99" t="n">
        <v>0.9</v>
      </c>
    </row>
    <row r="111" customFormat="false" ht="12.75" hidden="false" customHeight="false" outlineLevel="0" collapsed="false">
      <c r="A111" s="110" t="n">
        <f aca="false">EOMONTH(A110,0)+1</f>
        <v>48914</v>
      </c>
      <c r="B111" s="99" t="n">
        <f aca="false">'Gas Curves'!C115</f>
        <v>0.073889093687609</v>
      </c>
      <c r="C111" s="99"/>
      <c r="D111" s="145" t="n">
        <v>38473</v>
      </c>
      <c r="E111" s="146" t="n">
        <v>32.23</v>
      </c>
      <c r="F111" s="146" t="n">
        <v>33.75</v>
      </c>
      <c r="G111" s="146" t="n">
        <v>35.27</v>
      </c>
      <c r="H111" s="127"/>
      <c r="I111" s="146" t="n">
        <v>18.8399977111816</v>
      </c>
      <c r="J111" s="146" t="n">
        <v>19.5999977111816</v>
      </c>
      <c r="K111" s="146" t="n">
        <v>20.3599977111816</v>
      </c>
      <c r="L111" s="105"/>
      <c r="M111" s="106" t="n">
        <v>39356</v>
      </c>
      <c r="N111" s="147" t="n">
        <v>22.9380001068115</v>
      </c>
      <c r="O111" s="147" t="n">
        <v>23.8005001068115</v>
      </c>
      <c r="P111" s="147" t="n">
        <v>24.6630001068115</v>
      </c>
      <c r="Q111" s="18"/>
      <c r="R111" s="147" t="n">
        <v>18.5009998321533</v>
      </c>
      <c r="S111" s="147" t="n">
        <v>21.8009998321533</v>
      </c>
      <c r="T111" s="147" t="n">
        <v>25.1009998321533</v>
      </c>
      <c r="U111" s="18"/>
      <c r="V111" s="147" t="n">
        <v>0.8</v>
      </c>
      <c r="W111" s="147" t="n">
        <v>0.8</v>
      </c>
      <c r="X111" s="147" t="n">
        <v>0.8</v>
      </c>
      <c r="Y111" s="18"/>
      <c r="Z111" s="147" t="n">
        <v>0.0889828733601562</v>
      </c>
      <c r="AA111" s="147" t="n">
        <v>0.177965746720312</v>
      </c>
      <c r="AB111" s="147" t="n">
        <v>0.266948620080469</v>
      </c>
      <c r="AC111" s="18"/>
      <c r="AD111" s="147" t="n">
        <v>0.0260437659974016</v>
      </c>
      <c r="AE111" s="147" t="n">
        <v>0.0520875319948032</v>
      </c>
      <c r="AF111" s="147" t="n">
        <v>0.0781312979922048</v>
      </c>
      <c r="AG111" s="18"/>
      <c r="AH111" s="147" t="n">
        <v>-0.25</v>
      </c>
      <c r="AI111" s="147" t="n">
        <v>1.1</v>
      </c>
      <c r="AJ111" s="147" t="n">
        <v>0.3</v>
      </c>
      <c r="AK111" s="18"/>
      <c r="AL111" s="147" t="n">
        <v>-0.15</v>
      </c>
      <c r="AM111" s="147" t="n">
        <v>0.35</v>
      </c>
      <c r="AN111" s="147" t="n">
        <v>0.2</v>
      </c>
      <c r="AO111" s="18"/>
      <c r="AP111" s="105" t="n">
        <v>31</v>
      </c>
      <c r="AQ111" s="148" t="n">
        <v>0.4</v>
      </c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06" t="n">
        <v>39356</v>
      </c>
      <c r="BI111" s="150" t="n">
        <v>0.9</v>
      </c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0"/>
      <c r="CM111" s="175"/>
      <c r="CN111" s="175"/>
      <c r="CO111" s="151"/>
      <c r="CP111" s="0"/>
      <c r="CQ111" s="0"/>
      <c r="CR111" s="0"/>
      <c r="CS111" s="0"/>
      <c r="CT111" s="0"/>
      <c r="CY111" s="152" t="n">
        <f aca="false">M111</f>
        <v>39356</v>
      </c>
      <c r="CZ111" s="153" t="n">
        <f aca="false">AI111+AH111</f>
        <v>0.85</v>
      </c>
      <c r="DA111" s="153" t="n">
        <f aca="false">AI111</f>
        <v>1.1</v>
      </c>
      <c r="DB111" s="153" t="n">
        <f aca="false">AI111+AJ111</f>
        <v>1.4</v>
      </c>
      <c r="DD111" s="153" t="n">
        <f aca="false">Z111</f>
        <v>0.0889828733601562</v>
      </c>
      <c r="DE111" s="153" t="n">
        <f aca="false">AA111</f>
        <v>0.177965746720312</v>
      </c>
      <c r="DF111" s="153" t="n">
        <f aca="false">AB111</f>
        <v>0.266948620080469</v>
      </c>
      <c r="DH111" s="152" t="n">
        <f aca="false">BH111</f>
        <v>39356</v>
      </c>
      <c r="DI111" s="99" t="n">
        <v>0.9</v>
      </c>
    </row>
    <row r="112" customFormat="false" ht="12.75" hidden="false" customHeight="false" outlineLevel="0" collapsed="false">
      <c r="A112" s="110" t="n">
        <f aca="false">EOMONTH(A111,0)+1</f>
        <v>48945</v>
      </c>
      <c r="B112" s="99" t="n">
        <f aca="false">'Gas Curves'!C116</f>
        <v>0.073903886064741</v>
      </c>
      <c r="C112" s="99"/>
      <c r="D112" s="145" t="n">
        <v>38504</v>
      </c>
      <c r="E112" s="146" t="n">
        <v>44.35</v>
      </c>
      <c r="F112" s="146" t="n">
        <v>48.75</v>
      </c>
      <c r="G112" s="146" t="n">
        <v>53.15</v>
      </c>
      <c r="H112" s="127"/>
      <c r="I112" s="146" t="n">
        <v>17.3549987792969</v>
      </c>
      <c r="J112" s="146" t="n">
        <v>19.5549987792969</v>
      </c>
      <c r="K112" s="146" t="n">
        <v>21.7549987792969</v>
      </c>
      <c r="L112" s="105"/>
      <c r="M112" s="106" t="n">
        <v>39387</v>
      </c>
      <c r="N112" s="147" t="n">
        <v>23.9422515869141</v>
      </c>
      <c r="O112" s="147" t="n">
        <v>24.8047515869141</v>
      </c>
      <c r="P112" s="147" t="n">
        <v>25.6672515869141</v>
      </c>
      <c r="Q112" s="18"/>
      <c r="R112" s="147" t="n">
        <v>19.5044998168945</v>
      </c>
      <c r="S112" s="147" t="n">
        <v>22.8044998168945</v>
      </c>
      <c r="T112" s="147" t="n">
        <v>26.1044998168945</v>
      </c>
      <c r="U112" s="18"/>
      <c r="V112" s="147" t="n">
        <v>0.8</v>
      </c>
      <c r="W112" s="147" t="n">
        <v>0.8</v>
      </c>
      <c r="X112" s="147" t="n">
        <v>0.8</v>
      </c>
      <c r="Y112" s="18"/>
      <c r="Z112" s="147" t="n">
        <v>0.0889828733601562</v>
      </c>
      <c r="AA112" s="147" t="n">
        <v>0.177965746720312</v>
      </c>
      <c r="AB112" s="147" t="n">
        <v>0.266948620080469</v>
      </c>
      <c r="AC112" s="18"/>
      <c r="AD112" s="147" t="n">
        <v>0.0260437659974016</v>
      </c>
      <c r="AE112" s="147" t="n">
        <v>0.0520875319948032</v>
      </c>
      <c r="AF112" s="147" t="n">
        <v>0.0781312979922048</v>
      </c>
      <c r="AG112" s="18"/>
      <c r="AH112" s="147" t="n">
        <v>-0.25</v>
      </c>
      <c r="AI112" s="147" t="n">
        <v>1.25</v>
      </c>
      <c r="AJ112" s="147" t="n">
        <v>0.3</v>
      </c>
      <c r="AK112" s="18"/>
      <c r="AL112" s="147" t="n">
        <v>-0.15</v>
      </c>
      <c r="AM112" s="147" t="n">
        <v>0.3</v>
      </c>
      <c r="AN112" s="147" t="n">
        <v>0.2</v>
      </c>
      <c r="AO112" s="18"/>
      <c r="AP112" s="105" t="n">
        <v>32</v>
      </c>
      <c r="AQ112" s="148" t="n">
        <v>0.4</v>
      </c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06" t="n">
        <v>39387</v>
      </c>
      <c r="BI112" s="150" t="n">
        <v>0.9</v>
      </c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0"/>
      <c r="CM112" s="175"/>
      <c r="CN112" s="175"/>
      <c r="CO112" s="151"/>
      <c r="CP112" s="0"/>
      <c r="CQ112" s="0"/>
      <c r="CR112" s="0"/>
      <c r="CS112" s="0"/>
      <c r="CT112" s="0"/>
      <c r="CY112" s="152" t="n">
        <f aca="false">M112</f>
        <v>39387</v>
      </c>
      <c r="CZ112" s="153" t="n">
        <f aca="false">AI112+AH112</f>
        <v>1</v>
      </c>
      <c r="DA112" s="153" t="n">
        <f aca="false">AI112</f>
        <v>1.25</v>
      </c>
      <c r="DB112" s="153" t="n">
        <f aca="false">AI112+AJ112</f>
        <v>1.55</v>
      </c>
      <c r="DD112" s="153" t="n">
        <f aca="false">Z112</f>
        <v>0.0889828733601562</v>
      </c>
      <c r="DE112" s="153" t="n">
        <f aca="false">AA112</f>
        <v>0.177965746720312</v>
      </c>
      <c r="DF112" s="153" t="n">
        <f aca="false">AB112</f>
        <v>0.266948620080469</v>
      </c>
      <c r="DH112" s="152" t="n">
        <f aca="false">BH112</f>
        <v>39387</v>
      </c>
      <c r="DI112" s="99" t="n">
        <v>0.9</v>
      </c>
    </row>
    <row r="113" customFormat="false" ht="12.75" hidden="false" customHeight="false" outlineLevel="0" collapsed="false">
      <c r="A113" s="110" t="n">
        <f aca="false">EOMONTH(A112,0)+1</f>
        <v>48976</v>
      </c>
      <c r="B113" s="99" t="n">
        <f aca="false">'Gas Curves'!C117</f>
        <v>0.073919171521186</v>
      </c>
      <c r="C113" s="99"/>
      <c r="D113" s="145" t="n">
        <v>38534</v>
      </c>
      <c r="E113" s="146" t="n">
        <v>65.5</v>
      </c>
      <c r="F113" s="146" t="n">
        <v>69.5</v>
      </c>
      <c r="G113" s="146" t="n">
        <v>73.5</v>
      </c>
      <c r="H113" s="127"/>
      <c r="I113" s="146" t="n">
        <v>22.0499977111816</v>
      </c>
      <c r="J113" s="146" t="n">
        <v>24.0499977111816</v>
      </c>
      <c r="K113" s="146" t="n">
        <v>26.0499977111816</v>
      </c>
      <c r="L113" s="105"/>
      <c r="M113" s="106" t="n">
        <v>39417</v>
      </c>
      <c r="N113" s="147" t="n">
        <v>25.3924983978271</v>
      </c>
      <c r="O113" s="147" t="n">
        <v>26.2549983978271</v>
      </c>
      <c r="P113" s="147" t="n">
        <v>27.1174983978271</v>
      </c>
      <c r="Q113" s="18"/>
      <c r="R113" s="147" t="n">
        <v>19.4499992370605</v>
      </c>
      <c r="S113" s="147" t="n">
        <v>22.7499992370605</v>
      </c>
      <c r="T113" s="147" t="n">
        <v>26.0499992370605</v>
      </c>
      <c r="U113" s="18"/>
      <c r="V113" s="147" t="n">
        <v>0.8</v>
      </c>
      <c r="W113" s="147" t="n">
        <v>0.8</v>
      </c>
      <c r="X113" s="147" t="n">
        <v>0.8</v>
      </c>
      <c r="Y113" s="18"/>
      <c r="Z113" s="147" t="n">
        <v>0.0921584703276562</v>
      </c>
      <c r="AA113" s="147" t="n">
        <v>0.184316940655312</v>
      </c>
      <c r="AB113" s="147" t="n">
        <v>0.276475410982969</v>
      </c>
      <c r="AC113" s="18"/>
      <c r="AD113" s="147" t="n">
        <v>0.0260437659974016</v>
      </c>
      <c r="AE113" s="147" t="n">
        <v>0.0520875319948032</v>
      </c>
      <c r="AF113" s="147" t="n">
        <v>0.0781312979922048</v>
      </c>
      <c r="AG113" s="18"/>
      <c r="AH113" s="147" t="n">
        <v>-0.25</v>
      </c>
      <c r="AI113" s="147" t="n">
        <v>1.25</v>
      </c>
      <c r="AJ113" s="147" t="n">
        <v>0.35</v>
      </c>
      <c r="AK113" s="18"/>
      <c r="AL113" s="147" t="n">
        <v>-0.15</v>
      </c>
      <c r="AM113" s="147" t="n">
        <v>0.3</v>
      </c>
      <c r="AN113" s="147" t="n">
        <v>0.2</v>
      </c>
      <c r="AO113" s="18"/>
      <c r="AP113" s="105" t="n">
        <v>32</v>
      </c>
      <c r="AQ113" s="148" t="n">
        <v>0.4</v>
      </c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06" t="n">
        <v>39417</v>
      </c>
      <c r="BI113" s="150" t="n">
        <v>0.9</v>
      </c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0"/>
      <c r="CM113" s="175"/>
      <c r="CN113" s="175"/>
      <c r="CO113" s="151"/>
      <c r="CP113" s="0"/>
      <c r="CQ113" s="0"/>
      <c r="CR113" s="0"/>
      <c r="CS113" s="0"/>
      <c r="CT113" s="0"/>
      <c r="CY113" s="152" t="n">
        <f aca="false">M113</f>
        <v>39417</v>
      </c>
      <c r="CZ113" s="153" t="n">
        <f aca="false">AI113+AH113</f>
        <v>1</v>
      </c>
      <c r="DA113" s="153" t="n">
        <f aca="false">AI113</f>
        <v>1.25</v>
      </c>
      <c r="DB113" s="153" t="n">
        <f aca="false">AI113+AJ113</f>
        <v>1.6</v>
      </c>
      <c r="DD113" s="153" t="n">
        <f aca="false">Z113</f>
        <v>0.0921584703276562</v>
      </c>
      <c r="DE113" s="153" t="n">
        <f aca="false">AA113</f>
        <v>0.184316940655312</v>
      </c>
      <c r="DF113" s="153" t="n">
        <f aca="false">AB113</f>
        <v>0.276475410982969</v>
      </c>
      <c r="DH113" s="152" t="n">
        <f aca="false">BH113</f>
        <v>39417</v>
      </c>
      <c r="DI113" s="99" t="n">
        <v>0.9</v>
      </c>
    </row>
    <row r="114" customFormat="false" ht="12.75" hidden="false" customHeight="false" outlineLevel="0" collapsed="false">
      <c r="A114" s="110" t="n">
        <f aca="false">EOMONTH(A113,0)+1</f>
        <v>49004</v>
      </c>
      <c r="B114" s="99" t="n">
        <f aca="false">'Gas Curves'!C118</f>
        <v>0.073934456977709</v>
      </c>
      <c r="C114" s="99"/>
      <c r="D114" s="145" t="n">
        <v>38565</v>
      </c>
      <c r="E114" s="146" t="n">
        <v>61</v>
      </c>
      <c r="F114" s="146" t="n">
        <v>65</v>
      </c>
      <c r="G114" s="146" t="n">
        <v>69</v>
      </c>
      <c r="H114" s="127"/>
      <c r="I114" s="146" t="n">
        <v>22.3999980926514</v>
      </c>
      <c r="J114" s="146" t="n">
        <v>24.3999980926514</v>
      </c>
      <c r="K114" s="146" t="n">
        <v>26.3999980926514</v>
      </c>
      <c r="L114" s="105"/>
      <c r="M114" s="106" t="n">
        <v>39448</v>
      </c>
      <c r="N114" s="147" t="n">
        <v>28.6737483978271</v>
      </c>
      <c r="O114" s="147" t="n">
        <v>29.6487483978271</v>
      </c>
      <c r="P114" s="147" t="n">
        <v>30.6237483978271</v>
      </c>
      <c r="Q114" s="18"/>
      <c r="R114" s="147" t="n">
        <v>24.8525001525879</v>
      </c>
      <c r="S114" s="147" t="n">
        <v>28.1525001525879</v>
      </c>
      <c r="T114" s="147" t="n">
        <v>31.4525001525879</v>
      </c>
      <c r="U114" s="18"/>
      <c r="V114" s="147" t="n">
        <v>0.8</v>
      </c>
      <c r="W114" s="147" t="n">
        <v>0.8</v>
      </c>
      <c r="X114" s="147" t="n">
        <v>0.8</v>
      </c>
      <c r="Y114" s="18"/>
      <c r="Z114" s="147" t="n">
        <v>0.0991638960453125</v>
      </c>
      <c r="AA114" s="147" t="n">
        <v>0.198327792090625</v>
      </c>
      <c r="AB114" s="147" t="n">
        <v>0.297491688135937</v>
      </c>
      <c r="AC114" s="18"/>
      <c r="AD114" s="147" t="n">
        <v>0.0297767057903625</v>
      </c>
      <c r="AE114" s="147" t="n">
        <v>0.059553411580725</v>
      </c>
      <c r="AF114" s="147" t="n">
        <v>0.0893301173710875</v>
      </c>
      <c r="AG114" s="18"/>
      <c r="AH114" s="147" t="n">
        <v>-0.75</v>
      </c>
      <c r="AI114" s="147" t="n">
        <v>2</v>
      </c>
      <c r="AJ114" s="147" t="n">
        <v>0.75</v>
      </c>
      <c r="AK114" s="18"/>
      <c r="AL114" s="147" t="n">
        <v>-0.15</v>
      </c>
      <c r="AM114" s="147" t="n">
        <v>0.5</v>
      </c>
      <c r="AN114" s="147" t="n">
        <v>0.2</v>
      </c>
      <c r="AO114" s="18"/>
      <c r="AP114" s="105" t="n">
        <v>32</v>
      </c>
      <c r="AQ114" s="148" t="n">
        <v>0.4</v>
      </c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06" t="n">
        <v>39448</v>
      </c>
      <c r="BI114" s="150" t="n">
        <v>0.9</v>
      </c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0"/>
      <c r="CM114" s="175"/>
      <c r="CN114" s="175"/>
      <c r="CO114" s="151"/>
      <c r="CP114" s="0"/>
      <c r="CQ114" s="0"/>
      <c r="CR114" s="0"/>
      <c r="CS114" s="0"/>
      <c r="CT114" s="0"/>
      <c r="CY114" s="152" t="n">
        <f aca="false">M114</f>
        <v>39448</v>
      </c>
      <c r="CZ114" s="153" t="n">
        <f aca="false">AI114+AH114</f>
        <v>1.25</v>
      </c>
      <c r="DA114" s="153" t="n">
        <f aca="false">AI114</f>
        <v>2</v>
      </c>
      <c r="DB114" s="153" t="n">
        <f aca="false">AI114+AJ114</f>
        <v>2.75</v>
      </c>
      <c r="DD114" s="153" t="n">
        <f aca="false">Z114</f>
        <v>0.0991638960453125</v>
      </c>
      <c r="DE114" s="153" t="n">
        <f aca="false">AA114</f>
        <v>0.198327792090625</v>
      </c>
      <c r="DF114" s="153" t="n">
        <f aca="false">AB114</f>
        <v>0.297491688135937</v>
      </c>
      <c r="DH114" s="152" t="n">
        <f aca="false">BH114</f>
        <v>39448</v>
      </c>
      <c r="DI114" s="99" t="n">
        <v>0.9</v>
      </c>
    </row>
    <row r="115" customFormat="false" ht="12.75" hidden="false" customHeight="false" outlineLevel="0" collapsed="false">
      <c r="A115" s="110" t="n">
        <f aca="false">EOMONTH(A114,0)+1</f>
        <v>49035</v>
      </c>
      <c r="B115" s="99" t="n">
        <f aca="false">'Gas Curves'!C119</f>
        <v>0.073949249355061</v>
      </c>
      <c r="C115" s="99"/>
      <c r="D115" s="145" t="n">
        <v>38596</v>
      </c>
      <c r="E115" s="146" t="n">
        <v>31.65</v>
      </c>
      <c r="F115" s="146" t="n">
        <v>32.75</v>
      </c>
      <c r="G115" s="146" t="n">
        <v>33.85</v>
      </c>
      <c r="H115" s="127"/>
      <c r="I115" s="146" t="n">
        <v>19.3999980926514</v>
      </c>
      <c r="J115" s="146" t="n">
        <v>19.9499980926514</v>
      </c>
      <c r="K115" s="146" t="n">
        <v>20.4999980926514</v>
      </c>
      <c r="L115" s="105"/>
      <c r="M115" s="106" t="n">
        <v>39479</v>
      </c>
      <c r="N115" s="147" t="n">
        <v>27.6712501525879</v>
      </c>
      <c r="O115" s="147" t="n">
        <v>28.6462501525879</v>
      </c>
      <c r="P115" s="147" t="n">
        <v>29.6212501525879</v>
      </c>
      <c r="Q115" s="18"/>
      <c r="R115" s="147" t="n">
        <v>22.8474994659424</v>
      </c>
      <c r="S115" s="147" t="n">
        <v>26.1474994659424</v>
      </c>
      <c r="T115" s="147" t="n">
        <v>29.4474994659424</v>
      </c>
      <c r="U115" s="18"/>
      <c r="V115" s="147" t="n">
        <v>0.8</v>
      </c>
      <c r="W115" s="147" t="n">
        <v>0.8</v>
      </c>
      <c r="X115" s="147" t="n">
        <v>0.8</v>
      </c>
      <c r="Y115" s="18"/>
      <c r="Z115" s="147" t="n">
        <v>0.0956722095648437</v>
      </c>
      <c r="AA115" s="147" t="n">
        <v>0.191344419129687</v>
      </c>
      <c r="AB115" s="147" t="n">
        <v>0.287016628694531</v>
      </c>
      <c r="AC115" s="18"/>
      <c r="AD115" s="147" t="n">
        <v>0.0297767057903625</v>
      </c>
      <c r="AE115" s="147" t="n">
        <v>0.059553411580725</v>
      </c>
      <c r="AF115" s="147" t="n">
        <v>0.0893301173710875</v>
      </c>
      <c r="AG115" s="18"/>
      <c r="AH115" s="147" t="n">
        <v>-0.75</v>
      </c>
      <c r="AI115" s="147" t="n">
        <v>2</v>
      </c>
      <c r="AJ115" s="147" t="n">
        <v>0.75</v>
      </c>
      <c r="AK115" s="18"/>
      <c r="AL115" s="147" t="n">
        <v>-0.15</v>
      </c>
      <c r="AM115" s="147" t="n">
        <v>0.5</v>
      </c>
      <c r="AN115" s="147" t="n">
        <v>0.2</v>
      </c>
      <c r="AO115" s="18"/>
      <c r="AP115" s="105" t="n">
        <v>33</v>
      </c>
      <c r="AQ115" s="148" t="n">
        <v>0.4</v>
      </c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06" t="n">
        <v>39479</v>
      </c>
      <c r="BI115" s="150" t="n">
        <v>0.9</v>
      </c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0"/>
      <c r="CM115" s="175"/>
      <c r="CN115" s="175"/>
      <c r="CO115" s="151"/>
      <c r="CP115" s="0"/>
      <c r="CQ115" s="0"/>
      <c r="CR115" s="0"/>
      <c r="CS115" s="0"/>
      <c r="CT115" s="0"/>
      <c r="CY115" s="152" t="n">
        <f aca="false">M115</f>
        <v>39479</v>
      </c>
      <c r="CZ115" s="153" t="n">
        <f aca="false">AI115+AH115</f>
        <v>1.25</v>
      </c>
      <c r="DA115" s="153" t="n">
        <f aca="false">AI115</f>
        <v>2</v>
      </c>
      <c r="DB115" s="153" t="n">
        <f aca="false">AI115+AJ115</f>
        <v>2.75</v>
      </c>
      <c r="DD115" s="153" t="n">
        <f aca="false">Z115</f>
        <v>0.0956722095648437</v>
      </c>
      <c r="DE115" s="153" t="n">
        <f aca="false">AA115</f>
        <v>0.191344419129687</v>
      </c>
      <c r="DF115" s="153" t="n">
        <f aca="false">AB115</f>
        <v>0.287016628694531</v>
      </c>
      <c r="DH115" s="152" t="n">
        <f aca="false">BH115</f>
        <v>39479</v>
      </c>
      <c r="DI115" s="99" t="n">
        <v>0.9</v>
      </c>
    </row>
    <row r="116" customFormat="false" ht="12.75" hidden="false" customHeight="false" outlineLevel="0" collapsed="false">
      <c r="A116" s="110" t="n">
        <f aca="false">EOMONTH(A115,0)+1</f>
        <v>49065</v>
      </c>
      <c r="B116" s="99" t="n">
        <f aca="false">'Gas Curves'!C120</f>
        <v>0.073964534811736</v>
      </c>
      <c r="C116" s="99"/>
      <c r="D116" s="145" t="n">
        <v>38626</v>
      </c>
      <c r="E116" s="146" t="n">
        <v>29.55</v>
      </c>
      <c r="F116" s="146" t="n">
        <v>30.5</v>
      </c>
      <c r="G116" s="146" t="n">
        <v>31.45</v>
      </c>
      <c r="H116" s="127"/>
      <c r="I116" s="146" t="n">
        <v>19.1749988555908</v>
      </c>
      <c r="J116" s="146" t="n">
        <v>19.6499988555908</v>
      </c>
      <c r="K116" s="146" t="n">
        <v>20.1249988555908</v>
      </c>
      <c r="L116" s="105"/>
      <c r="M116" s="106" t="n">
        <v>39508</v>
      </c>
      <c r="N116" s="147" t="n">
        <v>21.2722496032715</v>
      </c>
      <c r="O116" s="147" t="n">
        <v>21.8347496032715</v>
      </c>
      <c r="P116" s="147" t="n">
        <v>22.3972496032715</v>
      </c>
      <c r="Q116" s="18"/>
      <c r="R116" s="147" t="n">
        <v>18.1644989013672</v>
      </c>
      <c r="S116" s="147" t="n">
        <v>21.4644989013672</v>
      </c>
      <c r="T116" s="147" t="n">
        <v>24.7644989013672</v>
      </c>
      <c r="U116" s="18"/>
      <c r="V116" s="147" t="n">
        <v>0.3</v>
      </c>
      <c r="W116" s="147" t="n">
        <v>0.3</v>
      </c>
      <c r="X116" s="147" t="n">
        <v>0.3</v>
      </c>
      <c r="Y116" s="18"/>
      <c r="Z116" s="147" t="n">
        <v>0.0932542166771191</v>
      </c>
      <c r="AA116" s="147" t="n">
        <v>0.186508433354238</v>
      </c>
      <c r="AB116" s="147" t="n">
        <v>0.279762650031357</v>
      </c>
      <c r="AC116" s="18"/>
      <c r="AD116" s="147" t="n">
        <v>0.0255228906774536</v>
      </c>
      <c r="AE116" s="147" t="n">
        <v>0.0510457813549071</v>
      </c>
      <c r="AF116" s="147" t="n">
        <v>0.0765686720323607</v>
      </c>
      <c r="AG116" s="18"/>
      <c r="AH116" s="147" t="n">
        <v>-0.25</v>
      </c>
      <c r="AI116" s="147" t="n">
        <v>1.3</v>
      </c>
      <c r="AJ116" s="147" t="n">
        <v>0.3</v>
      </c>
      <c r="AK116" s="18"/>
      <c r="AL116" s="147" t="n">
        <v>-0.15</v>
      </c>
      <c r="AM116" s="147" t="n">
        <v>0.35</v>
      </c>
      <c r="AN116" s="147" t="n">
        <v>0.2</v>
      </c>
      <c r="AO116" s="18"/>
      <c r="AP116" s="105" t="n">
        <v>33</v>
      </c>
      <c r="AQ116" s="148" t="n">
        <v>0.4</v>
      </c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06" t="n">
        <v>39508</v>
      </c>
      <c r="BI116" s="150" t="n">
        <v>0.9</v>
      </c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0"/>
      <c r="CM116" s="175"/>
      <c r="CN116" s="175"/>
      <c r="CO116" s="151"/>
      <c r="CP116" s="0"/>
      <c r="CQ116" s="0"/>
      <c r="CR116" s="0"/>
      <c r="CS116" s="0"/>
      <c r="CT116" s="0"/>
      <c r="CY116" s="152" t="n">
        <f aca="false">M116</f>
        <v>39508</v>
      </c>
      <c r="CZ116" s="153" t="n">
        <f aca="false">AI116+AH116</f>
        <v>1.05</v>
      </c>
      <c r="DA116" s="153" t="n">
        <f aca="false">AI116</f>
        <v>1.3</v>
      </c>
      <c r="DB116" s="153" t="n">
        <f aca="false">AI116+AJ116</f>
        <v>1.6</v>
      </c>
      <c r="DD116" s="153" t="n">
        <f aca="false">Z116</f>
        <v>0.0932542166771191</v>
      </c>
      <c r="DE116" s="153" t="n">
        <f aca="false">AA116</f>
        <v>0.186508433354238</v>
      </c>
      <c r="DF116" s="153" t="n">
        <f aca="false">AB116</f>
        <v>0.279762650031357</v>
      </c>
      <c r="DH116" s="152" t="n">
        <f aca="false">BH116</f>
        <v>39508</v>
      </c>
      <c r="DI116" s="99" t="n">
        <v>0.9</v>
      </c>
    </row>
    <row r="117" customFormat="false" ht="12.75" hidden="false" customHeight="false" outlineLevel="0" collapsed="false">
      <c r="A117" s="110" t="n">
        <f aca="false">EOMONTH(A116,0)+1</f>
        <v>49096</v>
      </c>
      <c r="B117" s="99" t="n">
        <f aca="false">'Gas Curves'!C121</f>
        <v>0.073979327189236</v>
      </c>
      <c r="C117" s="99"/>
      <c r="D117" s="145" t="n">
        <v>38657</v>
      </c>
      <c r="E117" s="146" t="n">
        <v>29.925</v>
      </c>
      <c r="F117" s="146" t="n">
        <v>30.875</v>
      </c>
      <c r="G117" s="146" t="n">
        <v>31.825</v>
      </c>
      <c r="H117" s="127"/>
      <c r="I117" s="146" t="n">
        <v>19.0999980926514</v>
      </c>
      <c r="J117" s="146" t="n">
        <v>19.5749980926514</v>
      </c>
      <c r="K117" s="146" t="n">
        <v>20.0499980926514</v>
      </c>
      <c r="L117" s="105"/>
      <c r="M117" s="106" t="n">
        <v>39539</v>
      </c>
      <c r="N117" s="147" t="n">
        <v>22.0675003051758</v>
      </c>
      <c r="O117" s="147" t="n">
        <v>22.5175003051758</v>
      </c>
      <c r="P117" s="147" t="n">
        <v>22.9675003051758</v>
      </c>
      <c r="Q117" s="18"/>
      <c r="R117" s="147" t="n">
        <v>17.9349990844727</v>
      </c>
      <c r="S117" s="147" t="n">
        <v>21.2349990844727</v>
      </c>
      <c r="T117" s="147" t="n">
        <v>24.5349990844727</v>
      </c>
      <c r="U117" s="18"/>
      <c r="V117" s="147" t="n">
        <v>0.3</v>
      </c>
      <c r="W117" s="147" t="n">
        <v>0.3</v>
      </c>
      <c r="X117" s="147" t="n">
        <v>0.3</v>
      </c>
      <c r="Y117" s="18"/>
      <c r="Z117" s="147" t="n">
        <v>0.0831195966675586</v>
      </c>
      <c r="AA117" s="147" t="n">
        <v>0.166239193335117</v>
      </c>
      <c r="AB117" s="147" t="n">
        <v>0.249358790002676</v>
      </c>
      <c r="AC117" s="18"/>
      <c r="AD117" s="147" t="n">
        <v>0.0255228906774536</v>
      </c>
      <c r="AE117" s="147" t="n">
        <v>0.0510457813549071</v>
      </c>
      <c r="AF117" s="147" t="n">
        <v>0.0765686720323607</v>
      </c>
      <c r="AG117" s="18"/>
      <c r="AH117" s="147" t="n">
        <v>-0.25</v>
      </c>
      <c r="AI117" s="147" t="n">
        <v>1.1</v>
      </c>
      <c r="AJ117" s="147" t="n">
        <v>0.3</v>
      </c>
      <c r="AK117" s="18"/>
      <c r="AL117" s="147" t="n">
        <v>-0.15</v>
      </c>
      <c r="AM117" s="147" t="n">
        <v>0.35</v>
      </c>
      <c r="AN117" s="147" t="n">
        <v>0.2</v>
      </c>
      <c r="AO117" s="18"/>
      <c r="AP117" s="105" t="n">
        <v>33</v>
      </c>
      <c r="AQ117" s="148" t="n">
        <v>0.4</v>
      </c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06" t="n">
        <v>39539</v>
      </c>
      <c r="BI117" s="150" t="n">
        <v>0.9</v>
      </c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0"/>
      <c r="CM117" s="175"/>
      <c r="CN117" s="175"/>
      <c r="CO117" s="151"/>
      <c r="CP117" s="0"/>
      <c r="CQ117" s="0"/>
      <c r="CR117" s="0"/>
      <c r="CS117" s="0"/>
      <c r="CT117" s="0"/>
      <c r="CY117" s="152" t="n">
        <f aca="false">M117</f>
        <v>39539</v>
      </c>
      <c r="CZ117" s="153" t="n">
        <f aca="false">AI117+AH117</f>
        <v>0.85</v>
      </c>
      <c r="DA117" s="153" t="n">
        <f aca="false">AI117</f>
        <v>1.1</v>
      </c>
      <c r="DB117" s="153" t="n">
        <f aca="false">AI117+AJ117</f>
        <v>1.4</v>
      </c>
      <c r="DD117" s="153" t="n">
        <f aca="false">Z117</f>
        <v>0.0831195966675586</v>
      </c>
      <c r="DE117" s="153" t="n">
        <f aca="false">AA117</f>
        <v>0.166239193335117</v>
      </c>
      <c r="DF117" s="153" t="n">
        <f aca="false">AB117</f>
        <v>0.249358790002676</v>
      </c>
      <c r="DH117" s="152" t="n">
        <f aca="false">BH117</f>
        <v>39539</v>
      </c>
      <c r="DI117" s="99" t="n">
        <v>0.9</v>
      </c>
    </row>
    <row r="118" customFormat="false" ht="12.75" hidden="false" customHeight="false" outlineLevel="0" collapsed="false">
      <c r="A118" s="110" t="n">
        <f aca="false">EOMONTH(A117,0)+1</f>
        <v>49126</v>
      </c>
      <c r="B118" s="99" t="n">
        <f aca="false">'Gas Curves'!C122</f>
        <v>0.073994612646061</v>
      </c>
      <c r="C118" s="99"/>
      <c r="D118" s="145" t="n">
        <v>38687</v>
      </c>
      <c r="E118" s="146" t="n">
        <v>29.8</v>
      </c>
      <c r="F118" s="146" t="n">
        <v>30.75</v>
      </c>
      <c r="G118" s="146" t="n">
        <v>31.7</v>
      </c>
      <c r="H118" s="127"/>
      <c r="I118" s="146" t="n">
        <v>20.5249992370605</v>
      </c>
      <c r="J118" s="146" t="n">
        <v>20.9999992370605</v>
      </c>
      <c r="K118" s="146" t="n">
        <v>21.4749992370605</v>
      </c>
      <c r="L118" s="105"/>
      <c r="M118" s="106" t="n">
        <v>39569</v>
      </c>
      <c r="N118" s="147" t="n">
        <v>21.1025000762939</v>
      </c>
      <c r="O118" s="147" t="n">
        <v>22.6325000762939</v>
      </c>
      <c r="P118" s="147" t="n">
        <v>24.1625000762939</v>
      </c>
      <c r="Q118" s="18"/>
      <c r="R118" s="147" t="n">
        <v>18.4649997711182</v>
      </c>
      <c r="S118" s="147" t="n">
        <v>21.7649997711182</v>
      </c>
      <c r="T118" s="147" t="n">
        <v>25.0649997711182</v>
      </c>
      <c r="U118" s="18"/>
      <c r="V118" s="147" t="n">
        <v>0.3</v>
      </c>
      <c r="W118" s="147" t="n">
        <v>0.3</v>
      </c>
      <c r="X118" s="147" t="n">
        <v>0.3</v>
      </c>
      <c r="Y118" s="18"/>
      <c r="Z118" s="147" t="n">
        <v>0.0956896679972461</v>
      </c>
      <c r="AA118" s="147" t="n">
        <v>0.191379335994492</v>
      </c>
      <c r="AB118" s="147" t="n">
        <v>0.287069003991738</v>
      </c>
      <c r="AC118" s="18"/>
      <c r="AD118" s="147" t="n">
        <v>0.0297767057903625</v>
      </c>
      <c r="AE118" s="147" t="n">
        <v>0.059553411580725</v>
      </c>
      <c r="AF118" s="147" t="n">
        <v>0.0893301173710875</v>
      </c>
      <c r="AG118" s="18"/>
      <c r="AH118" s="147" t="n">
        <v>-0.25</v>
      </c>
      <c r="AI118" s="147" t="n">
        <v>1.1</v>
      </c>
      <c r="AJ118" s="147" t="n">
        <v>0.3</v>
      </c>
      <c r="AK118" s="18"/>
      <c r="AL118" s="147" t="n">
        <v>-0.15</v>
      </c>
      <c r="AM118" s="147" t="n">
        <v>0.5</v>
      </c>
      <c r="AN118" s="147" t="n">
        <v>0.2</v>
      </c>
      <c r="AO118" s="18"/>
      <c r="AP118" s="105" t="n">
        <v>34</v>
      </c>
      <c r="AQ118" s="148" t="n">
        <v>0.4</v>
      </c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06" t="n">
        <v>39569</v>
      </c>
      <c r="BI118" s="150" t="n">
        <v>0.9</v>
      </c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0"/>
      <c r="CM118" s="175"/>
      <c r="CN118" s="175"/>
      <c r="CO118" s="151"/>
      <c r="CP118" s="0"/>
      <c r="CQ118" s="0"/>
      <c r="CR118" s="0"/>
      <c r="CS118" s="0"/>
      <c r="CT118" s="0"/>
      <c r="CY118" s="152" t="n">
        <f aca="false">M118</f>
        <v>39569</v>
      </c>
      <c r="CZ118" s="153" t="n">
        <f aca="false">AI118+AH118</f>
        <v>0.85</v>
      </c>
      <c r="DA118" s="153" t="n">
        <f aca="false">AI118</f>
        <v>1.1</v>
      </c>
      <c r="DB118" s="153" t="n">
        <f aca="false">AI118+AJ118</f>
        <v>1.4</v>
      </c>
      <c r="DD118" s="153" t="n">
        <f aca="false">Z118</f>
        <v>0.0956896679972461</v>
      </c>
      <c r="DE118" s="153" t="n">
        <f aca="false">AA118</f>
        <v>0.191379335994492</v>
      </c>
      <c r="DF118" s="153" t="n">
        <f aca="false">AB118</f>
        <v>0.287069003991738</v>
      </c>
      <c r="DH118" s="152" t="n">
        <f aca="false">BH118</f>
        <v>39569</v>
      </c>
      <c r="DI118" s="99" t="n">
        <v>0.9</v>
      </c>
    </row>
    <row r="119" customFormat="false" ht="12.75" hidden="false" customHeight="false" outlineLevel="0" collapsed="false">
      <c r="A119" s="110" t="n">
        <f aca="false">EOMONTH(A118,0)+1</f>
        <v>49157</v>
      </c>
      <c r="B119" s="99" t="n">
        <f aca="false">'Gas Curves'!C123</f>
        <v>0.074009898102964</v>
      </c>
      <c r="C119" s="99"/>
      <c r="D119" s="145" t="n">
        <v>38718</v>
      </c>
      <c r="E119" s="146" t="n">
        <v>35.75</v>
      </c>
      <c r="F119" s="146" t="n">
        <v>36.85</v>
      </c>
      <c r="G119" s="146" t="n">
        <v>37.95</v>
      </c>
      <c r="H119" s="127"/>
      <c r="I119" s="146" t="n">
        <v>20.2400009155273</v>
      </c>
      <c r="J119" s="146" t="n">
        <v>20.7900009155273</v>
      </c>
      <c r="K119" s="146" t="n">
        <v>21.3400009155273</v>
      </c>
      <c r="L119" s="105"/>
      <c r="M119" s="106" t="n">
        <v>39600</v>
      </c>
      <c r="N119" s="147" t="n">
        <v>22.6562501525879</v>
      </c>
      <c r="O119" s="147" t="n">
        <v>27.0587501525879</v>
      </c>
      <c r="P119" s="147" t="n">
        <v>31.4612501525879</v>
      </c>
      <c r="Q119" s="18"/>
      <c r="R119" s="147" t="n">
        <v>17.2424995422363</v>
      </c>
      <c r="S119" s="147" t="n">
        <v>20.5424995422363</v>
      </c>
      <c r="T119" s="147" t="n">
        <v>23.8424995422363</v>
      </c>
      <c r="U119" s="18"/>
      <c r="V119" s="147" t="n">
        <v>0.3</v>
      </c>
      <c r="W119" s="147" t="n">
        <v>0.3</v>
      </c>
      <c r="X119" s="147" t="n">
        <v>0.3</v>
      </c>
      <c r="Y119" s="18"/>
      <c r="Z119" s="147" t="n">
        <v>0.119965618252705</v>
      </c>
      <c r="AA119" s="147" t="n">
        <v>0.23993123650541</v>
      </c>
      <c r="AB119" s="147" t="n">
        <v>0.359896854758115</v>
      </c>
      <c r="AC119" s="18"/>
      <c r="AD119" s="147" t="n">
        <v>0.0382843360161804</v>
      </c>
      <c r="AE119" s="147" t="n">
        <v>0.0765686720323607</v>
      </c>
      <c r="AF119" s="147" t="n">
        <v>0.114853008048541</v>
      </c>
      <c r="AG119" s="18"/>
      <c r="AH119" s="147" t="n">
        <v>-0.35</v>
      </c>
      <c r="AI119" s="147" t="n">
        <v>2</v>
      </c>
      <c r="AJ119" s="147" t="n">
        <v>0.3</v>
      </c>
      <c r="AK119" s="18"/>
      <c r="AL119" s="147" t="n">
        <v>-0.15</v>
      </c>
      <c r="AM119" s="147" t="n">
        <v>0.65</v>
      </c>
      <c r="AN119" s="147" t="n">
        <v>0.2</v>
      </c>
      <c r="AO119" s="18"/>
      <c r="AP119" s="105" t="n">
        <v>34</v>
      </c>
      <c r="AQ119" s="148" t="n">
        <v>0.4</v>
      </c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06" t="n">
        <v>39600</v>
      </c>
      <c r="BI119" s="150" t="n">
        <v>0.9</v>
      </c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0"/>
      <c r="CM119" s="175"/>
      <c r="CN119" s="175"/>
      <c r="CO119" s="151"/>
      <c r="CP119" s="0"/>
      <c r="CQ119" s="0"/>
      <c r="CR119" s="0"/>
      <c r="CS119" s="0"/>
      <c r="CT119" s="0"/>
      <c r="CY119" s="152" t="n">
        <f aca="false">M119</f>
        <v>39600</v>
      </c>
      <c r="CZ119" s="153" t="n">
        <f aca="false">AI119+AH119</f>
        <v>1.65</v>
      </c>
      <c r="DA119" s="153" t="n">
        <f aca="false">AI119</f>
        <v>2</v>
      </c>
      <c r="DB119" s="153" t="n">
        <f aca="false">AI119+AJ119</f>
        <v>2.3</v>
      </c>
      <c r="DD119" s="153" t="n">
        <f aca="false">Z119</f>
        <v>0.119965618252705</v>
      </c>
      <c r="DE119" s="153" t="n">
        <f aca="false">AA119</f>
        <v>0.23993123650541</v>
      </c>
      <c r="DF119" s="153" t="n">
        <f aca="false">AB119</f>
        <v>0.359896854758115</v>
      </c>
      <c r="DH119" s="152" t="n">
        <f aca="false">BH119</f>
        <v>39600</v>
      </c>
      <c r="DI119" s="99" t="n">
        <v>0.9</v>
      </c>
    </row>
    <row r="120" customFormat="false" ht="12.75" hidden="false" customHeight="false" outlineLevel="0" collapsed="false">
      <c r="A120" s="110" t="n">
        <f aca="false">EOMONTH(A119,0)+1</f>
        <v>49188</v>
      </c>
      <c r="B120" s="99" t="n">
        <f aca="false">'Gas Curves'!C124</f>
        <v>0.074023704322169</v>
      </c>
      <c r="C120" s="99"/>
      <c r="D120" s="145" t="n">
        <v>38749</v>
      </c>
      <c r="E120" s="146" t="n">
        <v>35.75</v>
      </c>
      <c r="F120" s="146" t="n">
        <v>36.85</v>
      </c>
      <c r="G120" s="146" t="n">
        <v>37.95</v>
      </c>
      <c r="H120" s="127"/>
      <c r="I120" s="146" t="n">
        <v>20.0499977111816</v>
      </c>
      <c r="J120" s="146" t="n">
        <v>20.5999977111816</v>
      </c>
      <c r="K120" s="146" t="n">
        <v>21.1499977111816</v>
      </c>
      <c r="L120" s="105"/>
      <c r="M120" s="106" t="n">
        <v>39630</v>
      </c>
      <c r="N120" s="147" t="n">
        <v>36.5112495422363</v>
      </c>
      <c r="O120" s="147" t="n">
        <v>40.2612495422363</v>
      </c>
      <c r="P120" s="147" t="n">
        <v>44.0112495422363</v>
      </c>
      <c r="Q120" s="18"/>
      <c r="R120" s="147" t="n">
        <v>26.4474994659424</v>
      </c>
      <c r="S120" s="147" t="n">
        <v>29.7474994659424</v>
      </c>
      <c r="T120" s="147" t="n">
        <v>33.0474994659424</v>
      </c>
      <c r="U120" s="18"/>
      <c r="V120" s="147" t="n">
        <v>0.3</v>
      </c>
      <c r="W120" s="147" t="n">
        <v>0.3</v>
      </c>
      <c r="X120" s="147" t="n">
        <v>0.3</v>
      </c>
      <c r="Y120" s="18"/>
      <c r="Z120" s="147" t="n">
        <v>0.141963243079658</v>
      </c>
      <c r="AA120" s="147" t="n">
        <v>0.283926486159316</v>
      </c>
      <c r="AB120" s="147" t="n">
        <v>0.425889729238975</v>
      </c>
      <c r="AC120" s="18"/>
      <c r="AD120" s="147" t="n">
        <v>0.0510457813549071</v>
      </c>
      <c r="AE120" s="147" t="n">
        <v>0.102091562709814</v>
      </c>
      <c r="AF120" s="147" t="n">
        <v>0.153137344064721</v>
      </c>
      <c r="AG120" s="18"/>
      <c r="AH120" s="147" t="n">
        <v>-0.35</v>
      </c>
      <c r="AI120" s="147" t="n">
        <v>3</v>
      </c>
      <c r="AJ120" s="147" t="n">
        <v>0.5</v>
      </c>
      <c r="AK120" s="18"/>
      <c r="AL120" s="147" t="n">
        <v>-0.15</v>
      </c>
      <c r="AM120" s="147" t="n">
        <v>0.75</v>
      </c>
      <c r="AN120" s="147" t="n">
        <v>0.2</v>
      </c>
      <c r="AO120" s="18"/>
      <c r="AP120" s="105" t="n">
        <v>34</v>
      </c>
      <c r="AQ120" s="148" t="n">
        <v>0.4</v>
      </c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06" t="n">
        <v>39630</v>
      </c>
      <c r="BI120" s="150" t="n">
        <v>0.9</v>
      </c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0"/>
      <c r="CM120" s="175"/>
      <c r="CN120" s="175"/>
      <c r="CO120" s="151"/>
      <c r="CP120" s="0"/>
      <c r="CQ120" s="0"/>
      <c r="CR120" s="0"/>
      <c r="CS120" s="0"/>
      <c r="CT120" s="0"/>
      <c r="CY120" s="152" t="n">
        <f aca="false">M120</f>
        <v>39630</v>
      </c>
      <c r="CZ120" s="153" t="n">
        <f aca="false">AI120+AH120</f>
        <v>2.65</v>
      </c>
      <c r="DA120" s="153" t="n">
        <f aca="false">AI120</f>
        <v>3</v>
      </c>
      <c r="DB120" s="153" t="n">
        <f aca="false">AI120+AJ120</f>
        <v>3.5</v>
      </c>
      <c r="DD120" s="153" t="n">
        <f aca="false">Z120</f>
        <v>0.141963243079658</v>
      </c>
      <c r="DE120" s="153" t="n">
        <f aca="false">AA120</f>
        <v>0.283926486159316</v>
      </c>
      <c r="DF120" s="153" t="n">
        <f aca="false">AB120</f>
        <v>0.425889729238975</v>
      </c>
      <c r="DH120" s="152" t="n">
        <f aca="false">BH120</f>
        <v>39630</v>
      </c>
      <c r="DI120" s="99" t="n">
        <v>0.9</v>
      </c>
    </row>
    <row r="121" customFormat="false" ht="12.75" hidden="false" customHeight="false" outlineLevel="0" collapsed="false">
      <c r="A121" s="110" t="n">
        <f aca="false">EOMONTH(A120,0)+1</f>
        <v>49218</v>
      </c>
      <c r="B121" s="99" t="n">
        <f aca="false">'Gas Curves'!C125</f>
        <v>0.074038989779218</v>
      </c>
      <c r="C121" s="99"/>
      <c r="D121" s="145" t="n">
        <v>38777</v>
      </c>
      <c r="E121" s="146" t="n">
        <v>32.45</v>
      </c>
      <c r="F121" s="146" t="n">
        <v>33.1</v>
      </c>
      <c r="G121" s="146" t="n">
        <v>33.75</v>
      </c>
      <c r="H121" s="127"/>
      <c r="I121" s="146" t="n">
        <v>19.2749996185303</v>
      </c>
      <c r="J121" s="146" t="n">
        <v>19.5999996185303</v>
      </c>
      <c r="K121" s="146" t="n">
        <v>19.9249996185303</v>
      </c>
      <c r="L121" s="105"/>
      <c r="M121" s="106" t="n">
        <v>39661</v>
      </c>
      <c r="N121" s="147" t="n">
        <v>38.7724990844727</v>
      </c>
      <c r="O121" s="147" t="n">
        <v>42.5224990844727</v>
      </c>
      <c r="P121" s="147" t="n">
        <v>46.2724990844727</v>
      </c>
      <c r="Q121" s="18"/>
      <c r="R121" s="147" t="n">
        <v>27.9450008392334</v>
      </c>
      <c r="S121" s="147" t="n">
        <v>31.2450008392334</v>
      </c>
      <c r="T121" s="147" t="n">
        <v>34.5450008392334</v>
      </c>
      <c r="U121" s="18"/>
      <c r="V121" s="147" t="n">
        <v>0.3</v>
      </c>
      <c r="W121" s="147" t="n">
        <v>0.3</v>
      </c>
      <c r="X121" s="147" t="n">
        <v>0.3</v>
      </c>
      <c r="Y121" s="18"/>
      <c r="Z121" s="147" t="n">
        <v>0.139684917651152</v>
      </c>
      <c r="AA121" s="147" t="n">
        <v>0.279369835302305</v>
      </c>
      <c r="AB121" s="147" t="n">
        <v>0.419054752953457</v>
      </c>
      <c r="AC121" s="18"/>
      <c r="AD121" s="147" t="n">
        <v>0.0510457813549071</v>
      </c>
      <c r="AE121" s="147" t="n">
        <v>0.102091562709814</v>
      </c>
      <c r="AF121" s="147" t="n">
        <v>0.153137344064721</v>
      </c>
      <c r="AG121" s="18"/>
      <c r="AH121" s="147" t="n">
        <v>-0.35</v>
      </c>
      <c r="AI121" s="147" t="n">
        <v>3</v>
      </c>
      <c r="AJ121" s="147" t="n">
        <v>0.5</v>
      </c>
      <c r="AK121" s="18"/>
      <c r="AL121" s="147" t="n">
        <v>-0.15</v>
      </c>
      <c r="AM121" s="147" t="n">
        <v>0.75</v>
      </c>
      <c r="AN121" s="147" t="n">
        <v>0.2</v>
      </c>
      <c r="AO121" s="18"/>
      <c r="AP121" s="105" t="n">
        <v>35</v>
      </c>
      <c r="AQ121" s="148" t="n">
        <v>0.4</v>
      </c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06" t="n">
        <v>39661</v>
      </c>
      <c r="BI121" s="150" t="n">
        <v>0.9</v>
      </c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0"/>
      <c r="CM121" s="175"/>
      <c r="CN121" s="175"/>
      <c r="CO121" s="151"/>
      <c r="CP121" s="0"/>
      <c r="CQ121" s="0"/>
      <c r="CR121" s="0"/>
      <c r="CS121" s="0"/>
      <c r="CT121" s="0"/>
      <c r="CY121" s="152" t="n">
        <f aca="false">M121</f>
        <v>39661</v>
      </c>
      <c r="CZ121" s="153" t="n">
        <f aca="false">AI121+AH121</f>
        <v>2.65</v>
      </c>
      <c r="DA121" s="153" t="n">
        <f aca="false">AI121</f>
        <v>3</v>
      </c>
      <c r="DB121" s="153" t="n">
        <f aca="false">AI121+AJ121</f>
        <v>3.5</v>
      </c>
      <c r="DD121" s="153" t="n">
        <f aca="false">Z121</f>
        <v>0.139684917651152</v>
      </c>
      <c r="DE121" s="153" t="n">
        <f aca="false">AA121</f>
        <v>0.279369835302305</v>
      </c>
      <c r="DF121" s="153" t="n">
        <f aca="false">AB121</f>
        <v>0.419054752953457</v>
      </c>
      <c r="DH121" s="152" t="n">
        <f aca="false">BH121</f>
        <v>39661</v>
      </c>
      <c r="DI121" s="99" t="n">
        <v>0.9</v>
      </c>
    </row>
    <row r="122" customFormat="false" ht="12.75" hidden="false" customHeight="false" outlineLevel="0" collapsed="false">
      <c r="A122" s="110" t="n">
        <f aca="false">EOMONTH(A121,0)+1</f>
        <v>49249</v>
      </c>
      <c r="B122" s="99" t="n">
        <f aca="false">'Gas Curves'!C126</f>
        <v>0.074053782157082</v>
      </c>
      <c r="C122" s="99"/>
      <c r="D122" s="145" t="n">
        <v>38808</v>
      </c>
      <c r="E122" s="146" t="n">
        <v>31.35</v>
      </c>
      <c r="F122" s="146" t="n">
        <v>31.85</v>
      </c>
      <c r="G122" s="146" t="n">
        <v>32.35</v>
      </c>
      <c r="H122" s="127"/>
      <c r="I122" s="146" t="n">
        <v>19.3499977111816</v>
      </c>
      <c r="J122" s="146" t="n">
        <v>19.5999977111816</v>
      </c>
      <c r="K122" s="146" t="n">
        <v>19.8499977111816</v>
      </c>
      <c r="L122" s="105"/>
      <c r="M122" s="106" t="n">
        <v>39692</v>
      </c>
      <c r="N122" s="147" t="n">
        <v>22.8549991607666</v>
      </c>
      <c r="O122" s="147" t="n">
        <v>23.9049991607666</v>
      </c>
      <c r="P122" s="147" t="n">
        <v>24.9549991607666</v>
      </c>
      <c r="Q122" s="18"/>
      <c r="R122" s="147" t="n">
        <v>21.1</v>
      </c>
      <c r="S122" s="147" t="n">
        <v>24.4</v>
      </c>
      <c r="T122" s="147" t="n">
        <v>27.7</v>
      </c>
      <c r="U122" s="18"/>
      <c r="V122" s="147" t="n">
        <v>0.8</v>
      </c>
      <c r="W122" s="147" t="n">
        <v>0.8</v>
      </c>
      <c r="X122" s="147" t="n">
        <v>0.8</v>
      </c>
      <c r="Y122" s="18"/>
      <c r="Z122" s="147" t="n">
        <v>0.0925471501648242</v>
      </c>
      <c r="AA122" s="147" t="n">
        <v>0.185094300329648</v>
      </c>
      <c r="AB122" s="147" t="n">
        <v>0.277641450494473</v>
      </c>
      <c r="AC122" s="18"/>
      <c r="AD122" s="147" t="n">
        <v>0.0340305209032714</v>
      </c>
      <c r="AE122" s="147" t="n">
        <v>0.0680610418065428</v>
      </c>
      <c r="AF122" s="147" t="n">
        <v>0.102091562709814</v>
      </c>
      <c r="AG122" s="18"/>
      <c r="AH122" s="147" t="n">
        <v>-0.35</v>
      </c>
      <c r="AI122" s="147" t="n">
        <v>1.5</v>
      </c>
      <c r="AJ122" s="147" t="n">
        <v>0.3</v>
      </c>
      <c r="AK122" s="18"/>
      <c r="AL122" s="147" t="n">
        <v>-0.15</v>
      </c>
      <c r="AM122" s="147" t="n">
        <v>0.4</v>
      </c>
      <c r="AN122" s="147" t="n">
        <v>0.2</v>
      </c>
      <c r="AO122" s="18"/>
      <c r="AP122" s="105" t="n">
        <v>35</v>
      </c>
      <c r="AQ122" s="148" t="n">
        <v>0.4</v>
      </c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06" t="n">
        <v>39692</v>
      </c>
      <c r="BI122" s="150" t="n">
        <v>0.9</v>
      </c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0"/>
      <c r="CM122" s="175"/>
      <c r="CN122" s="175"/>
      <c r="CO122" s="151"/>
      <c r="CP122" s="0"/>
      <c r="CQ122" s="0"/>
      <c r="CR122" s="0"/>
      <c r="CS122" s="0"/>
      <c r="CT122" s="0"/>
      <c r="CY122" s="152" t="n">
        <f aca="false">M122</f>
        <v>39692</v>
      </c>
      <c r="CZ122" s="153" t="n">
        <f aca="false">AI122+AH122</f>
        <v>1.15</v>
      </c>
      <c r="DA122" s="153" t="n">
        <f aca="false">AI122</f>
        <v>1.5</v>
      </c>
      <c r="DB122" s="153" t="n">
        <f aca="false">AI122+AJ122</f>
        <v>1.8</v>
      </c>
      <c r="DD122" s="153" t="n">
        <f aca="false">Z122</f>
        <v>0.0925471501648242</v>
      </c>
      <c r="DE122" s="153" t="n">
        <f aca="false">AA122</f>
        <v>0.185094300329648</v>
      </c>
      <c r="DF122" s="153" t="n">
        <f aca="false">AB122</f>
        <v>0.277641450494473</v>
      </c>
      <c r="DH122" s="152" t="n">
        <f aca="false">BH122</f>
        <v>39692</v>
      </c>
      <c r="DI122" s="99" t="n">
        <v>0.9</v>
      </c>
    </row>
    <row r="123" customFormat="false" ht="12.75" hidden="false" customHeight="false" outlineLevel="0" collapsed="false">
      <c r="A123" s="110" t="n">
        <f aca="false">EOMONTH(A122,0)+1</f>
        <v>49279</v>
      </c>
      <c r="B123" s="99" t="n">
        <f aca="false">'Gas Curves'!C127</f>
        <v>0.074069067614284</v>
      </c>
      <c r="C123" s="99"/>
      <c r="D123" s="145" t="n">
        <v>38838</v>
      </c>
      <c r="E123" s="146" t="n">
        <v>32.17</v>
      </c>
      <c r="F123" s="146" t="n">
        <v>33.85</v>
      </c>
      <c r="G123" s="146" t="n">
        <v>35.53</v>
      </c>
      <c r="H123" s="127"/>
      <c r="I123" s="146" t="n">
        <v>18.7599977111816</v>
      </c>
      <c r="J123" s="146" t="n">
        <v>19.5999977111816</v>
      </c>
      <c r="K123" s="146" t="n">
        <v>20.4399977111816</v>
      </c>
      <c r="L123" s="105"/>
      <c r="M123" s="106" t="n">
        <v>39722</v>
      </c>
      <c r="N123" s="147" t="n">
        <v>23.0630001068115</v>
      </c>
      <c r="O123" s="147" t="n">
        <v>24.0005001068115</v>
      </c>
      <c r="P123" s="147" t="n">
        <v>24.9380001068115</v>
      </c>
      <c r="Q123" s="18"/>
      <c r="R123" s="147" t="n">
        <v>18.7009998321533</v>
      </c>
      <c r="S123" s="147" t="n">
        <v>22.0009998321533</v>
      </c>
      <c r="T123" s="147" t="n">
        <v>25.3009998321533</v>
      </c>
      <c r="U123" s="18"/>
      <c r="V123" s="147" t="n">
        <v>0.8</v>
      </c>
      <c r="W123" s="147" t="n">
        <v>0.8</v>
      </c>
      <c r="X123" s="147" t="n">
        <v>0.8</v>
      </c>
      <c r="Y123" s="18"/>
      <c r="Z123" s="147" t="n">
        <v>0.0845337296921484</v>
      </c>
      <c r="AA123" s="147" t="n">
        <v>0.169067459384297</v>
      </c>
      <c r="AB123" s="147" t="n">
        <v>0.253601189076445</v>
      </c>
      <c r="AC123" s="18"/>
      <c r="AD123" s="147" t="n">
        <v>0.0255228906774536</v>
      </c>
      <c r="AE123" s="147" t="n">
        <v>0.0510457813549071</v>
      </c>
      <c r="AF123" s="147" t="n">
        <v>0.0765686720323607</v>
      </c>
      <c r="AG123" s="18"/>
      <c r="AH123" s="147" t="n">
        <v>-0.25</v>
      </c>
      <c r="AI123" s="147" t="n">
        <v>1.1</v>
      </c>
      <c r="AJ123" s="147" t="n">
        <v>0.3</v>
      </c>
      <c r="AK123" s="18"/>
      <c r="AL123" s="147" t="n">
        <v>-0.15</v>
      </c>
      <c r="AM123" s="147" t="n">
        <v>0.35</v>
      </c>
      <c r="AN123" s="147" t="n">
        <v>0.2</v>
      </c>
      <c r="AO123" s="18"/>
      <c r="AP123" s="105" t="n">
        <v>35</v>
      </c>
      <c r="AQ123" s="148" t="n">
        <v>0.4</v>
      </c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06" t="n">
        <v>39722</v>
      </c>
      <c r="BI123" s="150" t="n">
        <v>0.9</v>
      </c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0"/>
      <c r="CM123" s="175"/>
      <c r="CN123" s="175"/>
      <c r="CO123" s="151"/>
      <c r="CP123" s="0"/>
      <c r="CQ123" s="0"/>
      <c r="CR123" s="0"/>
      <c r="CS123" s="0"/>
      <c r="CT123" s="0"/>
      <c r="CY123" s="152" t="n">
        <f aca="false">M123</f>
        <v>39722</v>
      </c>
      <c r="CZ123" s="153" t="n">
        <f aca="false">AI123+AH123</f>
        <v>0.85</v>
      </c>
      <c r="DA123" s="153" t="n">
        <f aca="false">AI123</f>
        <v>1.1</v>
      </c>
      <c r="DB123" s="153" t="n">
        <f aca="false">AI123+AJ123</f>
        <v>1.4</v>
      </c>
      <c r="DD123" s="153" t="n">
        <f aca="false">Z123</f>
        <v>0.0845337296921484</v>
      </c>
      <c r="DE123" s="153" t="n">
        <f aca="false">AA123</f>
        <v>0.169067459384297</v>
      </c>
      <c r="DF123" s="153" t="n">
        <f aca="false">AB123</f>
        <v>0.253601189076445</v>
      </c>
      <c r="DH123" s="152" t="n">
        <f aca="false">BH123</f>
        <v>39722</v>
      </c>
      <c r="DI123" s="99" t="n">
        <v>0.9</v>
      </c>
    </row>
    <row r="124" customFormat="false" ht="12.75" hidden="false" customHeight="false" outlineLevel="0" collapsed="false">
      <c r="A124" s="110" t="n">
        <f aca="false">EOMONTH(A123,0)+1</f>
        <v>49310</v>
      </c>
      <c r="B124" s="99" t="n">
        <f aca="false">'Gas Curves'!C128</f>
        <v>0.074083859992294</v>
      </c>
      <c r="C124" s="99"/>
      <c r="D124" s="145" t="n">
        <v>38869</v>
      </c>
      <c r="E124" s="146" t="n">
        <v>44.16</v>
      </c>
      <c r="F124" s="146" t="n">
        <v>49</v>
      </c>
      <c r="G124" s="146" t="n">
        <v>53.84</v>
      </c>
      <c r="H124" s="127"/>
      <c r="I124" s="146" t="n">
        <v>17.1349987792969</v>
      </c>
      <c r="J124" s="146" t="n">
        <v>19.5549987792969</v>
      </c>
      <c r="K124" s="146" t="n">
        <v>21.9749987792969</v>
      </c>
      <c r="L124" s="105"/>
      <c r="M124" s="106" t="n">
        <v>39753</v>
      </c>
      <c r="N124" s="147" t="n">
        <v>24.0672515869141</v>
      </c>
      <c r="O124" s="147" t="n">
        <v>25.0047515869141</v>
      </c>
      <c r="P124" s="147" t="n">
        <v>25.9422515869141</v>
      </c>
      <c r="Q124" s="18"/>
      <c r="R124" s="147" t="n">
        <v>19.7044998168945</v>
      </c>
      <c r="S124" s="147" t="n">
        <v>23.0044998168945</v>
      </c>
      <c r="T124" s="147" t="n">
        <v>26.3044998168945</v>
      </c>
      <c r="U124" s="18"/>
      <c r="V124" s="147" t="n">
        <v>0.8</v>
      </c>
      <c r="W124" s="147" t="n">
        <v>0.8</v>
      </c>
      <c r="X124" s="147" t="n">
        <v>0.8</v>
      </c>
      <c r="Y124" s="18"/>
      <c r="Z124" s="147" t="n">
        <v>0.0845337296921484</v>
      </c>
      <c r="AA124" s="147" t="n">
        <v>0.169067459384297</v>
      </c>
      <c r="AB124" s="147" t="n">
        <v>0.253601189076445</v>
      </c>
      <c r="AC124" s="18"/>
      <c r="AD124" s="147" t="n">
        <v>0.0255228906774536</v>
      </c>
      <c r="AE124" s="147" t="n">
        <v>0.0510457813549071</v>
      </c>
      <c r="AF124" s="147" t="n">
        <v>0.0765686720323607</v>
      </c>
      <c r="AG124" s="18"/>
      <c r="AH124" s="147" t="n">
        <v>-0.25</v>
      </c>
      <c r="AI124" s="147" t="n">
        <v>1.25</v>
      </c>
      <c r="AJ124" s="147" t="n">
        <v>0.3</v>
      </c>
      <c r="AK124" s="18"/>
      <c r="AL124" s="147" t="n">
        <v>-0.15</v>
      </c>
      <c r="AM124" s="147" t="n">
        <v>0.3</v>
      </c>
      <c r="AN124" s="147" t="n">
        <v>0.2</v>
      </c>
      <c r="AO124" s="18"/>
      <c r="AP124" s="105" t="n">
        <v>36</v>
      </c>
      <c r="AQ124" s="148" t="n">
        <v>0.4</v>
      </c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06" t="n">
        <v>39753</v>
      </c>
      <c r="BI124" s="150" t="n">
        <v>0.9</v>
      </c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0"/>
      <c r="CM124" s="175"/>
      <c r="CN124" s="175"/>
      <c r="CO124" s="151"/>
      <c r="CP124" s="0"/>
      <c r="CQ124" s="0"/>
      <c r="CR124" s="0"/>
      <c r="CS124" s="0"/>
      <c r="CT124" s="0"/>
      <c r="CY124" s="152" t="n">
        <f aca="false">M124</f>
        <v>39753</v>
      </c>
      <c r="CZ124" s="153" t="n">
        <f aca="false">AI124+AH124</f>
        <v>1</v>
      </c>
      <c r="DA124" s="153" t="n">
        <f aca="false">AI124</f>
        <v>1.25</v>
      </c>
      <c r="DB124" s="153" t="n">
        <f aca="false">AI124+AJ124</f>
        <v>1.55</v>
      </c>
      <c r="DD124" s="153" t="n">
        <f aca="false">Z124</f>
        <v>0.0845337296921484</v>
      </c>
      <c r="DE124" s="153" t="n">
        <f aca="false">AA124</f>
        <v>0.169067459384297</v>
      </c>
      <c r="DF124" s="153" t="n">
        <f aca="false">AB124</f>
        <v>0.253601189076445</v>
      </c>
      <c r="DH124" s="152" t="n">
        <f aca="false">BH124</f>
        <v>39753</v>
      </c>
      <c r="DI124" s="99" t="n">
        <v>0.9</v>
      </c>
    </row>
    <row r="125" customFormat="false" ht="12.75" hidden="false" customHeight="false" outlineLevel="0" collapsed="false">
      <c r="A125" s="110" t="n">
        <f aca="false">EOMONTH(A124,0)+1</f>
        <v>49341</v>
      </c>
      <c r="B125" s="99" t="n">
        <f aca="false">'Gas Curves'!C129</f>
        <v>0.074099145449646</v>
      </c>
      <c r="C125" s="99"/>
      <c r="D125" s="145" t="n">
        <v>38899</v>
      </c>
      <c r="E125" s="146" t="n">
        <v>66</v>
      </c>
      <c r="F125" s="146" t="n">
        <v>70</v>
      </c>
      <c r="G125" s="146" t="n">
        <v>74</v>
      </c>
      <c r="H125" s="127"/>
      <c r="I125" s="146" t="n">
        <v>22.0499977111816</v>
      </c>
      <c r="J125" s="146" t="n">
        <v>24.0499977111816</v>
      </c>
      <c r="K125" s="146" t="n">
        <v>26.0499977111816</v>
      </c>
      <c r="L125" s="105"/>
      <c r="M125" s="106" t="n">
        <v>39783</v>
      </c>
      <c r="N125" s="147" t="n">
        <v>25.5174983978271</v>
      </c>
      <c r="O125" s="147" t="n">
        <v>26.4549983978271</v>
      </c>
      <c r="P125" s="147" t="n">
        <v>27.3924983978271</v>
      </c>
      <c r="Q125" s="18"/>
      <c r="R125" s="147" t="n">
        <v>19.6499992370605</v>
      </c>
      <c r="S125" s="147" t="n">
        <v>22.9499992370605</v>
      </c>
      <c r="T125" s="147" t="n">
        <v>26.2499992370605</v>
      </c>
      <c r="U125" s="18"/>
      <c r="V125" s="147" t="n">
        <v>0.8</v>
      </c>
      <c r="W125" s="147" t="n">
        <v>0.8</v>
      </c>
      <c r="X125" s="147" t="n">
        <v>0.8</v>
      </c>
      <c r="Y125" s="18"/>
      <c r="Z125" s="147" t="n">
        <v>0.0875505468112734</v>
      </c>
      <c r="AA125" s="147" t="n">
        <v>0.175101093622547</v>
      </c>
      <c r="AB125" s="147" t="n">
        <v>0.26265164043382</v>
      </c>
      <c r="AC125" s="18"/>
      <c r="AD125" s="147" t="n">
        <v>0.0255228906774536</v>
      </c>
      <c r="AE125" s="147" t="n">
        <v>0.0510457813549071</v>
      </c>
      <c r="AF125" s="147" t="n">
        <v>0.0765686720323607</v>
      </c>
      <c r="AG125" s="18"/>
      <c r="AH125" s="147" t="n">
        <v>-0.25</v>
      </c>
      <c r="AI125" s="147" t="n">
        <v>1.25</v>
      </c>
      <c r="AJ125" s="147" t="n">
        <v>0.35</v>
      </c>
      <c r="AK125" s="18"/>
      <c r="AL125" s="147" t="n">
        <v>-0.15</v>
      </c>
      <c r="AM125" s="147" t="n">
        <v>0.3</v>
      </c>
      <c r="AN125" s="147" t="n">
        <v>0.2</v>
      </c>
      <c r="AO125" s="18"/>
      <c r="AP125" s="105" t="n">
        <v>36</v>
      </c>
      <c r="AQ125" s="148" t="n">
        <v>0.4</v>
      </c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06" t="n">
        <v>39783</v>
      </c>
      <c r="BI125" s="150" t="n">
        <v>0.9</v>
      </c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0"/>
      <c r="CM125" s="175"/>
      <c r="CN125" s="175"/>
      <c r="CO125" s="151"/>
      <c r="CP125" s="0"/>
      <c r="CQ125" s="0"/>
      <c r="CR125" s="0"/>
      <c r="CS125" s="0"/>
      <c r="CT125" s="0"/>
      <c r="CY125" s="152" t="n">
        <f aca="false">M125</f>
        <v>39783</v>
      </c>
      <c r="CZ125" s="153" t="n">
        <f aca="false">AI125+AH125</f>
        <v>1</v>
      </c>
      <c r="DA125" s="153" t="n">
        <f aca="false">AI125</f>
        <v>1.25</v>
      </c>
      <c r="DB125" s="153" t="n">
        <f aca="false">AI125+AJ125</f>
        <v>1.6</v>
      </c>
      <c r="DD125" s="153" t="n">
        <f aca="false">Z125</f>
        <v>0.0875505468112734</v>
      </c>
      <c r="DE125" s="153" t="n">
        <f aca="false">AA125</f>
        <v>0.175101093622547</v>
      </c>
      <c r="DF125" s="153" t="n">
        <f aca="false">AB125</f>
        <v>0.26265164043382</v>
      </c>
      <c r="DH125" s="152" t="n">
        <f aca="false">BH125</f>
        <v>39783</v>
      </c>
      <c r="DI125" s="99" t="n">
        <v>0.9</v>
      </c>
    </row>
    <row r="126" customFormat="false" ht="12.75" hidden="false" customHeight="false" outlineLevel="0" collapsed="false">
      <c r="A126" s="110" t="n">
        <f aca="false">EOMONTH(A125,0)+1</f>
        <v>49369</v>
      </c>
      <c r="B126" s="99" t="n">
        <f aca="false">'Gas Curves'!C130</f>
        <v>0.074114430907077</v>
      </c>
      <c r="C126" s="99"/>
      <c r="D126" s="145" t="n">
        <v>38930</v>
      </c>
      <c r="E126" s="146" t="n">
        <v>61.5</v>
      </c>
      <c r="F126" s="146" t="n">
        <v>65.5</v>
      </c>
      <c r="G126" s="146" t="n">
        <v>69.5</v>
      </c>
      <c r="H126" s="127"/>
      <c r="I126" s="146" t="n">
        <v>22.3999980926514</v>
      </c>
      <c r="J126" s="146" t="n">
        <v>24.3999980926514</v>
      </c>
      <c r="K126" s="146" t="n">
        <v>26.3999980926514</v>
      </c>
      <c r="L126" s="105"/>
      <c r="M126" s="106" t="n">
        <v>39814</v>
      </c>
      <c r="N126" s="147" t="n">
        <v>28.7987483978271</v>
      </c>
      <c r="O126" s="147" t="n">
        <v>29.8487483978271</v>
      </c>
      <c r="P126" s="147" t="n">
        <v>30.8987483978271</v>
      </c>
      <c r="Q126" s="18"/>
      <c r="R126" s="147" t="n">
        <v>25.0525001525879</v>
      </c>
      <c r="S126" s="147" t="n">
        <v>28.3525001525879</v>
      </c>
      <c r="T126" s="147" t="n">
        <v>31.6525001525879</v>
      </c>
      <c r="U126" s="18"/>
      <c r="V126" s="147" t="n">
        <v>0.8</v>
      </c>
      <c r="W126" s="147" t="n">
        <v>0.8</v>
      </c>
      <c r="X126" s="147" t="n">
        <v>0.8</v>
      </c>
      <c r="Y126" s="18"/>
      <c r="Z126" s="147" t="n">
        <v>0.0942057012430469</v>
      </c>
      <c r="AA126" s="147" t="n">
        <v>0.188411402486094</v>
      </c>
      <c r="AB126" s="147" t="n">
        <v>0.282617103729141</v>
      </c>
      <c r="AC126" s="18"/>
      <c r="AD126" s="147" t="n">
        <v>0.0291811716745553</v>
      </c>
      <c r="AE126" s="147" t="n">
        <v>0.0583623433491105</v>
      </c>
      <c r="AF126" s="147" t="n">
        <v>0.0875435150236658</v>
      </c>
      <c r="AG126" s="18"/>
      <c r="AH126" s="147" t="n">
        <v>-0.75</v>
      </c>
      <c r="AI126" s="147" t="n">
        <v>2</v>
      </c>
      <c r="AJ126" s="147" t="n">
        <v>0.75</v>
      </c>
      <c r="AK126" s="18"/>
      <c r="AL126" s="147" t="n">
        <v>-0.15</v>
      </c>
      <c r="AM126" s="147" t="n">
        <v>0.5</v>
      </c>
      <c r="AN126" s="147" t="n">
        <v>0.2</v>
      </c>
      <c r="AO126" s="18"/>
      <c r="AP126" s="105" t="n">
        <v>36</v>
      </c>
      <c r="AQ126" s="148" t="n">
        <v>0.4</v>
      </c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06" t="n">
        <v>39814</v>
      </c>
      <c r="BI126" s="150" t="n">
        <v>0.9</v>
      </c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0"/>
      <c r="CM126" s="175"/>
      <c r="CN126" s="175"/>
      <c r="CO126" s="151"/>
      <c r="CP126" s="0"/>
      <c r="CQ126" s="0"/>
      <c r="CR126" s="0"/>
      <c r="CS126" s="0"/>
      <c r="CT126" s="0"/>
      <c r="CY126" s="152" t="n">
        <f aca="false">M126</f>
        <v>39814</v>
      </c>
      <c r="CZ126" s="153" t="n">
        <f aca="false">AI126+AH126</f>
        <v>1.25</v>
      </c>
      <c r="DA126" s="153" t="n">
        <f aca="false">AI126</f>
        <v>2</v>
      </c>
      <c r="DB126" s="153" t="n">
        <f aca="false">AI126+AJ126</f>
        <v>2.75</v>
      </c>
      <c r="DD126" s="153" t="n">
        <f aca="false">Z126</f>
        <v>0.0942057012430469</v>
      </c>
      <c r="DE126" s="153" t="n">
        <f aca="false">AA126</f>
        <v>0.188411402486094</v>
      </c>
      <c r="DF126" s="153" t="n">
        <f aca="false">AB126</f>
        <v>0.282617103729141</v>
      </c>
      <c r="DH126" s="152" t="n">
        <f aca="false">BH126</f>
        <v>39814</v>
      </c>
      <c r="DI126" s="99" t="n">
        <v>0.9</v>
      </c>
    </row>
    <row r="127" customFormat="false" ht="12.75" hidden="false" customHeight="false" outlineLevel="0" collapsed="false">
      <c r="A127" s="110" t="n">
        <f aca="false">EOMONTH(A126,0)+1</f>
        <v>49400</v>
      </c>
      <c r="B127" s="99" t="n">
        <f aca="false">'Gas Curves'!C131</f>
        <v>0.074129223285309</v>
      </c>
      <c r="C127" s="99"/>
      <c r="D127" s="145" t="n">
        <v>38961</v>
      </c>
      <c r="E127" s="146" t="n">
        <v>31.65</v>
      </c>
      <c r="F127" s="146" t="n">
        <v>32.85</v>
      </c>
      <c r="G127" s="146" t="n">
        <v>34.05</v>
      </c>
      <c r="H127" s="127"/>
      <c r="I127" s="146" t="n">
        <v>19.3499980926514</v>
      </c>
      <c r="J127" s="146" t="n">
        <v>19.9499980926514</v>
      </c>
      <c r="K127" s="146" t="n">
        <v>20.5499980926514</v>
      </c>
      <c r="L127" s="105"/>
      <c r="M127" s="106" t="n">
        <v>39845</v>
      </c>
      <c r="N127" s="147" t="n">
        <v>27.7962501525879</v>
      </c>
      <c r="O127" s="147" t="n">
        <v>28.8462501525879</v>
      </c>
      <c r="P127" s="147" t="n">
        <v>29.8962501525879</v>
      </c>
      <c r="Q127" s="18"/>
      <c r="R127" s="147" t="n">
        <v>23.0474994659424</v>
      </c>
      <c r="S127" s="147" t="n">
        <v>26.3474994659424</v>
      </c>
      <c r="T127" s="147" t="n">
        <v>29.6474994659424</v>
      </c>
      <c r="U127" s="18"/>
      <c r="V127" s="147" t="n">
        <v>0.8</v>
      </c>
      <c r="W127" s="147" t="n">
        <v>0.8</v>
      </c>
      <c r="X127" s="147" t="n">
        <v>0.8</v>
      </c>
      <c r="Y127" s="18"/>
      <c r="Z127" s="147" t="n">
        <v>0.0908885990866016</v>
      </c>
      <c r="AA127" s="147" t="n">
        <v>0.181777198173203</v>
      </c>
      <c r="AB127" s="147" t="n">
        <v>0.272665797259805</v>
      </c>
      <c r="AC127" s="18"/>
      <c r="AD127" s="147" t="n">
        <v>0.0291811716745553</v>
      </c>
      <c r="AE127" s="147" t="n">
        <v>0.0583623433491105</v>
      </c>
      <c r="AF127" s="147" t="n">
        <v>0.0875435150236658</v>
      </c>
      <c r="AG127" s="18"/>
      <c r="AH127" s="147" t="n">
        <v>-0.75</v>
      </c>
      <c r="AI127" s="147" t="n">
        <v>2</v>
      </c>
      <c r="AJ127" s="147" t="n">
        <v>0.75</v>
      </c>
      <c r="AK127" s="18"/>
      <c r="AL127" s="147" t="n">
        <v>-0.15</v>
      </c>
      <c r="AM127" s="147" t="n">
        <v>0.5</v>
      </c>
      <c r="AN127" s="147" t="n">
        <v>0.2</v>
      </c>
      <c r="AO127" s="18"/>
      <c r="AP127" s="105" t="n">
        <v>37</v>
      </c>
      <c r="AQ127" s="148" t="n">
        <v>0.4</v>
      </c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06" t="n">
        <v>39845</v>
      </c>
      <c r="BI127" s="150" t="n">
        <v>0.9</v>
      </c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0"/>
      <c r="CM127" s="175"/>
      <c r="CN127" s="175"/>
      <c r="CO127" s="151"/>
      <c r="CP127" s="0"/>
      <c r="CQ127" s="0"/>
      <c r="CR127" s="0"/>
      <c r="CS127" s="0"/>
      <c r="CT127" s="0"/>
      <c r="CY127" s="152" t="n">
        <f aca="false">M127</f>
        <v>39845</v>
      </c>
      <c r="CZ127" s="153" t="n">
        <f aca="false">AI127+AH127</f>
        <v>1.25</v>
      </c>
      <c r="DA127" s="153" t="n">
        <f aca="false">AI127</f>
        <v>2</v>
      </c>
      <c r="DB127" s="153" t="n">
        <f aca="false">AI127+AJ127</f>
        <v>2.75</v>
      </c>
      <c r="DD127" s="153" t="n">
        <f aca="false">Z127</f>
        <v>0.0908885990866016</v>
      </c>
      <c r="DE127" s="153" t="n">
        <f aca="false">AA127</f>
        <v>0.181777198173203</v>
      </c>
      <c r="DF127" s="153" t="n">
        <f aca="false">AB127</f>
        <v>0.272665797259805</v>
      </c>
      <c r="DH127" s="152" t="n">
        <f aca="false">BH127</f>
        <v>39845</v>
      </c>
      <c r="DI127" s="99" t="n">
        <v>0.9</v>
      </c>
    </row>
    <row r="128" customFormat="false" ht="12.75" hidden="false" customHeight="false" outlineLevel="0" collapsed="false">
      <c r="A128" s="110" t="n">
        <f aca="false">EOMONTH(A127,0)+1</f>
        <v>49430</v>
      </c>
      <c r="B128" s="99" t="n">
        <f aca="false">'Gas Curves'!C132</f>
        <v>0.07414450874289</v>
      </c>
      <c r="C128" s="99"/>
      <c r="D128" s="145" t="n">
        <v>38991</v>
      </c>
      <c r="E128" s="146" t="n">
        <v>29.55</v>
      </c>
      <c r="F128" s="146" t="n">
        <v>30.6</v>
      </c>
      <c r="G128" s="146" t="n">
        <v>31.65</v>
      </c>
      <c r="H128" s="127"/>
      <c r="I128" s="146" t="n">
        <v>19.1249988555908</v>
      </c>
      <c r="J128" s="146" t="n">
        <v>19.6499988555908</v>
      </c>
      <c r="K128" s="146" t="n">
        <v>20.1749988555908</v>
      </c>
      <c r="L128" s="105"/>
      <c r="M128" s="106" t="n">
        <v>39873</v>
      </c>
      <c r="N128" s="147" t="n">
        <v>21.4347496032715</v>
      </c>
      <c r="O128" s="147" t="n">
        <v>22.0347496032715</v>
      </c>
      <c r="P128" s="147" t="n">
        <v>22.6347496032715</v>
      </c>
      <c r="Q128" s="18"/>
      <c r="R128" s="147" t="n">
        <v>18.3644989013672</v>
      </c>
      <c r="S128" s="147" t="n">
        <v>21.6644989013672</v>
      </c>
      <c r="T128" s="147" t="n">
        <v>24.9644989013672</v>
      </c>
      <c r="U128" s="18"/>
      <c r="V128" s="147" t="n">
        <v>0.3</v>
      </c>
      <c r="W128" s="147" t="n">
        <v>0.3</v>
      </c>
      <c r="X128" s="147" t="n">
        <v>0.3</v>
      </c>
      <c r="Y128" s="18"/>
      <c r="Z128" s="147" t="n">
        <v>0.0885915058432632</v>
      </c>
      <c r="AA128" s="147" t="n">
        <v>0.177183011686526</v>
      </c>
      <c r="AB128" s="147" t="n">
        <v>0.26577451752979</v>
      </c>
      <c r="AC128" s="18"/>
      <c r="AD128" s="147" t="n">
        <v>0.0250124328639045</v>
      </c>
      <c r="AE128" s="147" t="n">
        <v>0.050024865727809</v>
      </c>
      <c r="AF128" s="147" t="n">
        <v>0.0750372985917135</v>
      </c>
      <c r="AG128" s="18"/>
      <c r="AH128" s="147" t="n">
        <v>-0.25</v>
      </c>
      <c r="AI128" s="147" t="n">
        <v>1.3</v>
      </c>
      <c r="AJ128" s="147" t="n">
        <v>0.3</v>
      </c>
      <c r="AK128" s="18"/>
      <c r="AL128" s="147" t="n">
        <v>-0.15</v>
      </c>
      <c r="AM128" s="147" t="n">
        <v>0.35</v>
      </c>
      <c r="AN128" s="147" t="n">
        <v>0.2</v>
      </c>
      <c r="AO128" s="18"/>
      <c r="AP128" s="105" t="n">
        <v>37</v>
      </c>
      <c r="AQ128" s="148" t="n">
        <v>0.4</v>
      </c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06" t="n">
        <v>39873</v>
      </c>
      <c r="BI128" s="150" t="n">
        <v>0.9</v>
      </c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0"/>
      <c r="CM128" s="175"/>
      <c r="CN128" s="175"/>
      <c r="CO128" s="151"/>
      <c r="CP128" s="0"/>
      <c r="CQ128" s="0"/>
      <c r="CR128" s="0"/>
      <c r="CS128" s="0"/>
      <c r="CT128" s="0"/>
      <c r="CY128" s="152" t="n">
        <f aca="false">M128</f>
        <v>39873</v>
      </c>
      <c r="CZ128" s="153" t="n">
        <f aca="false">AI128+AH128</f>
        <v>1.05</v>
      </c>
      <c r="DA128" s="153" t="n">
        <f aca="false">AI128</f>
        <v>1.3</v>
      </c>
      <c r="DB128" s="153" t="n">
        <f aca="false">AI128+AJ128</f>
        <v>1.6</v>
      </c>
      <c r="DD128" s="153" t="n">
        <f aca="false">Z128</f>
        <v>0.0885915058432632</v>
      </c>
      <c r="DE128" s="153" t="n">
        <f aca="false">AA128</f>
        <v>0.177183011686526</v>
      </c>
      <c r="DF128" s="153" t="n">
        <f aca="false">AB128</f>
        <v>0.26577451752979</v>
      </c>
      <c r="DH128" s="152" t="n">
        <f aca="false">BH128</f>
        <v>39873</v>
      </c>
      <c r="DI128" s="99" t="n">
        <v>0.9</v>
      </c>
    </row>
    <row r="129" customFormat="false" ht="12.75" hidden="false" customHeight="false" outlineLevel="0" collapsed="false">
      <c r="A129" s="110" t="n">
        <f aca="false">EOMONTH(A128,0)+1</f>
        <v>49461</v>
      </c>
      <c r="B129" s="99" t="n">
        <f aca="false">'Gas Curves'!C133</f>
        <v>0.074159301121269</v>
      </c>
      <c r="C129" s="99"/>
      <c r="D129" s="145" t="n">
        <v>39022</v>
      </c>
      <c r="E129" s="146" t="n">
        <v>29.925</v>
      </c>
      <c r="F129" s="146" t="n">
        <v>30.975</v>
      </c>
      <c r="G129" s="146" t="n">
        <v>32.025</v>
      </c>
      <c r="H129" s="127"/>
      <c r="I129" s="146" t="n">
        <v>19.0499980926514</v>
      </c>
      <c r="J129" s="146" t="n">
        <v>19.5749980926514</v>
      </c>
      <c r="K129" s="146" t="n">
        <v>20.0999980926514</v>
      </c>
      <c r="L129" s="105"/>
      <c r="M129" s="106" t="n">
        <v>39904</v>
      </c>
      <c r="N129" s="147" t="n">
        <v>22.2300003051758</v>
      </c>
      <c r="O129" s="147" t="n">
        <v>22.7175003051758</v>
      </c>
      <c r="P129" s="147" t="n">
        <v>23.2050003051758</v>
      </c>
      <c r="Q129" s="18"/>
      <c r="R129" s="147" t="n">
        <v>18.1349990844727</v>
      </c>
      <c r="S129" s="147" t="n">
        <v>21.4349990844727</v>
      </c>
      <c r="T129" s="147" t="n">
        <v>24.7349990844727</v>
      </c>
      <c r="U129" s="18"/>
      <c r="V129" s="147" t="n">
        <v>0.3</v>
      </c>
      <c r="W129" s="147" t="n">
        <v>0.3</v>
      </c>
      <c r="X129" s="147" t="n">
        <v>0.3</v>
      </c>
      <c r="Y129" s="18"/>
      <c r="Z129" s="147" t="n">
        <v>0.0789636168341806</v>
      </c>
      <c r="AA129" s="147" t="n">
        <v>0.157927233668361</v>
      </c>
      <c r="AB129" s="147" t="n">
        <v>0.236890850502542</v>
      </c>
      <c r="AC129" s="18"/>
      <c r="AD129" s="147" t="n">
        <v>0.0250124328639045</v>
      </c>
      <c r="AE129" s="147" t="n">
        <v>0.050024865727809</v>
      </c>
      <c r="AF129" s="147" t="n">
        <v>0.0750372985917135</v>
      </c>
      <c r="AG129" s="18"/>
      <c r="AH129" s="147" t="n">
        <v>-0.25</v>
      </c>
      <c r="AI129" s="147" t="n">
        <v>1.1</v>
      </c>
      <c r="AJ129" s="147" t="n">
        <v>0.3</v>
      </c>
      <c r="AK129" s="18"/>
      <c r="AL129" s="147" t="n">
        <v>-0.15</v>
      </c>
      <c r="AM129" s="147" t="n">
        <v>0.35</v>
      </c>
      <c r="AN129" s="147" t="n">
        <v>0.2</v>
      </c>
      <c r="AO129" s="18"/>
      <c r="AP129" s="105" t="n">
        <v>37</v>
      </c>
      <c r="AQ129" s="148" t="n">
        <v>0.4</v>
      </c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06" t="n">
        <v>39904</v>
      </c>
      <c r="BI129" s="150" t="n">
        <v>0.9</v>
      </c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0"/>
      <c r="CM129" s="175"/>
      <c r="CN129" s="175"/>
      <c r="CO129" s="151"/>
      <c r="CP129" s="0"/>
      <c r="CQ129" s="0"/>
      <c r="CR129" s="0"/>
      <c r="CS129" s="0"/>
      <c r="CT129" s="0"/>
      <c r="CY129" s="152" t="n">
        <f aca="false">M129</f>
        <v>39904</v>
      </c>
      <c r="CZ129" s="153" t="n">
        <f aca="false">AI129+AH129</f>
        <v>0.85</v>
      </c>
      <c r="DA129" s="153" t="n">
        <f aca="false">AI129</f>
        <v>1.1</v>
      </c>
      <c r="DB129" s="153" t="n">
        <f aca="false">AI129+AJ129</f>
        <v>1.4</v>
      </c>
      <c r="DD129" s="153" t="n">
        <f aca="false">Z129</f>
        <v>0.0789636168341806</v>
      </c>
      <c r="DE129" s="153" t="n">
        <f aca="false">AA129</f>
        <v>0.157927233668361</v>
      </c>
      <c r="DF129" s="153" t="n">
        <f aca="false">AB129</f>
        <v>0.236890850502542</v>
      </c>
      <c r="DH129" s="152" t="n">
        <f aca="false">BH129</f>
        <v>39904</v>
      </c>
      <c r="DI129" s="99" t="n">
        <v>0.9</v>
      </c>
    </row>
    <row r="130" customFormat="false" ht="12.75" hidden="false" customHeight="false" outlineLevel="0" collapsed="false">
      <c r="A130" s="110" t="n">
        <f aca="false">EOMONTH(A129,0)+1</f>
        <v>49491</v>
      </c>
      <c r="B130" s="99" t="n">
        <f aca="false">'Gas Curves'!C134</f>
        <v>0.074174586579002</v>
      </c>
      <c r="C130" s="99"/>
      <c r="D130" s="145" t="n">
        <v>39052</v>
      </c>
      <c r="E130" s="146" t="n">
        <v>29.8</v>
      </c>
      <c r="F130" s="146" t="n">
        <v>30.85</v>
      </c>
      <c r="G130" s="146" t="n">
        <v>31.9</v>
      </c>
      <c r="H130" s="127"/>
      <c r="I130" s="146" t="n">
        <v>20.4749992370605</v>
      </c>
      <c r="J130" s="146" t="n">
        <v>20.9999992370605</v>
      </c>
      <c r="K130" s="146" t="n">
        <v>21.5249992370605</v>
      </c>
      <c r="L130" s="105"/>
      <c r="M130" s="106" t="n">
        <v>39934</v>
      </c>
      <c r="N130" s="147" t="n">
        <v>21.1450000762939</v>
      </c>
      <c r="O130" s="147" t="n">
        <v>22.8325000762939</v>
      </c>
      <c r="P130" s="147" t="n">
        <v>24.5200000762939</v>
      </c>
      <c r="Q130" s="18"/>
      <c r="R130" s="147" t="n">
        <v>18.6649997711182</v>
      </c>
      <c r="S130" s="147" t="n">
        <v>21.9649997711182</v>
      </c>
      <c r="T130" s="147" t="n">
        <v>25.2649997711182</v>
      </c>
      <c r="U130" s="18"/>
      <c r="V130" s="147" t="n">
        <v>0.3</v>
      </c>
      <c r="W130" s="147" t="n">
        <v>0.3</v>
      </c>
      <c r="X130" s="147" t="n">
        <v>0.3</v>
      </c>
      <c r="Y130" s="18"/>
      <c r="Z130" s="147" t="n">
        <v>0.0909051845973838</v>
      </c>
      <c r="AA130" s="147" t="n">
        <v>0.181810369194768</v>
      </c>
      <c r="AB130" s="147" t="n">
        <v>0.272715553792151</v>
      </c>
      <c r="AC130" s="18"/>
      <c r="AD130" s="147" t="n">
        <v>0.0291811716745553</v>
      </c>
      <c r="AE130" s="147" t="n">
        <v>0.0583623433491105</v>
      </c>
      <c r="AF130" s="147" t="n">
        <v>0.0875435150236658</v>
      </c>
      <c r="AG130" s="18"/>
      <c r="AH130" s="147" t="n">
        <v>-0.25</v>
      </c>
      <c r="AI130" s="147" t="n">
        <v>1.1</v>
      </c>
      <c r="AJ130" s="147" t="n">
        <v>0.3</v>
      </c>
      <c r="AK130" s="18"/>
      <c r="AL130" s="147" t="n">
        <v>-0.15</v>
      </c>
      <c r="AM130" s="147" t="n">
        <v>0.5</v>
      </c>
      <c r="AN130" s="147" t="n">
        <v>0.2</v>
      </c>
      <c r="AO130" s="18"/>
      <c r="AP130" s="105" t="n">
        <v>38</v>
      </c>
      <c r="AQ130" s="148" t="n">
        <v>0.4</v>
      </c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06" t="n">
        <v>39934</v>
      </c>
      <c r="BI130" s="150" t="n">
        <v>0.9</v>
      </c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0"/>
      <c r="CM130" s="175"/>
      <c r="CN130" s="175"/>
      <c r="CO130" s="151"/>
      <c r="CP130" s="0"/>
      <c r="CQ130" s="0"/>
      <c r="CR130" s="0"/>
      <c r="CS130" s="0"/>
      <c r="CT130" s="0"/>
      <c r="CY130" s="152" t="n">
        <f aca="false">M130</f>
        <v>39934</v>
      </c>
      <c r="CZ130" s="153" t="n">
        <f aca="false">AI130+AH130</f>
        <v>0.85</v>
      </c>
      <c r="DA130" s="153" t="n">
        <f aca="false">AI130</f>
        <v>1.1</v>
      </c>
      <c r="DB130" s="153" t="n">
        <f aca="false">AI130+AJ130</f>
        <v>1.4</v>
      </c>
      <c r="DD130" s="153" t="n">
        <f aca="false">Z130</f>
        <v>0.0909051845973838</v>
      </c>
      <c r="DE130" s="153" t="n">
        <f aca="false">AA130</f>
        <v>0.181810369194768</v>
      </c>
      <c r="DF130" s="153" t="n">
        <f aca="false">AB130</f>
        <v>0.272715553792151</v>
      </c>
      <c r="DH130" s="152" t="n">
        <f aca="false">BH130</f>
        <v>39934</v>
      </c>
      <c r="DI130" s="99" t="n">
        <v>0.9</v>
      </c>
    </row>
    <row r="131" customFormat="false" ht="12.75" hidden="false" customHeight="false" outlineLevel="0" collapsed="false">
      <c r="A131" s="110" t="n">
        <f aca="false">EOMONTH(A130,0)+1</f>
        <v>49522</v>
      </c>
      <c r="B131" s="99" t="n">
        <f aca="false">'Gas Curves'!C135</f>
        <v>0.074189872036813</v>
      </c>
      <c r="C131" s="99"/>
      <c r="D131" s="145" t="n">
        <v>39083</v>
      </c>
      <c r="E131" s="146" t="n">
        <v>35.75</v>
      </c>
      <c r="F131" s="146" t="n">
        <v>36.95</v>
      </c>
      <c r="G131" s="146" t="n">
        <v>38.15</v>
      </c>
      <c r="H131" s="127"/>
      <c r="I131" s="146" t="n">
        <v>20.1900009155273</v>
      </c>
      <c r="J131" s="146" t="n">
        <v>20.7900009155273</v>
      </c>
      <c r="K131" s="146" t="n">
        <v>21.3900009155273</v>
      </c>
      <c r="L131" s="105"/>
      <c r="M131" s="106" t="n">
        <v>39965</v>
      </c>
      <c r="N131" s="147" t="n">
        <v>22.4137501525879</v>
      </c>
      <c r="O131" s="147" t="n">
        <v>27.2587501525879</v>
      </c>
      <c r="P131" s="147" t="n">
        <v>32.1037501525879</v>
      </c>
      <c r="Q131" s="18"/>
      <c r="R131" s="147" t="n">
        <v>17.4424995422363</v>
      </c>
      <c r="S131" s="147" t="n">
        <v>20.7424995422363</v>
      </c>
      <c r="T131" s="147" t="n">
        <v>24.0424995422363</v>
      </c>
      <c r="U131" s="18"/>
      <c r="V131" s="147" t="n">
        <v>0.3</v>
      </c>
      <c r="W131" s="147" t="n">
        <v>0.3</v>
      </c>
      <c r="X131" s="147" t="n">
        <v>0.3</v>
      </c>
      <c r="Y131" s="18"/>
      <c r="Z131" s="147" t="n">
        <v>0.11396733734007</v>
      </c>
      <c r="AA131" s="147" t="n">
        <v>0.22793467468014</v>
      </c>
      <c r="AB131" s="147" t="n">
        <v>0.341902012020209</v>
      </c>
      <c r="AC131" s="18"/>
      <c r="AD131" s="147" t="n">
        <v>0.0375186492958567</v>
      </c>
      <c r="AE131" s="147" t="n">
        <v>0.0750372985917135</v>
      </c>
      <c r="AF131" s="147" t="n">
        <v>0.11255594788757</v>
      </c>
      <c r="AG131" s="18"/>
      <c r="AH131" s="147" t="n">
        <v>-0.35</v>
      </c>
      <c r="AI131" s="147" t="n">
        <v>2</v>
      </c>
      <c r="AJ131" s="147" t="n">
        <v>0.3</v>
      </c>
      <c r="AK131" s="18"/>
      <c r="AL131" s="147" t="n">
        <v>-0.15</v>
      </c>
      <c r="AM131" s="147" t="n">
        <v>0.65</v>
      </c>
      <c r="AN131" s="147" t="n">
        <v>0.2</v>
      </c>
      <c r="AO131" s="18"/>
      <c r="AP131" s="105" t="n">
        <v>38</v>
      </c>
      <c r="AQ131" s="148" t="n">
        <v>0.4</v>
      </c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06" t="n">
        <v>39965</v>
      </c>
      <c r="BI131" s="150" t="n">
        <v>0.9</v>
      </c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0"/>
      <c r="CM131" s="175"/>
      <c r="CN131" s="175"/>
      <c r="CO131" s="151"/>
      <c r="CP131" s="0"/>
      <c r="CQ131" s="0"/>
      <c r="CR131" s="0"/>
      <c r="CS131" s="0"/>
      <c r="CT131" s="0"/>
      <c r="CY131" s="152" t="n">
        <f aca="false">M131</f>
        <v>39965</v>
      </c>
      <c r="CZ131" s="153" t="n">
        <f aca="false">AI131+AH131</f>
        <v>1.65</v>
      </c>
      <c r="DA131" s="153" t="n">
        <f aca="false">AI131</f>
        <v>2</v>
      </c>
      <c r="DB131" s="153" t="n">
        <f aca="false">AI131+AJ131</f>
        <v>2.3</v>
      </c>
      <c r="DD131" s="153" t="n">
        <f aca="false">Z131</f>
        <v>0.11396733734007</v>
      </c>
      <c r="DE131" s="153" t="n">
        <f aca="false">AA131</f>
        <v>0.22793467468014</v>
      </c>
      <c r="DF131" s="153" t="n">
        <f aca="false">AB131</f>
        <v>0.341902012020209</v>
      </c>
      <c r="DH131" s="152" t="n">
        <f aca="false">BH131</f>
        <v>39965</v>
      </c>
      <c r="DI131" s="99" t="n">
        <v>0.9</v>
      </c>
    </row>
    <row r="132" customFormat="false" ht="12.75" hidden="false" customHeight="false" outlineLevel="0" collapsed="false">
      <c r="A132" s="110" t="n">
        <f aca="false">EOMONTH(A131,0)+1</f>
        <v>49553</v>
      </c>
      <c r="B132" s="99" t="n">
        <f aca="false">'Gas Curves'!C136</f>
        <v>0.074203678256838</v>
      </c>
      <c r="C132" s="99"/>
      <c r="D132" s="145" t="n">
        <v>39114</v>
      </c>
      <c r="E132" s="146" t="n">
        <v>35.75</v>
      </c>
      <c r="F132" s="146" t="n">
        <v>36.95</v>
      </c>
      <c r="G132" s="146" t="n">
        <v>38.15</v>
      </c>
      <c r="H132" s="127"/>
      <c r="I132" s="146" t="n">
        <v>19.9999977111816</v>
      </c>
      <c r="J132" s="146" t="n">
        <v>20.5999977111816</v>
      </c>
      <c r="K132" s="146" t="n">
        <v>21.1999977111816</v>
      </c>
      <c r="L132" s="105"/>
      <c r="M132" s="106" t="n">
        <v>39995</v>
      </c>
      <c r="N132" s="147" t="n">
        <v>36.7112495422363</v>
      </c>
      <c r="O132" s="147" t="n">
        <v>40.4612495422363</v>
      </c>
      <c r="P132" s="147" t="n">
        <v>44.2112495422363</v>
      </c>
      <c r="Q132" s="18"/>
      <c r="R132" s="147" t="n">
        <v>26.6474994659424</v>
      </c>
      <c r="S132" s="147" t="n">
        <v>29.9474994659424</v>
      </c>
      <c r="T132" s="147" t="n">
        <v>33.2474994659424</v>
      </c>
      <c r="U132" s="18"/>
      <c r="V132" s="147" t="n">
        <v>0.3</v>
      </c>
      <c r="W132" s="147" t="n">
        <v>0.3</v>
      </c>
      <c r="X132" s="147" t="n">
        <v>0.3</v>
      </c>
      <c r="Y132" s="18"/>
      <c r="Z132" s="147" t="n">
        <v>0.134865080925675</v>
      </c>
      <c r="AA132" s="147" t="n">
        <v>0.269730161851351</v>
      </c>
      <c r="AB132" s="147" t="n">
        <v>0.404595242777026</v>
      </c>
      <c r="AC132" s="18"/>
      <c r="AD132" s="147" t="n">
        <v>0.050024865727809</v>
      </c>
      <c r="AE132" s="147" t="n">
        <v>0.100049731455618</v>
      </c>
      <c r="AF132" s="147" t="n">
        <v>0.150074597183427</v>
      </c>
      <c r="AG132" s="18"/>
      <c r="AH132" s="147" t="n">
        <v>-0.35</v>
      </c>
      <c r="AI132" s="147" t="n">
        <v>3</v>
      </c>
      <c r="AJ132" s="147" t="n">
        <v>0.5</v>
      </c>
      <c r="AK132" s="18"/>
      <c r="AL132" s="147" t="n">
        <v>-0.15</v>
      </c>
      <c r="AM132" s="147" t="n">
        <v>0.75</v>
      </c>
      <c r="AN132" s="147" t="n">
        <v>0.2</v>
      </c>
      <c r="AO132" s="18"/>
      <c r="AP132" s="105" t="n">
        <v>38</v>
      </c>
      <c r="AQ132" s="148" t="n">
        <v>0.4</v>
      </c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06" t="n">
        <v>39995</v>
      </c>
      <c r="BI132" s="150" t="n">
        <v>0.9</v>
      </c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0"/>
      <c r="CM132" s="175"/>
      <c r="CN132" s="175"/>
      <c r="CO132" s="151"/>
      <c r="CP132" s="0"/>
      <c r="CQ132" s="0"/>
      <c r="CR132" s="0"/>
      <c r="CS132" s="0"/>
      <c r="CT132" s="0"/>
      <c r="CY132" s="152" t="n">
        <f aca="false">M132</f>
        <v>39995</v>
      </c>
      <c r="CZ132" s="153" t="n">
        <f aca="false">AI132+AH132</f>
        <v>2.65</v>
      </c>
      <c r="DA132" s="153" t="n">
        <f aca="false">AI132</f>
        <v>3</v>
      </c>
      <c r="DB132" s="153" t="n">
        <f aca="false">AI132+AJ132</f>
        <v>3.5</v>
      </c>
      <c r="DD132" s="153" t="n">
        <f aca="false">Z132</f>
        <v>0.134865080925675</v>
      </c>
      <c r="DE132" s="153" t="n">
        <f aca="false">AA132</f>
        <v>0.269730161851351</v>
      </c>
      <c r="DF132" s="153" t="n">
        <f aca="false">AB132</f>
        <v>0.404595242777026</v>
      </c>
      <c r="DH132" s="152" t="n">
        <f aca="false">BH132</f>
        <v>39995</v>
      </c>
      <c r="DI132" s="99" t="n">
        <v>0.9</v>
      </c>
    </row>
    <row r="133" customFormat="false" ht="12.75" hidden="false" customHeight="false" outlineLevel="0" collapsed="false">
      <c r="A133" s="110" t="n">
        <f aca="false">EOMONTH(A132,0)+1</f>
        <v>49583</v>
      </c>
      <c r="B133" s="99" t="n">
        <f aca="false">'Gas Curves'!C137</f>
        <v>0.074204388711588</v>
      </c>
      <c r="C133" s="99"/>
      <c r="D133" s="145" t="n">
        <v>39142</v>
      </c>
      <c r="E133" s="146" t="n">
        <v>32.5</v>
      </c>
      <c r="F133" s="146" t="n">
        <v>33.2</v>
      </c>
      <c r="G133" s="146" t="n">
        <v>33.9</v>
      </c>
      <c r="H133" s="127"/>
      <c r="I133" s="146" t="n">
        <v>19.2499996185303</v>
      </c>
      <c r="J133" s="146" t="n">
        <v>19.5999996185303</v>
      </c>
      <c r="K133" s="146" t="n">
        <v>19.9499996185303</v>
      </c>
      <c r="L133" s="105"/>
      <c r="M133" s="106" t="n">
        <v>40026</v>
      </c>
      <c r="N133" s="147" t="n">
        <v>38.9724990844727</v>
      </c>
      <c r="O133" s="147" t="n">
        <v>42.7224990844727</v>
      </c>
      <c r="P133" s="147" t="n">
        <v>46.4724990844727</v>
      </c>
      <c r="Q133" s="18"/>
      <c r="R133" s="147" t="n">
        <v>28.1450008392334</v>
      </c>
      <c r="S133" s="147" t="n">
        <v>31.4450008392334</v>
      </c>
      <c r="T133" s="147" t="n">
        <v>34.7450008392334</v>
      </c>
      <c r="U133" s="18"/>
      <c r="V133" s="147" t="n">
        <v>0.3</v>
      </c>
      <c r="W133" s="147" t="n">
        <v>0.3</v>
      </c>
      <c r="X133" s="147" t="n">
        <v>0.3</v>
      </c>
      <c r="Y133" s="18"/>
      <c r="Z133" s="147" t="n">
        <v>0.132700671768595</v>
      </c>
      <c r="AA133" s="147" t="n">
        <v>0.265401343537189</v>
      </c>
      <c r="AB133" s="147" t="n">
        <v>0.398102015305784</v>
      </c>
      <c r="AC133" s="18"/>
      <c r="AD133" s="147" t="n">
        <v>0.050024865727809</v>
      </c>
      <c r="AE133" s="147" t="n">
        <v>0.100049731455618</v>
      </c>
      <c r="AF133" s="147" t="n">
        <v>0.150074597183427</v>
      </c>
      <c r="AG133" s="18"/>
      <c r="AH133" s="147" t="n">
        <v>-0.35</v>
      </c>
      <c r="AI133" s="147" t="n">
        <v>3</v>
      </c>
      <c r="AJ133" s="147" t="n">
        <v>0.5</v>
      </c>
      <c r="AK133" s="18"/>
      <c r="AL133" s="147" t="n">
        <v>-0.15</v>
      </c>
      <c r="AM133" s="147" t="n">
        <v>0.75</v>
      </c>
      <c r="AN133" s="147" t="n">
        <v>0.2</v>
      </c>
      <c r="AO133" s="18"/>
      <c r="AP133" s="105" t="n">
        <v>39</v>
      </c>
      <c r="AQ133" s="148" t="n">
        <v>0.4</v>
      </c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06" t="n">
        <v>40026</v>
      </c>
      <c r="BI133" s="150" t="n">
        <v>0.9</v>
      </c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0"/>
      <c r="CM133" s="175"/>
      <c r="CN133" s="175"/>
      <c r="CO133" s="151"/>
      <c r="CP133" s="0"/>
      <c r="CQ133" s="0"/>
      <c r="CR133" s="0"/>
      <c r="CS133" s="0"/>
      <c r="CT133" s="0"/>
      <c r="CY133" s="152" t="n">
        <f aca="false">M133</f>
        <v>40026</v>
      </c>
      <c r="CZ133" s="153" t="n">
        <f aca="false">AI133+AH133</f>
        <v>2.65</v>
      </c>
      <c r="DA133" s="153" t="n">
        <f aca="false">AI133</f>
        <v>3</v>
      </c>
      <c r="DB133" s="153" t="n">
        <f aca="false">AI133+AJ133</f>
        <v>3.5</v>
      </c>
      <c r="DD133" s="153" t="n">
        <f aca="false">Z133</f>
        <v>0.132700671768595</v>
      </c>
      <c r="DE133" s="153" t="n">
        <f aca="false">AA133</f>
        <v>0.265401343537189</v>
      </c>
      <c r="DF133" s="153" t="n">
        <f aca="false">AB133</f>
        <v>0.398102015305784</v>
      </c>
      <c r="DH133" s="152" t="n">
        <f aca="false">BH133</f>
        <v>40026</v>
      </c>
      <c r="DI133" s="99" t="n">
        <v>0.9</v>
      </c>
    </row>
    <row r="134" customFormat="false" ht="12.75" hidden="false" customHeight="false" outlineLevel="0" collapsed="false">
      <c r="A134" s="110" t="n">
        <f aca="false">EOMONTH(A133,0)+1</f>
        <v>49614</v>
      </c>
      <c r="B134" s="99" t="n">
        <f aca="false">'Gas Curves'!C138</f>
        <v>0.074204103500735</v>
      </c>
      <c r="C134" s="99"/>
      <c r="D134" s="145" t="n">
        <v>39173</v>
      </c>
      <c r="E134" s="146" t="n">
        <v>31.4</v>
      </c>
      <c r="F134" s="146" t="n">
        <v>31.95</v>
      </c>
      <c r="G134" s="146" t="n">
        <v>32.5</v>
      </c>
      <c r="H134" s="127"/>
      <c r="I134" s="146" t="n">
        <v>19.3249977111816</v>
      </c>
      <c r="J134" s="146" t="n">
        <v>19.5999977111816</v>
      </c>
      <c r="K134" s="146" t="n">
        <v>19.8749977111816</v>
      </c>
      <c r="L134" s="105"/>
      <c r="M134" s="106" t="n">
        <v>40057</v>
      </c>
      <c r="N134" s="147" t="n">
        <v>22.9799991607666</v>
      </c>
      <c r="O134" s="147" t="n">
        <v>24.1049991607666</v>
      </c>
      <c r="P134" s="147" t="n">
        <v>25.2299991607666</v>
      </c>
      <c r="Q134" s="18"/>
      <c r="R134" s="147" t="n">
        <v>21.3</v>
      </c>
      <c r="S134" s="147" t="n">
        <v>24.6</v>
      </c>
      <c r="T134" s="147" t="n">
        <v>27.9</v>
      </c>
      <c r="U134" s="18"/>
      <c r="V134" s="147" t="n">
        <v>0.8</v>
      </c>
      <c r="W134" s="147" t="n">
        <v>0.8</v>
      </c>
      <c r="X134" s="147" t="n">
        <v>0.8</v>
      </c>
      <c r="Y134" s="18"/>
      <c r="Z134" s="147" t="n">
        <v>0.087919792656583</v>
      </c>
      <c r="AA134" s="147" t="n">
        <v>0.175839585313166</v>
      </c>
      <c r="AB134" s="147" t="n">
        <v>0.263759377969749</v>
      </c>
      <c r="AC134" s="18"/>
      <c r="AD134" s="147" t="n">
        <v>0.033349910485206</v>
      </c>
      <c r="AE134" s="147" t="n">
        <v>0.066699820970412</v>
      </c>
      <c r="AF134" s="147" t="n">
        <v>0.100049731455618</v>
      </c>
      <c r="AG134" s="18"/>
      <c r="AH134" s="147" t="n">
        <v>-0.35</v>
      </c>
      <c r="AI134" s="147" t="n">
        <v>1.5</v>
      </c>
      <c r="AJ134" s="147" t="n">
        <v>0.3</v>
      </c>
      <c r="AK134" s="18"/>
      <c r="AL134" s="147" t="n">
        <v>-0.15</v>
      </c>
      <c r="AM134" s="147" t="n">
        <v>0.4</v>
      </c>
      <c r="AN134" s="147" t="n">
        <v>0.2</v>
      </c>
      <c r="AO134" s="18"/>
      <c r="AP134" s="105" t="n">
        <v>39</v>
      </c>
      <c r="AQ134" s="148" t="n">
        <v>0.4</v>
      </c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06" t="n">
        <v>40057</v>
      </c>
      <c r="BI134" s="150" t="n">
        <v>0.9</v>
      </c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0"/>
      <c r="CM134" s="175"/>
      <c r="CN134" s="175"/>
      <c r="CO134" s="151"/>
      <c r="CP134" s="0"/>
      <c r="CQ134" s="0"/>
      <c r="CR134" s="0"/>
      <c r="CS134" s="0"/>
      <c r="CT134" s="0"/>
      <c r="CY134" s="152" t="n">
        <f aca="false">M134</f>
        <v>40057</v>
      </c>
      <c r="CZ134" s="153" t="n">
        <f aca="false">AI134+AH134</f>
        <v>1.15</v>
      </c>
      <c r="DA134" s="153" t="n">
        <f aca="false">AI134</f>
        <v>1.5</v>
      </c>
      <c r="DB134" s="153" t="n">
        <f aca="false">AI134+AJ134</f>
        <v>1.8</v>
      </c>
      <c r="DD134" s="153" t="n">
        <f aca="false">Z134</f>
        <v>0.087919792656583</v>
      </c>
      <c r="DE134" s="153" t="n">
        <f aca="false">AA134</f>
        <v>0.175839585313166</v>
      </c>
      <c r="DF134" s="153" t="n">
        <f aca="false">AB134</f>
        <v>0.263759377969749</v>
      </c>
      <c r="DH134" s="152" t="n">
        <f aca="false">BH134</f>
        <v>40057</v>
      </c>
      <c r="DI134" s="99" t="n">
        <v>0.9</v>
      </c>
    </row>
    <row r="135" customFormat="false" ht="12.75" hidden="false" customHeight="false" outlineLevel="0" collapsed="false">
      <c r="A135" s="110" t="n">
        <f aca="false">EOMONTH(A134,0)+1</f>
        <v>49644</v>
      </c>
      <c r="B135" s="99" t="n">
        <f aca="false">'Gas Curves'!C139</f>
        <v>0.074203808782852</v>
      </c>
      <c r="C135" s="99"/>
      <c r="D135" s="145" t="n">
        <v>39203</v>
      </c>
      <c r="E135" s="146" t="n">
        <v>32.1</v>
      </c>
      <c r="F135" s="146" t="n">
        <v>33.95</v>
      </c>
      <c r="G135" s="146" t="n">
        <v>35.8</v>
      </c>
      <c r="H135" s="127"/>
      <c r="I135" s="146" t="n">
        <v>18.6749977111816</v>
      </c>
      <c r="J135" s="146" t="n">
        <v>19.5999977111816</v>
      </c>
      <c r="K135" s="146" t="n">
        <v>20.5249977111816</v>
      </c>
      <c r="L135" s="105"/>
      <c r="M135" s="106" t="n">
        <v>40087</v>
      </c>
      <c r="N135" s="147" t="n">
        <v>23.1880001068115</v>
      </c>
      <c r="O135" s="147" t="n">
        <v>24.2005001068115</v>
      </c>
      <c r="P135" s="147" t="n">
        <v>25.2130001068115</v>
      </c>
      <c r="Q135" s="18"/>
      <c r="R135" s="147" t="n">
        <v>18.9009998321533</v>
      </c>
      <c r="S135" s="147" t="n">
        <v>22.2009998321533</v>
      </c>
      <c r="T135" s="147" t="n">
        <v>25.5009998321533</v>
      </c>
      <c r="U135" s="18"/>
      <c r="V135" s="147" t="n">
        <v>0.8</v>
      </c>
      <c r="W135" s="147" t="n">
        <v>0.8</v>
      </c>
      <c r="X135" s="147" t="n">
        <v>0.8</v>
      </c>
      <c r="Y135" s="18"/>
      <c r="Z135" s="147" t="n">
        <v>0.080307043207541</v>
      </c>
      <c r="AA135" s="147" t="n">
        <v>0.160614086415082</v>
      </c>
      <c r="AB135" s="147" t="n">
        <v>0.240921129622623</v>
      </c>
      <c r="AC135" s="18"/>
      <c r="AD135" s="147" t="n">
        <v>0.0250124328639045</v>
      </c>
      <c r="AE135" s="147" t="n">
        <v>0.050024865727809</v>
      </c>
      <c r="AF135" s="147" t="n">
        <v>0.0750372985917135</v>
      </c>
      <c r="AG135" s="18"/>
      <c r="AH135" s="147" t="n">
        <v>-0.25</v>
      </c>
      <c r="AI135" s="147" t="n">
        <v>1.1</v>
      </c>
      <c r="AJ135" s="147" t="n">
        <v>0.3</v>
      </c>
      <c r="AK135" s="18"/>
      <c r="AL135" s="147" t="n">
        <v>-0.15</v>
      </c>
      <c r="AM135" s="147" t="n">
        <v>0.35</v>
      </c>
      <c r="AN135" s="147" t="n">
        <v>0.2</v>
      </c>
      <c r="AO135" s="18"/>
      <c r="AP135" s="105" t="n">
        <v>39</v>
      </c>
      <c r="AQ135" s="148" t="n">
        <v>0.4</v>
      </c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06" t="n">
        <v>40087</v>
      </c>
      <c r="BI135" s="150" t="n">
        <v>0.9</v>
      </c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0"/>
      <c r="CM135" s="175"/>
      <c r="CN135" s="175"/>
      <c r="CO135" s="151"/>
      <c r="CP135" s="0"/>
      <c r="CQ135" s="0"/>
      <c r="CR135" s="0"/>
      <c r="CS135" s="0"/>
      <c r="CT135" s="0"/>
      <c r="CY135" s="152" t="n">
        <f aca="false">M135</f>
        <v>40087</v>
      </c>
      <c r="CZ135" s="153" t="n">
        <f aca="false">AI135+AH135</f>
        <v>0.85</v>
      </c>
      <c r="DA135" s="153" t="n">
        <f aca="false">AI135</f>
        <v>1.1</v>
      </c>
      <c r="DB135" s="153" t="n">
        <f aca="false">AI135+AJ135</f>
        <v>1.4</v>
      </c>
      <c r="DD135" s="153" t="n">
        <f aca="false">Z135</f>
        <v>0.080307043207541</v>
      </c>
      <c r="DE135" s="153" t="n">
        <f aca="false">AA135</f>
        <v>0.160614086415082</v>
      </c>
      <c r="DF135" s="153" t="n">
        <f aca="false">AB135</f>
        <v>0.240921129622623</v>
      </c>
      <c r="DH135" s="152" t="n">
        <f aca="false">BH135</f>
        <v>40087</v>
      </c>
      <c r="DI135" s="99" t="n">
        <v>0.9</v>
      </c>
    </row>
    <row r="136" customFormat="false" ht="12.75" hidden="false" customHeight="false" outlineLevel="0" collapsed="false">
      <c r="A136" s="110" t="n">
        <f aca="false">EOMONTH(A135,0)+1</f>
        <v>49675</v>
      </c>
      <c r="B136" s="99" t="n">
        <f aca="false">'Gas Curves'!C140</f>
        <v>0.074203523572</v>
      </c>
      <c r="C136" s="99"/>
      <c r="D136" s="145" t="n">
        <v>39234</v>
      </c>
      <c r="E136" s="146" t="n">
        <v>44.17</v>
      </c>
      <c r="F136" s="146" t="n">
        <v>49.5</v>
      </c>
      <c r="G136" s="146" t="n">
        <v>54.83</v>
      </c>
      <c r="H136" s="127"/>
      <c r="I136" s="146" t="n">
        <v>16.8899987792969</v>
      </c>
      <c r="J136" s="146" t="n">
        <v>19.5549987792969</v>
      </c>
      <c r="K136" s="146" t="n">
        <v>22.2199987792969</v>
      </c>
      <c r="L136" s="105"/>
      <c r="M136" s="106" t="n">
        <v>40118</v>
      </c>
      <c r="N136" s="147" t="n">
        <v>24.1922515869141</v>
      </c>
      <c r="O136" s="147" t="n">
        <v>25.2047515869141</v>
      </c>
      <c r="P136" s="147" t="n">
        <v>26.2172515869141</v>
      </c>
      <c r="Q136" s="18"/>
      <c r="R136" s="147" t="n">
        <v>19.9044998168945</v>
      </c>
      <c r="S136" s="147" t="n">
        <v>23.2044998168945</v>
      </c>
      <c r="T136" s="147" t="n">
        <v>26.5044998168945</v>
      </c>
      <c r="U136" s="18"/>
      <c r="V136" s="147" t="n">
        <v>0.8</v>
      </c>
      <c r="W136" s="147" t="n">
        <v>0.8</v>
      </c>
      <c r="X136" s="147" t="n">
        <v>0.8</v>
      </c>
      <c r="Y136" s="18"/>
      <c r="Z136" s="147" t="n">
        <v>0.080307043207541</v>
      </c>
      <c r="AA136" s="147" t="n">
        <v>0.160614086415082</v>
      </c>
      <c r="AB136" s="147" t="n">
        <v>0.240921129622623</v>
      </c>
      <c r="AC136" s="18"/>
      <c r="AD136" s="147" t="n">
        <v>0.0250124328639045</v>
      </c>
      <c r="AE136" s="147" t="n">
        <v>0.050024865727809</v>
      </c>
      <c r="AF136" s="147" t="n">
        <v>0.0750372985917135</v>
      </c>
      <c r="AG136" s="18"/>
      <c r="AH136" s="147" t="n">
        <v>-0.25</v>
      </c>
      <c r="AI136" s="147" t="n">
        <v>1.25</v>
      </c>
      <c r="AJ136" s="147" t="n">
        <v>0.3</v>
      </c>
      <c r="AK136" s="18"/>
      <c r="AL136" s="147" t="n">
        <v>-0.15</v>
      </c>
      <c r="AM136" s="147" t="n">
        <v>0.3</v>
      </c>
      <c r="AN136" s="147" t="n">
        <v>0.2</v>
      </c>
      <c r="AO136" s="18"/>
      <c r="AP136" s="105" t="n">
        <v>40</v>
      </c>
      <c r="AQ136" s="148" t="n">
        <v>0.4</v>
      </c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06" t="n">
        <v>40118</v>
      </c>
      <c r="BI136" s="150" t="n">
        <v>0.9</v>
      </c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0"/>
      <c r="CM136" s="175"/>
      <c r="CN136" s="175"/>
      <c r="CO136" s="151"/>
      <c r="CP136" s="0"/>
      <c r="CQ136" s="0"/>
      <c r="CR136" s="0"/>
      <c r="CS136" s="0"/>
      <c r="CT136" s="0"/>
      <c r="CY136" s="152" t="n">
        <f aca="false">M136</f>
        <v>40118</v>
      </c>
      <c r="CZ136" s="153" t="n">
        <f aca="false">AI136+AH136</f>
        <v>1</v>
      </c>
      <c r="DA136" s="153" t="n">
        <f aca="false">AI136</f>
        <v>1.25</v>
      </c>
      <c r="DB136" s="153" t="n">
        <f aca="false">AI136+AJ136</f>
        <v>1.55</v>
      </c>
      <c r="DD136" s="153" t="n">
        <f aca="false">Z136</f>
        <v>0.080307043207541</v>
      </c>
      <c r="DE136" s="153" t="n">
        <f aca="false">AA136</f>
        <v>0.160614086415082</v>
      </c>
      <c r="DF136" s="153" t="n">
        <f aca="false">AB136</f>
        <v>0.240921129622623</v>
      </c>
      <c r="DH136" s="152" t="n">
        <f aca="false">BH136</f>
        <v>40118</v>
      </c>
      <c r="DI136" s="99" t="n">
        <v>0.9</v>
      </c>
    </row>
    <row r="137" customFormat="false" ht="12.75" hidden="false" customHeight="false" outlineLevel="0" collapsed="false">
      <c r="A137" s="110" t="n">
        <f aca="false">EOMONTH(A136,0)+1</f>
        <v>49706</v>
      </c>
      <c r="B137" s="99" t="n">
        <f aca="false">'Gas Curves'!C141</f>
        <v>0.074203228854116</v>
      </c>
      <c r="C137" s="99"/>
      <c r="D137" s="145" t="n">
        <v>39264</v>
      </c>
      <c r="E137" s="146" t="n">
        <v>66</v>
      </c>
      <c r="F137" s="146" t="n">
        <v>71</v>
      </c>
      <c r="G137" s="146" t="n">
        <v>76</v>
      </c>
      <c r="H137" s="127"/>
      <c r="I137" s="146" t="n">
        <v>21.5499977111816</v>
      </c>
      <c r="J137" s="146" t="n">
        <v>24.0499977111816</v>
      </c>
      <c r="K137" s="146" t="n">
        <v>26.5499977111816</v>
      </c>
      <c r="L137" s="105"/>
      <c r="M137" s="106" t="n">
        <v>40148</v>
      </c>
      <c r="N137" s="147" t="n">
        <v>25.6424983978271</v>
      </c>
      <c r="O137" s="147" t="n">
        <v>26.6549983978271</v>
      </c>
      <c r="P137" s="147" t="n">
        <v>27.6674983978271</v>
      </c>
      <c r="Q137" s="18"/>
      <c r="R137" s="147" t="n">
        <v>19.8499992370605</v>
      </c>
      <c r="S137" s="147" t="n">
        <v>23.1499992370605</v>
      </c>
      <c r="T137" s="147" t="n">
        <v>26.4499992370605</v>
      </c>
      <c r="U137" s="18"/>
      <c r="V137" s="147" t="n">
        <v>0.8</v>
      </c>
      <c r="W137" s="147" t="n">
        <v>0.8</v>
      </c>
      <c r="X137" s="147" t="n">
        <v>0.8</v>
      </c>
      <c r="Y137" s="18"/>
      <c r="Z137" s="147" t="n">
        <v>0.0831730194707097</v>
      </c>
      <c r="AA137" s="147" t="n">
        <v>0.166346038941419</v>
      </c>
      <c r="AB137" s="147" t="n">
        <v>0.249519058412129</v>
      </c>
      <c r="AC137" s="18"/>
      <c r="AD137" s="147" t="n">
        <v>0.0250124328639045</v>
      </c>
      <c r="AE137" s="147" t="n">
        <v>0.050024865727809</v>
      </c>
      <c r="AF137" s="147" t="n">
        <v>0.0750372985917135</v>
      </c>
      <c r="AG137" s="18"/>
      <c r="AH137" s="147" t="n">
        <v>-0.25</v>
      </c>
      <c r="AI137" s="147" t="n">
        <v>1.25</v>
      </c>
      <c r="AJ137" s="147" t="n">
        <v>0.35</v>
      </c>
      <c r="AK137" s="18"/>
      <c r="AL137" s="147" t="n">
        <v>-0.15</v>
      </c>
      <c r="AM137" s="147" t="n">
        <v>0.3</v>
      </c>
      <c r="AN137" s="147" t="n">
        <v>0.2</v>
      </c>
      <c r="AO137" s="18"/>
      <c r="AP137" s="105" t="n">
        <v>40</v>
      </c>
      <c r="AQ137" s="148" t="n">
        <v>0.4</v>
      </c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06" t="n">
        <v>40148</v>
      </c>
      <c r="BI137" s="150" t="n">
        <v>0.9</v>
      </c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0"/>
      <c r="CM137" s="175"/>
      <c r="CN137" s="175"/>
      <c r="CO137" s="151"/>
      <c r="CP137" s="0"/>
      <c r="CQ137" s="0"/>
      <c r="CR137" s="0"/>
      <c r="CS137" s="0"/>
      <c r="CT137" s="0"/>
      <c r="CY137" s="152" t="n">
        <f aca="false">M137</f>
        <v>40148</v>
      </c>
      <c r="CZ137" s="153" t="n">
        <f aca="false">AI137+AH137</f>
        <v>1</v>
      </c>
      <c r="DA137" s="153" t="n">
        <f aca="false">AI137</f>
        <v>1.25</v>
      </c>
      <c r="DB137" s="153" t="n">
        <f aca="false">AI137+AJ137</f>
        <v>1.6</v>
      </c>
      <c r="DD137" s="153" t="n">
        <f aca="false">Z137</f>
        <v>0.0831730194707097</v>
      </c>
      <c r="DE137" s="153" t="n">
        <f aca="false">AA137</f>
        <v>0.166346038941419</v>
      </c>
      <c r="DF137" s="153" t="n">
        <f aca="false">AB137</f>
        <v>0.249519058412129</v>
      </c>
      <c r="DH137" s="152" t="n">
        <f aca="false">BH137</f>
        <v>40148</v>
      </c>
      <c r="DI137" s="99" t="n">
        <v>0.9</v>
      </c>
    </row>
    <row r="138" customFormat="false" ht="12.75" hidden="false" customHeight="false" outlineLevel="0" collapsed="false">
      <c r="A138" s="110" t="n">
        <f aca="false">EOMONTH(A137,0)+1</f>
        <v>49735</v>
      </c>
      <c r="B138" s="99" t="n">
        <f aca="false">'Gas Curves'!C142</f>
        <v>0.074202934136234</v>
      </c>
      <c r="C138" s="99"/>
      <c r="D138" s="145" t="n">
        <v>39295</v>
      </c>
      <c r="E138" s="146" t="n">
        <v>61.5</v>
      </c>
      <c r="F138" s="146" t="n">
        <v>66.5</v>
      </c>
      <c r="G138" s="146" t="n">
        <v>71.5</v>
      </c>
      <c r="H138" s="127"/>
      <c r="I138" s="146" t="n">
        <v>21.8999980926514</v>
      </c>
      <c r="J138" s="146" t="n">
        <v>24.3999980926514</v>
      </c>
      <c r="K138" s="146" t="n">
        <v>26.8999980926514</v>
      </c>
      <c r="L138" s="105"/>
      <c r="M138" s="106" t="n">
        <v>40179</v>
      </c>
      <c r="N138" s="147" t="n">
        <v>28.9237483978271</v>
      </c>
      <c r="O138" s="147" t="n">
        <v>30.0487483978271</v>
      </c>
      <c r="P138" s="147" t="n">
        <v>31.1737483978271</v>
      </c>
      <c r="Q138" s="18"/>
      <c r="R138" s="147" t="n">
        <v>24.2525001525879</v>
      </c>
      <c r="S138" s="147" t="n">
        <v>28.5525001525879</v>
      </c>
      <c r="T138" s="147" t="n">
        <v>32.8525001525879</v>
      </c>
      <c r="U138" s="18"/>
      <c r="V138" s="147" t="n">
        <v>0.8</v>
      </c>
      <c r="W138" s="147" t="n">
        <v>0.8</v>
      </c>
      <c r="X138" s="147" t="n">
        <v>0.8</v>
      </c>
      <c r="Y138" s="18"/>
      <c r="Z138" s="147" t="n">
        <v>0.0894954161808945</v>
      </c>
      <c r="AA138" s="147" t="n">
        <v>0.178990832361789</v>
      </c>
      <c r="AB138" s="147" t="n">
        <v>0.268486248542684</v>
      </c>
      <c r="AC138" s="18"/>
      <c r="AD138" s="147" t="n">
        <v>0.0285975482410641</v>
      </c>
      <c r="AE138" s="147" t="n">
        <v>0.0571950964821283</v>
      </c>
      <c r="AF138" s="147" t="n">
        <v>0.0857926447231924</v>
      </c>
      <c r="AG138" s="18"/>
      <c r="AH138" s="147" t="n">
        <v>-0.75</v>
      </c>
      <c r="AI138" s="147" t="n">
        <v>2</v>
      </c>
      <c r="AJ138" s="147" t="n">
        <v>0.75</v>
      </c>
      <c r="AK138" s="18"/>
      <c r="AL138" s="147" t="n">
        <v>-0.15</v>
      </c>
      <c r="AM138" s="147" t="n">
        <v>0.5</v>
      </c>
      <c r="AN138" s="147" t="n">
        <v>0.2</v>
      </c>
      <c r="AO138" s="18"/>
      <c r="AP138" s="105" t="n">
        <v>40</v>
      </c>
      <c r="AQ138" s="148" t="n">
        <v>0.4</v>
      </c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06" t="n">
        <v>40179</v>
      </c>
      <c r="BI138" s="150" t="n">
        <v>0.9</v>
      </c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0"/>
      <c r="CM138" s="175"/>
      <c r="CN138" s="175"/>
      <c r="CO138" s="151"/>
      <c r="CP138" s="0"/>
      <c r="CQ138" s="0"/>
      <c r="CR138" s="0"/>
      <c r="CS138" s="0"/>
      <c r="CT138" s="0"/>
      <c r="CY138" s="152" t="n">
        <f aca="false">M138</f>
        <v>40179</v>
      </c>
      <c r="CZ138" s="153" t="n">
        <f aca="false">AI138+AH138</f>
        <v>1.25</v>
      </c>
      <c r="DA138" s="153" t="n">
        <f aca="false">AI138</f>
        <v>2</v>
      </c>
      <c r="DB138" s="153" t="n">
        <f aca="false">AI138+AJ138</f>
        <v>2.75</v>
      </c>
      <c r="DD138" s="153" t="n">
        <f aca="false">Z138</f>
        <v>0.0894954161808945</v>
      </c>
      <c r="DE138" s="153" t="n">
        <f aca="false">AA138</f>
        <v>0.178990832361789</v>
      </c>
      <c r="DF138" s="153" t="n">
        <f aca="false">AB138</f>
        <v>0.268486248542684</v>
      </c>
      <c r="DH138" s="152" t="n">
        <f aca="false">BH138</f>
        <v>40179</v>
      </c>
      <c r="DI138" s="99" t="n">
        <v>0.9</v>
      </c>
    </row>
    <row r="139" customFormat="false" ht="12.75" hidden="false" customHeight="false" outlineLevel="0" collapsed="false">
      <c r="A139" s="110" t="n">
        <f aca="false">EOMONTH(A138,0)+1</f>
        <v>49766</v>
      </c>
      <c r="B139" s="99" t="n">
        <f aca="false">'Gas Curves'!C143</f>
        <v>0.074202648925381</v>
      </c>
      <c r="C139" s="99"/>
      <c r="D139" s="145" t="n">
        <v>39326</v>
      </c>
      <c r="E139" s="146" t="n">
        <v>31.65</v>
      </c>
      <c r="F139" s="146" t="n">
        <v>32.95</v>
      </c>
      <c r="G139" s="146" t="n">
        <v>34.25</v>
      </c>
      <c r="H139" s="127"/>
      <c r="I139" s="146" t="n">
        <v>19.2999980926514</v>
      </c>
      <c r="J139" s="146" t="n">
        <v>19.9499980926514</v>
      </c>
      <c r="K139" s="146" t="n">
        <v>20.5999980926514</v>
      </c>
      <c r="L139" s="105"/>
      <c r="M139" s="106" t="n">
        <v>40210</v>
      </c>
      <c r="N139" s="147" t="n">
        <v>27.9212501525879</v>
      </c>
      <c r="O139" s="147" t="n">
        <v>29.0462501525879</v>
      </c>
      <c r="P139" s="147" t="n">
        <v>30.1712501525879</v>
      </c>
      <c r="Q139" s="18"/>
      <c r="R139" s="147" t="n">
        <v>22.2474994659424</v>
      </c>
      <c r="S139" s="147" t="n">
        <v>26.5474994659424</v>
      </c>
      <c r="T139" s="147" t="n">
        <v>30.8474994659424</v>
      </c>
      <c r="U139" s="18"/>
      <c r="V139" s="147" t="n">
        <v>0.8</v>
      </c>
      <c r="W139" s="147" t="n">
        <v>0.8</v>
      </c>
      <c r="X139" s="147" t="n">
        <v>0.8</v>
      </c>
      <c r="Y139" s="18"/>
      <c r="Z139" s="147" t="n">
        <v>0.0863441691322715</v>
      </c>
      <c r="AA139" s="147" t="n">
        <v>0.172688338264543</v>
      </c>
      <c r="AB139" s="147" t="n">
        <v>0.259032507396814</v>
      </c>
      <c r="AC139" s="18"/>
      <c r="AD139" s="147" t="n">
        <v>0.0285975482410641</v>
      </c>
      <c r="AE139" s="147" t="n">
        <v>0.0571950964821283</v>
      </c>
      <c r="AF139" s="147" t="n">
        <v>0.0857926447231924</v>
      </c>
      <c r="AG139" s="18"/>
      <c r="AH139" s="147" t="n">
        <v>-0.75</v>
      </c>
      <c r="AI139" s="147" t="n">
        <v>2</v>
      </c>
      <c r="AJ139" s="147" t="n">
        <v>0.75</v>
      </c>
      <c r="AK139" s="18"/>
      <c r="AL139" s="147" t="n">
        <v>-0.15</v>
      </c>
      <c r="AM139" s="147" t="n">
        <v>0.5</v>
      </c>
      <c r="AN139" s="147" t="n">
        <v>0.2</v>
      </c>
      <c r="AO139" s="18"/>
      <c r="AP139" s="105" t="n">
        <v>41</v>
      </c>
      <c r="AQ139" s="148" t="n">
        <v>0.4</v>
      </c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06" t="n">
        <v>40210</v>
      </c>
      <c r="BI139" s="150" t="n">
        <v>0.9</v>
      </c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0"/>
      <c r="CM139" s="175"/>
      <c r="CN139" s="175"/>
      <c r="CO139" s="151"/>
      <c r="CP139" s="0"/>
      <c r="CQ139" s="0"/>
      <c r="CR139" s="0"/>
      <c r="CS139" s="0"/>
      <c r="CT139" s="0"/>
      <c r="CY139" s="152" t="n">
        <f aca="false">M139</f>
        <v>40210</v>
      </c>
      <c r="CZ139" s="153" t="n">
        <f aca="false">AI139+AH139</f>
        <v>1.25</v>
      </c>
      <c r="DA139" s="153" t="n">
        <f aca="false">AI139</f>
        <v>2</v>
      </c>
      <c r="DB139" s="153" t="n">
        <f aca="false">AI139+AJ139</f>
        <v>2.75</v>
      </c>
      <c r="DD139" s="153" t="n">
        <f aca="false">Z139</f>
        <v>0.0863441691322715</v>
      </c>
      <c r="DE139" s="153" t="n">
        <f aca="false">AA139</f>
        <v>0.172688338264543</v>
      </c>
      <c r="DF139" s="153" t="n">
        <f aca="false">AB139</f>
        <v>0.259032507396814</v>
      </c>
      <c r="DH139" s="152" t="n">
        <f aca="false">BH139</f>
        <v>40210</v>
      </c>
      <c r="DI139" s="99" t="n">
        <v>0.9</v>
      </c>
    </row>
    <row r="140" customFormat="false" ht="12.75" hidden="false" customHeight="false" outlineLevel="0" collapsed="false">
      <c r="A140" s="110" t="n">
        <f aca="false">EOMONTH(A139,0)+1</f>
        <v>49796</v>
      </c>
      <c r="B140" s="99" t="n">
        <f aca="false">'Gas Curves'!C144</f>
        <v>0.074202354207498</v>
      </c>
      <c r="C140" s="99"/>
      <c r="D140" s="145" t="n">
        <v>39356</v>
      </c>
      <c r="E140" s="146" t="n">
        <v>29.55</v>
      </c>
      <c r="F140" s="146" t="n">
        <v>30.7</v>
      </c>
      <c r="G140" s="146" t="n">
        <v>31.85</v>
      </c>
      <c r="H140" s="127"/>
      <c r="I140" s="146" t="n">
        <v>19.0749988555908</v>
      </c>
      <c r="J140" s="146" t="n">
        <v>19.6499988555908</v>
      </c>
      <c r="K140" s="146" t="n">
        <v>20.2249988555908</v>
      </c>
      <c r="L140" s="105"/>
      <c r="M140" s="106" t="n">
        <v>40238</v>
      </c>
      <c r="N140" s="147" t="n">
        <v>21.5972496032715</v>
      </c>
      <c r="O140" s="147" t="n">
        <v>22.2347496032715</v>
      </c>
      <c r="P140" s="147" t="n">
        <v>22.8722496032715</v>
      </c>
      <c r="Q140" s="18"/>
      <c r="R140" s="147" t="n">
        <v>17.5644989013672</v>
      </c>
      <c r="S140" s="147" t="n">
        <v>21.8644989013672</v>
      </c>
      <c r="T140" s="147" t="n">
        <v>26.1644989013672</v>
      </c>
      <c r="U140" s="18"/>
      <c r="V140" s="147" t="n">
        <v>0.3</v>
      </c>
      <c r="W140" s="147" t="n">
        <v>0.3</v>
      </c>
      <c r="X140" s="147" t="n">
        <v>0.3</v>
      </c>
      <c r="Y140" s="18"/>
      <c r="Z140" s="147" t="n">
        <v>0.0841619305511</v>
      </c>
      <c r="AA140" s="147" t="n">
        <v>0.1683238611022</v>
      </c>
      <c r="AB140" s="147" t="n">
        <v>0.2524857916533</v>
      </c>
      <c r="AC140" s="18"/>
      <c r="AD140" s="147" t="n">
        <v>0.0245121842066264</v>
      </c>
      <c r="AE140" s="147" t="n">
        <v>0.0490243684132528</v>
      </c>
      <c r="AF140" s="147" t="n">
        <v>0.0735365526198792</v>
      </c>
      <c r="AG140" s="18"/>
      <c r="AH140" s="147" t="n">
        <v>-0.25</v>
      </c>
      <c r="AI140" s="147" t="n">
        <v>1.3</v>
      </c>
      <c r="AJ140" s="147" t="n">
        <v>0.3</v>
      </c>
      <c r="AK140" s="18"/>
      <c r="AL140" s="147" t="n">
        <v>-0.15</v>
      </c>
      <c r="AM140" s="147" t="n">
        <v>0.35</v>
      </c>
      <c r="AN140" s="147" t="n">
        <v>0.2</v>
      </c>
      <c r="AO140" s="18"/>
      <c r="AP140" s="105" t="n">
        <v>41</v>
      </c>
      <c r="AQ140" s="148" t="n">
        <v>0.4</v>
      </c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06" t="n">
        <v>40238</v>
      </c>
      <c r="BI140" s="150" t="n">
        <v>0.9</v>
      </c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0"/>
      <c r="CM140" s="175"/>
      <c r="CN140" s="175"/>
      <c r="CO140" s="151"/>
      <c r="CP140" s="0"/>
      <c r="CQ140" s="0"/>
      <c r="CR140" s="0"/>
      <c r="CS140" s="0"/>
      <c r="CT140" s="0"/>
      <c r="CY140" s="152" t="n">
        <f aca="false">M140</f>
        <v>40238</v>
      </c>
      <c r="CZ140" s="153" t="n">
        <f aca="false">AI140+AH140</f>
        <v>1.05</v>
      </c>
      <c r="DA140" s="153" t="n">
        <f aca="false">AI140</f>
        <v>1.3</v>
      </c>
      <c r="DB140" s="153" t="n">
        <f aca="false">AI140+AJ140</f>
        <v>1.6</v>
      </c>
      <c r="DD140" s="153" t="n">
        <f aca="false">Z140</f>
        <v>0.0841619305511</v>
      </c>
      <c r="DE140" s="153" t="n">
        <f aca="false">AA140</f>
        <v>0.1683238611022</v>
      </c>
      <c r="DF140" s="153" t="n">
        <f aca="false">AB140</f>
        <v>0.2524857916533</v>
      </c>
      <c r="DH140" s="152" t="n">
        <f aca="false">BH140</f>
        <v>40238</v>
      </c>
      <c r="DI140" s="99" t="n">
        <v>0.9</v>
      </c>
    </row>
    <row r="141" customFormat="false" ht="12.75" hidden="false" customHeight="false" outlineLevel="0" collapsed="false">
      <c r="A141" s="110" t="n">
        <f aca="false">EOMONTH(A140,0)+1</f>
        <v>49827</v>
      </c>
      <c r="B141" s="99" t="n">
        <f aca="false">'Gas Curves'!C145</f>
        <v>0.074202068996644</v>
      </c>
      <c r="C141" s="99"/>
      <c r="D141" s="145" t="n">
        <v>39387</v>
      </c>
      <c r="E141" s="146" t="n">
        <v>29.925</v>
      </c>
      <c r="F141" s="146" t="n">
        <v>31.075</v>
      </c>
      <c r="G141" s="146" t="n">
        <v>32.225</v>
      </c>
      <c r="H141" s="127"/>
      <c r="I141" s="146" t="n">
        <v>18.9999980926514</v>
      </c>
      <c r="J141" s="146" t="n">
        <v>19.5749980926514</v>
      </c>
      <c r="K141" s="146" t="n">
        <v>20.1499980926514</v>
      </c>
      <c r="L141" s="105"/>
      <c r="M141" s="106" t="n">
        <v>40269</v>
      </c>
      <c r="N141" s="147" t="n">
        <v>22.3925003051758</v>
      </c>
      <c r="O141" s="147" t="n">
        <v>22.9175003051758</v>
      </c>
      <c r="P141" s="147" t="n">
        <v>23.4425003051758</v>
      </c>
      <c r="Q141" s="18"/>
      <c r="R141" s="147" t="n">
        <v>17.3349990844727</v>
      </c>
      <c r="S141" s="147" t="n">
        <v>21.6349990844727</v>
      </c>
      <c r="T141" s="147" t="n">
        <v>25.9349990844727</v>
      </c>
      <c r="U141" s="18"/>
      <c r="V141" s="147" t="n">
        <v>0.3</v>
      </c>
      <c r="W141" s="147" t="n">
        <v>0.3</v>
      </c>
      <c r="X141" s="147" t="n">
        <v>0.3</v>
      </c>
      <c r="Y141" s="18"/>
      <c r="Z141" s="147" t="n">
        <v>0.0750154359924716</v>
      </c>
      <c r="AA141" s="147" t="n">
        <v>0.150030871984943</v>
      </c>
      <c r="AB141" s="147" t="n">
        <v>0.225046307977415</v>
      </c>
      <c r="AC141" s="18"/>
      <c r="AD141" s="147" t="n">
        <v>0.0245121842066264</v>
      </c>
      <c r="AE141" s="147" t="n">
        <v>0.0490243684132528</v>
      </c>
      <c r="AF141" s="147" t="n">
        <v>0.0735365526198792</v>
      </c>
      <c r="AG141" s="18"/>
      <c r="AH141" s="147" t="n">
        <v>-0.25</v>
      </c>
      <c r="AI141" s="147" t="n">
        <v>1.1</v>
      </c>
      <c r="AJ141" s="147" t="n">
        <v>0.3</v>
      </c>
      <c r="AK141" s="18"/>
      <c r="AL141" s="147" t="n">
        <v>-0.15</v>
      </c>
      <c r="AM141" s="147" t="n">
        <v>0.35</v>
      </c>
      <c r="AN141" s="147" t="n">
        <v>0.2</v>
      </c>
      <c r="AO141" s="18"/>
      <c r="AP141" s="105" t="n">
        <v>41</v>
      </c>
      <c r="AQ141" s="148" t="n">
        <v>0.4</v>
      </c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06" t="n">
        <v>40269</v>
      </c>
      <c r="BI141" s="150" t="n">
        <v>0.9</v>
      </c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0"/>
      <c r="CM141" s="175"/>
      <c r="CN141" s="175"/>
      <c r="CO141" s="151"/>
      <c r="CP141" s="0"/>
      <c r="CQ141" s="0"/>
      <c r="CR141" s="0"/>
      <c r="CS141" s="0"/>
      <c r="CT141" s="0"/>
      <c r="CY141" s="152" t="n">
        <f aca="false">M141</f>
        <v>40269</v>
      </c>
      <c r="CZ141" s="153" t="n">
        <f aca="false">AI141+AH141</f>
        <v>0.85</v>
      </c>
      <c r="DA141" s="153" t="n">
        <f aca="false">AI141</f>
        <v>1.1</v>
      </c>
      <c r="DB141" s="153" t="n">
        <f aca="false">AI141+AJ141</f>
        <v>1.4</v>
      </c>
      <c r="DD141" s="153" t="n">
        <f aca="false">Z141</f>
        <v>0.0750154359924716</v>
      </c>
      <c r="DE141" s="153" t="n">
        <f aca="false">AA141</f>
        <v>0.150030871984943</v>
      </c>
      <c r="DF141" s="153" t="n">
        <f aca="false">AB141</f>
        <v>0.225046307977415</v>
      </c>
      <c r="DH141" s="152" t="n">
        <f aca="false">BH141</f>
        <v>40269</v>
      </c>
      <c r="DI141" s="99" t="n">
        <v>0.9</v>
      </c>
    </row>
    <row r="142" customFormat="false" ht="12.75" hidden="false" customHeight="false" outlineLevel="0" collapsed="false">
      <c r="A142" s="110" t="n">
        <f aca="false">EOMONTH(A141,0)+1</f>
        <v>49857</v>
      </c>
      <c r="B142" s="99" t="n">
        <f aca="false">'Gas Curves'!C146</f>
        <v>0.074201774278762</v>
      </c>
      <c r="C142" s="99"/>
      <c r="D142" s="145" t="n">
        <v>39417</v>
      </c>
      <c r="E142" s="146" t="n">
        <v>29.8</v>
      </c>
      <c r="F142" s="146" t="n">
        <v>30.95</v>
      </c>
      <c r="G142" s="146" t="n">
        <v>32.1</v>
      </c>
      <c r="H142" s="127"/>
      <c r="I142" s="146" t="n">
        <v>20.4249992370605</v>
      </c>
      <c r="J142" s="146" t="n">
        <v>20.9999992370605</v>
      </c>
      <c r="K142" s="146" t="n">
        <v>21.5749992370605</v>
      </c>
      <c r="L142" s="105"/>
      <c r="M142" s="106" t="n">
        <v>40299</v>
      </c>
      <c r="N142" s="147" t="n">
        <v>21.1725000762939</v>
      </c>
      <c r="O142" s="147" t="n">
        <v>23.0325000762939</v>
      </c>
      <c r="P142" s="147" t="n">
        <v>24.8925000762939</v>
      </c>
      <c r="Q142" s="18"/>
      <c r="R142" s="147" t="n">
        <v>17.8649997711182</v>
      </c>
      <c r="S142" s="147" t="n">
        <v>22.1649997711182</v>
      </c>
      <c r="T142" s="147" t="n">
        <v>26.4649997711182</v>
      </c>
      <c r="U142" s="18"/>
      <c r="V142" s="147" t="n">
        <v>0.3</v>
      </c>
      <c r="W142" s="147" t="n">
        <v>0.3</v>
      </c>
      <c r="X142" s="147" t="n">
        <v>0.3</v>
      </c>
      <c r="Y142" s="18"/>
      <c r="Z142" s="147" t="n">
        <v>0.0863599253675146</v>
      </c>
      <c r="AA142" s="147" t="n">
        <v>0.172719850735029</v>
      </c>
      <c r="AB142" s="147" t="n">
        <v>0.259079776102544</v>
      </c>
      <c r="AC142" s="18"/>
      <c r="AD142" s="147" t="n">
        <v>0.0285975482410641</v>
      </c>
      <c r="AE142" s="147" t="n">
        <v>0.0571950964821283</v>
      </c>
      <c r="AF142" s="147" t="n">
        <v>0.0857926447231924</v>
      </c>
      <c r="AG142" s="18"/>
      <c r="AH142" s="147" t="n">
        <v>-0.25</v>
      </c>
      <c r="AI142" s="147" t="n">
        <v>1.1</v>
      </c>
      <c r="AJ142" s="147" t="n">
        <v>0.3</v>
      </c>
      <c r="AK142" s="18"/>
      <c r="AL142" s="147" t="n">
        <v>-0.15</v>
      </c>
      <c r="AM142" s="147" t="n">
        <v>0.5</v>
      </c>
      <c r="AN142" s="147" t="n">
        <v>0.2</v>
      </c>
      <c r="AO142" s="18"/>
      <c r="AP142" s="105" t="n">
        <v>42</v>
      </c>
      <c r="AQ142" s="148" t="n">
        <v>0.4</v>
      </c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06" t="n">
        <v>40299</v>
      </c>
      <c r="BI142" s="150" t="n">
        <v>0.9</v>
      </c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0"/>
      <c r="CM142" s="175"/>
      <c r="CN142" s="175"/>
      <c r="CO142" s="151"/>
      <c r="CP142" s="0"/>
      <c r="CQ142" s="0"/>
      <c r="CR142" s="0"/>
      <c r="CS142" s="0"/>
      <c r="CT142" s="0"/>
      <c r="CY142" s="152" t="n">
        <f aca="false">M142</f>
        <v>40299</v>
      </c>
      <c r="CZ142" s="153" t="n">
        <f aca="false">AI142+AH142</f>
        <v>0.85</v>
      </c>
      <c r="DA142" s="153" t="n">
        <f aca="false">AI142</f>
        <v>1.1</v>
      </c>
      <c r="DB142" s="153" t="n">
        <f aca="false">AI142+AJ142</f>
        <v>1.4</v>
      </c>
      <c r="DD142" s="153" t="n">
        <f aca="false">Z142</f>
        <v>0.0863599253675146</v>
      </c>
      <c r="DE142" s="153" t="n">
        <f aca="false">AA142</f>
        <v>0.172719850735029</v>
      </c>
      <c r="DF142" s="153" t="n">
        <f aca="false">AB142</f>
        <v>0.259079776102544</v>
      </c>
      <c r="DH142" s="152" t="n">
        <f aca="false">BH142</f>
        <v>40299</v>
      </c>
      <c r="DI142" s="99" t="n">
        <v>0.9</v>
      </c>
    </row>
    <row r="143" customFormat="false" ht="12.75" hidden="false" customHeight="false" outlineLevel="0" collapsed="false">
      <c r="A143" s="110" t="n">
        <f aca="false">EOMONTH(A142,0)+1</f>
        <v>49888</v>
      </c>
      <c r="B143" s="99" t="n">
        <f aca="false">'Gas Curves'!C147</f>
        <v>0.074201479560881</v>
      </c>
      <c r="C143" s="99"/>
      <c r="D143" s="145" t="n">
        <v>39448</v>
      </c>
      <c r="E143" s="146" t="n">
        <v>35.75</v>
      </c>
      <c r="F143" s="146" t="n">
        <v>37.05</v>
      </c>
      <c r="G143" s="146" t="n">
        <v>38.35</v>
      </c>
      <c r="H143" s="127"/>
      <c r="I143" s="146" t="n">
        <v>20.1400009155273</v>
      </c>
      <c r="J143" s="146" t="n">
        <v>20.7900009155273</v>
      </c>
      <c r="K143" s="146" t="n">
        <v>21.4400009155273</v>
      </c>
      <c r="L143" s="105"/>
      <c r="M143" s="106" t="n">
        <v>40330</v>
      </c>
      <c r="N143" s="147" t="n">
        <v>22.1262501525879</v>
      </c>
      <c r="O143" s="147" t="n">
        <v>27.4587501525879</v>
      </c>
      <c r="P143" s="147" t="n">
        <v>32.7912501525879</v>
      </c>
      <c r="Q143" s="18"/>
      <c r="R143" s="147" t="n">
        <v>16.6424995422363</v>
      </c>
      <c r="S143" s="147" t="n">
        <v>20.9424995422363</v>
      </c>
      <c r="T143" s="147" t="n">
        <v>25.2424995422363</v>
      </c>
      <c r="U143" s="18"/>
      <c r="V143" s="147" t="n">
        <v>0.3</v>
      </c>
      <c r="W143" s="147" t="n">
        <v>0.3</v>
      </c>
      <c r="X143" s="147" t="n">
        <v>0.3</v>
      </c>
      <c r="Y143" s="18"/>
      <c r="Z143" s="147" t="n">
        <v>0.108268970473066</v>
      </c>
      <c r="AA143" s="147" t="n">
        <v>0.216537940946133</v>
      </c>
      <c r="AB143" s="147" t="n">
        <v>0.324806911419199</v>
      </c>
      <c r="AC143" s="18"/>
      <c r="AD143" s="147" t="n">
        <v>0.0367682763099396</v>
      </c>
      <c r="AE143" s="147" t="n">
        <v>0.0735365526198792</v>
      </c>
      <c r="AF143" s="147" t="n">
        <v>0.110304828929819</v>
      </c>
      <c r="AG143" s="18"/>
      <c r="AH143" s="147" t="n">
        <v>-0.35</v>
      </c>
      <c r="AI143" s="147" t="n">
        <v>2</v>
      </c>
      <c r="AJ143" s="147" t="n">
        <v>0.3</v>
      </c>
      <c r="AK143" s="18"/>
      <c r="AL143" s="147" t="n">
        <v>-0.15</v>
      </c>
      <c r="AM143" s="147" t="n">
        <v>0.65</v>
      </c>
      <c r="AN143" s="147" t="n">
        <v>0.2</v>
      </c>
      <c r="AO143" s="18"/>
      <c r="AP143" s="105" t="n">
        <v>42</v>
      </c>
      <c r="AQ143" s="148" t="n">
        <v>0.4</v>
      </c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06" t="n">
        <v>40330</v>
      </c>
      <c r="BI143" s="150" t="n">
        <v>0.9</v>
      </c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0"/>
      <c r="CM143" s="175"/>
      <c r="CN143" s="175"/>
      <c r="CO143" s="151"/>
      <c r="CP143" s="0"/>
      <c r="CQ143" s="0"/>
      <c r="CR143" s="0"/>
      <c r="CS143" s="0"/>
      <c r="CT143" s="0"/>
      <c r="CY143" s="152" t="n">
        <f aca="false">M143</f>
        <v>40330</v>
      </c>
      <c r="CZ143" s="153" t="n">
        <f aca="false">AI143+AH143</f>
        <v>1.65</v>
      </c>
      <c r="DA143" s="153" t="n">
        <f aca="false">AI143</f>
        <v>2</v>
      </c>
      <c r="DB143" s="153" t="n">
        <f aca="false">AI143+AJ143</f>
        <v>2.3</v>
      </c>
      <c r="DD143" s="153" t="n">
        <f aca="false">Z143</f>
        <v>0.108268970473066</v>
      </c>
      <c r="DE143" s="153" t="n">
        <f aca="false">AA143</f>
        <v>0.216537940946133</v>
      </c>
      <c r="DF143" s="153" t="n">
        <f aca="false">AB143</f>
        <v>0.324806911419199</v>
      </c>
      <c r="DH143" s="152" t="n">
        <f aca="false">BH143</f>
        <v>40330</v>
      </c>
      <c r="DI143" s="99" t="n">
        <v>0.9</v>
      </c>
    </row>
    <row r="144" customFormat="false" ht="12.75" hidden="false" customHeight="false" outlineLevel="0" collapsed="false">
      <c r="A144" s="110" t="n">
        <f aca="false">EOMONTH(A143,0)+1</f>
        <v>49919</v>
      </c>
      <c r="B144" s="99" t="n">
        <f aca="false">'Gas Curves'!C148</f>
        <v>0.074201213364084</v>
      </c>
      <c r="C144" s="99"/>
      <c r="D144" s="145" t="n">
        <v>39479</v>
      </c>
      <c r="E144" s="146" t="n">
        <v>35.75</v>
      </c>
      <c r="F144" s="146" t="n">
        <v>37.05</v>
      </c>
      <c r="G144" s="146" t="n">
        <v>38.35</v>
      </c>
      <c r="H144" s="127"/>
      <c r="I144" s="146" t="n">
        <v>19.9499977111816</v>
      </c>
      <c r="J144" s="146" t="n">
        <v>20.5999977111816</v>
      </c>
      <c r="K144" s="146" t="n">
        <v>21.2499977111816</v>
      </c>
      <c r="L144" s="105"/>
      <c r="M144" s="106" t="n">
        <v>40360</v>
      </c>
      <c r="N144" s="147" t="n">
        <v>36.9112495422364</v>
      </c>
      <c r="O144" s="147" t="n">
        <v>40.6612495422364</v>
      </c>
      <c r="P144" s="147" t="n">
        <v>44.4112495422364</v>
      </c>
      <c r="Q144" s="18"/>
      <c r="R144" s="147" t="n">
        <v>25.8474994659424</v>
      </c>
      <c r="S144" s="147" t="n">
        <v>30.1474994659424</v>
      </c>
      <c r="T144" s="147" t="n">
        <v>34.4474994659424</v>
      </c>
      <c r="U144" s="18"/>
      <c r="V144" s="147" t="n">
        <v>0.3</v>
      </c>
      <c r="W144" s="147" t="n">
        <v>0.3</v>
      </c>
      <c r="X144" s="147" t="n">
        <v>0.3</v>
      </c>
      <c r="Y144" s="18"/>
      <c r="Z144" s="147" t="n">
        <v>0.128121826879392</v>
      </c>
      <c r="AA144" s="147" t="n">
        <v>0.256243653758783</v>
      </c>
      <c r="AB144" s="147" t="n">
        <v>0.384365480638175</v>
      </c>
      <c r="AC144" s="18"/>
      <c r="AD144" s="147" t="n">
        <v>0.0490243684132528</v>
      </c>
      <c r="AE144" s="147" t="n">
        <v>0.0980487368265056</v>
      </c>
      <c r="AF144" s="147" t="n">
        <v>0.147073105239758</v>
      </c>
      <c r="AG144" s="18"/>
      <c r="AH144" s="147" t="n">
        <v>-0.35</v>
      </c>
      <c r="AI144" s="147" t="n">
        <v>3</v>
      </c>
      <c r="AJ144" s="147" t="n">
        <v>0.5</v>
      </c>
      <c r="AK144" s="18"/>
      <c r="AL144" s="147" t="n">
        <v>-0.15</v>
      </c>
      <c r="AM144" s="147" t="n">
        <v>0.75</v>
      </c>
      <c r="AN144" s="147" t="n">
        <v>0.2</v>
      </c>
      <c r="AO144" s="18"/>
      <c r="AP144" s="105" t="n">
        <v>42</v>
      </c>
      <c r="AQ144" s="148" t="n">
        <v>0.4</v>
      </c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06" t="n">
        <v>40360</v>
      </c>
      <c r="BI144" s="150" t="n">
        <v>0.9</v>
      </c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0"/>
      <c r="CM144" s="175"/>
      <c r="CN144" s="175"/>
      <c r="CO144" s="151"/>
      <c r="CP144" s="0"/>
      <c r="CQ144" s="0"/>
      <c r="CR144" s="0"/>
      <c r="CS144" s="0"/>
      <c r="CT144" s="0"/>
      <c r="CY144" s="152" t="n">
        <f aca="false">M144</f>
        <v>40360</v>
      </c>
      <c r="CZ144" s="153" t="n">
        <f aca="false">AI144+AH144</f>
        <v>2.65</v>
      </c>
      <c r="DA144" s="153" t="n">
        <f aca="false">AI144</f>
        <v>3</v>
      </c>
      <c r="DB144" s="153" t="n">
        <f aca="false">AI144+AJ144</f>
        <v>3.5</v>
      </c>
      <c r="DD144" s="153" t="n">
        <f aca="false">Z144</f>
        <v>0.128121826879392</v>
      </c>
      <c r="DE144" s="153" t="n">
        <f aca="false">AA144</f>
        <v>0.256243653758783</v>
      </c>
      <c r="DF144" s="153" t="n">
        <f aca="false">AB144</f>
        <v>0.384365480638175</v>
      </c>
      <c r="DH144" s="152" t="n">
        <f aca="false">BH144</f>
        <v>40360</v>
      </c>
      <c r="DI144" s="99" t="n">
        <v>0.9</v>
      </c>
    </row>
    <row r="145" customFormat="false" ht="12.75" hidden="false" customHeight="false" outlineLevel="0" collapsed="false">
      <c r="A145" s="110" t="n">
        <f aca="false">EOMONTH(A144,0)+1</f>
        <v>49949</v>
      </c>
      <c r="B145" s="99" t="n">
        <f aca="false">'Gas Curves'!C149</f>
        <v>0.074200918646202</v>
      </c>
      <c r="C145" s="99"/>
      <c r="D145" s="145" t="n">
        <v>39508</v>
      </c>
      <c r="E145" s="146" t="n">
        <v>32.55</v>
      </c>
      <c r="F145" s="146" t="n">
        <v>33.3</v>
      </c>
      <c r="G145" s="146" t="n">
        <v>34.05</v>
      </c>
      <c r="H145" s="127"/>
      <c r="I145" s="146" t="n">
        <v>19.2249996185303</v>
      </c>
      <c r="J145" s="146" t="n">
        <v>19.5999996185303</v>
      </c>
      <c r="K145" s="146" t="n">
        <v>19.9749996185303</v>
      </c>
      <c r="L145" s="105"/>
      <c r="M145" s="106" t="n">
        <v>40391</v>
      </c>
      <c r="N145" s="147" t="n">
        <v>39.1724990844727</v>
      </c>
      <c r="O145" s="147" t="n">
        <v>42.9224990844727</v>
      </c>
      <c r="P145" s="147" t="n">
        <v>46.6724990844727</v>
      </c>
      <c r="Q145" s="18"/>
      <c r="R145" s="147" t="n">
        <v>27.3450008392334</v>
      </c>
      <c r="S145" s="147" t="n">
        <v>31.6450008392334</v>
      </c>
      <c r="T145" s="147" t="n">
        <v>35.9450008392334</v>
      </c>
      <c r="U145" s="18"/>
      <c r="V145" s="147" t="n">
        <v>0.3</v>
      </c>
      <c r="W145" s="147" t="n">
        <v>0.3</v>
      </c>
      <c r="X145" s="147" t="n">
        <v>0.3</v>
      </c>
      <c r="Y145" s="18"/>
      <c r="Z145" s="147" t="n">
        <v>0.126065638180165</v>
      </c>
      <c r="AA145" s="147" t="n">
        <v>0.25213127636033</v>
      </c>
      <c r="AB145" s="147" t="n">
        <v>0.378196914540495</v>
      </c>
      <c r="AC145" s="18"/>
      <c r="AD145" s="147" t="n">
        <v>0.0490243684132528</v>
      </c>
      <c r="AE145" s="147" t="n">
        <v>0.0980487368265056</v>
      </c>
      <c r="AF145" s="147" t="n">
        <v>0.147073105239758</v>
      </c>
      <c r="AG145" s="18"/>
      <c r="AH145" s="147" t="n">
        <v>-0.35</v>
      </c>
      <c r="AI145" s="147" t="n">
        <v>3</v>
      </c>
      <c r="AJ145" s="147" t="n">
        <v>0.5</v>
      </c>
      <c r="AK145" s="18"/>
      <c r="AL145" s="147" t="n">
        <v>-0.15</v>
      </c>
      <c r="AM145" s="147" t="n">
        <v>0.75</v>
      </c>
      <c r="AN145" s="147" t="n">
        <v>0.2</v>
      </c>
      <c r="AO145" s="18"/>
      <c r="AP145" s="105" t="n">
        <v>43</v>
      </c>
      <c r="AQ145" s="148" t="n">
        <v>0.4</v>
      </c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06" t="n">
        <v>40391</v>
      </c>
      <c r="BI145" s="150" t="n">
        <v>0.9</v>
      </c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0"/>
      <c r="CM145" s="175"/>
      <c r="CN145" s="175"/>
      <c r="CO145" s="151"/>
      <c r="CP145" s="0"/>
      <c r="CQ145" s="0"/>
      <c r="CR145" s="0"/>
      <c r="CS145" s="0"/>
      <c r="CT145" s="0"/>
      <c r="CY145" s="152" t="n">
        <f aca="false">M145</f>
        <v>40391</v>
      </c>
      <c r="CZ145" s="153" t="n">
        <f aca="false">AI145+AH145</f>
        <v>2.65</v>
      </c>
      <c r="DA145" s="153" t="n">
        <f aca="false">AI145</f>
        <v>3</v>
      </c>
      <c r="DB145" s="153" t="n">
        <f aca="false">AI145+AJ145</f>
        <v>3.5</v>
      </c>
      <c r="DD145" s="153" t="n">
        <f aca="false">Z145</f>
        <v>0.126065638180165</v>
      </c>
      <c r="DE145" s="153" t="n">
        <f aca="false">AA145</f>
        <v>0.25213127636033</v>
      </c>
      <c r="DF145" s="153" t="n">
        <f aca="false">AB145</f>
        <v>0.378196914540495</v>
      </c>
      <c r="DH145" s="152" t="n">
        <f aca="false">BH145</f>
        <v>40391</v>
      </c>
      <c r="DI145" s="99" t="n">
        <v>0.9</v>
      </c>
    </row>
    <row r="146" customFormat="false" ht="12.75" hidden="false" customHeight="false" outlineLevel="0" collapsed="false">
      <c r="A146" s="110" t="n">
        <f aca="false">EOMONTH(A145,0)+1</f>
        <v>49980</v>
      </c>
      <c r="B146" s="99" t="n">
        <f aca="false">'Gas Curves'!C150</f>
        <v>0.074200633435348</v>
      </c>
      <c r="C146" s="99"/>
      <c r="D146" s="145" t="n">
        <v>39539</v>
      </c>
      <c r="E146" s="146" t="n">
        <v>31.45</v>
      </c>
      <c r="F146" s="146" t="n">
        <v>32.05</v>
      </c>
      <c r="G146" s="146" t="n">
        <v>32.65</v>
      </c>
      <c r="H146" s="127"/>
      <c r="I146" s="146" t="n">
        <v>19.2999977111816</v>
      </c>
      <c r="J146" s="146" t="n">
        <v>19.5999977111816</v>
      </c>
      <c r="K146" s="146" t="n">
        <v>19.8999977111816</v>
      </c>
      <c r="L146" s="105"/>
      <c r="M146" s="106" t="n">
        <v>40422</v>
      </c>
      <c r="N146" s="147" t="n">
        <v>23.1049991607666</v>
      </c>
      <c r="O146" s="147" t="n">
        <v>24.3049991607666</v>
      </c>
      <c r="P146" s="147" t="n">
        <v>25.5049991607666</v>
      </c>
      <c r="Q146" s="18"/>
      <c r="R146" s="147" t="n">
        <v>20.5</v>
      </c>
      <c r="S146" s="147" t="n">
        <v>24.8</v>
      </c>
      <c r="T146" s="147" t="n">
        <v>29.1</v>
      </c>
      <c r="U146" s="18"/>
      <c r="V146" s="147" t="n">
        <v>0.8</v>
      </c>
      <c r="W146" s="147" t="n">
        <v>0.8</v>
      </c>
      <c r="X146" s="147" t="n">
        <v>0.8</v>
      </c>
      <c r="Y146" s="18"/>
      <c r="Z146" s="147" t="n">
        <v>0.0835238030237538</v>
      </c>
      <c r="AA146" s="147" t="n">
        <v>0.167047606047508</v>
      </c>
      <c r="AB146" s="147" t="n">
        <v>0.250571409071261</v>
      </c>
      <c r="AC146" s="18"/>
      <c r="AD146" s="147" t="n">
        <v>0.0326829122755019</v>
      </c>
      <c r="AE146" s="147" t="n">
        <v>0.0653658245510037</v>
      </c>
      <c r="AF146" s="147" t="n">
        <v>0.0980487368265056</v>
      </c>
      <c r="AG146" s="18"/>
      <c r="AH146" s="147" t="n">
        <v>-0.35</v>
      </c>
      <c r="AI146" s="147" t="n">
        <v>1.5</v>
      </c>
      <c r="AJ146" s="147" t="n">
        <v>0.3</v>
      </c>
      <c r="AK146" s="18"/>
      <c r="AL146" s="147" t="n">
        <v>-0.15</v>
      </c>
      <c r="AM146" s="147" t="n">
        <v>0.4</v>
      </c>
      <c r="AN146" s="147" t="n">
        <v>0.2</v>
      </c>
      <c r="AO146" s="18"/>
      <c r="AP146" s="105" t="n">
        <v>43</v>
      </c>
      <c r="AQ146" s="148" t="n">
        <v>0.4</v>
      </c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06" t="n">
        <v>40422</v>
      </c>
      <c r="BI146" s="150" t="n">
        <v>0.9</v>
      </c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0"/>
      <c r="CM146" s="175"/>
      <c r="CN146" s="175"/>
      <c r="CO146" s="151"/>
      <c r="CP146" s="0"/>
      <c r="CQ146" s="0"/>
      <c r="CR146" s="0"/>
      <c r="CS146" s="0"/>
      <c r="CT146" s="0"/>
      <c r="CY146" s="152" t="n">
        <f aca="false">M146</f>
        <v>40422</v>
      </c>
      <c r="CZ146" s="153" t="n">
        <f aca="false">AI146+AH146</f>
        <v>1.15</v>
      </c>
      <c r="DA146" s="153" t="n">
        <f aca="false">AI146</f>
        <v>1.5</v>
      </c>
      <c r="DB146" s="153" t="n">
        <f aca="false">AI146+AJ146</f>
        <v>1.8</v>
      </c>
      <c r="DD146" s="153" t="n">
        <f aca="false">Z146</f>
        <v>0.0835238030237538</v>
      </c>
      <c r="DE146" s="153" t="n">
        <f aca="false">AA146</f>
        <v>0.167047606047508</v>
      </c>
      <c r="DF146" s="153" t="n">
        <f aca="false">AB146</f>
        <v>0.250571409071261</v>
      </c>
      <c r="DH146" s="152" t="n">
        <f aca="false">BH146</f>
        <v>40422</v>
      </c>
      <c r="DI146" s="99" t="n">
        <v>0.9</v>
      </c>
    </row>
    <row r="147" customFormat="false" ht="12.75" hidden="false" customHeight="false" outlineLevel="0" collapsed="false">
      <c r="A147" s="110" t="n">
        <f aca="false">EOMONTH(A146,0)+1</f>
        <v>50010</v>
      </c>
      <c r="B147" s="99" t="n">
        <f aca="false">'Gas Curves'!C151</f>
        <v>0.074200338717466</v>
      </c>
      <c r="C147" s="99"/>
      <c r="D147" s="145" t="n">
        <v>39569</v>
      </c>
      <c r="E147" s="146" t="n">
        <v>32.01</v>
      </c>
      <c r="F147" s="146" t="n">
        <v>34.05</v>
      </c>
      <c r="G147" s="146" t="n">
        <v>36.09</v>
      </c>
      <c r="H147" s="127"/>
      <c r="I147" s="146" t="n">
        <v>18.5799977111816</v>
      </c>
      <c r="J147" s="146" t="n">
        <v>19.5999977111816</v>
      </c>
      <c r="K147" s="146" t="n">
        <v>20.6199977111816</v>
      </c>
      <c r="L147" s="105"/>
      <c r="M147" s="106" t="n">
        <v>40452</v>
      </c>
      <c r="N147" s="147" t="n">
        <v>23.3130001068115</v>
      </c>
      <c r="O147" s="147" t="n">
        <v>24.4005001068115</v>
      </c>
      <c r="P147" s="147" t="n">
        <v>25.4880001068115</v>
      </c>
      <c r="Q147" s="18"/>
      <c r="R147" s="147" t="n">
        <v>18.1009998321533</v>
      </c>
      <c r="S147" s="147" t="n">
        <v>22.4009998321533</v>
      </c>
      <c r="T147" s="147" t="n">
        <v>26.7009998321533</v>
      </c>
      <c r="U147" s="18"/>
      <c r="V147" s="147" t="n">
        <v>0.8</v>
      </c>
      <c r="W147" s="147" t="n">
        <v>0.8</v>
      </c>
      <c r="X147" s="147" t="n">
        <v>0.8</v>
      </c>
      <c r="Y147" s="18"/>
      <c r="Z147" s="147" t="n">
        <v>0.0762916910471639</v>
      </c>
      <c r="AA147" s="147" t="n">
        <v>0.152583382094328</v>
      </c>
      <c r="AB147" s="147" t="n">
        <v>0.228875073141492</v>
      </c>
      <c r="AC147" s="18"/>
      <c r="AD147" s="147" t="n">
        <v>0.0245121842066264</v>
      </c>
      <c r="AE147" s="147" t="n">
        <v>0.0490243684132528</v>
      </c>
      <c r="AF147" s="147" t="n">
        <v>0.0735365526198792</v>
      </c>
      <c r="AG147" s="18"/>
      <c r="AH147" s="147" t="n">
        <v>-0.25</v>
      </c>
      <c r="AI147" s="147" t="n">
        <v>1.1</v>
      </c>
      <c r="AJ147" s="147" t="n">
        <v>0.3</v>
      </c>
      <c r="AK147" s="18"/>
      <c r="AL147" s="147" t="n">
        <v>-0.15</v>
      </c>
      <c r="AM147" s="147" t="n">
        <v>0.35</v>
      </c>
      <c r="AN147" s="147" t="n">
        <v>0.2</v>
      </c>
      <c r="AO147" s="18"/>
      <c r="AP147" s="105" t="n">
        <v>43</v>
      </c>
      <c r="AQ147" s="148" t="n">
        <v>0.4</v>
      </c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06" t="n">
        <v>40452</v>
      </c>
      <c r="BI147" s="150" t="n">
        <v>0.9</v>
      </c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0"/>
      <c r="CM147" s="175"/>
      <c r="CN147" s="175"/>
      <c r="CO147" s="151"/>
      <c r="CP147" s="0"/>
      <c r="CQ147" s="0"/>
      <c r="CR147" s="0"/>
      <c r="CS147" s="0"/>
      <c r="CT147" s="0"/>
      <c r="CY147" s="152" t="n">
        <f aca="false">M147</f>
        <v>40452</v>
      </c>
      <c r="CZ147" s="153" t="n">
        <f aca="false">AI147+AH147</f>
        <v>0.85</v>
      </c>
      <c r="DA147" s="153" t="n">
        <f aca="false">AI147</f>
        <v>1.1</v>
      </c>
      <c r="DB147" s="153" t="n">
        <f aca="false">AI147+AJ147</f>
        <v>1.4</v>
      </c>
      <c r="DD147" s="153" t="n">
        <f aca="false">Z147</f>
        <v>0.0762916910471639</v>
      </c>
      <c r="DE147" s="153" t="n">
        <f aca="false">AA147</f>
        <v>0.152583382094328</v>
      </c>
      <c r="DF147" s="153" t="n">
        <f aca="false">AB147</f>
        <v>0.228875073141492</v>
      </c>
      <c r="DH147" s="152" t="n">
        <f aca="false">BH147</f>
        <v>40452</v>
      </c>
      <c r="DI147" s="99" t="n">
        <v>0.9</v>
      </c>
    </row>
    <row r="148" customFormat="false" ht="12.75" hidden="false" customHeight="false" outlineLevel="0" collapsed="false">
      <c r="A148" s="110" t="n">
        <f aca="false">EOMONTH(A147,0)+1</f>
        <v>50041</v>
      </c>
      <c r="B148" s="99" t="n">
        <f aca="false">'Gas Curves'!C152</f>
        <v>0.074200053506613</v>
      </c>
      <c r="C148" s="99"/>
      <c r="D148" s="145" t="n">
        <v>39600</v>
      </c>
      <c r="E148" s="146" t="n">
        <v>44.38</v>
      </c>
      <c r="F148" s="146" t="n">
        <v>50.25</v>
      </c>
      <c r="G148" s="146" t="n">
        <v>56.12</v>
      </c>
      <c r="H148" s="127"/>
      <c r="I148" s="146" t="n">
        <v>16.6199987792969</v>
      </c>
      <c r="J148" s="146" t="n">
        <v>19.5549987792969</v>
      </c>
      <c r="K148" s="146" t="n">
        <v>22.4899987792969</v>
      </c>
      <c r="L148" s="105"/>
      <c r="M148" s="106" t="n">
        <v>40483</v>
      </c>
      <c r="N148" s="147" t="n">
        <v>24.3172515869141</v>
      </c>
      <c r="O148" s="147" t="n">
        <v>25.4047515869141</v>
      </c>
      <c r="P148" s="147" t="n">
        <v>26.4922515869141</v>
      </c>
      <c r="Q148" s="18"/>
      <c r="R148" s="147" t="n">
        <v>19.1044998168945</v>
      </c>
      <c r="S148" s="147" t="n">
        <v>23.4044998168945</v>
      </c>
      <c r="T148" s="147" t="n">
        <v>27.7044998168945</v>
      </c>
      <c r="U148" s="18"/>
      <c r="V148" s="147" t="n">
        <v>0.8</v>
      </c>
      <c r="W148" s="147" t="n">
        <v>0.8</v>
      </c>
      <c r="X148" s="147" t="n">
        <v>0.8</v>
      </c>
      <c r="Y148" s="18"/>
      <c r="Z148" s="147" t="n">
        <v>0.0762916910471639</v>
      </c>
      <c r="AA148" s="147" t="n">
        <v>0.152583382094328</v>
      </c>
      <c r="AB148" s="147" t="n">
        <v>0.228875073141492</v>
      </c>
      <c r="AC148" s="18"/>
      <c r="AD148" s="147" t="n">
        <v>0.0245121842066264</v>
      </c>
      <c r="AE148" s="147" t="n">
        <v>0.0490243684132528</v>
      </c>
      <c r="AF148" s="147" t="n">
        <v>0.0735365526198792</v>
      </c>
      <c r="AG148" s="18"/>
      <c r="AH148" s="147" t="n">
        <v>-0.25</v>
      </c>
      <c r="AI148" s="147" t="n">
        <v>1.25</v>
      </c>
      <c r="AJ148" s="147" t="n">
        <v>0.3</v>
      </c>
      <c r="AK148" s="18"/>
      <c r="AL148" s="147" t="n">
        <v>-0.15</v>
      </c>
      <c r="AM148" s="147" t="n">
        <v>0.3</v>
      </c>
      <c r="AN148" s="147" t="n">
        <v>0.2</v>
      </c>
      <c r="AO148" s="18"/>
      <c r="AP148" s="105" t="n">
        <v>44</v>
      </c>
      <c r="AQ148" s="148" t="n">
        <v>0.4</v>
      </c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06" t="n">
        <v>40483</v>
      </c>
      <c r="BI148" s="150" t="n">
        <v>0.9</v>
      </c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0"/>
      <c r="CM148" s="175"/>
      <c r="CN148" s="175"/>
      <c r="CO148" s="151"/>
      <c r="CP148" s="0"/>
      <c r="CQ148" s="0"/>
      <c r="CR148" s="0"/>
      <c r="CS148" s="0"/>
      <c r="CT148" s="0"/>
      <c r="CY148" s="152" t="n">
        <f aca="false">M148</f>
        <v>40483</v>
      </c>
      <c r="CZ148" s="153" t="n">
        <f aca="false">AI148+AH148</f>
        <v>1</v>
      </c>
      <c r="DA148" s="153" t="n">
        <f aca="false">AI148</f>
        <v>1.25</v>
      </c>
      <c r="DB148" s="153" t="n">
        <f aca="false">AI148+AJ148</f>
        <v>1.55</v>
      </c>
      <c r="DD148" s="153" t="n">
        <f aca="false">Z148</f>
        <v>0.0762916910471639</v>
      </c>
      <c r="DE148" s="153" t="n">
        <f aca="false">AA148</f>
        <v>0.152583382094328</v>
      </c>
      <c r="DF148" s="153" t="n">
        <f aca="false">AB148</f>
        <v>0.228875073141492</v>
      </c>
      <c r="DH148" s="152" t="n">
        <f aca="false">BH148</f>
        <v>40483</v>
      </c>
      <c r="DI148" s="99" t="n">
        <v>0.9</v>
      </c>
    </row>
    <row r="149" customFormat="false" ht="12.75" hidden="false" customHeight="false" outlineLevel="0" collapsed="false">
      <c r="A149" s="110" t="n">
        <f aca="false">EOMONTH(A148,0)+1</f>
        <v>50072</v>
      </c>
      <c r="B149" s="99" t="n">
        <f aca="false">'Gas Curves'!C153</f>
        <v>0.074199758788731</v>
      </c>
      <c r="C149" s="99"/>
      <c r="D149" s="145" t="n">
        <v>39630</v>
      </c>
      <c r="E149" s="146" t="n">
        <v>67.5</v>
      </c>
      <c r="F149" s="146" t="n">
        <v>72.5</v>
      </c>
      <c r="G149" s="146" t="n">
        <v>77.5</v>
      </c>
      <c r="H149" s="127"/>
      <c r="I149" s="146" t="n">
        <v>21.5499977111816</v>
      </c>
      <c r="J149" s="146" t="n">
        <v>24.0499977111816</v>
      </c>
      <c r="K149" s="146" t="n">
        <v>26.5499977111816</v>
      </c>
      <c r="L149" s="105"/>
      <c r="M149" s="106" t="n">
        <v>40513</v>
      </c>
      <c r="N149" s="147" t="n">
        <v>25.7674983978271</v>
      </c>
      <c r="O149" s="147" t="n">
        <v>26.8549983978271</v>
      </c>
      <c r="P149" s="147" t="n">
        <v>27.9424983978271</v>
      </c>
      <c r="Q149" s="18"/>
      <c r="R149" s="147" t="n">
        <v>19.0499992370605</v>
      </c>
      <c r="S149" s="147" t="n">
        <v>23.3499992370605</v>
      </c>
      <c r="T149" s="147" t="n">
        <v>27.6499992370605</v>
      </c>
      <c r="U149" s="18"/>
      <c r="V149" s="147" t="n">
        <v>0.8</v>
      </c>
      <c r="W149" s="147" t="n">
        <v>0.8</v>
      </c>
      <c r="X149" s="147" t="n">
        <v>0.8</v>
      </c>
      <c r="Y149" s="18"/>
      <c r="Z149" s="147" t="n">
        <v>0.0790143684971743</v>
      </c>
      <c r="AA149" s="147" t="n">
        <v>0.158028736994349</v>
      </c>
      <c r="AB149" s="147" t="n">
        <v>0.237043105491523</v>
      </c>
      <c r="AC149" s="18"/>
      <c r="AD149" s="147" t="n">
        <v>0.0245121842066264</v>
      </c>
      <c r="AE149" s="147" t="n">
        <v>0.0490243684132528</v>
      </c>
      <c r="AF149" s="147" t="n">
        <v>0.0735365526198792</v>
      </c>
      <c r="AG149" s="18"/>
      <c r="AH149" s="147" t="n">
        <v>-0.25</v>
      </c>
      <c r="AI149" s="147" t="n">
        <v>1.25</v>
      </c>
      <c r="AJ149" s="147" t="n">
        <v>0.35</v>
      </c>
      <c r="AK149" s="18"/>
      <c r="AL149" s="147" t="n">
        <v>-0.15</v>
      </c>
      <c r="AM149" s="147" t="n">
        <v>0.3</v>
      </c>
      <c r="AN149" s="147" t="n">
        <v>0.2</v>
      </c>
      <c r="AO149" s="18"/>
      <c r="AP149" s="105" t="n">
        <v>44</v>
      </c>
      <c r="AQ149" s="148" t="n">
        <v>0.4</v>
      </c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06" t="n">
        <v>40513</v>
      </c>
      <c r="BI149" s="150" t="n">
        <v>0.9</v>
      </c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0"/>
      <c r="CM149" s="175"/>
      <c r="CN149" s="175"/>
      <c r="CO149" s="151"/>
      <c r="CP149" s="0"/>
      <c r="CQ149" s="0"/>
      <c r="CR149" s="0"/>
      <c r="CS149" s="0"/>
      <c r="CT149" s="0"/>
      <c r="CY149" s="152" t="n">
        <f aca="false">M149</f>
        <v>40513</v>
      </c>
      <c r="CZ149" s="153" t="n">
        <f aca="false">AI149+AH149</f>
        <v>1</v>
      </c>
      <c r="DA149" s="153" t="n">
        <f aca="false">AI149</f>
        <v>1.25</v>
      </c>
      <c r="DB149" s="153" t="n">
        <f aca="false">AI149+AJ149</f>
        <v>1.6</v>
      </c>
      <c r="DD149" s="153" t="n">
        <f aca="false">Z149</f>
        <v>0.0790143684971743</v>
      </c>
      <c r="DE149" s="153" t="n">
        <f aca="false">AA149</f>
        <v>0.158028736994349</v>
      </c>
      <c r="DF149" s="153" t="n">
        <f aca="false">AB149</f>
        <v>0.237043105491523</v>
      </c>
      <c r="DH149" s="152" t="n">
        <f aca="false">BH149</f>
        <v>40513</v>
      </c>
      <c r="DI149" s="99" t="n">
        <v>0.9</v>
      </c>
    </row>
    <row r="150" customFormat="false" ht="12.75" hidden="false" customHeight="false" outlineLevel="0" collapsed="false">
      <c r="A150" s="110" t="n">
        <f aca="false">EOMONTH(A149,0)+1</f>
        <v>50100</v>
      </c>
      <c r="B150" s="99" t="n">
        <f aca="false">'Gas Curves'!C154</f>
        <v>0.074199464070849</v>
      </c>
      <c r="C150" s="99"/>
      <c r="D150" s="145" t="n">
        <v>39661</v>
      </c>
      <c r="E150" s="146" t="n">
        <v>63</v>
      </c>
      <c r="F150" s="146" t="n">
        <v>68</v>
      </c>
      <c r="G150" s="146" t="n">
        <v>73</v>
      </c>
      <c r="H150" s="127"/>
      <c r="I150" s="146" t="n">
        <v>21.8999980926514</v>
      </c>
      <c r="J150" s="146" t="n">
        <v>24.3999980926514</v>
      </c>
      <c r="K150" s="146" t="n">
        <v>26.8999980926514</v>
      </c>
      <c r="L150" s="105"/>
      <c r="M150" s="106" t="n">
        <v>40544</v>
      </c>
      <c r="N150" s="147" t="n">
        <v>29.0487483978271</v>
      </c>
      <c r="O150" s="147" t="n">
        <v>30.2487483978271</v>
      </c>
      <c r="P150" s="147" t="n">
        <v>31.4487483978271</v>
      </c>
      <c r="Q150" s="18"/>
      <c r="R150" s="147" t="n">
        <v>24.4525001525879</v>
      </c>
      <c r="S150" s="147" t="n">
        <v>28.7525001525879</v>
      </c>
      <c r="T150" s="147" t="n">
        <v>33.0525001525879</v>
      </c>
      <c r="U150" s="18"/>
      <c r="V150" s="147" t="n">
        <v>0.8</v>
      </c>
      <c r="W150" s="147" t="n">
        <v>0.8</v>
      </c>
      <c r="X150" s="147" t="n">
        <v>0.8</v>
      </c>
      <c r="Y150" s="18"/>
      <c r="Z150" s="147" t="n">
        <v>0.0850206453718498</v>
      </c>
      <c r="AA150" s="147" t="n">
        <v>0.1700412907437</v>
      </c>
      <c r="AB150" s="147" t="n">
        <v>0.255061936115549</v>
      </c>
      <c r="AC150" s="18"/>
      <c r="AD150" s="147" t="n">
        <v>0.0280255972762429</v>
      </c>
      <c r="AE150" s="147" t="n">
        <v>0.0560511945524857</v>
      </c>
      <c r="AF150" s="147" t="n">
        <v>0.0840767918287286</v>
      </c>
      <c r="AG150" s="18"/>
      <c r="AH150" s="147" t="n">
        <v>-0.75</v>
      </c>
      <c r="AI150" s="147" t="n">
        <v>2</v>
      </c>
      <c r="AJ150" s="147" t="n">
        <v>0.75</v>
      </c>
      <c r="AK150" s="18"/>
      <c r="AL150" s="147" t="n">
        <v>-0.15</v>
      </c>
      <c r="AM150" s="147" t="n">
        <v>0.5</v>
      </c>
      <c r="AN150" s="147" t="n">
        <v>0.2</v>
      </c>
      <c r="AO150" s="18"/>
      <c r="AP150" s="105" t="n">
        <v>44</v>
      </c>
      <c r="AQ150" s="148" t="n">
        <v>0.4</v>
      </c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06" t="n">
        <v>40544</v>
      </c>
      <c r="BI150" s="150" t="n">
        <v>0.9</v>
      </c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0"/>
      <c r="CM150" s="175"/>
      <c r="CN150" s="175"/>
      <c r="CO150" s="151"/>
      <c r="CP150" s="0"/>
      <c r="CQ150" s="0"/>
      <c r="CR150" s="0"/>
      <c r="CS150" s="0"/>
      <c r="CT150" s="0"/>
      <c r="CY150" s="152" t="n">
        <f aca="false">M150</f>
        <v>40544</v>
      </c>
      <c r="CZ150" s="153" t="n">
        <f aca="false">AI150+AH150</f>
        <v>1.25</v>
      </c>
      <c r="DA150" s="153" t="n">
        <f aca="false">AI150</f>
        <v>2</v>
      </c>
      <c r="DB150" s="153" t="n">
        <f aca="false">AI150+AJ150</f>
        <v>2.75</v>
      </c>
      <c r="DD150" s="153" t="n">
        <f aca="false">Z150</f>
        <v>0.0850206453718498</v>
      </c>
      <c r="DE150" s="153" t="n">
        <f aca="false">AA150</f>
        <v>0.1700412907437</v>
      </c>
      <c r="DF150" s="153" t="n">
        <f aca="false">AB150</f>
        <v>0.255061936115549</v>
      </c>
      <c r="DH150" s="152" t="n">
        <f aca="false">BH150</f>
        <v>40544</v>
      </c>
      <c r="DI150" s="99" t="n">
        <v>0.9</v>
      </c>
    </row>
    <row r="151" customFormat="false" ht="12.75" hidden="false" customHeight="false" outlineLevel="0" collapsed="false">
      <c r="A151" s="110" t="n">
        <f aca="false">EOMONTH(A150,0)+1</f>
        <v>50131</v>
      </c>
      <c r="B151" s="99" t="n">
        <f aca="false">'Gas Curves'!C155</f>
        <v>0.07419917886</v>
      </c>
      <c r="C151" s="99"/>
      <c r="D151" s="145" t="n">
        <v>39692</v>
      </c>
      <c r="E151" s="146" t="n">
        <v>31.65</v>
      </c>
      <c r="F151" s="146" t="n">
        <v>33.05</v>
      </c>
      <c r="G151" s="146" t="n">
        <v>34.45</v>
      </c>
      <c r="H151" s="127"/>
      <c r="I151" s="146" t="n">
        <v>19.2499980926514</v>
      </c>
      <c r="J151" s="146" t="n">
        <v>19.9499980926514</v>
      </c>
      <c r="K151" s="146" t="n">
        <v>20.6499980926514</v>
      </c>
      <c r="L151" s="105"/>
      <c r="M151" s="106" t="n">
        <v>40575</v>
      </c>
      <c r="N151" s="147" t="n">
        <v>28.0462501525879</v>
      </c>
      <c r="O151" s="147" t="n">
        <v>29.2462501525879</v>
      </c>
      <c r="P151" s="147" t="n">
        <v>30.4462501525879</v>
      </c>
      <c r="Q151" s="18"/>
      <c r="R151" s="147" t="n">
        <v>22.4474994659424</v>
      </c>
      <c r="S151" s="147" t="n">
        <v>26.7474994659424</v>
      </c>
      <c r="T151" s="147" t="n">
        <v>31.0474994659424</v>
      </c>
      <c r="U151" s="18"/>
      <c r="V151" s="147" t="n">
        <v>0.8</v>
      </c>
      <c r="W151" s="147" t="n">
        <v>0.8</v>
      </c>
      <c r="X151" s="147" t="n">
        <v>0.8</v>
      </c>
      <c r="Y151" s="18"/>
      <c r="Z151" s="147" t="n">
        <v>0.0820269606756579</v>
      </c>
      <c r="AA151" s="147" t="n">
        <v>0.164053921351316</v>
      </c>
      <c r="AB151" s="147" t="n">
        <v>0.246080882026974</v>
      </c>
      <c r="AC151" s="18"/>
      <c r="AD151" s="147" t="n">
        <v>0.0280255972762429</v>
      </c>
      <c r="AE151" s="147" t="n">
        <v>0.0560511945524857</v>
      </c>
      <c r="AF151" s="147" t="n">
        <v>0.0840767918287286</v>
      </c>
      <c r="AG151" s="18"/>
      <c r="AH151" s="147" t="n">
        <v>-0.75</v>
      </c>
      <c r="AI151" s="147" t="n">
        <v>2</v>
      </c>
      <c r="AJ151" s="147" t="n">
        <v>0.75</v>
      </c>
      <c r="AK151" s="18"/>
      <c r="AL151" s="147" t="n">
        <v>-0.15</v>
      </c>
      <c r="AM151" s="147" t="n">
        <v>0.5</v>
      </c>
      <c r="AN151" s="147" t="n">
        <v>0.2</v>
      </c>
      <c r="AO151" s="18"/>
      <c r="AP151" s="105" t="n">
        <v>45</v>
      </c>
      <c r="AQ151" s="148" t="n">
        <v>0.4</v>
      </c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06" t="n">
        <v>40575</v>
      </c>
      <c r="BI151" s="150" t="n">
        <v>0.9</v>
      </c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0"/>
      <c r="CM151" s="175"/>
      <c r="CN151" s="175"/>
      <c r="CO151" s="151"/>
      <c r="CP151" s="0"/>
      <c r="CQ151" s="0"/>
      <c r="CR151" s="0"/>
      <c r="CS151" s="0"/>
      <c r="CT151" s="0"/>
      <c r="CY151" s="152" t="n">
        <f aca="false">M151</f>
        <v>40575</v>
      </c>
      <c r="CZ151" s="153" t="n">
        <f aca="false">AI151+AH151</f>
        <v>1.25</v>
      </c>
      <c r="DA151" s="153" t="n">
        <f aca="false">AI151</f>
        <v>2</v>
      </c>
      <c r="DB151" s="153" t="n">
        <f aca="false">AI151+AJ151</f>
        <v>2.75</v>
      </c>
      <c r="DD151" s="153" t="n">
        <f aca="false">Z151</f>
        <v>0.0820269606756579</v>
      </c>
      <c r="DE151" s="153" t="n">
        <f aca="false">AA151</f>
        <v>0.164053921351316</v>
      </c>
      <c r="DF151" s="153" t="n">
        <f aca="false">AB151</f>
        <v>0.246080882026974</v>
      </c>
      <c r="DH151" s="152" t="n">
        <f aca="false">BH151</f>
        <v>40575</v>
      </c>
      <c r="DI151" s="99" t="n">
        <v>0.9</v>
      </c>
    </row>
    <row r="152" customFormat="false" ht="12.75" hidden="false" customHeight="false" outlineLevel="0" collapsed="false">
      <c r="A152" s="110" t="n">
        <f aca="false">EOMONTH(A151,0)+1</f>
        <v>50161</v>
      </c>
      <c r="B152" s="99" t="n">
        <f aca="false">'Gas Curves'!C156</f>
        <v>0.074198884142115</v>
      </c>
      <c r="C152" s="99"/>
      <c r="D152" s="145" t="n">
        <v>39722</v>
      </c>
      <c r="E152" s="146" t="n">
        <v>29.55</v>
      </c>
      <c r="F152" s="146" t="n">
        <v>30.8</v>
      </c>
      <c r="G152" s="146" t="n">
        <v>32.05</v>
      </c>
      <c r="H152" s="127"/>
      <c r="I152" s="146" t="n">
        <v>19.0249988555908</v>
      </c>
      <c r="J152" s="146" t="n">
        <v>19.6499988555908</v>
      </c>
      <c r="K152" s="146" t="n">
        <v>20.2749988555908</v>
      </c>
      <c r="L152" s="105"/>
      <c r="M152" s="106" t="n">
        <v>40603</v>
      </c>
      <c r="N152" s="147" t="n">
        <v>21.7597496032715</v>
      </c>
      <c r="O152" s="147" t="n">
        <v>22.4347496032715</v>
      </c>
      <c r="P152" s="147" t="n">
        <v>23.1097496032715</v>
      </c>
      <c r="Q152" s="18"/>
      <c r="R152" s="147" t="n">
        <v>17.7644989013672</v>
      </c>
      <c r="S152" s="147" t="n">
        <v>22.0644989013672</v>
      </c>
      <c r="T152" s="147" t="n">
        <v>26.3644989013672</v>
      </c>
      <c r="U152" s="18"/>
      <c r="V152" s="147" t="n">
        <v>0.3</v>
      </c>
      <c r="W152" s="147" t="n">
        <v>0.3</v>
      </c>
      <c r="X152" s="147" t="n">
        <v>0.3</v>
      </c>
      <c r="Y152" s="18"/>
      <c r="Z152" s="147" t="n">
        <v>0.079953834023545</v>
      </c>
      <c r="AA152" s="147" t="n">
        <v>0.15990766804709</v>
      </c>
      <c r="AB152" s="147" t="n">
        <v>0.239861502070635</v>
      </c>
      <c r="AC152" s="18"/>
      <c r="AD152" s="147" t="n">
        <v>0.0240219405224939</v>
      </c>
      <c r="AE152" s="147" t="n">
        <v>0.0480438810449877</v>
      </c>
      <c r="AF152" s="147" t="n">
        <v>0.0720658215674816</v>
      </c>
      <c r="AG152" s="18"/>
      <c r="AH152" s="147" t="n">
        <v>-0.25</v>
      </c>
      <c r="AI152" s="147" t="n">
        <v>1.3</v>
      </c>
      <c r="AJ152" s="147" t="n">
        <v>0.3</v>
      </c>
      <c r="AK152" s="18"/>
      <c r="AL152" s="147" t="n">
        <v>-0.15</v>
      </c>
      <c r="AM152" s="147" t="n">
        <v>0.35</v>
      </c>
      <c r="AN152" s="147" t="n">
        <v>0.2</v>
      </c>
      <c r="AO152" s="18"/>
      <c r="AP152" s="105" t="n">
        <v>45</v>
      </c>
      <c r="AQ152" s="148" t="n">
        <v>0.4</v>
      </c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06" t="n">
        <v>40603</v>
      </c>
      <c r="BI152" s="150" t="n">
        <v>0.9</v>
      </c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0"/>
      <c r="CM152" s="175"/>
      <c r="CN152" s="175"/>
      <c r="CO152" s="151"/>
      <c r="CP152" s="0"/>
      <c r="CQ152" s="0"/>
      <c r="CR152" s="0"/>
      <c r="CS152" s="0"/>
      <c r="CT152" s="0"/>
      <c r="CY152" s="152" t="n">
        <f aca="false">M152</f>
        <v>40603</v>
      </c>
      <c r="CZ152" s="153" t="n">
        <f aca="false">AI152+AH152</f>
        <v>1.05</v>
      </c>
      <c r="DA152" s="153" t="n">
        <f aca="false">AI152</f>
        <v>1.3</v>
      </c>
      <c r="DB152" s="153" t="n">
        <f aca="false">AI152+AJ152</f>
        <v>1.6</v>
      </c>
      <c r="DD152" s="153" t="n">
        <f aca="false">Z152</f>
        <v>0.079953834023545</v>
      </c>
      <c r="DE152" s="153" t="n">
        <f aca="false">AA152</f>
        <v>0.15990766804709</v>
      </c>
      <c r="DF152" s="153" t="n">
        <f aca="false">AB152</f>
        <v>0.239861502070635</v>
      </c>
      <c r="DH152" s="152" t="n">
        <f aca="false">BH152</f>
        <v>40603</v>
      </c>
      <c r="DI152" s="99" t="n">
        <v>0.9</v>
      </c>
    </row>
    <row r="153" customFormat="false" ht="12.75" hidden="false" customHeight="false" outlineLevel="0" collapsed="false">
      <c r="A153" s="110" t="n">
        <f aca="false">EOMONTH(A152,0)+1</f>
        <v>50192</v>
      </c>
      <c r="B153" s="99" t="n">
        <f aca="false">'Gas Curves'!C157</f>
        <v>0.074198598931261</v>
      </c>
      <c r="C153" s="99"/>
      <c r="D153" s="145" t="n">
        <v>39753</v>
      </c>
      <c r="E153" s="146" t="n">
        <v>29.925</v>
      </c>
      <c r="F153" s="146" t="n">
        <v>31.175</v>
      </c>
      <c r="G153" s="146" t="n">
        <v>32.425</v>
      </c>
      <c r="H153" s="127"/>
      <c r="I153" s="146" t="n">
        <v>18.9499980926514</v>
      </c>
      <c r="J153" s="146" t="n">
        <v>19.5749980926514</v>
      </c>
      <c r="K153" s="146" t="n">
        <v>20.1999980926514</v>
      </c>
      <c r="L153" s="105"/>
      <c r="M153" s="106" t="n">
        <v>40634</v>
      </c>
      <c r="N153" s="147" t="n">
        <v>22.5550003051758</v>
      </c>
      <c r="O153" s="147" t="n">
        <v>23.1175003051758</v>
      </c>
      <c r="P153" s="147" t="n">
        <v>23.6800003051758</v>
      </c>
      <c r="Q153" s="18"/>
      <c r="R153" s="147" t="n">
        <v>17.5349990844727</v>
      </c>
      <c r="S153" s="147" t="n">
        <v>21.8349990844727</v>
      </c>
      <c r="T153" s="147" t="n">
        <v>26.1349990844727</v>
      </c>
      <c r="U153" s="18"/>
      <c r="V153" s="147" t="n">
        <v>0.3</v>
      </c>
      <c r="W153" s="147" t="n">
        <v>0.3</v>
      </c>
      <c r="X153" s="147" t="n">
        <v>0.3</v>
      </c>
      <c r="Y153" s="18"/>
      <c r="Z153" s="147" t="n">
        <v>0.071264664192848</v>
      </c>
      <c r="AA153" s="147" t="n">
        <v>0.142529328385696</v>
      </c>
      <c r="AB153" s="147" t="n">
        <v>0.213793992578544</v>
      </c>
      <c r="AC153" s="18"/>
      <c r="AD153" s="147" t="n">
        <v>0.0240219405224939</v>
      </c>
      <c r="AE153" s="147" t="n">
        <v>0.0480438810449877</v>
      </c>
      <c r="AF153" s="147" t="n">
        <v>0.0720658215674816</v>
      </c>
      <c r="AG153" s="18"/>
      <c r="AH153" s="147" t="n">
        <v>-0.25</v>
      </c>
      <c r="AI153" s="147" t="n">
        <v>1.1</v>
      </c>
      <c r="AJ153" s="147" t="n">
        <v>0.3</v>
      </c>
      <c r="AK153" s="18"/>
      <c r="AL153" s="147" t="n">
        <v>-0.15</v>
      </c>
      <c r="AM153" s="147" t="n">
        <v>0.35</v>
      </c>
      <c r="AN153" s="147" t="n">
        <v>0.2</v>
      </c>
      <c r="AO153" s="18"/>
      <c r="AP153" s="105" t="n">
        <v>45</v>
      </c>
      <c r="AQ153" s="148" t="n">
        <v>0.4</v>
      </c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06" t="n">
        <v>40634</v>
      </c>
      <c r="BI153" s="150" t="n">
        <v>0.9</v>
      </c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0"/>
      <c r="CM153" s="175"/>
      <c r="CN153" s="175"/>
      <c r="CO153" s="151"/>
      <c r="CP153" s="0"/>
      <c r="CQ153" s="0"/>
      <c r="CR153" s="0"/>
      <c r="CS153" s="0"/>
      <c r="CT153" s="0"/>
      <c r="CY153" s="152" t="n">
        <f aca="false">M153</f>
        <v>40634</v>
      </c>
      <c r="CZ153" s="153" t="n">
        <f aca="false">AI153+AH153</f>
        <v>0.85</v>
      </c>
      <c r="DA153" s="153" t="n">
        <f aca="false">AI153</f>
        <v>1.1</v>
      </c>
      <c r="DB153" s="153" t="n">
        <f aca="false">AI153+AJ153</f>
        <v>1.4</v>
      </c>
      <c r="DD153" s="153" t="n">
        <f aca="false">Z153</f>
        <v>0.071264664192848</v>
      </c>
      <c r="DE153" s="153" t="n">
        <f aca="false">AA153</f>
        <v>0.142529328385696</v>
      </c>
      <c r="DF153" s="153" t="n">
        <f aca="false">AB153</f>
        <v>0.213793992578544</v>
      </c>
      <c r="DH153" s="152" t="n">
        <f aca="false">BH153</f>
        <v>40634</v>
      </c>
      <c r="DI153" s="99" t="n">
        <v>0.9</v>
      </c>
    </row>
    <row r="154" customFormat="false" ht="12.75" hidden="false" customHeight="false" outlineLevel="0" collapsed="false">
      <c r="A154" s="110" t="n">
        <f aca="false">EOMONTH(A153,0)+1</f>
        <v>50222</v>
      </c>
      <c r="B154" s="99" t="n">
        <f aca="false">'Gas Curves'!C158</f>
        <v>0.074198304213379</v>
      </c>
      <c r="C154" s="99"/>
      <c r="D154" s="145" t="n">
        <v>39783</v>
      </c>
      <c r="E154" s="146" t="n">
        <v>29.8</v>
      </c>
      <c r="F154" s="146" t="n">
        <v>31.05</v>
      </c>
      <c r="G154" s="146" t="n">
        <v>32.3</v>
      </c>
      <c r="H154" s="127"/>
      <c r="I154" s="146" t="n">
        <v>20.3749992370605</v>
      </c>
      <c r="J154" s="146" t="n">
        <v>20.9999992370605</v>
      </c>
      <c r="K154" s="146" t="n">
        <v>21.6249992370605</v>
      </c>
      <c r="L154" s="105"/>
      <c r="M154" s="106" t="n">
        <v>40664</v>
      </c>
      <c r="N154" s="147" t="n">
        <v>21.3725000762939</v>
      </c>
      <c r="O154" s="147" t="n">
        <v>23.2325000762939</v>
      </c>
      <c r="P154" s="147" t="n">
        <v>25.0925000762939</v>
      </c>
      <c r="Q154" s="18"/>
      <c r="R154" s="147" t="n">
        <v>18.0649997711182</v>
      </c>
      <c r="S154" s="147" t="n">
        <v>22.3649997711182</v>
      </c>
      <c r="T154" s="147" t="n">
        <v>26.6649997711182</v>
      </c>
      <c r="U154" s="18"/>
      <c r="V154" s="147" t="n">
        <v>0.3</v>
      </c>
      <c r="W154" s="147" t="n">
        <v>0.3</v>
      </c>
      <c r="X154" s="147" t="n">
        <v>0.3</v>
      </c>
      <c r="Y154" s="18"/>
      <c r="Z154" s="147" t="n">
        <v>0.0820419290991388</v>
      </c>
      <c r="AA154" s="147" t="n">
        <v>0.164083858198278</v>
      </c>
      <c r="AB154" s="147" t="n">
        <v>0.246125787297417</v>
      </c>
      <c r="AC154" s="18"/>
      <c r="AD154" s="147" t="n">
        <v>0.0280255972762429</v>
      </c>
      <c r="AE154" s="147" t="n">
        <v>0.0560511945524857</v>
      </c>
      <c r="AF154" s="147" t="n">
        <v>0.0840767918287286</v>
      </c>
      <c r="AG154" s="18"/>
      <c r="AH154" s="147" t="n">
        <v>-0.25</v>
      </c>
      <c r="AI154" s="147" t="n">
        <v>1.1</v>
      </c>
      <c r="AJ154" s="147" t="n">
        <v>0.3</v>
      </c>
      <c r="AK154" s="18"/>
      <c r="AL154" s="147" t="n">
        <v>-0.15</v>
      </c>
      <c r="AM154" s="147" t="n">
        <v>0.5</v>
      </c>
      <c r="AN154" s="147" t="n">
        <v>0.2</v>
      </c>
      <c r="AO154" s="18"/>
      <c r="AP154" s="105" t="n">
        <v>46</v>
      </c>
      <c r="AQ154" s="148" t="n">
        <v>0.4</v>
      </c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06" t="n">
        <v>40664</v>
      </c>
      <c r="BI154" s="150" t="n">
        <v>0.9</v>
      </c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0"/>
      <c r="CM154" s="175"/>
      <c r="CN154" s="175"/>
      <c r="CO154" s="151"/>
      <c r="CP154" s="0"/>
      <c r="CQ154" s="0"/>
      <c r="CR154" s="0"/>
      <c r="CS154" s="0"/>
      <c r="CT154" s="0"/>
      <c r="CY154" s="152" t="n">
        <f aca="false">M154</f>
        <v>40664</v>
      </c>
      <c r="CZ154" s="153" t="n">
        <f aca="false">AI154+AH154</f>
        <v>0.85</v>
      </c>
      <c r="DA154" s="153" t="n">
        <f aca="false">AI154</f>
        <v>1.1</v>
      </c>
      <c r="DB154" s="153" t="n">
        <f aca="false">AI154+AJ154</f>
        <v>1.4</v>
      </c>
      <c r="DD154" s="153" t="n">
        <f aca="false">Z154</f>
        <v>0.0820419290991388</v>
      </c>
      <c r="DE154" s="153" t="n">
        <f aca="false">AA154</f>
        <v>0.164083858198278</v>
      </c>
      <c r="DF154" s="153" t="n">
        <f aca="false">AB154</f>
        <v>0.246125787297417</v>
      </c>
      <c r="DH154" s="152" t="n">
        <f aca="false">BH154</f>
        <v>40664</v>
      </c>
      <c r="DI154" s="99" t="n">
        <v>0.9</v>
      </c>
    </row>
    <row r="155" customFormat="false" ht="12.75" hidden="false" customHeight="false" outlineLevel="0" collapsed="false">
      <c r="A155" s="110" t="n">
        <f aca="false">EOMONTH(A154,0)+1</f>
        <v>50253</v>
      </c>
      <c r="B155" s="99" t="n">
        <f aca="false">'Gas Curves'!C159</f>
        <v>0.074198009495498</v>
      </c>
      <c r="C155" s="99"/>
      <c r="D155" s="145" t="n">
        <v>39814</v>
      </c>
      <c r="E155" s="146" t="n">
        <v>35.75</v>
      </c>
      <c r="F155" s="146" t="n">
        <v>37.15</v>
      </c>
      <c r="G155" s="146" t="n">
        <v>38.55</v>
      </c>
      <c r="H155" s="127"/>
      <c r="I155" s="146" t="n">
        <v>20.2900009155273</v>
      </c>
      <c r="J155" s="146" t="n">
        <v>20.9900009155273</v>
      </c>
      <c r="K155" s="146" t="n">
        <v>21.6900009155273</v>
      </c>
      <c r="L155" s="105"/>
      <c r="M155" s="106" t="n">
        <v>40695</v>
      </c>
      <c r="N155" s="147" t="n">
        <v>22.3262501525879</v>
      </c>
      <c r="O155" s="147" t="n">
        <v>27.6587501525879</v>
      </c>
      <c r="P155" s="147" t="n">
        <v>32.9912501525879</v>
      </c>
      <c r="Q155" s="18"/>
      <c r="R155" s="147" t="n">
        <v>16.8424995422363</v>
      </c>
      <c r="S155" s="147" t="n">
        <v>21.1424995422363</v>
      </c>
      <c r="T155" s="147" t="n">
        <v>25.4424995422363</v>
      </c>
      <c r="U155" s="18"/>
      <c r="V155" s="147" t="n">
        <v>0.3</v>
      </c>
      <c r="W155" s="147" t="n">
        <v>0.3</v>
      </c>
      <c r="X155" s="147" t="n">
        <v>0.3</v>
      </c>
      <c r="Y155" s="18"/>
      <c r="Z155" s="147" t="n">
        <v>0.102855521949413</v>
      </c>
      <c r="AA155" s="147" t="n">
        <v>0.205711043898826</v>
      </c>
      <c r="AB155" s="147" t="n">
        <v>0.308566565848239</v>
      </c>
      <c r="AC155" s="18"/>
      <c r="AD155" s="147" t="n">
        <v>0.0360329107837408</v>
      </c>
      <c r="AE155" s="147" t="n">
        <v>0.0720658215674816</v>
      </c>
      <c r="AF155" s="147" t="n">
        <v>0.108098732351222</v>
      </c>
      <c r="AG155" s="18"/>
      <c r="AH155" s="147" t="n">
        <v>-0.35</v>
      </c>
      <c r="AI155" s="147" t="n">
        <v>2</v>
      </c>
      <c r="AJ155" s="147" t="n">
        <v>0.3</v>
      </c>
      <c r="AK155" s="18"/>
      <c r="AL155" s="147" t="n">
        <v>-0.15</v>
      </c>
      <c r="AM155" s="147" t="n">
        <v>0.65</v>
      </c>
      <c r="AN155" s="147" t="n">
        <v>0.2</v>
      </c>
      <c r="AO155" s="18"/>
      <c r="AP155" s="105" t="n">
        <v>46</v>
      </c>
      <c r="AQ155" s="148" t="n">
        <v>0.4</v>
      </c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06" t="n">
        <v>40695</v>
      </c>
      <c r="BI155" s="150" t="n">
        <v>0.9</v>
      </c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0"/>
      <c r="CM155" s="175"/>
      <c r="CN155" s="175"/>
      <c r="CO155" s="151"/>
      <c r="CP155" s="0"/>
      <c r="CQ155" s="0"/>
      <c r="CR155" s="0"/>
      <c r="CS155" s="0"/>
      <c r="CT155" s="0"/>
      <c r="CY155" s="152" t="n">
        <f aca="false">M155</f>
        <v>40695</v>
      </c>
      <c r="CZ155" s="153" t="n">
        <f aca="false">AI155+AH155</f>
        <v>1.65</v>
      </c>
      <c r="DA155" s="153" t="n">
        <f aca="false">AI155</f>
        <v>2</v>
      </c>
      <c r="DB155" s="153" t="n">
        <f aca="false">AI155+AJ155</f>
        <v>2.3</v>
      </c>
      <c r="DD155" s="153" t="n">
        <f aca="false">Z155</f>
        <v>0.102855521949413</v>
      </c>
      <c r="DE155" s="153" t="n">
        <f aca="false">AA155</f>
        <v>0.205711043898826</v>
      </c>
      <c r="DF155" s="153" t="n">
        <f aca="false">AB155</f>
        <v>0.308566565848239</v>
      </c>
      <c r="DH155" s="152" t="n">
        <f aca="false">BH155</f>
        <v>40695</v>
      </c>
      <c r="DI155" s="99" t="n">
        <v>0.9</v>
      </c>
    </row>
    <row r="156" customFormat="false" ht="12.75" hidden="false" customHeight="false" outlineLevel="0" collapsed="false">
      <c r="A156" s="110" t="n">
        <f aca="false">EOMONTH(A155,0)+1</f>
        <v>50284</v>
      </c>
      <c r="B156" s="99" t="n">
        <f aca="false">'Gas Curves'!C160</f>
        <v>0.074197733791673</v>
      </c>
      <c r="C156" s="99"/>
      <c r="D156" s="145" t="n">
        <v>39845</v>
      </c>
      <c r="E156" s="146" t="n">
        <v>35.75</v>
      </c>
      <c r="F156" s="146" t="n">
        <v>37.15</v>
      </c>
      <c r="G156" s="146" t="n">
        <v>38.55</v>
      </c>
      <c r="H156" s="127"/>
      <c r="I156" s="146" t="n">
        <v>20.0999977111816</v>
      </c>
      <c r="J156" s="146" t="n">
        <v>20.7999977111816</v>
      </c>
      <c r="K156" s="146" t="n">
        <v>21.4999977111816</v>
      </c>
      <c r="L156" s="105"/>
      <c r="M156" s="106" t="n">
        <v>40725</v>
      </c>
      <c r="N156" s="147" t="n">
        <v>37.1112495422364</v>
      </c>
      <c r="O156" s="147" t="n">
        <v>40.8612495422364</v>
      </c>
      <c r="P156" s="147" t="n">
        <v>44.6112495422364</v>
      </c>
      <c r="Q156" s="18"/>
      <c r="R156" s="147" t="n">
        <v>26.0474994659424</v>
      </c>
      <c r="S156" s="147" t="n">
        <v>30.3474994659424</v>
      </c>
      <c r="T156" s="147" t="n">
        <v>34.6474994659424</v>
      </c>
      <c r="U156" s="18"/>
      <c r="V156" s="147" t="n">
        <v>0.3</v>
      </c>
      <c r="W156" s="147" t="n">
        <v>0.3</v>
      </c>
      <c r="X156" s="147" t="n">
        <v>0.3</v>
      </c>
      <c r="Y156" s="18"/>
      <c r="Z156" s="147" t="n">
        <v>0.121715735535422</v>
      </c>
      <c r="AA156" s="147" t="n">
        <v>0.243431471070844</v>
      </c>
      <c r="AB156" s="147" t="n">
        <v>0.365147206606266</v>
      </c>
      <c r="AC156" s="18"/>
      <c r="AD156" s="147" t="n">
        <v>0.0480438810449877</v>
      </c>
      <c r="AE156" s="147" t="n">
        <v>0.0960877620899755</v>
      </c>
      <c r="AF156" s="147" t="n">
        <v>0.144131643134963</v>
      </c>
      <c r="AG156" s="18"/>
      <c r="AH156" s="147" t="n">
        <v>-0.35</v>
      </c>
      <c r="AI156" s="147" t="n">
        <v>3</v>
      </c>
      <c r="AJ156" s="147" t="n">
        <v>0.5</v>
      </c>
      <c r="AK156" s="18"/>
      <c r="AL156" s="147" t="n">
        <v>-0.15</v>
      </c>
      <c r="AM156" s="147" t="n">
        <v>0.75</v>
      </c>
      <c r="AN156" s="147" t="n">
        <v>0.2</v>
      </c>
      <c r="AO156" s="18"/>
      <c r="AP156" s="105" t="n">
        <v>46</v>
      </c>
      <c r="AQ156" s="148" t="n">
        <v>0.4</v>
      </c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06" t="n">
        <v>40725</v>
      </c>
      <c r="BI156" s="150" t="n">
        <v>0.9</v>
      </c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0"/>
      <c r="CM156" s="175"/>
      <c r="CN156" s="175"/>
      <c r="CO156" s="151"/>
      <c r="CP156" s="0"/>
      <c r="CQ156" s="0"/>
      <c r="CR156" s="0"/>
      <c r="CS156" s="0"/>
      <c r="CT156" s="0"/>
      <c r="CY156" s="152" t="n">
        <f aca="false">M156</f>
        <v>40725</v>
      </c>
      <c r="CZ156" s="153" t="n">
        <f aca="false">AI156+AH156</f>
        <v>2.65</v>
      </c>
      <c r="DA156" s="153" t="n">
        <f aca="false">AI156</f>
        <v>3</v>
      </c>
      <c r="DB156" s="153" t="n">
        <f aca="false">AI156+AJ156</f>
        <v>3.5</v>
      </c>
      <c r="DD156" s="153" t="n">
        <f aca="false">Z156</f>
        <v>0.121715735535422</v>
      </c>
      <c r="DE156" s="153" t="n">
        <f aca="false">AA156</f>
        <v>0.243431471070844</v>
      </c>
      <c r="DF156" s="153" t="n">
        <f aca="false">AB156</f>
        <v>0.365147206606266</v>
      </c>
      <c r="DH156" s="152" t="n">
        <f aca="false">BH156</f>
        <v>40725</v>
      </c>
      <c r="DI156" s="99" t="n">
        <v>0.9</v>
      </c>
    </row>
    <row r="157" customFormat="false" ht="12.75" hidden="false" customHeight="false" outlineLevel="0" collapsed="false">
      <c r="A157" s="110" t="n">
        <f aca="false">EOMONTH(A156,0)+1</f>
        <v>50314</v>
      </c>
      <c r="B157" s="99" t="n">
        <f aca="false">'Gas Curves'!C161</f>
        <v>0.074197439073791</v>
      </c>
      <c r="C157" s="99"/>
      <c r="D157" s="145" t="n">
        <v>39873</v>
      </c>
      <c r="E157" s="146" t="n">
        <v>32.6</v>
      </c>
      <c r="F157" s="146" t="n">
        <v>33.4</v>
      </c>
      <c r="G157" s="146" t="n">
        <v>34.2</v>
      </c>
      <c r="H157" s="127"/>
      <c r="I157" s="146" t="n">
        <v>19.3999996185303</v>
      </c>
      <c r="J157" s="146" t="n">
        <v>19.7999996185303</v>
      </c>
      <c r="K157" s="146" t="n">
        <v>20.1999996185303</v>
      </c>
      <c r="L157" s="105"/>
      <c r="M157" s="106" t="n">
        <v>40756</v>
      </c>
      <c r="N157" s="147" t="n">
        <v>39.3724990844727</v>
      </c>
      <c r="O157" s="147" t="n">
        <v>43.1224990844727</v>
      </c>
      <c r="P157" s="147" t="n">
        <v>46.8724990844727</v>
      </c>
      <c r="Q157" s="18"/>
      <c r="R157" s="147" t="n">
        <v>27.5450008392334</v>
      </c>
      <c r="S157" s="147" t="n">
        <v>31.8450008392334</v>
      </c>
      <c r="T157" s="147" t="n">
        <v>36.1450008392334</v>
      </c>
      <c r="U157" s="18"/>
      <c r="V157" s="147" t="n">
        <v>0.3</v>
      </c>
      <c r="W157" s="147" t="n">
        <v>0.3</v>
      </c>
      <c r="X157" s="147" t="n">
        <v>0.3</v>
      </c>
      <c r="Y157" s="18"/>
      <c r="Z157" s="147" t="n">
        <v>0.119762356271157</v>
      </c>
      <c r="AA157" s="147" t="n">
        <v>0.239524712542313</v>
      </c>
      <c r="AB157" s="147" t="n">
        <v>0.35928706881347</v>
      </c>
      <c r="AC157" s="18"/>
      <c r="AD157" s="147" t="n">
        <v>0.0480438810449877</v>
      </c>
      <c r="AE157" s="147" t="n">
        <v>0.0960877620899755</v>
      </c>
      <c r="AF157" s="147" t="n">
        <v>0.144131643134963</v>
      </c>
      <c r="AG157" s="18"/>
      <c r="AH157" s="147" t="n">
        <v>-0.35</v>
      </c>
      <c r="AI157" s="147" t="n">
        <v>3</v>
      </c>
      <c r="AJ157" s="147" t="n">
        <v>0.5</v>
      </c>
      <c r="AK157" s="18"/>
      <c r="AL157" s="147" t="n">
        <v>-0.15</v>
      </c>
      <c r="AM157" s="147" t="n">
        <v>0.75</v>
      </c>
      <c r="AN157" s="147" t="n">
        <v>0.2</v>
      </c>
      <c r="AO157" s="18"/>
      <c r="AP157" s="105" t="n">
        <v>47</v>
      </c>
      <c r="AQ157" s="148" t="n">
        <v>0.4</v>
      </c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06" t="n">
        <v>40756</v>
      </c>
      <c r="BI157" s="150" t="n">
        <v>0.9</v>
      </c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0"/>
      <c r="CM157" s="175"/>
      <c r="CN157" s="175"/>
      <c r="CO157" s="151"/>
      <c r="CP157" s="0"/>
      <c r="CQ157" s="0"/>
      <c r="CR157" s="0"/>
      <c r="CS157" s="0"/>
      <c r="CT157" s="0"/>
      <c r="CY157" s="152" t="n">
        <f aca="false">M157</f>
        <v>40756</v>
      </c>
      <c r="CZ157" s="153" t="n">
        <f aca="false">AI157+AH157</f>
        <v>2.65</v>
      </c>
      <c r="DA157" s="153" t="n">
        <f aca="false">AI157</f>
        <v>3</v>
      </c>
      <c r="DB157" s="153" t="n">
        <f aca="false">AI157+AJ157</f>
        <v>3.5</v>
      </c>
      <c r="DD157" s="153" t="n">
        <f aca="false">Z157</f>
        <v>0.119762356271157</v>
      </c>
      <c r="DE157" s="153" t="n">
        <f aca="false">AA157</f>
        <v>0.239524712542313</v>
      </c>
      <c r="DF157" s="153" t="n">
        <f aca="false">AB157</f>
        <v>0.35928706881347</v>
      </c>
      <c r="DH157" s="152" t="n">
        <f aca="false">BH157</f>
        <v>40756</v>
      </c>
      <c r="DI157" s="99" t="n">
        <v>0.9</v>
      </c>
    </row>
    <row r="158" customFormat="false" ht="12.75" hidden="false" customHeight="false" outlineLevel="0" collapsed="false">
      <c r="A158" s="110" t="n">
        <f aca="false">EOMONTH(A157,0)+1</f>
        <v>50345</v>
      </c>
      <c r="B158" s="99" t="n">
        <f aca="false">'Gas Curves'!C162</f>
        <v>0.074197153862938</v>
      </c>
      <c r="C158" s="99"/>
      <c r="D158" s="145" t="n">
        <v>39904</v>
      </c>
      <c r="E158" s="146" t="n">
        <v>31.5</v>
      </c>
      <c r="F158" s="146" t="n">
        <v>32.15</v>
      </c>
      <c r="G158" s="146" t="n">
        <v>32.8</v>
      </c>
      <c r="H158" s="127"/>
      <c r="I158" s="146" t="n">
        <v>19.4749977111816</v>
      </c>
      <c r="J158" s="146" t="n">
        <v>19.7999977111816</v>
      </c>
      <c r="K158" s="146" t="n">
        <v>20.1249977111816</v>
      </c>
      <c r="L158" s="105"/>
      <c r="M158" s="106" t="n">
        <v>40787</v>
      </c>
      <c r="N158" s="147" t="n">
        <v>23.2299991607666</v>
      </c>
      <c r="O158" s="147" t="n">
        <v>24.5049991607666</v>
      </c>
      <c r="P158" s="147" t="n">
        <v>25.7799991607666</v>
      </c>
      <c r="Q158" s="18"/>
      <c r="R158" s="147" t="n">
        <v>20.7</v>
      </c>
      <c r="S158" s="147" t="n">
        <v>25</v>
      </c>
      <c r="T158" s="147" t="n">
        <v>29.3</v>
      </c>
      <c r="U158" s="18"/>
      <c r="V158" s="147" t="n">
        <v>0.8</v>
      </c>
      <c r="W158" s="147" t="n">
        <v>0.8</v>
      </c>
      <c r="X158" s="147" t="n">
        <v>0.8</v>
      </c>
      <c r="Y158" s="18"/>
      <c r="Z158" s="147" t="n">
        <v>0.0793476128725661</v>
      </c>
      <c r="AA158" s="147" t="n">
        <v>0.158695225745132</v>
      </c>
      <c r="AB158" s="147" t="n">
        <v>0.238042838617698</v>
      </c>
      <c r="AC158" s="18"/>
      <c r="AD158" s="147" t="n">
        <v>0.0320292540299918</v>
      </c>
      <c r="AE158" s="147" t="n">
        <v>0.0640585080599837</v>
      </c>
      <c r="AF158" s="147" t="n">
        <v>0.0960877620899755</v>
      </c>
      <c r="AG158" s="18"/>
      <c r="AH158" s="147" t="n">
        <v>-0.35</v>
      </c>
      <c r="AI158" s="147" t="n">
        <v>1.5</v>
      </c>
      <c r="AJ158" s="147" t="n">
        <v>0.3</v>
      </c>
      <c r="AK158" s="18"/>
      <c r="AL158" s="147" t="n">
        <v>-0.15</v>
      </c>
      <c r="AM158" s="147" t="n">
        <v>0.4</v>
      </c>
      <c r="AN158" s="147" t="n">
        <v>0.2</v>
      </c>
      <c r="AO158" s="18"/>
      <c r="AP158" s="105" t="n">
        <v>47</v>
      </c>
      <c r="AQ158" s="148" t="n">
        <v>0.4</v>
      </c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06" t="n">
        <v>40787</v>
      </c>
      <c r="BI158" s="150" t="n">
        <v>0.9</v>
      </c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0"/>
      <c r="CM158" s="175"/>
      <c r="CN158" s="175"/>
      <c r="CO158" s="151"/>
      <c r="CP158" s="0"/>
      <c r="CQ158" s="0"/>
      <c r="CR158" s="0"/>
      <c r="CS158" s="0"/>
      <c r="CT158" s="0"/>
      <c r="CY158" s="152" t="n">
        <f aca="false">M158</f>
        <v>40787</v>
      </c>
      <c r="CZ158" s="153" t="n">
        <f aca="false">AI158+AH158</f>
        <v>1.15</v>
      </c>
      <c r="DA158" s="153" t="n">
        <f aca="false">AI158</f>
        <v>1.5</v>
      </c>
      <c r="DB158" s="153" t="n">
        <f aca="false">AI158+AJ158</f>
        <v>1.8</v>
      </c>
      <c r="DD158" s="153" t="n">
        <f aca="false">Z158</f>
        <v>0.0793476128725661</v>
      </c>
      <c r="DE158" s="153" t="n">
        <f aca="false">AA158</f>
        <v>0.158695225745132</v>
      </c>
      <c r="DF158" s="153" t="n">
        <f aca="false">AB158</f>
        <v>0.238042838617698</v>
      </c>
      <c r="DH158" s="152" t="n">
        <f aca="false">BH158</f>
        <v>40787</v>
      </c>
      <c r="DI158" s="99" t="n">
        <v>0.9</v>
      </c>
    </row>
    <row r="159" customFormat="false" ht="12.75" hidden="false" customHeight="false" outlineLevel="0" collapsed="false">
      <c r="A159" s="110" t="n">
        <f aca="false">EOMONTH(A158,0)+1</f>
        <v>50375</v>
      </c>
      <c r="B159" s="99" t="n">
        <f aca="false">'Gas Curves'!C163</f>
        <v>0.074196859145056</v>
      </c>
      <c r="C159" s="99"/>
      <c r="D159" s="145" t="n">
        <v>39934</v>
      </c>
      <c r="E159" s="146" t="n">
        <v>31.9</v>
      </c>
      <c r="F159" s="146" t="n">
        <v>34.15</v>
      </c>
      <c r="G159" s="146" t="n">
        <v>36.4</v>
      </c>
      <c r="H159" s="127"/>
      <c r="I159" s="146" t="n">
        <v>18.6749977111816</v>
      </c>
      <c r="J159" s="146" t="n">
        <v>19.7999977111816</v>
      </c>
      <c r="K159" s="146" t="n">
        <v>20.9249977111816</v>
      </c>
      <c r="L159" s="105"/>
      <c r="M159" s="106" t="n">
        <v>40817</v>
      </c>
      <c r="N159" s="147" t="n">
        <v>23.4380001068115</v>
      </c>
      <c r="O159" s="147" t="n">
        <v>24.6005001068115</v>
      </c>
      <c r="P159" s="147" t="n">
        <v>25.7630001068115</v>
      </c>
      <c r="Q159" s="18"/>
      <c r="R159" s="147" t="n">
        <v>18.3009998321533</v>
      </c>
      <c r="S159" s="147" t="n">
        <v>22.6009998321533</v>
      </c>
      <c r="T159" s="147" t="n">
        <v>26.9009998321533</v>
      </c>
      <c r="U159" s="18"/>
      <c r="V159" s="147" t="n">
        <v>0.8</v>
      </c>
      <c r="W159" s="147" t="n">
        <v>0.8</v>
      </c>
      <c r="X159" s="147" t="n">
        <v>0.8</v>
      </c>
      <c r="Y159" s="18"/>
      <c r="Z159" s="147" t="n">
        <v>0.0724771064948057</v>
      </c>
      <c r="AA159" s="147" t="n">
        <v>0.144954212989611</v>
      </c>
      <c r="AB159" s="147" t="n">
        <v>0.217431319484417</v>
      </c>
      <c r="AC159" s="18"/>
      <c r="AD159" s="147" t="n">
        <v>0.0240219405224939</v>
      </c>
      <c r="AE159" s="147" t="n">
        <v>0.0480438810449877</v>
      </c>
      <c r="AF159" s="147" t="n">
        <v>0.0720658215674816</v>
      </c>
      <c r="AG159" s="18"/>
      <c r="AH159" s="147" t="n">
        <v>-0.25</v>
      </c>
      <c r="AI159" s="147" t="n">
        <v>1.1</v>
      </c>
      <c r="AJ159" s="147" t="n">
        <v>0.3</v>
      </c>
      <c r="AK159" s="18"/>
      <c r="AL159" s="147" t="n">
        <v>-0.15</v>
      </c>
      <c r="AM159" s="147" t="n">
        <v>0.35</v>
      </c>
      <c r="AN159" s="147" t="n">
        <v>0.2</v>
      </c>
      <c r="AO159" s="18"/>
      <c r="AP159" s="105" t="n">
        <v>47</v>
      </c>
      <c r="AQ159" s="148" t="n">
        <v>0.4</v>
      </c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06" t="n">
        <v>40817</v>
      </c>
      <c r="BI159" s="150" t="n">
        <v>0.9</v>
      </c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0"/>
      <c r="CM159" s="175"/>
      <c r="CN159" s="175"/>
      <c r="CO159" s="151"/>
      <c r="CP159" s="0"/>
      <c r="CQ159" s="0"/>
      <c r="CR159" s="0"/>
      <c r="CS159" s="0"/>
      <c r="CT159" s="0"/>
      <c r="CY159" s="152" t="n">
        <f aca="false">M159</f>
        <v>40817</v>
      </c>
      <c r="CZ159" s="153" t="n">
        <f aca="false">AI159+AH159</f>
        <v>0.85</v>
      </c>
      <c r="DA159" s="153" t="n">
        <f aca="false">AI159</f>
        <v>1.1</v>
      </c>
      <c r="DB159" s="153" t="n">
        <f aca="false">AI159+AJ159</f>
        <v>1.4</v>
      </c>
      <c r="DD159" s="153" t="n">
        <f aca="false">Z159</f>
        <v>0.0724771064948057</v>
      </c>
      <c r="DE159" s="153" t="n">
        <f aca="false">AA159</f>
        <v>0.144954212989611</v>
      </c>
      <c r="DF159" s="153" t="n">
        <f aca="false">AB159</f>
        <v>0.217431319484417</v>
      </c>
      <c r="DH159" s="152" t="n">
        <f aca="false">BH159</f>
        <v>40817</v>
      </c>
      <c r="DI159" s="99" t="n">
        <v>0.9</v>
      </c>
    </row>
    <row r="160" customFormat="false" ht="12.75" hidden="false" customHeight="false" outlineLevel="0" collapsed="false">
      <c r="A160" s="110" t="n">
        <f aca="false">EOMONTH(A159,0)+1</f>
        <v>50406</v>
      </c>
      <c r="B160" s="99" t="n">
        <f aca="false">'Gas Curves'!C164</f>
        <v>0.074196573934203</v>
      </c>
      <c r="C160" s="99"/>
      <c r="D160" s="145" t="n">
        <v>39965</v>
      </c>
      <c r="E160" s="146" t="n">
        <v>44.79</v>
      </c>
      <c r="F160" s="146" t="n">
        <v>51.25</v>
      </c>
      <c r="G160" s="146" t="n">
        <v>57.71</v>
      </c>
      <c r="H160" s="127"/>
      <c r="I160" s="146" t="n">
        <v>16.5249987792969</v>
      </c>
      <c r="J160" s="146" t="n">
        <v>19.7549987792969</v>
      </c>
      <c r="K160" s="146" t="n">
        <v>22.9849987792969</v>
      </c>
      <c r="L160" s="105"/>
      <c r="M160" s="106" t="n">
        <v>40848</v>
      </c>
      <c r="N160" s="147" t="n">
        <v>24.4422515869141</v>
      </c>
      <c r="O160" s="147" t="n">
        <v>25.6047515869141</v>
      </c>
      <c r="P160" s="147" t="n">
        <v>26.7672515869141</v>
      </c>
      <c r="Q160" s="18"/>
      <c r="R160" s="147" t="n">
        <v>19.3044998168945</v>
      </c>
      <c r="S160" s="147" t="n">
        <v>23.6044998168945</v>
      </c>
      <c r="T160" s="147" t="n">
        <v>27.9044998168945</v>
      </c>
      <c r="U160" s="18"/>
      <c r="V160" s="147" t="n">
        <v>0.8</v>
      </c>
      <c r="W160" s="147" t="n">
        <v>0.8</v>
      </c>
      <c r="X160" s="147" t="n">
        <v>0.8</v>
      </c>
      <c r="Y160" s="18"/>
      <c r="Z160" s="147" t="n">
        <v>0.0724771064948057</v>
      </c>
      <c r="AA160" s="147" t="n">
        <v>0.144954212989611</v>
      </c>
      <c r="AB160" s="147" t="n">
        <v>0.217431319484417</v>
      </c>
      <c r="AC160" s="18"/>
      <c r="AD160" s="147" t="n">
        <v>0.0240219405224939</v>
      </c>
      <c r="AE160" s="147" t="n">
        <v>0.0480438810449877</v>
      </c>
      <c r="AF160" s="147" t="n">
        <v>0.0720658215674816</v>
      </c>
      <c r="AG160" s="18"/>
      <c r="AH160" s="147" t="n">
        <v>-0.25</v>
      </c>
      <c r="AI160" s="147" t="n">
        <v>1.25</v>
      </c>
      <c r="AJ160" s="147" t="n">
        <v>0.3</v>
      </c>
      <c r="AK160" s="18"/>
      <c r="AL160" s="147" t="n">
        <v>-0.15</v>
      </c>
      <c r="AM160" s="147" t="n">
        <v>0.3</v>
      </c>
      <c r="AN160" s="147" t="n">
        <v>0.2</v>
      </c>
      <c r="AO160" s="18"/>
      <c r="AP160" s="105" t="n">
        <v>48</v>
      </c>
      <c r="AQ160" s="148" t="n">
        <v>0.4</v>
      </c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06" t="n">
        <v>40848</v>
      </c>
      <c r="BI160" s="150" t="n">
        <v>0.9</v>
      </c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0"/>
      <c r="CM160" s="175"/>
      <c r="CN160" s="175"/>
      <c r="CO160" s="151"/>
      <c r="CP160" s="0"/>
      <c r="CQ160" s="0"/>
      <c r="CR160" s="0"/>
      <c r="CS160" s="0"/>
      <c r="CT160" s="0"/>
      <c r="CY160" s="152" t="n">
        <f aca="false">M160</f>
        <v>40848</v>
      </c>
      <c r="CZ160" s="153" t="n">
        <f aca="false">AI160+AH160</f>
        <v>1</v>
      </c>
      <c r="DA160" s="153" t="n">
        <f aca="false">AI160</f>
        <v>1.25</v>
      </c>
      <c r="DB160" s="153" t="n">
        <f aca="false">AI160+AJ160</f>
        <v>1.55</v>
      </c>
      <c r="DD160" s="153" t="n">
        <f aca="false">Z160</f>
        <v>0.0724771064948057</v>
      </c>
      <c r="DE160" s="153" t="n">
        <f aca="false">AA160</f>
        <v>0.144954212989611</v>
      </c>
      <c r="DF160" s="153" t="n">
        <f aca="false">AB160</f>
        <v>0.217431319484417</v>
      </c>
      <c r="DH160" s="152" t="n">
        <f aca="false">BH160</f>
        <v>40848</v>
      </c>
      <c r="DI160" s="99" t="n">
        <v>0.9</v>
      </c>
    </row>
    <row r="161" customFormat="false" ht="12.75" hidden="false" customHeight="false" outlineLevel="0" collapsed="false">
      <c r="A161" s="110" t="n">
        <f aca="false">EOMONTH(A160,0)+1</f>
        <v>50437</v>
      </c>
      <c r="B161" s="99" t="n">
        <f aca="false">'Gas Curves'!C165</f>
        <v>0.074196279216322</v>
      </c>
      <c r="C161" s="99"/>
      <c r="D161" s="145" t="n">
        <v>39995</v>
      </c>
      <c r="E161" s="146" t="n">
        <v>69.5</v>
      </c>
      <c r="F161" s="146" t="n">
        <v>74.5</v>
      </c>
      <c r="G161" s="146" t="n">
        <v>79.5</v>
      </c>
      <c r="H161" s="127"/>
      <c r="I161" s="146" t="n">
        <v>21.7499977111816</v>
      </c>
      <c r="J161" s="146" t="n">
        <v>24.2499977111816</v>
      </c>
      <c r="K161" s="146" t="n">
        <v>26.7499977111816</v>
      </c>
      <c r="L161" s="105"/>
      <c r="M161" s="106" t="n">
        <v>40878</v>
      </c>
      <c r="N161" s="147" t="n">
        <v>25.8924983978271</v>
      </c>
      <c r="O161" s="147" t="n">
        <v>27.0549983978271</v>
      </c>
      <c r="P161" s="147" t="n">
        <v>28.2174983978271</v>
      </c>
      <c r="Q161" s="18"/>
      <c r="R161" s="147" t="n">
        <v>19.2499992370605</v>
      </c>
      <c r="S161" s="147" t="n">
        <v>23.5499992370605</v>
      </c>
      <c r="T161" s="147" t="n">
        <v>27.8499992370605</v>
      </c>
      <c r="U161" s="18"/>
      <c r="V161" s="147" t="n">
        <v>0.8</v>
      </c>
      <c r="W161" s="147" t="n">
        <v>0.8</v>
      </c>
      <c r="X161" s="147" t="n">
        <v>0.8</v>
      </c>
      <c r="Y161" s="18"/>
      <c r="Z161" s="147" t="n">
        <v>0.0750636500723155</v>
      </c>
      <c r="AA161" s="147" t="n">
        <v>0.150127300144631</v>
      </c>
      <c r="AB161" s="147" t="n">
        <v>0.225190950216947</v>
      </c>
      <c r="AC161" s="18"/>
      <c r="AD161" s="147" t="n">
        <v>0.0240219405224939</v>
      </c>
      <c r="AE161" s="147" t="n">
        <v>0.0480438810449877</v>
      </c>
      <c r="AF161" s="147" t="n">
        <v>0.0720658215674816</v>
      </c>
      <c r="AG161" s="18"/>
      <c r="AH161" s="147" t="n">
        <v>-0.25</v>
      </c>
      <c r="AI161" s="147" t="n">
        <v>1.25</v>
      </c>
      <c r="AJ161" s="147" t="n">
        <v>0.35</v>
      </c>
      <c r="AK161" s="18"/>
      <c r="AL161" s="147" t="n">
        <v>-0.15</v>
      </c>
      <c r="AM161" s="147" t="n">
        <v>0.3</v>
      </c>
      <c r="AN161" s="147" t="n">
        <v>0.2</v>
      </c>
      <c r="AO161" s="18"/>
      <c r="AP161" s="105" t="n">
        <v>48</v>
      </c>
      <c r="AQ161" s="148" t="n">
        <v>0.4</v>
      </c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06" t="n">
        <v>40878</v>
      </c>
      <c r="BI161" s="150" t="n">
        <v>0.9</v>
      </c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0"/>
      <c r="CM161" s="175"/>
      <c r="CN161" s="175"/>
      <c r="CO161" s="151"/>
      <c r="CP161" s="0"/>
      <c r="CQ161" s="0"/>
      <c r="CR161" s="0"/>
      <c r="CS161" s="0"/>
      <c r="CT161" s="0"/>
      <c r="CY161" s="152" t="n">
        <f aca="false">M161</f>
        <v>40878</v>
      </c>
      <c r="CZ161" s="153" t="n">
        <f aca="false">AI161+AH161</f>
        <v>1</v>
      </c>
      <c r="DA161" s="153" t="n">
        <f aca="false">AI161</f>
        <v>1.25</v>
      </c>
      <c r="DB161" s="153" t="n">
        <f aca="false">AI161+AJ161</f>
        <v>1.6</v>
      </c>
      <c r="DD161" s="153" t="n">
        <f aca="false">Z161</f>
        <v>0.0750636500723155</v>
      </c>
      <c r="DE161" s="153" t="n">
        <f aca="false">AA161</f>
        <v>0.150127300144631</v>
      </c>
      <c r="DF161" s="153" t="n">
        <f aca="false">AB161</f>
        <v>0.225190950216947</v>
      </c>
      <c r="DH161" s="152" t="n">
        <f aca="false">BH161</f>
        <v>40878</v>
      </c>
      <c r="DI161" s="99" t="n">
        <v>0.9</v>
      </c>
    </row>
    <row r="162" customFormat="false" ht="12.75" hidden="false" customHeight="false" outlineLevel="0" collapsed="false">
      <c r="A162" s="110" t="n">
        <f aca="false">EOMONTH(A161,0)+1</f>
        <v>50465</v>
      </c>
      <c r="B162" s="99" t="n">
        <f aca="false">'Gas Curves'!C166</f>
        <v>0.074195984498441</v>
      </c>
      <c r="C162" s="99"/>
      <c r="D162" s="145" t="n">
        <v>40026</v>
      </c>
      <c r="E162" s="146" t="n">
        <v>65</v>
      </c>
      <c r="F162" s="146" t="n">
        <v>70</v>
      </c>
      <c r="G162" s="146" t="n">
        <v>75</v>
      </c>
      <c r="H162" s="127"/>
      <c r="I162" s="146" t="n">
        <v>22.0999980926514</v>
      </c>
      <c r="J162" s="146" t="n">
        <v>24.5999980926514</v>
      </c>
      <c r="K162" s="146" t="n">
        <v>27.0999980926514</v>
      </c>
      <c r="L162" s="105"/>
      <c r="M162" s="106" t="n">
        <v>40909</v>
      </c>
      <c r="N162" s="147" t="n">
        <v>29.1737483978271</v>
      </c>
      <c r="O162" s="147" t="n">
        <v>30.4487483978271</v>
      </c>
      <c r="P162" s="147" t="n">
        <v>31.7237483978271</v>
      </c>
      <c r="Q162" s="18"/>
      <c r="R162" s="147" t="n">
        <v>24.6525001525879</v>
      </c>
      <c r="S162" s="147" t="n">
        <v>28.9525001525879</v>
      </c>
      <c r="T162" s="147" t="n">
        <v>33.2525001525879</v>
      </c>
      <c r="U162" s="18"/>
      <c r="V162" s="147" t="n">
        <v>0.8</v>
      </c>
      <c r="W162" s="147" t="n">
        <v>0.8</v>
      </c>
      <c r="X162" s="147" t="n">
        <v>0.8</v>
      </c>
      <c r="Y162" s="18"/>
      <c r="Z162" s="147" t="n">
        <v>0.0807696131032573</v>
      </c>
      <c r="AA162" s="147" t="n">
        <v>0.161539226206515</v>
      </c>
      <c r="AB162" s="147" t="n">
        <v>0.242308839309772</v>
      </c>
      <c r="AC162" s="18"/>
      <c r="AD162" s="147" t="n">
        <v>0.027465085330718</v>
      </c>
      <c r="AE162" s="147" t="n">
        <v>0.054930170661436</v>
      </c>
      <c r="AF162" s="147" t="n">
        <v>0.082395255992154</v>
      </c>
      <c r="AG162" s="18"/>
      <c r="AH162" s="147" t="n">
        <v>-0.75</v>
      </c>
      <c r="AI162" s="147" t="n">
        <v>2</v>
      </c>
      <c r="AJ162" s="147" t="n">
        <v>0.75</v>
      </c>
      <c r="AK162" s="18"/>
      <c r="AL162" s="147" t="n">
        <v>-0.15</v>
      </c>
      <c r="AM162" s="147" t="n">
        <v>0.5</v>
      </c>
      <c r="AN162" s="147" t="n">
        <v>0.2</v>
      </c>
      <c r="AO162" s="18"/>
      <c r="AP162" s="105" t="n">
        <v>48</v>
      </c>
      <c r="AQ162" s="148" t="n">
        <v>0.4</v>
      </c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06" t="n">
        <v>40909</v>
      </c>
      <c r="BI162" s="150" t="n">
        <v>0.9</v>
      </c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0"/>
      <c r="CM162" s="175"/>
      <c r="CN162" s="175"/>
      <c r="CO162" s="151"/>
      <c r="CP162" s="0"/>
      <c r="CQ162" s="0"/>
      <c r="CR162" s="0"/>
      <c r="CS162" s="0"/>
      <c r="CT162" s="0"/>
      <c r="CY162" s="152" t="n">
        <f aca="false">M162</f>
        <v>40909</v>
      </c>
      <c r="CZ162" s="153" t="n">
        <f aca="false">AI162+AH162</f>
        <v>1.25</v>
      </c>
      <c r="DA162" s="153" t="n">
        <f aca="false">AI162</f>
        <v>2</v>
      </c>
      <c r="DB162" s="153" t="n">
        <f aca="false">AI162+AJ162</f>
        <v>2.75</v>
      </c>
      <c r="DD162" s="153" t="n">
        <f aca="false">Z162</f>
        <v>0.0807696131032573</v>
      </c>
      <c r="DE162" s="153" t="n">
        <f aca="false">AA162</f>
        <v>0.161539226206515</v>
      </c>
      <c r="DF162" s="153" t="n">
        <f aca="false">AB162</f>
        <v>0.242308839309772</v>
      </c>
      <c r="DH162" s="152" t="n">
        <f aca="false">BH162</f>
        <v>40909</v>
      </c>
      <c r="DI162" s="99" t="n">
        <v>0.9</v>
      </c>
    </row>
    <row r="163" customFormat="false" ht="12.75" hidden="false" customHeight="false" outlineLevel="0" collapsed="false">
      <c r="A163" s="110" t="n">
        <f aca="false">EOMONTH(A162,0)+1</f>
        <v>50496</v>
      </c>
      <c r="B163" s="99" t="n">
        <f aca="false">'Gas Curves'!C167</f>
        <v>0.074195699287587</v>
      </c>
      <c r="C163" s="99"/>
      <c r="D163" s="145" t="n">
        <v>40057</v>
      </c>
      <c r="E163" s="146" t="n">
        <v>31.65</v>
      </c>
      <c r="F163" s="146" t="n">
        <v>33.15</v>
      </c>
      <c r="G163" s="146" t="n">
        <v>34.65</v>
      </c>
      <c r="H163" s="127"/>
      <c r="I163" s="146" t="n">
        <v>19.3999980926514</v>
      </c>
      <c r="J163" s="146" t="n">
        <v>20.1499980926514</v>
      </c>
      <c r="K163" s="146" t="n">
        <v>20.8999980926514</v>
      </c>
      <c r="L163" s="105"/>
      <c r="M163" s="106" t="n">
        <v>40940</v>
      </c>
      <c r="N163" s="147" t="n">
        <v>28.1712501525879</v>
      </c>
      <c r="O163" s="147" t="n">
        <v>29.4462501525879</v>
      </c>
      <c r="P163" s="147" t="n">
        <v>30.7212501525879</v>
      </c>
      <c r="Q163" s="18"/>
      <c r="R163" s="147" t="n">
        <v>22.6474994659424</v>
      </c>
      <c r="S163" s="147" t="n">
        <v>26.9474994659424</v>
      </c>
      <c r="T163" s="147" t="n">
        <v>31.2474994659424</v>
      </c>
      <c r="U163" s="18"/>
      <c r="V163" s="147" t="n">
        <v>0.8</v>
      </c>
      <c r="W163" s="147" t="n">
        <v>0.8</v>
      </c>
      <c r="X163" s="147" t="n">
        <v>0.8</v>
      </c>
      <c r="Y163" s="18"/>
      <c r="Z163" s="147" t="n">
        <v>0.077925612641875</v>
      </c>
      <c r="AA163" s="147" t="n">
        <v>0.15585122528375</v>
      </c>
      <c r="AB163" s="147" t="n">
        <v>0.233776837925625</v>
      </c>
      <c r="AC163" s="18"/>
      <c r="AD163" s="147" t="n">
        <v>0.027465085330718</v>
      </c>
      <c r="AE163" s="147" t="n">
        <v>0.054930170661436</v>
      </c>
      <c r="AF163" s="147" t="n">
        <v>0.082395255992154</v>
      </c>
      <c r="AG163" s="18"/>
      <c r="AH163" s="147" t="n">
        <v>-0.75</v>
      </c>
      <c r="AI163" s="147" t="n">
        <v>2</v>
      </c>
      <c r="AJ163" s="147" t="n">
        <v>0.75</v>
      </c>
      <c r="AK163" s="18"/>
      <c r="AL163" s="147" t="n">
        <v>-0.15</v>
      </c>
      <c r="AM163" s="147" t="n">
        <v>0.5</v>
      </c>
      <c r="AN163" s="147" t="n">
        <v>0.2</v>
      </c>
      <c r="AO163" s="18"/>
      <c r="AP163" s="105" t="n">
        <v>49</v>
      </c>
      <c r="AQ163" s="148" t="n">
        <v>0.4</v>
      </c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06" t="n">
        <v>40940</v>
      </c>
      <c r="BI163" s="150" t="n">
        <v>0.9</v>
      </c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0"/>
      <c r="CM163" s="175"/>
      <c r="CN163" s="175"/>
      <c r="CO163" s="151"/>
      <c r="CP163" s="0"/>
      <c r="CQ163" s="0"/>
      <c r="CR163" s="0"/>
      <c r="CS163" s="0"/>
      <c r="CT163" s="0"/>
      <c r="CY163" s="152" t="n">
        <f aca="false">M163</f>
        <v>40940</v>
      </c>
      <c r="CZ163" s="153" t="n">
        <f aca="false">AI163+AH163</f>
        <v>1.25</v>
      </c>
      <c r="DA163" s="153" t="n">
        <f aca="false">AI163</f>
        <v>2</v>
      </c>
      <c r="DB163" s="153" t="n">
        <f aca="false">AI163+AJ163</f>
        <v>2.75</v>
      </c>
      <c r="DD163" s="153" t="n">
        <f aca="false">Z163</f>
        <v>0.077925612641875</v>
      </c>
      <c r="DE163" s="153" t="n">
        <f aca="false">AA163</f>
        <v>0.15585122528375</v>
      </c>
      <c r="DF163" s="153" t="n">
        <f aca="false">AB163</f>
        <v>0.233776837925625</v>
      </c>
      <c r="DH163" s="152" t="n">
        <f aca="false">BH163</f>
        <v>40940</v>
      </c>
      <c r="DI163" s="99" t="n">
        <v>0.9</v>
      </c>
    </row>
    <row r="164" customFormat="false" ht="12.75" hidden="false" customHeight="false" outlineLevel="0" collapsed="false">
      <c r="A164" s="110" t="n">
        <f aca="false">EOMONTH(A163,0)+1</f>
        <v>50526</v>
      </c>
      <c r="B164" s="99" t="n">
        <f aca="false">'Gas Curves'!C168</f>
        <v>0.074195404569706</v>
      </c>
      <c r="C164" s="99"/>
      <c r="D164" s="145" t="n">
        <v>40087</v>
      </c>
      <c r="E164" s="146" t="n">
        <v>29.55</v>
      </c>
      <c r="F164" s="146" t="n">
        <v>30.9</v>
      </c>
      <c r="G164" s="146" t="n">
        <v>32.25</v>
      </c>
      <c r="H164" s="127"/>
      <c r="I164" s="146" t="n">
        <v>19.1749988555908</v>
      </c>
      <c r="J164" s="146" t="n">
        <v>19.8499988555908</v>
      </c>
      <c r="K164" s="146" t="n">
        <v>20.5249988555908</v>
      </c>
      <c r="L164" s="105"/>
      <c r="M164" s="106" t="n">
        <v>40969</v>
      </c>
      <c r="N164" s="147" t="n">
        <v>21.9222496032715</v>
      </c>
      <c r="O164" s="147" t="n">
        <v>22.6347496032715</v>
      </c>
      <c r="P164" s="147" t="n">
        <v>23.3472496032715</v>
      </c>
      <c r="Q164" s="18"/>
      <c r="R164" s="147" t="n">
        <v>17.9644989013672</v>
      </c>
      <c r="S164" s="147" t="n">
        <v>22.2644989013672</v>
      </c>
      <c r="T164" s="147" t="n">
        <v>26.5644989013672</v>
      </c>
      <c r="U164" s="18"/>
      <c r="V164" s="147" t="n">
        <v>0.3</v>
      </c>
      <c r="W164" s="147" t="n">
        <v>0.3</v>
      </c>
      <c r="X164" s="147" t="n">
        <v>0.3</v>
      </c>
      <c r="Y164" s="18"/>
      <c r="Z164" s="147" t="n">
        <v>0.0759561423223678</v>
      </c>
      <c r="AA164" s="147" t="n">
        <v>0.151912284644736</v>
      </c>
      <c r="AB164" s="147" t="n">
        <v>0.227868426967103</v>
      </c>
      <c r="AC164" s="18"/>
      <c r="AD164" s="147" t="n">
        <v>0.023541501712044</v>
      </c>
      <c r="AE164" s="147" t="n">
        <v>0.047083003424088</v>
      </c>
      <c r="AF164" s="147" t="n">
        <v>0.070624505136132</v>
      </c>
      <c r="AG164" s="18"/>
      <c r="AH164" s="147" t="n">
        <v>-0.25</v>
      </c>
      <c r="AI164" s="147" t="n">
        <v>1.3</v>
      </c>
      <c r="AJ164" s="147" t="n">
        <v>0.3</v>
      </c>
      <c r="AK164" s="18"/>
      <c r="AL164" s="147" t="n">
        <v>-0.15</v>
      </c>
      <c r="AM164" s="147" t="n">
        <v>0.35</v>
      </c>
      <c r="AN164" s="147" t="n">
        <v>0.2</v>
      </c>
      <c r="AO164" s="18"/>
      <c r="AP164" s="105" t="n">
        <v>49</v>
      </c>
      <c r="AQ164" s="148" t="n">
        <v>0.4</v>
      </c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06" t="n">
        <v>40969</v>
      </c>
      <c r="BI164" s="150" t="n">
        <v>0.9</v>
      </c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0"/>
      <c r="CM164" s="175"/>
      <c r="CN164" s="175"/>
      <c r="CO164" s="151"/>
      <c r="CP164" s="0"/>
      <c r="CQ164" s="0"/>
      <c r="CR164" s="0"/>
      <c r="CS164" s="0"/>
      <c r="CT164" s="0"/>
      <c r="CY164" s="152" t="n">
        <f aca="false">M164</f>
        <v>40969</v>
      </c>
      <c r="CZ164" s="153" t="n">
        <f aca="false">AI164+AH164</f>
        <v>1.05</v>
      </c>
      <c r="DA164" s="153" t="n">
        <f aca="false">AI164</f>
        <v>1.3</v>
      </c>
      <c r="DB164" s="153" t="n">
        <f aca="false">AI164+AJ164</f>
        <v>1.6</v>
      </c>
      <c r="DD164" s="153" t="n">
        <f aca="false">Z164</f>
        <v>0.0759561423223678</v>
      </c>
      <c r="DE164" s="153" t="n">
        <f aca="false">AA164</f>
        <v>0.151912284644736</v>
      </c>
      <c r="DF164" s="153" t="n">
        <f aca="false">AB164</f>
        <v>0.227868426967103</v>
      </c>
      <c r="DH164" s="152" t="n">
        <f aca="false">BH164</f>
        <v>40969</v>
      </c>
      <c r="DI164" s="99" t="n">
        <v>0.9</v>
      </c>
    </row>
    <row r="165" customFormat="false" ht="12.75" hidden="false" customHeight="false" outlineLevel="0" collapsed="false">
      <c r="A165" s="110" t="n">
        <f aca="false">EOMONTH(A164,0)+1</f>
        <v>50557</v>
      </c>
      <c r="B165" s="99" t="n">
        <f aca="false">'Gas Curves'!C169</f>
        <v>0.074195119358853</v>
      </c>
      <c r="C165" s="99"/>
      <c r="D165" s="145" t="n">
        <v>40118</v>
      </c>
      <c r="E165" s="146" t="n">
        <v>29.925</v>
      </c>
      <c r="F165" s="146" t="n">
        <v>31.275</v>
      </c>
      <c r="G165" s="146" t="n">
        <v>32.625</v>
      </c>
      <c r="H165" s="127"/>
      <c r="I165" s="146" t="n">
        <v>19.0999980926514</v>
      </c>
      <c r="J165" s="146" t="n">
        <v>19.7749980926514</v>
      </c>
      <c r="K165" s="146" t="n">
        <v>20.4499980926514</v>
      </c>
      <c r="L165" s="105"/>
      <c r="M165" s="106" t="n">
        <v>41000</v>
      </c>
      <c r="N165" s="147" t="n">
        <v>22.7175003051758</v>
      </c>
      <c r="O165" s="147" t="n">
        <v>23.3175003051758</v>
      </c>
      <c r="P165" s="147" t="n">
        <v>23.9175003051758</v>
      </c>
      <c r="Q165" s="18"/>
      <c r="R165" s="147" t="n">
        <v>17.7349990844726</v>
      </c>
      <c r="S165" s="147" t="n">
        <v>22.0349990844727</v>
      </c>
      <c r="T165" s="147" t="n">
        <v>26.3349990844727</v>
      </c>
      <c r="U165" s="18"/>
      <c r="V165" s="147" t="n">
        <v>0.3</v>
      </c>
      <c r="W165" s="147" t="n">
        <v>0.3</v>
      </c>
      <c r="X165" s="147" t="n">
        <v>0.3</v>
      </c>
      <c r="Y165" s="18"/>
      <c r="Z165" s="147" t="n">
        <v>0.0677014309832056</v>
      </c>
      <c r="AA165" s="147" t="n">
        <v>0.135402861966411</v>
      </c>
      <c r="AB165" s="147" t="n">
        <v>0.203104292949617</v>
      </c>
      <c r="AC165" s="18"/>
      <c r="AD165" s="147" t="n">
        <v>0.023541501712044</v>
      </c>
      <c r="AE165" s="147" t="n">
        <v>0.047083003424088</v>
      </c>
      <c r="AF165" s="147" t="n">
        <v>0.070624505136132</v>
      </c>
      <c r="AG165" s="18"/>
      <c r="AH165" s="147" t="n">
        <v>-0.25</v>
      </c>
      <c r="AI165" s="147" t="n">
        <v>1.1</v>
      </c>
      <c r="AJ165" s="147" t="n">
        <v>0.3</v>
      </c>
      <c r="AK165" s="18"/>
      <c r="AL165" s="147" t="n">
        <v>-0.15</v>
      </c>
      <c r="AM165" s="147" t="n">
        <v>0.35</v>
      </c>
      <c r="AN165" s="147" t="n">
        <v>0.2</v>
      </c>
      <c r="AO165" s="18"/>
      <c r="AP165" s="105" t="n">
        <v>49</v>
      </c>
      <c r="AQ165" s="148" t="n">
        <v>0.4</v>
      </c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06" t="n">
        <v>41000</v>
      </c>
      <c r="BI165" s="150" t="n">
        <v>0.9</v>
      </c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0"/>
      <c r="CM165" s="175"/>
      <c r="CN165" s="175"/>
      <c r="CO165" s="151"/>
      <c r="CP165" s="0"/>
      <c r="CQ165" s="0"/>
      <c r="CR165" s="0"/>
      <c r="CS165" s="0"/>
      <c r="CT165" s="0"/>
      <c r="CY165" s="152" t="n">
        <f aca="false">M165</f>
        <v>41000</v>
      </c>
      <c r="CZ165" s="153" t="n">
        <f aca="false">AI165+AH165</f>
        <v>0.85</v>
      </c>
      <c r="DA165" s="153" t="n">
        <f aca="false">AI165</f>
        <v>1.1</v>
      </c>
      <c r="DB165" s="153" t="n">
        <f aca="false">AI165+AJ165</f>
        <v>1.4</v>
      </c>
      <c r="DD165" s="153" t="n">
        <f aca="false">Z165</f>
        <v>0.0677014309832056</v>
      </c>
      <c r="DE165" s="153" t="n">
        <f aca="false">AA165</f>
        <v>0.135402861966411</v>
      </c>
      <c r="DF165" s="153" t="n">
        <f aca="false">AB165</f>
        <v>0.203104292949617</v>
      </c>
      <c r="DH165" s="152" t="n">
        <f aca="false">BH165</f>
        <v>41000</v>
      </c>
      <c r="DI165" s="99" t="n">
        <v>0.9</v>
      </c>
    </row>
    <row r="166" customFormat="false" ht="12.75" hidden="false" customHeight="false" outlineLevel="0" collapsed="false">
      <c r="A166" s="110" t="n">
        <f aca="false">EOMONTH(A165,0)+1</f>
        <v>50587</v>
      </c>
      <c r="B166" s="99" t="n">
        <f aca="false">'Gas Curves'!C170</f>
        <v>0.074194824640971</v>
      </c>
      <c r="C166" s="99"/>
      <c r="D166" s="145" t="n">
        <v>40148</v>
      </c>
      <c r="E166" s="146" t="n">
        <v>29.8</v>
      </c>
      <c r="F166" s="146" t="n">
        <v>31.15</v>
      </c>
      <c r="G166" s="146" t="n">
        <v>32.5</v>
      </c>
      <c r="H166" s="127"/>
      <c r="I166" s="146" t="n">
        <v>20.5249992370605</v>
      </c>
      <c r="J166" s="146" t="n">
        <v>21.1999992370605</v>
      </c>
      <c r="K166" s="146" t="n">
        <v>21.8749992370605</v>
      </c>
      <c r="L166" s="105"/>
      <c r="M166" s="106" t="n">
        <v>41030</v>
      </c>
      <c r="N166" s="147" t="n">
        <v>21.5725000762939</v>
      </c>
      <c r="O166" s="147" t="n">
        <v>23.4325000762939</v>
      </c>
      <c r="P166" s="147" t="n">
        <v>25.2925000762939</v>
      </c>
      <c r="Q166" s="18"/>
      <c r="R166" s="147" t="n">
        <v>18.2649997711182</v>
      </c>
      <c r="S166" s="147" t="n">
        <v>22.5649997711182</v>
      </c>
      <c r="T166" s="147" t="n">
        <v>26.8649997711182</v>
      </c>
      <c r="U166" s="18"/>
      <c r="V166" s="147" t="n">
        <v>0.3</v>
      </c>
      <c r="W166" s="147" t="n">
        <v>0.3</v>
      </c>
      <c r="X166" s="147" t="n">
        <v>0.3</v>
      </c>
      <c r="Y166" s="18"/>
      <c r="Z166" s="147" t="n">
        <v>0.0779398326441819</v>
      </c>
      <c r="AA166" s="147" t="n">
        <v>0.155879665288364</v>
      </c>
      <c r="AB166" s="147" t="n">
        <v>0.233819497932546</v>
      </c>
      <c r="AC166" s="18"/>
      <c r="AD166" s="147" t="n">
        <v>0.027465085330718</v>
      </c>
      <c r="AE166" s="147" t="n">
        <v>0.054930170661436</v>
      </c>
      <c r="AF166" s="147" t="n">
        <v>0.082395255992154</v>
      </c>
      <c r="AG166" s="18"/>
      <c r="AH166" s="147" t="n">
        <v>-0.25</v>
      </c>
      <c r="AI166" s="147" t="n">
        <v>1.1</v>
      </c>
      <c r="AJ166" s="147" t="n">
        <v>0.3</v>
      </c>
      <c r="AK166" s="18"/>
      <c r="AL166" s="147" t="n">
        <v>-0.15</v>
      </c>
      <c r="AM166" s="147" t="n">
        <v>0.5</v>
      </c>
      <c r="AN166" s="147" t="n">
        <v>0.2</v>
      </c>
      <c r="AO166" s="18"/>
      <c r="AP166" s="105" t="n">
        <v>50</v>
      </c>
      <c r="AQ166" s="148" t="n">
        <v>0.4</v>
      </c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06" t="n">
        <v>41030</v>
      </c>
      <c r="BI166" s="150" t="n">
        <v>0.9</v>
      </c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0"/>
      <c r="CM166" s="175"/>
      <c r="CN166" s="175"/>
      <c r="CO166" s="151"/>
      <c r="CP166" s="0"/>
      <c r="CQ166" s="0"/>
      <c r="CR166" s="0"/>
      <c r="CS166" s="0"/>
      <c r="CT166" s="0"/>
      <c r="CY166" s="152" t="n">
        <f aca="false">M166</f>
        <v>41030</v>
      </c>
      <c r="CZ166" s="153" t="n">
        <f aca="false">AI166+AH166</f>
        <v>0.85</v>
      </c>
      <c r="DA166" s="153" t="n">
        <f aca="false">AI166</f>
        <v>1.1</v>
      </c>
      <c r="DB166" s="153" t="n">
        <f aca="false">AI166+AJ166</f>
        <v>1.4</v>
      </c>
      <c r="DD166" s="153" t="n">
        <f aca="false">Z166</f>
        <v>0.0779398326441819</v>
      </c>
      <c r="DE166" s="153" t="n">
        <f aca="false">AA166</f>
        <v>0.155879665288364</v>
      </c>
      <c r="DF166" s="153" t="n">
        <f aca="false">AB166</f>
        <v>0.233819497932546</v>
      </c>
      <c r="DH166" s="152" t="n">
        <f aca="false">BH166</f>
        <v>41030</v>
      </c>
      <c r="DI166" s="99" t="n">
        <v>0.9</v>
      </c>
    </row>
    <row r="167" customFormat="false" ht="12.75" hidden="false" customHeight="false" outlineLevel="0" collapsed="false">
      <c r="A167" s="110" t="n">
        <f aca="false">EOMONTH(A166,0)+1</f>
        <v>50618</v>
      </c>
      <c r="B167" s="99" t="n">
        <f aca="false">'Gas Curves'!C171</f>
        <v>0.07419452992309</v>
      </c>
      <c r="C167" s="99"/>
      <c r="D167" s="145" t="n">
        <v>40179</v>
      </c>
      <c r="E167" s="146" t="n">
        <v>35.95</v>
      </c>
      <c r="F167" s="146" t="n">
        <v>37.45</v>
      </c>
      <c r="G167" s="146" t="n">
        <v>38.95</v>
      </c>
      <c r="H167" s="127"/>
      <c r="I167" s="146" t="n">
        <v>20.4400009155273</v>
      </c>
      <c r="J167" s="146" t="n">
        <v>21.1900009155273</v>
      </c>
      <c r="K167" s="146" t="n">
        <v>21.9400009155273</v>
      </c>
      <c r="L167" s="105"/>
      <c r="M167" s="106" t="n">
        <v>41061</v>
      </c>
      <c r="N167" s="147" t="n">
        <v>22.5262501525879</v>
      </c>
      <c r="O167" s="147" t="n">
        <v>27.8587501525879</v>
      </c>
      <c r="P167" s="147" t="n">
        <v>33.1912501525879</v>
      </c>
      <c r="Q167" s="18"/>
      <c r="R167" s="147" t="n">
        <v>17.0424995422363</v>
      </c>
      <c r="S167" s="147" t="n">
        <v>21.3424995422363</v>
      </c>
      <c r="T167" s="147" t="n">
        <v>25.6424995422363</v>
      </c>
      <c r="U167" s="18"/>
      <c r="V167" s="147" t="n">
        <v>0.3</v>
      </c>
      <c r="W167" s="147" t="n">
        <v>0.3</v>
      </c>
      <c r="X167" s="147" t="n">
        <v>0.3</v>
      </c>
      <c r="Y167" s="18"/>
      <c r="Z167" s="147" t="n">
        <v>0.0977127458519423</v>
      </c>
      <c r="AA167" s="147" t="n">
        <v>0.195425491703885</v>
      </c>
      <c r="AB167" s="147" t="n">
        <v>0.293138237555827</v>
      </c>
      <c r="AC167" s="18"/>
      <c r="AD167" s="147" t="n">
        <v>0.035312252568066</v>
      </c>
      <c r="AE167" s="147" t="n">
        <v>0.070624505136132</v>
      </c>
      <c r="AF167" s="147" t="n">
        <v>0.105936757704198</v>
      </c>
      <c r="AG167" s="18"/>
      <c r="AH167" s="147" t="n">
        <v>-0.35</v>
      </c>
      <c r="AI167" s="147" t="n">
        <v>2</v>
      </c>
      <c r="AJ167" s="147" t="n">
        <v>0.3</v>
      </c>
      <c r="AK167" s="18"/>
      <c r="AL167" s="147" t="n">
        <v>-0.15</v>
      </c>
      <c r="AM167" s="147" t="n">
        <v>0.65</v>
      </c>
      <c r="AN167" s="147" t="n">
        <v>0.2</v>
      </c>
      <c r="AO167" s="18"/>
      <c r="AP167" s="105" t="n">
        <v>50</v>
      </c>
      <c r="AQ167" s="148" t="n">
        <v>0.4</v>
      </c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06" t="n">
        <v>41061</v>
      </c>
      <c r="BI167" s="150" t="n">
        <v>0.9</v>
      </c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0"/>
      <c r="CM167" s="175"/>
      <c r="CN167" s="175"/>
      <c r="CO167" s="151"/>
      <c r="CP167" s="0"/>
      <c r="CQ167" s="0"/>
      <c r="CR167" s="0"/>
      <c r="CS167" s="0"/>
      <c r="CT167" s="0"/>
      <c r="CY167" s="152" t="n">
        <f aca="false">M167</f>
        <v>41061</v>
      </c>
      <c r="CZ167" s="153" t="n">
        <f aca="false">AI167+AH167</f>
        <v>1.65</v>
      </c>
      <c r="DA167" s="153" t="n">
        <f aca="false">AI167</f>
        <v>2</v>
      </c>
      <c r="DB167" s="153" t="n">
        <f aca="false">AI167+AJ167</f>
        <v>2.3</v>
      </c>
      <c r="DD167" s="153" t="n">
        <f aca="false">Z167</f>
        <v>0.0977127458519423</v>
      </c>
      <c r="DE167" s="153" t="n">
        <f aca="false">AA167</f>
        <v>0.195425491703885</v>
      </c>
      <c r="DF167" s="153" t="n">
        <f aca="false">AB167</f>
        <v>0.293138237555827</v>
      </c>
      <c r="DH167" s="152" t="n">
        <f aca="false">BH167</f>
        <v>41061</v>
      </c>
      <c r="DI167" s="99" t="n">
        <v>0.9</v>
      </c>
    </row>
    <row r="168" customFormat="false" ht="12.75" hidden="false" customHeight="false" outlineLevel="0" collapsed="false">
      <c r="A168" s="110" t="n">
        <f aca="false">EOMONTH(A167,0)+1</f>
        <v>50649</v>
      </c>
      <c r="B168" s="99" t="n">
        <f aca="false">'Gas Curves'!C172</f>
        <v>0.074194263726294</v>
      </c>
      <c r="C168" s="99"/>
      <c r="D168" s="145" t="n">
        <v>40210</v>
      </c>
      <c r="E168" s="146" t="n">
        <v>35.95</v>
      </c>
      <c r="F168" s="146" t="n">
        <v>37.45</v>
      </c>
      <c r="G168" s="146" t="n">
        <v>38.95</v>
      </c>
      <c r="H168" s="127"/>
      <c r="I168" s="146" t="n">
        <v>20.2499977111816</v>
      </c>
      <c r="J168" s="146" t="n">
        <v>20.9999977111816</v>
      </c>
      <c r="K168" s="146" t="n">
        <v>21.7499977111816</v>
      </c>
      <c r="L168" s="105"/>
      <c r="M168" s="106" t="n">
        <v>41091</v>
      </c>
      <c r="N168" s="147" t="n">
        <v>37.3112495422364</v>
      </c>
      <c r="O168" s="147" t="n">
        <v>41.0612495422364</v>
      </c>
      <c r="P168" s="147" t="n">
        <v>44.8112495422364</v>
      </c>
      <c r="Q168" s="18"/>
      <c r="R168" s="147" t="n">
        <v>26.2474994659424</v>
      </c>
      <c r="S168" s="147" t="n">
        <v>30.5474994659424</v>
      </c>
      <c r="T168" s="147" t="n">
        <v>34.8474994659424</v>
      </c>
      <c r="U168" s="18"/>
      <c r="V168" s="147" t="n">
        <v>0.3</v>
      </c>
      <c r="W168" s="147" t="n">
        <v>0.3</v>
      </c>
      <c r="X168" s="147" t="n">
        <v>0.3</v>
      </c>
      <c r="Y168" s="18"/>
      <c r="Z168" s="147" t="n">
        <v>0.115629948758651</v>
      </c>
      <c r="AA168" s="147" t="n">
        <v>0.231259897517302</v>
      </c>
      <c r="AB168" s="147" t="n">
        <v>0.346889846275952</v>
      </c>
      <c r="AC168" s="18"/>
      <c r="AD168" s="147" t="n">
        <v>0.047083003424088</v>
      </c>
      <c r="AE168" s="147" t="n">
        <v>0.094166006848176</v>
      </c>
      <c r="AF168" s="147" t="n">
        <v>0.141249010272264</v>
      </c>
      <c r="AG168" s="18"/>
      <c r="AH168" s="147" t="n">
        <v>-0.35</v>
      </c>
      <c r="AI168" s="147" t="n">
        <v>3</v>
      </c>
      <c r="AJ168" s="147" t="n">
        <v>0.5</v>
      </c>
      <c r="AK168" s="18"/>
      <c r="AL168" s="147" t="n">
        <v>-0.15</v>
      </c>
      <c r="AM168" s="147" t="n">
        <v>0.75</v>
      </c>
      <c r="AN168" s="147" t="n">
        <v>0.2</v>
      </c>
      <c r="AO168" s="18"/>
      <c r="AP168" s="105" t="n">
        <v>50</v>
      </c>
      <c r="AQ168" s="148" t="n">
        <v>0.4</v>
      </c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06" t="n">
        <v>41091</v>
      </c>
      <c r="BI168" s="150" t="n">
        <v>0.9</v>
      </c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0"/>
      <c r="CM168" s="175"/>
      <c r="CN168" s="175"/>
      <c r="CO168" s="151"/>
      <c r="CP168" s="0"/>
      <c r="CQ168" s="0"/>
      <c r="CR168" s="0"/>
      <c r="CS168" s="0"/>
      <c r="CT168" s="0"/>
      <c r="CY168" s="152" t="n">
        <f aca="false">M168</f>
        <v>41091</v>
      </c>
      <c r="CZ168" s="153" t="n">
        <f aca="false">AI168+AH168</f>
        <v>2.65</v>
      </c>
      <c r="DA168" s="153" t="n">
        <f aca="false">AI168</f>
        <v>3</v>
      </c>
      <c r="DB168" s="153" t="n">
        <f aca="false">AI168+AJ168</f>
        <v>3.5</v>
      </c>
      <c r="DD168" s="153" t="n">
        <f aca="false">Z168</f>
        <v>0.115629948758651</v>
      </c>
      <c r="DE168" s="153" t="n">
        <f aca="false">AA168</f>
        <v>0.231259897517302</v>
      </c>
      <c r="DF168" s="153" t="n">
        <f aca="false">AB168</f>
        <v>0.346889846275952</v>
      </c>
      <c r="DH168" s="152" t="n">
        <f aca="false">BH168</f>
        <v>41091</v>
      </c>
      <c r="DI168" s="99" t="n">
        <v>0.9</v>
      </c>
    </row>
    <row r="169" customFormat="false" ht="12.75" hidden="false" customHeight="false" outlineLevel="0" collapsed="false">
      <c r="A169" s="110" t="n">
        <f aca="false">EOMONTH(A168,0)+1</f>
        <v>50679</v>
      </c>
      <c r="B169" s="99" t="n">
        <f aca="false">'Gas Curves'!C173</f>
        <v>0.074193969008413</v>
      </c>
      <c r="C169" s="99"/>
      <c r="D169" s="145" t="n">
        <v>40238</v>
      </c>
      <c r="E169" s="146" t="n">
        <v>32.85</v>
      </c>
      <c r="F169" s="146" t="n">
        <v>33.7</v>
      </c>
      <c r="G169" s="146" t="n">
        <v>34.55</v>
      </c>
      <c r="H169" s="127"/>
      <c r="I169" s="146" t="n">
        <v>19.5749996185303</v>
      </c>
      <c r="J169" s="146" t="n">
        <v>19.9999996185303</v>
      </c>
      <c r="K169" s="146" t="n">
        <v>20.4249996185303</v>
      </c>
      <c r="L169" s="105"/>
      <c r="M169" s="106" t="n">
        <v>41122</v>
      </c>
      <c r="N169" s="147" t="n">
        <v>39.5724990844727</v>
      </c>
      <c r="O169" s="147" t="n">
        <v>43.3224990844727</v>
      </c>
      <c r="P169" s="147" t="n">
        <v>47.0724990844727</v>
      </c>
      <c r="Q169" s="18"/>
      <c r="R169" s="147" t="n">
        <v>27.7450008392334</v>
      </c>
      <c r="S169" s="147" t="n">
        <v>32.0450008392334</v>
      </c>
      <c r="T169" s="147" t="n">
        <v>36.3450008392334</v>
      </c>
      <c r="U169" s="18"/>
      <c r="V169" s="147" t="n">
        <v>0.3</v>
      </c>
      <c r="W169" s="147" t="n">
        <v>0.3</v>
      </c>
      <c r="X169" s="147" t="n">
        <v>0.3</v>
      </c>
      <c r="Y169" s="18"/>
      <c r="Z169" s="147" t="n">
        <v>0.113774238457599</v>
      </c>
      <c r="AA169" s="147" t="n">
        <v>0.227548476915198</v>
      </c>
      <c r="AB169" s="147" t="n">
        <v>0.341322715372797</v>
      </c>
      <c r="AC169" s="18"/>
      <c r="AD169" s="147" t="n">
        <v>0.047083003424088</v>
      </c>
      <c r="AE169" s="147" t="n">
        <v>0.094166006848176</v>
      </c>
      <c r="AF169" s="147" t="n">
        <v>0.141249010272264</v>
      </c>
      <c r="AG169" s="18"/>
      <c r="AH169" s="147" t="n">
        <v>-0.35</v>
      </c>
      <c r="AI169" s="147" t="n">
        <v>3</v>
      </c>
      <c r="AJ169" s="147" t="n">
        <v>0.5</v>
      </c>
      <c r="AK169" s="18"/>
      <c r="AL169" s="147" t="n">
        <v>-0.15</v>
      </c>
      <c r="AM169" s="147" t="n">
        <v>0.75</v>
      </c>
      <c r="AN169" s="147" t="n">
        <v>0.2</v>
      </c>
      <c r="AO169" s="18"/>
      <c r="AP169" s="105" t="n">
        <v>51</v>
      </c>
      <c r="AQ169" s="148" t="n">
        <v>0.4</v>
      </c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06" t="n">
        <v>41122</v>
      </c>
      <c r="BI169" s="150" t="n">
        <v>0.9</v>
      </c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0"/>
      <c r="CM169" s="175"/>
      <c r="CN169" s="175"/>
      <c r="CO169" s="151"/>
      <c r="CP169" s="0"/>
      <c r="CQ169" s="0"/>
      <c r="CR169" s="0"/>
      <c r="CS169" s="0"/>
      <c r="CT169" s="0"/>
      <c r="CY169" s="152" t="n">
        <f aca="false">M169</f>
        <v>41122</v>
      </c>
      <c r="CZ169" s="153" t="n">
        <f aca="false">AI169+AH169</f>
        <v>2.65</v>
      </c>
      <c r="DA169" s="153" t="n">
        <f aca="false">AI169</f>
        <v>3</v>
      </c>
      <c r="DB169" s="153" t="n">
        <f aca="false">AI169+AJ169</f>
        <v>3.5</v>
      </c>
      <c r="DD169" s="153" t="n">
        <f aca="false">Z169</f>
        <v>0.113774238457599</v>
      </c>
      <c r="DE169" s="153" t="n">
        <f aca="false">AA169</f>
        <v>0.227548476915198</v>
      </c>
      <c r="DF169" s="153" t="n">
        <f aca="false">AB169</f>
        <v>0.341322715372797</v>
      </c>
      <c r="DH169" s="152" t="n">
        <f aca="false">BH169</f>
        <v>41122</v>
      </c>
      <c r="DI169" s="99" t="n">
        <v>0.9</v>
      </c>
    </row>
    <row r="170" customFormat="false" ht="12.75" hidden="false" customHeight="false" outlineLevel="0" collapsed="false">
      <c r="A170" s="110" t="n">
        <f aca="false">EOMONTH(A169,0)+1</f>
        <v>50710</v>
      </c>
      <c r="B170" s="99" t="n">
        <f aca="false">'Gas Curves'!C174</f>
        <v>0.07419368379756</v>
      </c>
      <c r="C170" s="99"/>
      <c r="D170" s="145" t="n">
        <v>40269</v>
      </c>
      <c r="E170" s="146" t="n">
        <v>31.75</v>
      </c>
      <c r="F170" s="146" t="n">
        <v>32.45</v>
      </c>
      <c r="G170" s="146" t="n">
        <v>33.15</v>
      </c>
      <c r="H170" s="127"/>
      <c r="I170" s="146" t="n">
        <v>19.6499977111816</v>
      </c>
      <c r="J170" s="146" t="n">
        <v>19.9999977111816</v>
      </c>
      <c r="K170" s="146" t="n">
        <v>20.3499977111816</v>
      </c>
      <c r="L170" s="105"/>
      <c r="M170" s="106" t="n">
        <v>41153</v>
      </c>
      <c r="N170" s="147" t="n">
        <v>23.3549991607666</v>
      </c>
      <c r="O170" s="147" t="n">
        <v>24.7049991607666</v>
      </c>
      <c r="P170" s="147" t="n">
        <v>26.0549991607666</v>
      </c>
      <c r="Q170" s="18"/>
      <c r="R170" s="147" t="n">
        <v>20.9</v>
      </c>
      <c r="S170" s="147" t="n">
        <v>25.2</v>
      </c>
      <c r="T170" s="147" t="n">
        <v>29.5</v>
      </c>
      <c r="U170" s="18"/>
      <c r="V170" s="147" t="n">
        <v>0.8</v>
      </c>
      <c r="W170" s="147" t="n">
        <v>0.8</v>
      </c>
      <c r="X170" s="147" t="n">
        <v>0.8</v>
      </c>
      <c r="Y170" s="18"/>
      <c r="Z170" s="147" t="n">
        <v>0.0753802322289378</v>
      </c>
      <c r="AA170" s="147" t="n">
        <v>0.150760464457876</v>
      </c>
      <c r="AB170" s="147" t="n">
        <v>0.226140696686813</v>
      </c>
      <c r="AC170" s="18"/>
      <c r="AD170" s="147" t="n">
        <v>0.031388668949392</v>
      </c>
      <c r="AE170" s="147" t="n">
        <v>0.062777337898784</v>
      </c>
      <c r="AF170" s="147" t="n">
        <v>0.094166006848176</v>
      </c>
      <c r="AG170" s="18"/>
      <c r="AH170" s="147" t="n">
        <v>-0.35</v>
      </c>
      <c r="AI170" s="147" t="n">
        <v>1.5</v>
      </c>
      <c r="AJ170" s="147" t="n">
        <v>0.3</v>
      </c>
      <c r="AK170" s="18"/>
      <c r="AL170" s="147" t="n">
        <v>-0.15</v>
      </c>
      <c r="AM170" s="147" t="n">
        <v>0.4</v>
      </c>
      <c r="AN170" s="147" t="n">
        <v>0.2</v>
      </c>
      <c r="AO170" s="18"/>
      <c r="AP170" s="105" t="n">
        <v>51</v>
      </c>
      <c r="AQ170" s="148" t="n">
        <v>0.4</v>
      </c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06" t="n">
        <v>41153</v>
      </c>
      <c r="BI170" s="150" t="n">
        <v>0.9</v>
      </c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0"/>
      <c r="CM170" s="175"/>
      <c r="CN170" s="175"/>
      <c r="CO170" s="151"/>
      <c r="CP170" s="0"/>
      <c r="CQ170" s="0"/>
      <c r="CR170" s="0"/>
      <c r="CS170" s="0"/>
      <c r="CT170" s="0"/>
      <c r="CY170" s="152" t="n">
        <f aca="false">M170</f>
        <v>41153</v>
      </c>
      <c r="CZ170" s="153" t="n">
        <f aca="false">AI170+AH170</f>
        <v>1.15</v>
      </c>
      <c r="DA170" s="153" t="n">
        <f aca="false">AI170</f>
        <v>1.5</v>
      </c>
      <c r="DB170" s="153" t="n">
        <f aca="false">AI170+AJ170</f>
        <v>1.8</v>
      </c>
      <c r="DD170" s="153" t="n">
        <f aca="false">Z170</f>
        <v>0.0753802322289378</v>
      </c>
      <c r="DE170" s="153" t="n">
        <f aca="false">AA170</f>
        <v>0.150760464457876</v>
      </c>
      <c r="DF170" s="153" t="n">
        <f aca="false">AB170</f>
        <v>0.226140696686813</v>
      </c>
      <c r="DH170" s="152" t="n">
        <f aca="false">BH170</f>
        <v>41153</v>
      </c>
      <c r="DI170" s="99" t="n">
        <v>0.9</v>
      </c>
    </row>
    <row r="171" customFormat="false" ht="12.75" hidden="false" customHeight="false" outlineLevel="0" collapsed="false">
      <c r="A171" s="110" t="n">
        <f aca="false">EOMONTH(A170,0)+1</f>
        <v>50740</v>
      </c>
      <c r="B171" s="99" t="n">
        <f aca="false">'Gas Curves'!C175</f>
        <v>0.074193389079679</v>
      </c>
      <c r="C171" s="99"/>
      <c r="D171" s="145" t="n">
        <v>40299</v>
      </c>
      <c r="E171" s="146" t="n">
        <v>32.17</v>
      </c>
      <c r="F171" s="146" t="n">
        <v>34.65</v>
      </c>
      <c r="G171" s="146" t="n">
        <v>37.13</v>
      </c>
      <c r="H171" s="127"/>
      <c r="I171" s="146" t="n">
        <v>18.7599977111816</v>
      </c>
      <c r="J171" s="146" t="n">
        <v>19.9999977111816</v>
      </c>
      <c r="K171" s="146" t="n">
        <v>21.2399977111816</v>
      </c>
      <c r="L171" s="105"/>
      <c r="M171" s="106" t="n">
        <v>41183</v>
      </c>
      <c r="N171" s="147" t="n">
        <v>23.5630001068115</v>
      </c>
      <c r="O171" s="147" t="n">
        <v>24.8005001068115</v>
      </c>
      <c r="P171" s="147" t="n">
        <v>26.0380001068115</v>
      </c>
      <c r="Q171" s="18"/>
      <c r="R171" s="147" t="n">
        <v>18.5009998321533</v>
      </c>
      <c r="S171" s="147" t="n">
        <v>22.8009998321533</v>
      </c>
      <c r="T171" s="147" t="n">
        <v>27.1009998321533</v>
      </c>
      <c r="U171" s="18"/>
      <c r="V171" s="147" t="n">
        <v>0.8</v>
      </c>
      <c r="W171" s="147" t="n">
        <v>0.8</v>
      </c>
      <c r="X171" s="147" t="n">
        <v>0.8</v>
      </c>
      <c r="Y171" s="18"/>
      <c r="Z171" s="147" t="n">
        <v>0.0688532511700654</v>
      </c>
      <c r="AA171" s="147" t="n">
        <v>0.137706502340131</v>
      </c>
      <c r="AB171" s="147" t="n">
        <v>0.206559753510196</v>
      </c>
      <c r="AC171" s="18"/>
      <c r="AD171" s="147" t="n">
        <v>0.023541501712044</v>
      </c>
      <c r="AE171" s="147" t="n">
        <v>0.047083003424088</v>
      </c>
      <c r="AF171" s="147" t="n">
        <v>0.070624505136132</v>
      </c>
      <c r="AG171" s="18"/>
      <c r="AH171" s="147" t="n">
        <v>-0.25</v>
      </c>
      <c r="AI171" s="147" t="n">
        <v>1.1</v>
      </c>
      <c r="AJ171" s="147" t="n">
        <v>0.3</v>
      </c>
      <c r="AK171" s="18"/>
      <c r="AL171" s="147" t="n">
        <v>-0.15</v>
      </c>
      <c r="AM171" s="147" t="n">
        <v>0.35</v>
      </c>
      <c r="AN171" s="147" t="n">
        <v>0.2</v>
      </c>
      <c r="AO171" s="18"/>
      <c r="AP171" s="105" t="n">
        <v>51</v>
      </c>
      <c r="AQ171" s="148" t="n">
        <v>0.4</v>
      </c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06" t="n">
        <v>41183</v>
      </c>
      <c r="BI171" s="150" t="n">
        <v>0.9</v>
      </c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0"/>
      <c r="CM171" s="175"/>
      <c r="CN171" s="175"/>
      <c r="CO171" s="151"/>
      <c r="CP171" s="0"/>
      <c r="CQ171" s="0"/>
      <c r="CR171" s="0"/>
      <c r="CS171" s="0"/>
      <c r="CT171" s="0"/>
      <c r="CY171" s="152" t="n">
        <f aca="false">M171</f>
        <v>41183</v>
      </c>
      <c r="CZ171" s="153" t="n">
        <f aca="false">AI171+AH171</f>
        <v>0.85</v>
      </c>
      <c r="DA171" s="153" t="n">
        <f aca="false">AI171</f>
        <v>1.1</v>
      </c>
      <c r="DB171" s="153" t="n">
        <f aca="false">AI171+AJ171</f>
        <v>1.4</v>
      </c>
      <c r="DD171" s="153" t="n">
        <f aca="false">Z171</f>
        <v>0.0688532511700654</v>
      </c>
      <c r="DE171" s="153" t="n">
        <f aca="false">AA171</f>
        <v>0.137706502340131</v>
      </c>
      <c r="DF171" s="153" t="n">
        <f aca="false">AB171</f>
        <v>0.206559753510196</v>
      </c>
      <c r="DH171" s="152" t="n">
        <f aca="false">BH171</f>
        <v>41183</v>
      </c>
      <c r="DI171" s="99" t="n">
        <v>0.9</v>
      </c>
    </row>
    <row r="172" customFormat="false" ht="12.75" hidden="false" customHeight="false" outlineLevel="0" collapsed="false">
      <c r="A172" s="110" t="n">
        <f aca="false">EOMONTH(A171,0)+1</f>
        <v>50771</v>
      </c>
      <c r="B172" s="99" t="n">
        <f aca="false">'Gas Curves'!C176</f>
        <v>0.074193103868826</v>
      </c>
      <c r="C172" s="99"/>
      <c r="D172" s="145" t="n">
        <v>40330</v>
      </c>
      <c r="E172" s="146" t="n">
        <v>45.14</v>
      </c>
      <c r="F172" s="146" t="n">
        <v>52.25</v>
      </c>
      <c r="G172" s="146" t="n">
        <v>59.36</v>
      </c>
      <c r="H172" s="127"/>
      <c r="I172" s="146" t="n">
        <v>16.3999987792969</v>
      </c>
      <c r="J172" s="146" t="n">
        <v>19.9549987792969</v>
      </c>
      <c r="K172" s="146" t="n">
        <v>23.5099987792969</v>
      </c>
      <c r="L172" s="105"/>
      <c r="M172" s="106" t="n">
        <v>41214</v>
      </c>
      <c r="N172" s="147" t="n">
        <v>24.5672515869141</v>
      </c>
      <c r="O172" s="147" t="n">
        <v>25.8047515869141</v>
      </c>
      <c r="P172" s="147" t="n">
        <v>27.0422515869141</v>
      </c>
      <c r="Q172" s="18"/>
      <c r="R172" s="147" t="n">
        <v>19.5044998168945</v>
      </c>
      <c r="S172" s="147" t="n">
        <v>23.8044998168945</v>
      </c>
      <c r="T172" s="147" t="n">
        <v>28.1044998168945</v>
      </c>
      <c r="U172" s="18"/>
      <c r="V172" s="147" t="n">
        <v>0.8</v>
      </c>
      <c r="W172" s="147" t="n">
        <v>0.8</v>
      </c>
      <c r="X172" s="147" t="n">
        <v>0.8</v>
      </c>
      <c r="Y172" s="18"/>
      <c r="Z172" s="147" t="n">
        <v>0.0688532511700654</v>
      </c>
      <c r="AA172" s="147" t="n">
        <v>0.137706502340131</v>
      </c>
      <c r="AB172" s="147" t="n">
        <v>0.206559753510196</v>
      </c>
      <c r="AC172" s="18"/>
      <c r="AD172" s="147" t="n">
        <v>0.023541501712044</v>
      </c>
      <c r="AE172" s="147" t="n">
        <v>0.047083003424088</v>
      </c>
      <c r="AF172" s="147" t="n">
        <v>0.070624505136132</v>
      </c>
      <c r="AG172" s="18"/>
      <c r="AH172" s="147" t="n">
        <v>-0.25</v>
      </c>
      <c r="AI172" s="147" t="n">
        <v>1.25</v>
      </c>
      <c r="AJ172" s="147" t="n">
        <v>0.3</v>
      </c>
      <c r="AK172" s="18"/>
      <c r="AL172" s="147" t="n">
        <v>-0.15</v>
      </c>
      <c r="AM172" s="147" t="n">
        <v>0.3</v>
      </c>
      <c r="AN172" s="147" t="n">
        <v>0.2</v>
      </c>
      <c r="AO172" s="18"/>
      <c r="AP172" s="105" t="n">
        <v>52</v>
      </c>
      <c r="AQ172" s="148" t="n">
        <v>0.4</v>
      </c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06" t="n">
        <v>41214</v>
      </c>
      <c r="BI172" s="150" t="n">
        <v>0.9</v>
      </c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0"/>
      <c r="CM172" s="175"/>
      <c r="CN172" s="175"/>
      <c r="CO172" s="151"/>
      <c r="CP172" s="0"/>
      <c r="CQ172" s="0"/>
      <c r="CR172" s="0"/>
      <c r="CS172" s="0"/>
      <c r="CT172" s="0"/>
      <c r="CY172" s="152" t="n">
        <f aca="false">M172</f>
        <v>41214</v>
      </c>
      <c r="CZ172" s="153" t="n">
        <f aca="false">AI172+AH172</f>
        <v>1</v>
      </c>
      <c r="DA172" s="153" t="n">
        <f aca="false">AI172</f>
        <v>1.25</v>
      </c>
      <c r="DB172" s="153" t="n">
        <f aca="false">AI172+AJ172</f>
        <v>1.55</v>
      </c>
      <c r="DD172" s="153" t="n">
        <f aca="false">Z172</f>
        <v>0.0688532511700654</v>
      </c>
      <c r="DE172" s="153" t="n">
        <f aca="false">AA172</f>
        <v>0.137706502340131</v>
      </c>
      <c r="DF172" s="153" t="n">
        <f aca="false">AB172</f>
        <v>0.206559753510196</v>
      </c>
      <c r="DH172" s="152" t="n">
        <f aca="false">BH172</f>
        <v>41214</v>
      </c>
      <c r="DI172" s="99" t="n">
        <v>0.9</v>
      </c>
    </row>
    <row r="173" customFormat="false" ht="12.75" hidden="false" customHeight="false" outlineLevel="0" collapsed="false">
      <c r="A173" s="110" t="n">
        <f aca="false">EOMONTH(A172,0)+1</f>
        <v>50802</v>
      </c>
      <c r="B173" s="99" t="n">
        <f aca="false">'Gas Curves'!C177</f>
        <v>0.074192809150945</v>
      </c>
      <c r="C173" s="99"/>
      <c r="D173" s="145" t="n">
        <v>40360</v>
      </c>
      <c r="E173" s="146" t="n">
        <v>71.5</v>
      </c>
      <c r="F173" s="146" t="n">
        <v>76.5</v>
      </c>
      <c r="G173" s="146" t="n">
        <v>81.5</v>
      </c>
      <c r="H173" s="127"/>
      <c r="I173" s="146" t="n">
        <v>21.9499977111816</v>
      </c>
      <c r="J173" s="146" t="n">
        <v>24.4499977111816</v>
      </c>
      <c r="K173" s="146" t="n">
        <v>26.9499977111816</v>
      </c>
      <c r="L173" s="105"/>
      <c r="M173" s="106" t="n">
        <v>41244</v>
      </c>
      <c r="N173" s="147" t="n">
        <v>26.0174983978271</v>
      </c>
      <c r="O173" s="147" t="n">
        <v>27.2549983978271</v>
      </c>
      <c r="P173" s="147" t="n">
        <v>28.4924983978271</v>
      </c>
      <c r="Q173" s="18"/>
      <c r="R173" s="147" t="n">
        <v>19.4499992370605</v>
      </c>
      <c r="S173" s="147" t="n">
        <v>23.7499992370605</v>
      </c>
      <c r="T173" s="147" t="n">
        <v>28.0499992370605</v>
      </c>
      <c r="U173" s="18"/>
      <c r="V173" s="147" t="n">
        <v>0.8</v>
      </c>
      <c r="W173" s="147" t="n">
        <v>0.8</v>
      </c>
      <c r="X173" s="147" t="n">
        <v>0.8</v>
      </c>
      <c r="Y173" s="18"/>
      <c r="Z173" s="147" t="n">
        <v>0.0713104675686998</v>
      </c>
      <c r="AA173" s="147" t="n">
        <v>0.1426209351374</v>
      </c>
      <c r="AB173" s="147" t="n">
        <v>0.213931402706099</v>
      </c>
      <c r="AC173" s="18"/>
      <c r="AD173" s="147" t="n">
        <v>0.023541501712044</v>
      </c>
      <c r="AE173" s="147" t="n">
        <v>0.047083003424088</v>
      </c>
      <c r="AF173" s="147" t="n">
        <v>0.070624505136132</v>
      </c>
      <c r="AG173" s="18"/>
      <c r="AH173" s="147" t="n">
        <v>-0.25</v>
      </c>
      <c r="AI173" s="147" t="n">
        <v>1.25</v>
      </c>
      <c r="AJ173" s="147" t="n">
        <v>0.35</v>
      </c>
      <c r="AK173" s="18"/>
      <c r="AL173" s="147" t="n">
        <v>-0.15</v>
      </c>
      <c r="AM173" s="147" t="n">
        <v>0.3</v>
      </c>
      <c r="AN173" s="147" t="n">
        <v>0.2</v>
      </c>
      <c r="AO173" s="18"/>
      <c r="AP173" s="105" t="n">
        <v>52</v>
      </c>
      <c r="AQ173" s="148" t="n">
        <v>0.4</v>
      </c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06" t="n">
        <v>41244</v>
      </c>
      <c r="BI173" s="150" t="n">
        <v>0.9</v>
      </c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0"/>
      <c r="CM173" s="175"/>
      <c r="CN173" s="175"/>
      <c r="CO173" s="151"/>
      <c r="CP173" s="0"/>
      <c r="CQ173" s="0"/>
      <c r="CR173" s="0"/>
      <c r="CS173" s="0"/>
      <c r="CT173" s="0"/>
      <c r="CY173" s="152" t="n">
        <f aca="false">M173</f>
        <v>41244</v>
      </c>
      <c r="CZ173" s="153" t="n">
        <f aca="false">AI173+AH173</f>
        <v>1</v>
      </c>
      <c r="DA173" s="153" t="n">
        <f aca="false">AI173</f>
        <v>1.25</v>
      </c>
      <c r="DB173" s="153" t="n">
        <f aca="false">AI173+AJ173</f>
        <v>1.6</v>
      </c>
      <c r="DD173" s="153" t="n">
        <f aca="false">Z173</f>
        <v>0.0713104675686998</v>
      </c>
      <c r="DE173" s="153" t="n">
        <f aca="false">AA173</f>
        <v>0.1426209351374</v>
      </c>
      <c r="DF173" s="153" t="n">
        <f aca="false">AB173</f>
        <v>0.213931402706099</v>
      </c>
      <c r="DH173" s="152" t="n">
        <f aca="false">BH173</f>
        <v>41244</v>
      </c>
      <c r="DI173" s="99" t="n">
        <v>0.9</v>
      </c>
    </row>
    <row r="174" customFormat="false" ht="12.75" hidden="false" customHeight="false" outlineLevel="0" collapsed="false">
      <c r="A174" s="110" t="n">
        <f aca="false">EOMONTH(A173,0)+1</f>
        <v>50830</v>
      </c>
      <c r="B174" s="99" t="n">
        <f aca="false">'Gas Curves'!C178</f>
        <v>0.074192514433064</v>
      </c>
      <c r="C174" s="99"/>
      <c r="D174" s="145" t="n">
        <v>40391</v>
      </c>
      <c r="E174" s="146" t="n">
        <v>67</v>
      </c>
      <c r="F174" s="146" t="n">
        <v>72</v>
      </c>
      <c r="G174" s="146" t="n">
        <v>77</v>
      </c>
      <c r="H174" s="127"/>
      <c r="I174" s="146" t="n">
        <v>22.2999980926514</v>
      </c>
      <c r="J174" s="146" t="n">
        <v>24.7999980926514</v>
      </c>
      <c r="K174" s="146" t="n">
        <v>27.2999980926514</v>
      </c>
      <c r="L174" s="105"/>
      <c r="M174" s="106" t="n">
        <v>41275</v>
      </c>
      <c r="N174" s="147" t="n">
        <v>29.2987483978271</v>
      </c>
      <c r="O174" s="147" t="n">
        <v>30.6487483978271</v>
      </c>
      <c r="P174" s="147" t="n">
        <v>31.9987483978271</v>
      </c>
      <c r="Q174" s="18"/>
      <c r="R174" s="147" t="n">
        <v>24.8525001525879</v>
      </c>
      <c r="S174" s="147" t="n">
        <v>29.1525001525879</v>
      </c>
      <c r="T174" s="147" t="n">
        <v>33.4525001525879</v>
      </c>
      <c r="U174" s="18"/>
      <c r="V174" s="147" t="n">
        <v>0.8</v>
      </c>
      <c r="W174" s="147" t="n">
        <v>0.8</v>
      </c>
      <c r="X174" s="147" t="n">
        <v>0.8</v>
      </c>
      <c r="Y174" s="18"/>
      <c r="Z174" s="147" t="n">
        <v>0.0767311324480944</v>
      </c>
      <c r="AA174" s="147" t="n">
        <v>0.153462264896189</v>
      </c>
      <c r="AB174" s="147" t="n">
        <v>0.230193397344283</v>
      </c>
      <c r="AC174" s="18"/>
      <c r="AD174" s="147" t="n">
        <v>0.0269157836241036</v>
      </c>
      <c r="AE174" s="147" t="n">
        <v>0.0538315672482073</v>
      </c>
      <c r="AF174" s="147" t="n">
        <v>0.0807473508723109</v>
      </c>
      <c r="AG174" s="18"/>
      <c r="AH174" s="147" t="n">
        <v>-0.75</v>
      </c>
      <c r="AI174" s="147" t="n">
        <v>2</v>
      </c>
      <c r="AJ174" s="147" t="n">
        <v>0.75</v>
      </c>
      <c r="AK174" s="18"/>
      <c r="AL174" s="147" t="n">
        <v>-0.15</v>
      </c>
      <c r="AM174" s="147" t="n">
        <v>0.5</v>
      </c>
      <c r="AN174" s="147" t="n">
        <v>0.2</v>
      </c>
      <c r="AO174" s="18"/>
      <c r="AP174" s="105" t="n">
        <v>52</v>
      </c>
      <c r="AQ174" s="148" t="n">
        <v>0.4</v>
      </c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06" t="n">
        <v>41275</v>
      </c>
      <c r="BI174" s="150" t="n">
        <v>0.9</v>
      </c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0"/>
      <c r="CM174" s="175"/>
      <c r="CN174" s="175"/>
      <c r="CO174" s="151"/>
      <c r="CP174" s="0"/>
      <c r="CQ174" s="0"/>
      <c r="CR174" s="0"/>
      <c r="CS174" s="0"/>
      <c r="CT174" s="0"/>
      <c r="CY174" s="152" t="n">
        <f aca="false">M174</f>
        <v>41275</v>
      </c>
      <c r="CZ174" s="153" t="n">
        <f aca="false">AI174+AH174</f>
        <v>1.25</v>
      </c>
      <c r="DA174" s="153" t="n">
        <f aca="false">AI174</f>
        <v>2</v>
      </c>
      <c r="DB174" s="153" t="n">
        <f aca="false">AI174+AJ174</f>
        <v>2.75</v>
      </c>
      <c r="DD174" s="153" t="n">
        <f aca="false">Z174</f>
        <v>0.0767311324480944</v>
      </c>
      <c r="DE174" s="153" t="n">
        <f aca="false">AA174</f>
        <v>0.153462264896189</v>
      </c>
      <c r="DF174" s="153" t="n">
        <f aca="false">AB174</f>
        <v>0.230193397344283</v>
      </c>
      <c r="DH174" s="152" t="n">
        <f aca="false">BH174</f>
        <v>41275</v>
      </c>
      <c r="DI174" s="99" t="n">
        <v>0.9</v>
      </c>
    </row>
    <row r="175" customFormat="false" ht="12.75" hidden="false" customHeight="false" outlineLevel="0" collapsed="false">
      <c r="A175" s="110" t="n">
        <f aca="false">EOMONTH(A174,0)+1</f>
        <v>50861</v>
      </c>
      <c r="B175" s="99" t="n">
        <f aca="false">'Gas Curves'!C179</f>
        <v>0.074192229222211</v>
      </c>
      <c r="C175" s="99"/>
      <c r="D175" s="145" t="n">
        <v>40422</v>
      </c>
      <c r="E175" s="146" t="n">
        <v>31.85</v>
      </c>
      <c r="F175" s="146" t="n">
        <v>33.45</v>
      </c>
      <c r="G175" s="146" t="n">
        <v>35.05</v>
      </c>
      <c r="H175" s="127"/>
      <c r="I175" s="146" t="n">
        <v>19.5499980926514</v>
      </c>
      <c r="J175" s="146" t="n">
        <v>20.3499980926514</v>
      </c>
      <c r="K175" s="146" t="n">
        <v>21.1499980926514</v>
      </c>
      <c r="L175" s="105"/>
      <c r="M175" s="106" t="n">
        <v>41306</v>
      </c>
      <c r="N175" s="147" t="n">
        <v>28.2962501525879</v>
      </c>
      <c r="O175" s="147" t="n">
        <v>29.6462501525879</v>
      </c>
      <c r="P175" s="147" t="n">
        <v>30.9962501525879</v>
      </c>
      <c r="Q175" s="18"/>
      <c r="R175" s="147" t="n">
        <v>22.8474994659424</v>
      </c>
      <c r="S175" s="147" t="n">
        <v>27.1474994659424</v>
      </c>
      <c r="T175" s="147" t="n">
        <v>31.4474994659424</v>
      </c>
      <c r="U175" s="18"/>
      <c r="V175" s="147" t="n">
        <v>0.8</v>
      </c>
      <c r="W175" s="147" t="n">
        <v>0.8</v>
      </c>
      <c r="X175" s="147" t="n">
        <v>0.8</v>
      </c>
      <c r="Y175" s="18"/>
      <c r="Z175" s="147" t="n">
        <v>0.0740293320097812</v>
      </c>
      <c r="AA175" s="147" t="n">
        <v>0.148058664019562</v>
      </c>
      <c r="AB175" s="147" t="n">
        <v>0.222087996029344</v>
      </c>
      <c r="AC175" s="18"/>
      <c r="AD175" s="147" t="n">
        <v>0.0269157836241036</v>
      </c>
      <c r="AE175" s="147" t="n">
        <v>0.0538315672482073</v>
      </c>
      <c r="AF175" s="147" t="n">
        <v>0.0807473508723109</v>
      </c>
      <c r="AG175" s="18"/>
      <c r="AH175" s="147" t="n">
        <v>-0.75</v>
      </c>
      <c r="AI175" s="147" t="n">
        <v>2</v>
      </c>
      <c r="AJ175" s="147" t="n">
        <v>0.75</v>
      </c>
      <c r="AK175" s="18"/>
      <c r="AL175" s="147" t="n">
        <v>-0.15</v>
      </c>
      <c r="AM175" s="147" t="n">
        <v>0.5</v>
      </c>
      <c r="AN175" s="147" t="n">
        <v>0.2</v>
      </c>
      <c r="AO175" s="18"/>
      <c r="AP175" s="105" t="n">
        <v>53</v>
      </c>
      <c r="AQ175" s="148" t="n">
        <v>0.4</v>
      </c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06" t="n">
        <v>41306</v>
      </c>
      <c r="BI175" s="150" t="n">
        <v>0.9</v>
      </c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0"/>
      <c r="CM175" s="175"/>
      <c r="CN175" s="175"/>
      <c r="CO175" s="151"/>
      <c r="CP175" s="0"/>
      <c r="CQ175" s="0"/>
      <c r="CR175" s="0"/>
      <c r="CS175" s="0"/>
      <c r="CT175" s="0"/>
      <c r="CY175" s="152" t="n">
        <f aca="false">M175</f>
        <v>41306</v>
      </c>
      <c r="CZ175" s="153" t="n">
        <f aca="false">AI175+AH175</f>
        <v>1.25</v>
      </c>
      <c r="DA175" s="153" t="n">
        <f aca="false">AI175</f>
        <v>2</v>
      </c>
      <c r="DB175" s="153" t="n">
        <f aca="false">AI175+AJ175</f>
        <v>2.75</v>
      </c>
      <c r="DD175" s="153" t="n">
        <f aca="false">Z175</f>
        <v>0.0740293320097812</v>
      </c>
      <c r="DE175" s="153" t="n">
        <f aca="false">AA175</f>
        <v>0.148058664019562</v>
      </c>
      <c r="DF175" s="153" t="n">
        <f aca="false">AB175</f>
        <v>0.222087996029344</v>
      </c>
      <c r="DH175" s="152" t="n">
        <f aca="false">BH175</f>
        <v>41306</v>
      </c>
      <c r="DI175" s="99" t="n">
        <v>0.9</v>
      </c>
    </row>
    <row r="176" customFormat="false" ht="12.75" hidden="false" customHeight="false" outlineLevel="0" collapsed="false">
      <c r="A176" s="110" t="n">
        <f aca="false">EOMONTH(A175,0)+1</f>
        <v>50891</v>
      </c>
      <c r="B176" s="99" t="n">
        <f aca="false">'Gas Curves'!C180</f>
        <v>0.07419193450433</v>
      </c>
      <c r="C176" s="99"/>
      <c r="D176" s="145" t="n">
        <v>40452</v>
      </c>
      <c r="E176" s="146" t="n">
        <v>29.75</v>
      </c>
      <c r="F176" s="146" t="n">
        <v>31.2</v>
      </c>
      <c r="G176" s="146" t="n">
        <v>32.65</v>
      </c>
      <c r="H176" s="127"/>
      <c r="I176" s="146" t="n">
        <v>19.3249988555908</v>
      </c>
      <c r="J176" s="146" t="n">
        <v>20.0499988555908</v>
      </c>
      <c r="K176" s="146" t="n">
        <v>20.7749988555908</v>
      </c>
      <c r="L176" s="105"/>
      <c r="M176" s="106" t="n">
        <v>41334</v>
      </c>
      <c r="N176" s="147" t="n">
        <v>22.0847496032715</v>
      </c>
      <c r="O176" s="147" t="n">
        <v>22.8347496032715</v>
      </c>
      <c r="P176" s="147" t="n">
        <v>23.5847496032715</v>
      </c>
      <c r="Q176" s="18"/>
      <c r="R176" s="147" t="n">
        <v>18.1644989013672</v>
      </c>
      <c r="S176" s="147" t="n">
        <v>22.4644989013672</v>
      </c>
      <c r="T176" s="147" t="n">
        <v>26.7644989013672</v>
      </c>
      <c r="U176" s="18"/>
      <c r="V176" s="147" t="n">
        <v>0.3</v>
      </c>
      <c r="W176" s="147" t="n">
        <v>0.3</v>
      </c>
      <c r="X176" s="147" t="n">
        <v>0.3</v>
      </c>
      <c r="Y176" s="18"/>
      <c r="Z176" s="147" t="n">
        <v>0.0721583352062494</v>
      </c>
      <c r="AA176" s="147" t="n">
        <v>0.144316670412499</v>
      </c>
      <c r="AB176" s="147" t="n">
        <v>0.216475005618748</v>
      </c>
      <c r="AC176" s="18"/>
      <c r="AD176" s="147" t="n">
        <v>0.0230706716778031</v>
      </c>
      <c r="AE176" s="147" t="n">
        <v>0.0461413433556062</v>
      </c>
      <c r="AF176" s="147" t="n">
        <v>0.0692120150334094</v>
      </c>
      <c r="AG176" s="18"/>
      <c r="AH176" s="147" t="n">
        <v>-0.25</v>
      </c>
      <c r="AI176" s="147" t="n">
        <v>1.3</v>
      </c>
      <c r="AJ176" s="147" t="n">
        <v>0.3</v>
      </c>
      <c r="AK176" s="18"/>
      <c r="AL176" s="147" t="n">
        <v>-0.15</v>
      </c>
      <c r="AM176" s="147" t="n">
        <v>0.35</v>
      </c>
      <c r="AN176" s="147" t="n">
        <v>0.2</v>
      </c>
      <c r="AO176" s="18"/>
      <c r="AP176" s="105" t="n">
        <v>53</v>
      </c>
      <c r="AQ176" s="148" t="n">
        <v>0.4</v>
      </c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06" t="n">
        <v>41334</v>
      </c>
      <c r="BI176" s="150" t="n">
        <v>0.9</v>
      </c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0"/>
      <c r="CM176" s="175"/>
      <c r="CN176" s="175"/>
      <c r="CO176" s="151"/>
      <c r="CP176" s="0"/>
      <c r="CQ176" s="0"/>
      <c r="CR176" s="0"/>
      <c r="CS176" s="0"/>
      <c r="CT176" s="0"/>
      <c r="CY176" s="152" t="n">
        <f aca="false">M176</f>
        <v>41334</v>
      </c>
      <c r="CZ176" s="153" t="n">
        <f aca="false">AI176+AH176</f>
        <v>1.05</v>
      </c>
      <c r="DA176" s="153" t="n">
        <f aca="false">AI176</f>
        <v>1.3</v>
      </c>
      <c r="DB176" s="153" t="n">
        <f aca="false">AI176+AJ176</f>
        <v>1.6</v>
      </c>
      <c r="DD176" s="153" t="n">
        <f aca="false">Z176</f>
        <v>0.0721583352062494</v>
      </c>
      <c r="DE176" s="153" t="n">
        <f aca="false">AA176</f>
        <v>0.144316670412499</v>
      </c>
      <c r="DF176" s="153" t="n">
        <f aca="false">AB176</f>
        <v>0.216475005618748</v>
      </c>
      <c r="DH176" s="152" t="n">
        <f aca="false">BH176</f>
        <v>41334</v>
      </c>
      <c r="DI176" s="99" t="n">
        <v>0.9</v>
      </c>
    </row>
    <row r="177" customFormat="false" ht="12.75" hidden="false" customHeight="false" outlineLevel="0" collapsed="false">
      <c r="A177" s="110" t="n">
        <f aca="false">EOMONTH(A176,0)+1</f>
        <v>50922</v>
      </c>
      <c r="B177" s="99" t="n">
        <f aca="false">'Gas Curves'!C181</f>
        <v>0.074191649293478</v>
      </c>
      <c r="C177" s="99"/>
      <c r="D177" s="145" t="n">
        <v>40483</v>
      </c>
      <c r="E177" s="146" t="n">
        <v>30.125</v>
      </c>
      <c r="F177" s="146" t="n">
        <v>31.575</v>
      </c>
      <c r="G177" s="146" t="n">
        <v>33.025</v>
      </c>
      <c r="H177" s="127"/>
      <c r="I177" s="146" t="n">
        <v>19.2499980926514</v>
      </c>
      <c r="J177" s="146" t="n">
        <v>19.9749980926514</v>
      </c>
      <c r="K177" s="146" t="n">
        <v>20.6999980926514</v>
      </c>
      <c r="L177" s="105"/>
      <c r="M177" s="106" t="n">
        <v>41365</v>
      </c>
      <c r="N177" s="147" t="n">
        <v>22.8800003051758</v>
      </c>
      <c r="O177" s="147" t="n">
        <v>23.5175003051758</v>
      </c>
      <c r="P177" s="147" t="n">
        <v>24.1550003051758</v>
      </c>
      <c r="Q177" s="18"/>
      <c r="R177" s="147" t="n">
        <v>17.9349990844726</v>
      </c>
      <c r="S177" s="147" t="n">
        <v>22.2349990844726</v>
      </c>
      <c r="T177" s="147" t="n">
        <v>26.5349990844727</v>
      </c>
      <c r="U177" s="18"/>
      <c r="V177" s="147" t="n">
        <v>0.3</v>
      </c>
      <c r="W177" s="147" t="n">
        <v>0.3</v>
      </c>
      <c r="X177" s="147" t="n">
        <v>0.3</v>
      </c>
      <c r="Y177" s="18"/>
      <c r="Z177" s="147" t="n">
        <v>0.0643163594340453</v>
      </c>
      <c r="AA177" s="147" t="n">
        <v>0.128632718868091</v>
      </c>
      <c r="AB177" s="147" t="n">
        <v>0.192949078302136</v>
      </c>
      <c r="AC177" s="18"/>
      <c r="AD177" s="147" t="n">
        <v>0.0230706716778031</v>
      </c>
      <c r="AE177" s="147" t="n">
        <v>0.0461413433556062</v>
      </c>
      <c r="AF177" s="147" t="n">
        <v>0.0692120150334094</v>
      </c>
      <c r="AG177" s="18"/>
      <c r="AH177" s="147" t="n">
        <v>-0.25</v>
      </c>
      <c r="AI177" s="147" t="n">
        <v>1.1</v>
      </c>
      <c r="AJ177" s="147" t="n">
        <v>0.3</v>
      </c>
      <c r="AK177" s="18"/>
      <c r="AL177" s="147" t="n">
        <v>-0.15</v>
      </c>
      <c r="AM177" s="147" t="n">
        <v>0.35</v>
      </c>
      <c r="AN177" s="147" t="n">
        <v>0.2</v>
      </c>
      <c r="AO177" s="18"/>
      <c r="AP177" s="105" t="n">
        <v>53</v>
      </c>
      <c r="AQ177" s="148" t="n">
        <v>0.4</v>
      </c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06" t="n">
        <v>41365</v>
      </c>
      <c r="BI177" s="150" t="n">
        <v>0.9</v>
      </c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0"/>
      <c r="CM177" s="175"/>
      <c r="CN177" s="175"/>
      <c r="CO177" s="151"/>
      <c r="CP177" s="0"/>
      <c r="CQ177" s="0"/>
      <c r="CR177" s="0"/>
      <c r="CS177" s="0"/>
      <c r="CT177" s="0"/>
      <c r="CY177" s="152" t="n">
        <f aca="false">M177</f>
        <v>41365</v>
      </c>
      <c r="CZ177" s="153" t="n">
        <f aca="false">AI177+AH177</f>
        <v>0.85</v>
      </c>
      <c r="DA177" s="153" t="n">
        <f aca="false">AI177</f>
        <v>1.1</v>
      </c>
      <c r="DB177" s="153" t="n">
        <f aca="false">AI177+AJ177</f>
        <v>1.4</v>
      </c>
      <c r="DD177" s="153" t="n">
        <f aca="false">Z177</f>
        <v>0.0643163594340453</v>
      </c>
      <c r="DE177" s="153" t="n">
        <f aca="false">AA177</f>
        <v>0.128632718868091</v>
      </c>
      <c r="DF177" s="153" t="n">
        <f aca="false">AB177</f>
        <v>0.192949078302136</v>
      </c>
      <c r="DH177" s="152" t="n">
        <f aca="false">BH177</f>
        <v>41365</v>
      </c>
      <c r="DI177" s="99" t="n">
        <v>0.9</v>
      </c>
    </row>
    <row r="178" customFormat="false" ht="12.75" hidden="false" customHeight="false" outlineLevel="0" collapsed="false">
      <c r="A178" s="110" t="n">
        <f aca="false">EOMONTH(A177,0)+1</f>
        <v>50952</v>
      </c>
      <c r="B178" s="99" t="n">
        <f aca="false">'Gas Curves'!C182</f>
        <v>0.074191354575597</v>
      </c>
      <c r="C178" s="99"/>
      <c r="D178" s="145" t="n">
        <v>40513</v>
      </c>
      <c r="E178" s="146" t="n">
        <v>30</v>
      </c>
      <c r="F178" s="146" t="n">
        <v>31.45</v>
      </c>
      <c r="G178" s="146" t="n">
        <v>32.9</v>
      </c>
      <c r="H178" s="127"/>
      <c r="I178" s="146" t="n">
        <v>20.6749992370605</v>
      </c>
      <c r="J178" s="146" t="n">
        <v>21.3999992370605</v>
      </c>
      <c r="K178" s="146" t="n">
        <v>22.1249992370605</v>
      </c>
      <c r="L178" s="105"/>
      <c r="M178" s="106" t="n">
        <v>41395</v>
      </c>
      <c r="N178" s="147" t="n">
        <v>21.7725000762939</v>
      </c>
      <c r="O178" s="147" t="n">
        <v>23.6325000762939</v>
      </c>
      <c r="P178" s="147" t="n">
        <v>25.4925000762939</v>
      </c>
      <c r="Q178" s="18"/>
      <c r="R178" s="147" t="n">
        <v>18.4649997711182</v>
      </c>
      <c r="S178" s="147" t="n">
        <v>22.7649997711182</v>
      </c>
      <c r="T178" s="147" t="n">
        <v>27.0649997711182</v>
      </c>
      <c r="U178" s="18"/>
      <c r="V178" s="147" t="n">
        <v>0.3</v>
      </c>
      <c r="W178" s="147" t="n">
        <v>0.3</v>
      </c>
      <c r="X178" s="147" t="n">
        <v>0.3</v>
      </c>
      <c r="Y178" s="18"/>
      <c r="Z178" s="147" t="n">
        <v>0.0740428410119728</v>
      </c>
      <c r="AA178" s="147" t="n">
        <v>0.148085682023946</v>
      </c>
      <c r="AB178" s="147" t="n">
        <v>0.222128523035918</v>
      </c>
      <c r="AC178" s="18"/>
      <c r="AD178" s="147" t="n">
        <v>0.0269157836241036</v>
      </c>
      <c r="AE178" s="147" t="n">
        <v>0.0538315672482073</v>
      </c>
      <c r="AF178" s="147" t="n">
        <v>0.0807473508723109</v>
      </c>
      <c r="AG178" s="18"/>
      <c r="AH178" s="147" t="n">
        <v>-0.25</v>
      </c>
      <c r="AI178" s="147" t="n">
        <v>1.1</v>
      </c>
      <c r="AJ178" s="147" t="n">
        <v>0.3</v>
      </c>
      <c r="AK178" s="18"/>
      <c r="AL178" s="147" t="n">
        <v>-0.15</v>
      </c>
      <c r="AM178" s="147" t="n">
        <v>0.5</v>
      </c>
      <c r="AN178" s="147" t="n">
        <v>0.2</v>
      </c>
      <c r="AO178" s="18"/>
      <c r="AP178" s="105" t="n">
        <v>54</v>
      </c>
      <c r="AQ178" s="148" t="n">
        <v>0.4</v>
      </c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06" t="n">
        <v>41395</v>
      </c>
      <c r="BI178" s="150" t="n">
        <v>0.9</v>
      </c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0"/>
      <c r="CM178" s="175"/>
      <c r="CN178" s="175"/>
      <c r="CO178" s="151"/>
      <c r="CP178" s="0"/>
      <c r="CQ178" s="0"/>
      <c r="CR178" s="0"/>
      <c r="CS178" s="0"/>
      <c r="CT178" s="0"/>
      <c r="CY178" s="152" t="n">
        <f aca="false">M178</f>
        <v>41395</v>
      </c>
      <c r="CZ178" s="153" t="n">
        <f aca="false">AI178+AH178</f>
        <v>0.85</v>
      </c>
      <c r="DA178" s="153" t="n">
        <f aca="false">AI178</f>
        <v>1.1</v>
      </c>
      <c r="DB178" s="153" t="n">
        <f aca="false">AI178+AJ178</f>
        <v>1.4</v>
      </c>
      <c r="DD178" s="153" t="n">
        <f aca="false">Z178</f>
        <v>0.0740428410119728</v>
      </c>
      <c r="DE178" s="153" t="n">
        <f aca="false">AA178</f>
        <v>0.148085682023946</v>
      </c>
      <c r="DF178" s="153" t="n">
        <f aca="false">AB178</f>
        <v>0.222128523035918</v>
      </c>
      <c r="DH178" s="152" t="n">
        <f aca="false">BH178</f>
        <v>41395</v>
      </c>
      <c r="DI178" s="99" t="n">
        <v>0.9</v>
      </c>
    </row>
    <row r="179" customFormat="false" ht="12.75" hidden="false" customHeight="false" outlineLevel="0" collapsed="false">
      <c r="A179" s="110" t="n">
        <f aca="false">EOMONTH(A178,0)+1</f>
        <v>50983</v>
      </c>
      <c r="B179" s="99" t="n">
        <f aca="false">'Gas Curves'!C183</f>
        <v>0.074191059857715</v>
      </c>
      <c r="C179" s="99"/>
      <c r="D179" s="145" t="n">
        <v>40544</v>
      </c>
      <c r="E179" s="146" t="n">
        <v>36.15</v>
      </c>
      <c r="F179" s="146" t="n">
        <v>37.75</v>
      </c>
      <c r="G179" s="146" t="n">
        <v>39.35</v>
      </c>
      <c r="H179" s="127"/>
      <c r="I179" s="146" t="n">
        <v>20.5900009155273</v>
      </c>
      <c r="J179" s="146" t="n">
        <v>21.3900009155273</v>
      </c>
      <c r="K179" s="146" t="n">
        <v>22.1900009155273</v>
      </c>
      <c r="L179" s="105"/>
      <c r="M179" s="106" t="n">
        <v>41426</v>
      </c>
      <c r="N179" s="147" t="n">
        <v>22.7262501525879</v>
      </c>
      <c r="O179" s="147" t="n">
        <v>28.0587501525879</v>
      </c>
      <c r="P179" s="147" t="n">
        <v>33.3912501525879</v>
      </c>
      <c r="Q179" s="18"/>
      <c r="R179" s="147" t="n">
        <v>17.2424995422363</v>
      </c>
      <c r="S179" s="147" t="n">
        <v>21.5424995422363</v>
      </c>
      <c r="T179" s="147" t="n">
        <v>25.8424995422363</v>
      </c>
      <c r="U179" s="18"/>
      <c r="V179" s="147" t="n">
        <v>0.3</v>
      </c>
      <c r="W179" s="147" t="n">
        <v>0.3</v>
      </c>
      <c r="X179" s="147" t="n">
        <v>0.3</v>
      </c>
      <c r="Y179" s="18"/>
      <c r="Z179" s="147" t="n">
        <v>0.0928271085593452</v>
      </c>
      <c r="AA179" s="147" t="n">
        <v>0.18565421711869</v>
      </c>
      <c r="AB179" s="147" t="n">
        <v>0.278481325678036</v>
      </c>
      <c r="AC179" s="18"/>
      <c r="AD179" s="147" t="n">
        <v>0.0346060075167047</v>
      </c>
      <c r="AE179" s="147" t="n">
        <v>0.0692120150334094</v>
      </c>
      <c r="AF179" s="147" t="n">
        <v>0.103818022550114</v>
      </c>
      <c r="AG179" s="18"/>
      <c r="AH179" s="147" t="n">
        <v>-0.35</v>
      </c>
      <c r="AI179" s="147" t="n">
        <v>2</v>
      </c>
      <c r="AJ179" s="147" t="n">
        <v>0.3</v>
      </c>
      <c r="AK179" s="18"/>
      <c r="AL179" s="147" t="n">
        <v>-0.15</v>
      </c>
      <c r="AM179" s="147" t="n">
        <v>0.65</v>
      </c>
      <c r="AN179" s="147" t="n">
        <v>0.2</v>
      </c>
      <c r="AO179" s="18"/>
      <c r="AP179" s="105" t="n">
        <v>54</v>
      </c>
      <c r="AQ179" s="148" t="n">
        <v>0.4</v>
      </c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06" t="n">
        <v>41426</v>
      </c>
      <c r="BI179" s="150" t="n">
        <v>0.9</v>
      </c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0"/>
      <c r="CM179" s="175"/>
      <c r="CN179" s="175"/>
      <c r="CO179" s="151"/>
      <c r="CP179" s="0"/>
      <c r="CQ179" s="0"/>
      <c r="CR179" s="0"/>
      <c r="CS179" s="0"/>
      <c r="CT179" s="0"/>
      <c r="CY179" s="152" t="n">
        <f aca="false">M179</f>
        <v>41426</v>
      </c>
      <c r="CZ179" s="153" t="n">
        <f aca="false">AI179+AH179</f>
        <v>1.65</v>
      </c>
      <c r="DA179" s="153" t="n">
        <f aca="false">AI179</f>
        <v>2</v>
      </c>
      <c r="DB179" s="153" t="n">
        <f aca="false">AI179+AJ179</f>
        <v>2.3</v>
      </c>
      <c r="DD179" s="153" t="n">
        <f aca="false">Z179</f>
        <v>0.0928271085593452</v>
      </c>
      <c r="DE179" s="153" t="n">
        <f aca="false">AA179</f>
        <v>0.18565421711869</v>
      </c>
      <c r="DF179" s="153" t="n">
        <f aca="false">AB179</f>
        <v>0.278481325678036</v>
      </c>
      <c r="DH179" s="152" t="n">
        <f aca="false">BH179</f>
        <v>41426</v>
      </c>
      <c r="DI179" s="99" t="n">
        <v>0.9</v>
      </c>
    </row>
    <row r="180" customFormat="false" ht="12.75" hidden="false" customHeight="false" outlineLevel="0" collapsed="false">
      <c r="A180" s="110" t="n">
        <f aca="false">EOMONTH(A179,0)+1</f>
        <v>51014</v>
      </c>
      <c r="B180" s="99" t="n">
        <f aca="false">'Gas Curves'!C184</f>
        <v>0.07419079366092</v>
      </c>
      <c r="C180" s="99"/>
      <c r="D180" s="145" t="n">
        <v>40575</v>
      </c>
      <c r="E180" s="146" t="n">
        <v>36.15</v>
      </c>
      <c r="F180" s="146" t="n">
        <v>37.75</v>
      </c>
      <c r="G180" s="146" t="n">
        <v>39.35</v>
      </c>
      <c r="H180" s="127"/>
      <c r="I180" s="146" t="n">
        <v>20.3999977111816</v>
      </c>
      <c r="J180" s="146" t="n">
        <v>21.1999977111816</v>
      </c>
      <c r="K180" s="146" t="n">
        <v>21.9999977111816</v>
      </c>
      <c r="L180" s="105"/>
      <c r="M180" s="106" t="n">
        <v>41456</v>
      </c>
      <c r="N180" s="147" t="n">
        <v>37.5112495422364</v>
      </c>
      <c r="O180" s="147" t="n">
        <v>41.2612495422364</v>
      </c>
      <c r="P180" s="147" t="n">
        <v>45.0112495422364</v>
      </c>
      <c r="Q180" s="18"/>
      <c r="R180" s="147" t="n">
        <v>26.4474994659424</v>
      </c>
      <c r="S180" s="147" t="n">
        <v>30.7474994659424</v>
      </c>
      <c r="T180" s="147" t="n">
        <v>35.0474994659424</v>
      </c>
      <c r="U180" s="18"/>
      <c r="V180" s="147" t="n">
        <v>0.3</v>
      </c>
      <c r="W180" s="147" t="n">
        <v>0.3</v>
      </c>
      <c r="X180" s="147" t="n">
        <v>0.3</v>
      </c>
      <c r="Y180" s="18"/>
      <c r="Z180" s="147" t="n">
        <v>0.109848451320718</v>
      </c>
      <c r="AA180" s="147" t="n">
        <v>0.219696902641437</v>
      </c>
      <c r="AB180" s="147" t="n">
        <v>0.329545353962155</v>
      </c>
      <c r="AC180" s="18"/>
      <c r="AD180" s="147" t="n">
        <v>0.0461413433556062</v>
      </c>
      <c r="AE180" s="147" t="n">
        <v>0.0922826867112125</v>
      </c>
      <c r="AF180" s="147" t="n">
        <v>0.138424030066819</v>
      </c>
      <c r="AG180" s="18"/>
      <c r="AH180" s="147" t="n">
        <v>-0.35</v>
      </c>
      <c r="AI180" s="147" t="n">
        <v>3</v>
      </c>
      <c r="AJ180" s="147" t="n">
        <v>0.5</v>
      </c>
      <c r="AK180" s="18"/>
      <c r="AL180" s="147" t="n">
        <v>-0.15</v>
      </c>
      <c r="AM180" s="147" t="n">
        <v>0.75</v>
      </c>
      <c r="AN180" s="147" t="n">
        <v>0.2</v>
      </c>
      <c r="AO180" s="18"/>
      <c r="AP180" s="105" t="n">
        <v>54</v>
      </c>
      <c r="AQ180" s="148" t="n">
        <v>0.4</v>
      </c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06" t="n">
        <v>41456</v>
      </c>
      <c r="BI180" s="150" t="n">
        <v>0.9</v>
      </c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0"/>
      <c r="CM180" s="175"/>
      <c r="CN180" s="175"/>
      <c r="CO180" s="151"/>
      <c r="CP180" s="0"/>
      <c r="CQ180" s="0"/>
      <c r="CR180" s="0"/>
      <c r="CS180" s="0"/>
      <c r="CT180" s="0"/>
      <c r="CY180" s="152" t="n">
        <f aca="false">M180</f>
        <v>41456</v>
      </c>
      <c r="CZ180" s="153" t="n">
        <f aca="false">AI180+AH180</f>
        <v>2.65</v>
      </c>
      <c r="DA180" s="153" t="n">
        <f aca="false">AI180</f>
        <v>3</v>
      </c>
      <c r="DB180" s="153" t="n">
        <f aca="false">AI180+AJ180</f>
        <v>3.5</v>
      </c>
      <c r="DD180" s="153" t="n">
        <f aca="false">Z180</f>
        <v>0.109848451320718</v>
      </c>
      <c r="DE180" s="153" t="n">
        <f aca="false">AA180</f>
        <v>0.219696902641437</v>
      </c>
      <c r="DF180" s="153" t="n">
        <f aca="false">AB180</f>
        <v>0.329545353962155</v>
      </c>
      <c r="DH180" s="152" t="n">
        <f aca="false">BH180</f>
        <v>41456</v>
      </c>
      <c r="DI180" s="99" t="n">
        <v>0.9</v>
      </c>
    </row>
    <row r="181" customFormat="false" ht="12.75" hidden="false" customHeight="false" outlineLevel="0" collapsed="false">
      <c r="A181" s="110" t="n">
        <f aca="false">EOMONTH(A180,0)+1</f>
        <v>51044</v>
      </c>
      <c r="B181" s="99" t="n">
        <f aca="false">'Gas Curves'!C185</f>
        <v>0.074190498943039</v>
      </c>
      <c r="C181" s="99"/>
      <c r="D181" s="145" t="n">
        <v>40603</v>
      </c>
      <c r="E181" s="146" t="n">
        <v>33.1</v>
      </c>
      <c r="F181" s="146" t="n">
        <v>34</v>
      </c>
      <c r="G181" s="146" t="n">
        <v>34.9</v>
      </c>
      <c r="H181" s="127"/>
      <c r="I181" s="146" t="n">
        <v>19.7499996185303</v>
      </c>
      <c r="J181" s="146" t="n">
        <v>20.1999996185303</v>
      </c>
      <c r="K181" s="146" t="n">
        <v>20.6499996185303</v>
      </c>
      <c r="L181" s="105"/>
      <c r="M181" s="106" t="n">
        <v>41487</v>
      </c>
      <c r="N181" s="147" t="n">
        <v>39.7724990844727</v>
      </c>
      <c r="O181" s="147" t="n">
        <v>43.5224990844727</v>
      </c>
      <c r="P181" s="147" t="n">
        <v>47.2724990844727</v>
      </c>
      <c r="Q181" s="18"/>
      <c r="R181" s="147" t="n">
        <v>27.9450008392334</v>
      </c>
      <c r="S181" s="147" t="n">
        <v>32.2450008392334</v>
      </c>
      <c r="T181" s="147" t="n">
        <v>36.5450008392334</v>
      </c>
      <c r="U181" s="18"/>
      <c r="V181" s="147" t="n">
        <v>0.3</v>
      </c>
      <c r="W181" s="147" t="n">
        <v>0.3</v>
      </c>
      <c r="X181" s="147" t="n">
        <v>0.3</v>
      </c>
      <c r="Y181" s="18"/>
      <c r="Z181" s="147" t="n">
        <v>0.108085526534719</v>
      </c>
      <c r="AA181" s="147" t="n">
        <v>0.216171053069438</v>
      </c>
      <c r="AB181" s="147" t="n">
        <v>0.324256579604157</v>
      </c>
      <c r="AC181" s="18"/>
      <c r="AD181" s="147" t="n">
        <v>0.0461413433556062</v>
      </c>
      <c r="AE181" s="147" t="n">
        <v>0.0922826867112125</v>
      </c>
      <c r="AF181" s="147" t="n">
        <v>0.138424030066819</v>
      </c>
      <c r="AG181" s="18"/>
      <c r="AH181" s="147" t="n">
        <v>-0.35</v>
      </c>
      <c r="AI181" s="147" t="n">
        <v>3</v>
      </c>
      <c r="AJ181" s="147" t="n">
        <v>0.5</v>
      </c>
      <c r="AK181" s="18"/>
      <c r="AL181" s="147" t="n">
        <v>-0.15</v>
      </c>
      <c r="AM181" s="147" t="n">
        <v>0.75</v>
      </c>
      <c r="AN181" s="147" t="n">
        <v>0.2</v>
      </c>
      <c r="AO181" s="18"/>
      <c r="AP181" s="105" t="n">
        <v>55</v>
      </c>
      <c r="AQ181" s="148" t="n">
        <v>0.4</v>
      </c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06" t="n">
        <v>41487</v>
      </c>
      <c r="BI181" s="150" t="n">
        <v>0.9</v>
      </c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0"/>
      <c r="CM181" s="175"/>
      <c r="CN181" s="175"/>
      <c r="CO181" s="151"/>
      <c r="CP181" s="0"/>
      <c r="CQ181" s="0"/>
      <c r="CR181" s="0"/>
      <c r="CS181" s="0"/>
      <c r="CT181" s="0"/>
      <c r="CY181" s="152" t="n">
        <f aca="false">M181</f>
        <v>41487</v>
      </c>
      <c r="CZ181" s="153" t="n">
        <f aca="false">AI181+AH181</f>
        <v>2.65</v>
      </c>
      <c r="DA181" s="153" t="n">
        <f aca="false">AI181</f>
        <v>3</v>
      </c>
      <c r="DB181" s="153" t="n">
        <f aca="false">AI181+AJ181</f>
        <v>3.5</v>
      </c>
      <c r="DD181" s="153" t="n">
        <f aca="false">Z181</f>
        <v>0.108085526534719</v>
      </c>
      <c r="DE181" s="153" t="n">
        <f aca="false">AA181</f>
        <v>0.216171053069438</v>
      </c>
      <c r="DF181" s="153" t="n">
        <f aca="false">AB181</f>
        <v>0.324256579604157</v>
      </c>
      <c r="DH181" s="152" t="n">
        <f aca="false">BH181</f>
        <v>41487</v>
      </c>
      <c r="DI181" s="99" t="n">
        <v>0.9</v>
      </c>
    </row>
    <row r="182" customFormat="false" ht="12.75" hidden="false" customHeight="false" outlineLevel="0" collapsed="false">
      <c r="A182" s="110" t="n">
        <f aca="false">EOMONTH(A181,0)+1</f>
        <v>51075</v>
      </c>
      <c r="B182" s="99" t="n">
        <f aca="false">'Gas Curves'!C186</f>
        <v>0.074190213732186</v>
      </c>
      <c r="C182" s="99"/>
      <c r="D182" s="145" t="n">
        <v>40634</v>
      </c>
      <c r="E182" s="146" t="n">
        <v>32</v>
      </c>
      <c r="F182" s="146" t="n">
        <v>32.75</v>
      </c>
      <c r="G182" s="146" t="n">
        <v>33.5</v>
      </c>
      <c r="H182" s="127"/>
      <c r="I182" s="146" t="n">
        <v>19.8249977111816</v>
      </c>
      <c r="J182" s="146" t="n">
        <v>20.1999977111816</v>
      </c>
      <c r="K182" s="146" t="n">
        <v>20.5749977111816</v>
      </c>
      <c r="L182" s="105"/>
      <c r="M182" s="106" t="n">
        <v>41518</v>
      </c>
      <c r="N182" s="147" t="n">
        <v>23.4799991607666</v>
      </c>
      <c r="O182" s="147" t="n">
        <v>24.9049991607666</v>
      </c>
      <c r="P182" s="147" t="n">
        <v>26.3299991607666</v>
      </c>
      <c r="Q182" s="18"/>
      <c r="R182" s="147" t="n">
        <v>21.1</v>
      </c>
      <c r="S182" s="147" t="n">
        <v>25.4</v>
      </c>
      <c r="T182" s="147" t="n">
        <v>29.7</v>
      </c>
      <c r="U182" s="18"/>
      <c r="V182" s="147" t="n">
        <v>0.8</v>
      </c>
      <c r="W182" s="147" t="n">
        <v>0.8</v>
      </c>
      <c r="X182" s="147" t="n">
        <v>0.8</v>
      </c>
      <c r="Y182" s="18"/>
      <c r="Z182" s="147" t="n">
        <v>0.0716112206174909</v>
      </c>
      <c r="AA182" s="147" t="n">
        <v>0.143222441234982</v>
      </c>
      <c r="AB182" s="147" t="n">
        <v>0.214833661852473</v>
      </c>
      <c r="AC182" s="18"/>
      <c r="AD182" s="147" t="n">
        <v>0.0307608955704042</v>
      </c>
      <c r="AE182" s="147" t="n">
        <v>0.0615217911408083</v>
      </c>
      <c r="AF182" s="147" t="n">
        <v>0.0922826867112125</v>
      </c>
      <c r="AG182" s="18"/>
      <c r="AH182" s="147" t="n">
        <v>-0.35</v>
      </c>
      <c r="AI182" s="147" t="n">
        <v>1.5</v>
      </c>
      <c r="AJ182" s="147" t="n">
        <v>0.3</v>
      </c>
      <c r="AK182" s="18"/>
      <c r="AL182" s="147" t="n">
        <v>-0.15</v>
      </c>
      <c r="AM182" s="147" t="n">
        <v>0.4</v>
      </c>
      <c r="AN182" s="147" t="n">
        <v>0.2</v>
      </c>
      <c r="AO182" s="18"/>
      <c r="AP182" s="105" t="n">
        <v>55</v>
      </c>
      <c r="AQ182" s="148" t="n">
        <v>0.4</v>
      </c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06" t="n">
        <v>41518</v>
      </c>
      <c r="BI182" s="150" t="n">
        <v>0.9</v>
      </c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0"/>
      <c r="CM182" s="175"/>
      <c r="CN182" s="175"/>
      <c r="CO182" s="151"/>
      <c r="CP182" s="0"/>
      <c r="CQ182" s="0"/>
      <c r="CR182" s="0"/>
      <c r="CS182" s="0"/>
      <c r="CT182" s="0"/>
      <c r="CY182" s="152" t="n">
        <f aca="false">M182</f>
        <v>41518</v>
      </c>
      <c r="CZ182" s="153" t="n">
        <f aca="false">AI182+AH182</f>
        <v>1.15</v>
      </c>
      <c r="DA182" s="153" t="n">
        <f aca="false">AI182</f>
        <v>1.5</v>
      </c>
      <c r="DB182" s="153" t="n">
        <f aca="false">AI182+AJ182</f>
        <v>1.8</v>
      </c>
      <c r="DD182" s="153" t="n">
        <f aca="false">Z182</f>
        <v>0.0716112206174909</v>
      </c>
      <c r="DE182" s="153" t="n">
        <f aca="false">AA182</f>
        <v>0.143222441234982</v>
      </c>
      <c r="DF182" s="153" t="n">
        <f aca="false">AB182</f>
        <v>0.214833661852473</v>
      </c>
      <c r="DH182" s="152" t="n">
        <f aca="false">BH182</f>
        <v>41518</v>
      </c>
      <c r="DI182" s="99" t="n">
        <v>0.9</v>
      </c>
    </row>
    <row r="183" customFormat="false" ht="12.75" hidden="false" customHeight="false" outlineLevel="0" collapsed="false">
      <c r="A183" s="110" t="n">
        <f aca="false">EOMONTH(A182,0)+1</f>
        <v>51105</v>
      </c>
      <c r="B183" s="99" t="n">
        <f aca="false">'Gas Curves'!C187</f>
        <v>0.074189919014306</v>
      </c>
      <c r="C183" s="99"/>
      <c r="D183" s="145" t="n">
        <v>40664</v>
      </c>
      <c r="E183" s="146" t="n">
        <v>32.67</v>
      </c>
      <c r="F183" s="146" t="n">
        <v>35.15</v>
      </c>
      <c r="G183" s="146" t="n">
        <v>37.63</v>
      </c>
      <c r="H183" s="127"/>
      <c r="I183" s="146" t="n">
        <v>18.9599977111816</v>
      </c>
      <c r="J183" s="146" t="n">
        <v>20.1999977111816</v>
      </c>
      <c r="K183" s="146" t="n">
        <v>21.4399977111816</v>
      </c>
      <c r="L183" s="105"/>
      <c r="M183" s="106" t="n">
        <v>41548</v>
      </c>
      <c r="N183" s="147" t="n">
        <v>23.6880001068115</v>
      </c>
      <c r="O183" s="147" t="n">
        <v>25.0005001068115</v>
      </c>
      <c r="P183" s="147" t="n">
        <v>26.3130001068115</v>
      </c>
      <c r="Q183" s="18"/>
      <c r="R183" s="147" t="n">
        <v>18.7009998321533</v>
      </c>
      <c r="S183" s="147" t="n">
        <v>23.0009998321533</v>
      </c>
      <c r="T183" s="147" t="n">
        <v>27.3009998321533</v>
      </c>
      <c r="U183" s="18"/>
      <c r="V183" s="147" t="n">
        <v>0.8</v>
      </c>
      <c r="W183" s="147" t="n">
        <v>0.8</v>
      </c>
      <c r="X183" s="147" t="n">
        <v>0.8</v>
      </c>
      <c r="Y183" s="18"/>
      <c r="Z183" s="147" t="n">
        <v>0.0654105886115622</v>
      </c>
      <c r="AA183" s="147" t="n">
        <v>0.130821177223124</v>
      </c>
      <c r="AB183" s="147" t="n">
        <v>0.196231765834687</v>
      </c>
      <c r="AC183" s="18"/>
      <c r="AD183" s="147" t="n">
        <v>0.0230706716778031</v>
      </c>
      <c r="AE183" s="147" t="n">
        <v>0.0461413433556062</v>
      </c>
      <c r="AF183" s="147" t="n">
        <v>0.0692120150334094</v>
      </c>
      <c r="AG183" s="18"/>
      <c r="AH183" s="147" t="n">
        <v>-0.25</v>
      </c>
      <c r="AI183" s="147" t="n">
        <v>1.1</v>
      </c>
      <c r="AJ183" s="147" t="n">
        <v>0.3</v>
      </c>
      <c r="AK183" s="18"/>
      <c r="AL183" s="147" t="n">
        <v>-0.15</v>
      </c>
      <c r="AM183" s="147" t="n">
        <v>0.35</v>
      </c>
      <c r="AN183" s="147" t="n">
        <v>0.2</v>
      </c>
      <c r="AO183" s="18"/>
      <c r="AP183" s="105" t="n">
        <v>55</v>
      </c>
      <c r="AQ183" s="148" t="n">
        <v>0.4</v>
      </c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06" t="n">
        <v>41548</v>
      </c>
      <c r="BI183" s="150" t="n">
        <v>0.9</v>
      </c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0"/>
      <c r="CM183" s="175"/>
      <c r="CN183" s="175"/>
      <c r="CO183" s="151"/>
      <c r="CP183" s="0"/>
      <c r="CQ183" s="0"/>
      <c r="CR183" s="0"/>
      <c r="CS183" s="0"/>
      <c r="CT183" s="0"/>
      <c r="CY183" s="152" t="n">
        <f aca="false">M183</f>
        <v>41548</v>
      </c>
      <c r="CZ183" s="153" t="n">
        <f aca="false">AI183+AH183</f>
        <v>0.85</v>
      </c>
      <c r="DA183" s="153" t="n">
        <f aca="false">AI183</f>
        <v>1.1</v>
      </c>
      <c r="DB183" s="153" t="n">
        <f aca="false">AI183+AJ183</f>
        <v>1.4</v>
      </c>
      <c r="DD183" s="153" t="n">
        <f aca="false">Z183</f>
        <v>0.0654105886115622</v>
      </c>
      <c r="DE183" s="153" t="n">
        <f aca="false">AA183</f>
        <v>0.130821177223124</v>
      </c>
      <c r="DF183" s="153" t="n">
        <f aca="false">AB183</f>
        <v>0.196231765834687</v>
      </c>
      <c r="DH183" s="152" t="n">
        <f aca="false">BH183</f>
        <v>41548</v>
      </c>
      <c r="DI183" s="99" t="n">
        <v>0.9</v>
      </c>
    </row>
    <row r="184" customFormat="false" ht="12.75" hidden="false" customHeight="false" outlineLevel="0" collapsed="false">
      <c r="A184" s="110" t="n">
        <f aca="false">EOMONTH(A183,0)+1</f>
        <v>51136</v>
      </c>
      <c r="B184" s="99" t="n">
        <f aca="false">'Gas Curves'!C188</f>
        <v>0.074189633803453</v>
      </c>
      <c r="C184" s="99"/>
      <c r="D184" s="145" t="n">
        <v>40695</v>
      </c>
      <c r="E184" s="146" t="n">
        <v>46.14</v>
      </c>
      <c r="F184" s="146" t="n">
        <v>53.25</v>
      </c>
      <c r="G184" s="146" t="n">
        <v>60.36</v>
      </c>
      <c r="H184" s="127"/>
      <c r="I184" s="146" t="n">
        <v>16.5999987792969</v>
      </c>
      <c r="J184" s="146" t="n">
        <v>20.1549987792969</v>
      </c>
      <c r="K184" s="146" t="n">
        <v>23.7099987792969</v>
      </c>
      <c r="L184" s="105"/>
      <c r="M184" s="106" t="n">
        <v>41579</v>
      </c>
      <c r="N184" s="147" t="n">
        <v>24.6922515869141</v>
      </c>
      <c r="O184" s="147" t="n">
        <v>26.0047515869141</v>
      </c>
      <c r="P184" s="147" t="n">
        <v>27.3172515869141</v>
      </c>
      <c r="Q184" s="18"/>
      <c r="R184" s="147" t="n">
        <v>19.7044998168945</v>
      </c>
      <c r="S184" s="147" t="n">
        <v>24.0044998168945</v>
      </c>
      <c r="T184" s="147" t="n">
        <v>28.3044998168945</v>
      </c>
      <c r="U184" s="18"/>
      <c r="V184" s="147" t="n">
        <v>0.8</v>
      </c>
      <c r="W184" s="147" t="n">
        <v>0.8</v>
      </c>
      <c r="X184" s="147" t="n">
        <v>0.8</v>
      </c>
      <c r="Y184" s="18"/>
      <c r="Z184" s="147" t="n">
        <v>0.0654105886115622</v>
      </c>
      <c r="AA184" s="147" t="n">
        <v>0.130821177223124</v>
      </c>
      <c r="AB184" s="147" t="n">
        <v>0.196231765834687</v>
      </c>
      <c r="AC184" s="18"/>
      <c r="AD184" s="147" t="n">
        <v>0.0230706716778031</v>
      </c>
      <c r="AE184" s="147" t="n">
        <v>0.0461413433556062</v>
      </c>
      <c r="AF184" s="147" t="n">
        <v>0.0692120150334094</v>
      </c>
      <c r="AG184" s="18"/>
      <c r="AH184" s="147" t="n">
        <v>-0.25</v>
      </c>
      <c r="AI184" s="147" t="n">
        <v>1.25</v>
      </c>
      <c r="AJ184" s="147" t="n">
        <v>0.3</v>
      </c>
      <c r="AK184" s="18"/>
      <c r="AL184" s="147" t="n">
        <v>-0.15</v>
      </c>
      <c r="AM184" s="147" t="n">
        <v>0.3</v>
      </c>
      <c r="AN184" s="147" t="n">
        <v>0.2</v>
      </c>
      <c r="AO184" s="18"/>
      <c r="AP184" s="105" t="n">
        <v>56</v>
      </c>
      <c r="AQ184" s="148" t="n">
        <v>0.4</v>
      </c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06" t="n">
        <v>41579</v>
      </c>
      <c r="BI184" s="150" t="n">
        <v>0.9</v>
      </c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0"/>
      <c r="CM184" s="175"/>
      <c r="CN184" s="175"/>
      <c r="CO184" s="151"/>
      <c r="CP184" s="0"/>
      <c r="CQ184" s="0"/>
      <c r="CR184" s="0"/>
      <c r="CS184" s="0"/>
      <c r="CT184" s="0"/>
      <c r="CY184" s="152" t="n">
        <f aca="false">M184</f>
        <v>41579</v>
      </c>
      <c r="CZ184" s="153" t="n">
        <f aca="false">AI184+AH184</f>
        <v>1</v>
      </c>
      <c r="DA184" s="153" t="n">
        <f aca="false">AI184</f>
        <v>1.25</v>
      </c>
      <c r="DB184" s="153" t="n">
        <f aca="false">AI184+AJ184</f>
        <v>1.55</v>
      </c>
      <c r="DD184" s="153" t="n">
        <f aca="false">Z184</f>
        <v>0.0654105886115622</v>
      </c>
      <c r="DE184" s="153" t="n">
        <f aca="false">AA184</f>
        <v>0.130821177223124</v>
      </c>
      <c r="DF184" s="153" t="n">
        <f aca="false">AB184</f>
        <v>0.196231765834687</v>
      </c>
      <c r="DH184" s="152" t="n">
        <f aca="false">BH184</f>
        <v>41579</v>
      </c>
      <c r="DI184" s="99" t="n">
        <v>0.9</v>
      </c>
    </row>
    <row r="185" customFormat="false" ht="12.75" hidden="false" customHeight="false" outlineLevel="0" collapsed="false">
      <c r="A185" s="110" t="n">
        <f aca="false">EOMONTH(A184,0)+1</f>
        <v>51167</v>
      </c>
      <c r="B185" s="99" t="n">
        <f aca="false">'Gas Curves'!C189</f>
        <v>0.074189339085572</v>
      </c>
      <c r="C185" s="99"/>
      <c r="D185" s="145" t="n">
        <v>40725</v>
      </c>
      <c r="E185" s="146" t="n">
        <v>73.5</v>
      </c>
      <c r="F185" s="146" t="n">
        <v>78.5</v>
      </c>
      <c r="G185" s="146" t="n">
        <v>83.5</v>
      </c>
      <c r="H185" s="127"/>
      <c r="I185" s="146" t="n">
        <v>22.1499977111816</v>
      </c>
      <c r="J185" s="146" t="n">
        <v>24.6499977111816</v>
      </c>
      <c r="K185" s="146" t="n">
        <v>27.1499977111816</v>
      </c>
      <c r="L185" s="105"/>
      <c r="M185" s="106" t="n">
        <v>41609</v>
      </c>
      <c r="N185" s="147" t="n">
        <v>26.1424983978271</v>
      </c>
      <c r="O185" s="147" t="n">
        <v>27.4549983978271</v>
      </c>
      <c r="P185" s="147" t="n">
        <v>28.7674983978271</v>
      </c>
      <c r="Q185" s="18"/>
      <c r="R185" s="147" t="n">
        <v>19.6499992370605</v>
      </c>
      <c r="S185" s="147" t="n">
        <v>23.9499992370605</v>
      </c>
      <c r="T185" s="147" t="n">
        <v>28.2499992370605</v>
      </c>
      <c r="U185" s="18"/>
      <c r="V185" s="147" t="n">
        <v>0.8</v>
      </c>
      <c r="W185" s="147" t="n">
        <v>0.8</v>
      </c>
      <c r="X185" s="147" t="n">
        <v>0.8</v>
      </c>
      <c r="Y185" s="18"/>
      <c r="Z185" s="147" t="n">
        <v>0.0677449441902648</v>
      </c>
      <c r="AA185" s="147" t="n">
        <v>0.13548988838053</v>
      </c>
      <c r="AB185" s="147" t="n">
        <v>0.203234832570794</v>
      </c>
      <c r="AC185" s="18"/>
      <c r="AD185" s="147" t="n">
        <v>0.0230706716778031</v>
      </c>
      <c r="AE185" s="147" t="n">
        <v>0.0461413433556062</v>
      </c>
      <c r="AF185" s="147" t="n">
        <v>0.0692120150334094</v>
      </c>
      <c r="AG185" s="18"/>
      <c r="AH185" s="147" t="n">
        <v>-0.25</v>
      </c>
      <c r="AI185" s="147" t="n">
        <v>1.25</v>
      </c>
      <c r="AJ185" s="147" t="n">
        <v>0.35</v>
      </c>
      <c r="AK185" s="18"/>
      <c r="AL185" s="147" t="n">
        <v>-0.15</v>
      </c>
      <c r="AM185" s="147" t="n">
        <v>0.3</v>
      </c>
      <c r="AN185" s="147" t="n">
        <v>0.2</v>
      </c>
      <c r="AO185" s="18"/>
      <c r="AP185" s="105" t="n">
        <v>56</v>
      </c>
      <c r="AQ185" s="148" t="n">
        <v>0.4</v>
      </c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06" t="n">
        <v>41609</v>
      </c>
      <c r="BI185" s="150" t="n">
        <v>0.9</v>
      </c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0"/>
      <c r="CM185" s="175"/>
      <c r="CN185" s="175"/>
      <c r="CO185" s="151"/>
      <c r="CP185" s="0"/>
      <c r="CQ185" s="0"/>
      <c r="CR185" s="0"/>
      <c r="CS185" s="0"/>
      <c r="CT185" s="0"/>
      <c r="CY185" s="152" t="n">
        <f aca="false">M185</f>
        <v>41609</v>
      </c>
      <c r="CZ185" s="153" t="n">
        <f aca="false">AI185+AH185</f>
        <v>1</v>
      </c>
      <c r="DA185" s="153" t="n">
        <f aca="false">AI185</f>
        <v>1.25</v>
      </c>
      <c r="DB185" s="153" t="n">
        <f aca="false">AI185+AJ185</f>
        <v>1.6</v>
      </c>
      <c r="DD185" s="153" t="n">
        <f aca="false">Z185</f>
        <v>0.0677449441902648</v>
      </c>
      <c r="DE185" s="153" t="n">
        <f aca="false">AA185</f>
        <v>0.13548988838053</v>
      </c>
      <c r="DF185" s="153" t="n">
        <f aca="false">AB185</f>
        <v>0.203234832570794</v>
      </c>
      <c r="DH185" s="152" t="n">
        <f aca="false">BH185</f>
        <v>41609</v>
      </c>
      <c r="DI185" s="99" t="n">
        <v>0.9</v>
      </c>
    </row>
    <row r="186" customFormat="false" ht="12.75" hidden="false" customHeight="false" outlineLevel="0" collapsed="false">
      <c r="A186" s="110" t="n">
        <f aca="false">EOMONTH(A185,0)+1</f>
        <v>51196</v>
      </c>
      <c r="B186" s="99" t="n">
        <f aca="false">'Gas Curves'!C190</f>
        <v>0.074189044367691</v>
      </c>
      <c r="C186" s="99"/>
      <c r="D186" s="145" t="n">
        <v>40756</v>
      </c>
      <c r="E186" s="146" t="n">
        <v>69</v>
      </c>
      <c r="F186" s="146" t="n">
        <v>74</v>
      </c>
      <c r="G186" s="146" t="n">
        <v>79</v>
      </c>
      <c r="H186" s="127"/>
      <c r="I186" s="146" t="n">
        <v>22.4999980926514</v>
      </c>
      <c r="J186" s="146" t="n">
        <v>24.9999980926514</v>
      </c>
      <c r="K186" s="146" t="n">
        <v>27.4999980926514</v>
      </c>
      <c r="L186" s="105"/>
      <c r="M186" s="106" t="n">
        <v>41640</v>
      </c>
      <c r="N186" s="147" t="n">
        <v>29.4237483978271</v>
      </c>
      <c r="O186" s="147" t="n">
        <v>30.8487483978271</v>
      </c>
      <c r="P186" s="147" t="n">
        <v>32.2737483978271</v>
      </c>
      <c r="Q186" s="18"/>
      <c r="R186" s="147" t="n">
        <v>25.0525001525879</v>
      </c>
      <c r="S186" s="147" t="n">
        <v>29.3525001525879</v>
      </c>
      <c r="T186" s="147" t="n">
        <v>33.6525001525879</v>
      </c>
      <c r="U186" s="18"/>
      <c r="V186" s="147" t="n">
        <v>0.8</v>
      </c>
      <c r="W186" s="147" t="n">
        <v>0.8</v>
      </c>
      <c r="X186" s="147" t="n">
        <v>0.8</v>
      </c>
      <c r="Y186" s="18"/>
      <c r="Z186" s="147" t="n">
        <v>0.0728945758256897</v>
      </c>
      <c r="AA186" s="147" t="n">
        <v>0.145789151651379</v>
      </c>
      <c r="AB186" s="147" t="n">
        <v>0.218683727477069</v>
      </c>
      <c r="AC186" s="18"/>
      <c r="AD186" s="147" t="n">
        <v>0.0263774679516216</v>
      </c>
      <c r="AE186" s="147" t="n">
        <v>0.0527549359032431</v>
      </c>
      <c r="AF186" s="147" t="n">
        <v>0.0791324038548647</v>
      </c>
      <c r="AG186" s="18"/>
      <c r="AH186" s="147" t="n">
        <v>-0.75</v>
      </c>
      <c r="AI186" s="147" t="n">
        <v>2</v>
      </c>
      <c r="AJ186" s="147" t="n">
        <v>0.75</v>
      </c>
      <c r="AK186" s="18"/>
      <c r="AL186" s="147" t="n">
        <v>-0.15</v>
      </c>
      <c r="AM186" s="147" t="n">
        <v>0.5</v>
      </c>
      <c r="AN186" s="147" t="n">
        <v>0.2</v>
      </c>
      <c r="AO186" s="18"/>
      <c r="AP186" s="105" t="n">
        <v>56</v>
      </c>
      <c r="AQ186" s="148" t="n">
        <v>0.4</v>
      </c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06" t="n">
        <v>41640</v>
      </c>
      <c r="BI186" s="150" t="n">
        <v>0.9</v>
      </c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0"/>
      <c r="CM186" s="175"/>
      <c r="CN186" s="175"/>
      <c r="CO186" s="151"/>
      <c r="CP186" s="0"/>
      <c r="CQ186" s="0"/>
      <c r="CR186" s="0"/>
      <c r="CS186" s="0"/>
      <c r="CT186" s="0"/>
      <c r="CY186" s="152" t="n">
        <f aca="false">M186</f>
        <v>41640</v>
      </c>
      <c r="CZ186" s="153" t="n">
        <f aca="false">AI186+AH186</f>
        <v>1.25</v>
      </c>
      <c r="DA186" s="153" t="n">
        <f aca="false">AI186</f>
        <v>2</v>
      </c>
      <c r="DB186" s="153" t="n">
        <f aca="false">AI186+AJ186</f>
        <v>2.75</v>
      </c>
      <c r="DD186" s="153" t="n">
        <f aca="false">Z186</f>
        <v>0.0728945758256897</v>
      </c>
      <c r="DE186" s="153" t="n">
        <f aca="false">AA186</f>
        <v>0.145789151651379</v>
      </c>
      <c r="DF186" s="153" t="n">
        <f aca="false">AB186</f>
        <v>0.218683727477069</v>
      </c>
      <c r="DH186" s="152" t="n">
        <f aca="false">BH186</f>
        <v>41640</v>
      </c>
      <c r="DI186" s="99" t="n">
        <v>0.9</v>
      </c>
    </row>
    <row r="187" customFormat="false" ht="12.75" hidden="false" customHeight="false" outlineLevel="0" collapsed="false">
      <c r="A187" s="110" t="n">
        <f aca="false">EOMONTH(A186,0)+1</f>
        <v>51227</v>
      </c>
      <c r="B187" s="99" t="n">
        <f aca="false">'Gas Curves'!C191</f>
        <v>0.074188759156839</v>
      </c>
      <c r="C187" s="99"/>
      <c r="D187" s="145" t="n">
        <v>40787</v>
      </c>
      <c r="E187" s="146" t="n">
        <v>32.05</v>
      </c>
      <c r="F187" s="146" t="n">
        <v>33.75</v>
      </c>
      <c r="G187" s="146" t="n">
        <v>35.45</v>
      </c>
      <c r="H187" s="127"/>
      <c r="I187" s="146" t="n">
        <v>19.6999980926514</v>
      </c>
      <c r="J187" s="146" t="n">
        <v>20.5499980926514</v>
      </c>
      <c r="K187" s="146" t="n">
        <v>21.3999980926514</v>
      </c>
      <c r="L187" s="105"/>
      <c r="M187" s="106" t="n">
        <v>41671</v>
      </c>
      <c r="N187" s="147" t="n">
        <v>28.4212501525879</v>
      </c>
      <c r="O187" s="147" t="n">
        <v>29.8462501525879</v>
      </c>
      <c r="P187" s="147" t="n">
        <v>31.2712501525879</v>
      </c>
      <c r="Q187" s="18"/>
      <c r="R187" s="147" t="n">
        <v>23.0474994659424</v>
      </c>
      <c r="S187" s="147" t="n">
        <v>27.3474994659424</v>
      </c>
      <c r="T187" s="147" t="n">
        <v>31.6474994659424</v>
      </c>
      <c r="U187" s="18"/>
      <c r="V187" s="147" t="n">
        <v>0.8</v>
      </c>
      <c r="W187" s="147" t="n">
        <v>0.8</v>
      </c>
      <c r="X187" s="147" t="n">
        <v>0.8</v>
      </c>
      <c r="Y187" s="18"/>
      <c r="Z187" s="147" t="n">
        <v>0.0703278654092922</v>
      </c>
      <c r="AA187" s="147" t="n">
        <v>0.140655730818584</v>
      </c>
      <c r="AB187" s="147" t="n">
        <v>0.210983596227877</v>
      </c>
      <c r="AC187" s="18"/>
      <c r="AD187" s="147" t="n">
        <v>0.0263774679516216</v>
      </c>
      <c r="AE187" s="147" t="n">
        <v>0.0527549359032431</v>
      </c>
      <c r="AF187" s="147" t="n">
        <v>0.0791324038548647</v>
      </c>
      <c r="AG187" s="18"/>
      <c r="AH187" s="147" t="n">
        <v>-0.75</v>
      </c>
      <c r="AI187" s="147" t="n">
        <v>2</v>
      </c>
      <c r="AJ187" s="147" t="n">
        <v>0.75</v>
      </c>
      <c r="AK187" s="18"/>
      <c r="AL187" s="147" t="n">
        <v>-0.15</v>
      </c>
      <c r="AM187" s="147" t="n">
        <v>0.5</v>
      </c>
      <c r="AN187" s="147" t="n">
        <v>0.2</v>
      </c>
      <c r="AO187" s="18"/>
      <c r="AP187" s="105" t="n">
        <v>57</v>
      </c>
      <c r="AQ187" s="148" t="n">
        <v>0.4</v>
      </c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06" t="n">
        <v>41671</v>
      </c>
      <c r="BI187" s="150" t="n">
        <v>0.9</v>
      </c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0"/>
      <c r="CM187" s="175"/>
      <c r="CN187" s="175"/>
      <c r="CO187" s="151"/>
      <c r="CP187" s="0"/>
      <c r="CQ187" s="0"/>
      <c r="CR187" s="0"/>
      <c r="CS187" s="0"/>
      <c r="CT187" s="0"/>
      <c r="CY187" s="152" t="n">
        <f aca="false">M187</f>
        <v>41671</v>
      </c>
      <c r="CZ187" s="153" t="n">
        <f aca="false">AI187+AH187</f>
        <v>1.25</v>
      </c>
      <c r="DA187" s="153" t="n">
        <f aca="false">AI187</f>
        <v>2</v>
      </c>
      <c r="DB187" s="153" t="n">
        <f aca="false">AI187+AJ187</f>
        <v>2.75</v>
      </c>
      <c r="DD187" s="153" t="n">
        <f aca="false">Z187</f>
        <v>0.0703278654092922</v>
      </c>
      <c r="DE187" s="153" t="n">
        <f aca="false">AA187</f>
        <v>0.140655730818584</v>
      </c>
      <c r="DF187" s="153" t="n">
        <f aca="false">AB187</f>
        <v>0.210983596227877</v>
      </c>
      <c r="DH187" s="152" t="n">
        <f aca="false">BH187</f>
        <v>41671</v>
      </c>
      <c r="DI187" s="99" t="n">
        <v>0.9</v>
      </c>
    </row>
    <row r="188" customFormat="false" ht="12.75" hidden="false" customHeight="false" outlineLevel="0" collapsed="false">
      <c r="A188" s="110" t="n">
        <f aca="false">EOMONTH(A187,0)+1</f>
        <v>51257</v>
      </c>
      <c r="B188" s="99" t="n">
        <f aca="false">'Gas Curves'!C192</f>
        <v>0.074188464438958</v>
      </c>
      <c r="C188" s="99"/>
      <c r="D188" s="145" t="n">
        <v>40817</v>
      </c>
      <c r="E188" s="146" t="n">
        <v>29.95</v>
      </c>
      <c r="F188" s="146" t="n">
        <v>31.5</v>
      </c>
      <c r="G188" s="146" t="n">
        <v>33.05</v>
      </c>
      <c r="H188" s="127"/>
      <c r="I188" s="146" t="n">
        <v>19.4749988555908</v>
      </c>
      <c r="J188" s="146" t="n">
        <v>20.2499988555908</v>
      </c>
      <c r="K188" s="146" t="n">
        <v>21.0249988555908</v>
      </c>
      <c r="L188" s="105"/>
      <c r="M188" s="106" t="n">
        <v>41699</v>
      </c>
      <c r="N188" s="147" t="n">
        <v>22.2472496032715</v>
      </c>
      <c r="O188" s="147" t="n">
        <v>23.0347496032715</v>
      </c>
      <c r="P188" s="147" t="n">
        <v>23.8222496032715</v>
      </c>
      <c r="Q188" s="18"/>
      <c r="R188" s="147" t="n">
        <v>18.3644989013672</v>
      </c>
      <c r="S188" s="147" t="n">
        <v>22.6644989013672</v>
      </c>
      <c r="T188" s="147" t="n">
        <v>26.9644989013672</v>
      </c>
      <c r="U188" s="18"/>
      <c r="V188" s="147" t="n">
        <v>0.3</v>
      </c>
      <c r="W188" s="147" t="n">
        <v>0.3</v>
      </c>
      <c r="X188" s="147" t="n">
        <v>0.3</v>
      </c>
      <c r="Y188" s="18"/>
      <c r="Z188" s="147" t="n">
        <v>0.0685504184459369</v>
      </c>
      <c r="AA188" s="147" t="n">
        <v>0.137100836891874</v>
      </c>
      <c r="AB188" s="147" t="n">
        <v>0.205651255337811</v>
      </c>
      <c r="AC188" s="18"/>
      <c r="AD188" s="147" t="n">
        <v>0.0226092582442471</v>
      </c>
      <c r="AE188" s="147" t="n">
        <v>0.0452185164884941</v>
      </c>
      <c r="AF188" s="147" t="n">
        <v>0.0678277747327412</v>
      </c>
      <c r="AG188" s="18"/>
      <c r="AH188" s="147" t="n">
        <v>-0.25</v>
      </c>
      <c r="AI188" s="147" t="n">
        <v>1.3</v>
      </c>
      <c r="AJ188" s="147" t="n">
        <v>0.3</v>
      </c>
      <c r="AK188" s="18"/>
      <c r="AL188" s="147" t="n">
        <v>-0.15</v>
      </c>
      <c r="AM188" s="147" t="n">
        <v>0.35</v>
      </c>
      <c r="AN188" s="147" t="n">
        <v>0.2</v>
      </c>
      <c r="AO188" s="18"/>
      <c r="AP188" s="105" t="n">
        <v>57</v>
      </c>
      <c r="AQ188" s="148" t="n">
        <v>0.4</v>
      </c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06" t="n">
        <v>41699</v>
      </c>
      <c r="BI188" s="150" t="n">
        <v>0.9</v>
      </c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0"/>
      <c r="CM188" s="175"/>
      <c r="CN188" s="175"/>
      <c r="CO188" s="151"/>
      <c r="CP188" s="0"/>
      <c r="CQ188" s="0"/>
      <c r="CR188" s="0"/>
      <c r="CS188" s="0"/>
      <c r="CT188" s="0"/>
      <c r="CY188" s="152" t="n">
        <f aca="false">M188</f>
        <v>41699</v>
      </c>
      <c r="CZ188" s="153" t="n">
        <f aca="false">AI188+AH188</f>
        <v>1.05</v>
      </c>
      <c r="DA188" s="153" t="n">
        <f aca="false">AI188</f>
        <v>1.3</v>
      </c>
      <c r="DB188" s="153" t="n">
        <f aca="false">AI188+AJ188</f>
        <v>1.6</v>
      </c>
      <c r="DD188" s="153" t="n">
        <f aca="false">Z188</f>
        <v>0.0685504184459369</v>
      </c>
      <c r="DE188" s="153" t="n">
        <f aca="false">AA188</f>
        <v>0.137100836891874</v>
      </c>
      <c r="DF188" s="153" t="n">
        <f aca="false">AB188</f>
        <v>0.205651255337811</v>
      </c>
      <c r="DH188" s="152" t="n">
        <f aca="false">BH188</f>
        <v>41699</v>
      </c>
      <c r="DI188" s="99" t="n">
        <v>0.9</v>
      </c>
    </row>
    <row r="189" customFormat="false" ht="12.75" hidden="false" customHeight="false" outlineLevel="0" collapsed="false">
      <c r="A189" s="110" t="n">
        <f aca="false">EOMONTH(A188,0)+1</f>
        <v>51288</v>
      </c>
      <c r="B189" s="99" t="n">
        <f aca="false">'Gas Curves'!C193</f>
        <v>0.074188179228106</v>
      </c>
      <c r="C189" s="99"/>
      <c r="D189" s="145" t="n">
        <v>40848</v>
      </c>
      <c r="E189" s="146" t="n">
        <v>30.325</v>
      </c>
      <c r="F189" s="146" t="n">
        <v>31.875</v>
      </c>
      <c r="G189" s="146" t="n">
        <v>33.425</v>
      </c>
      <c r="H189" s="127"/>
      <c r="I189" s="146" t="n">
        <v>19.3999980926514</v>
      </c>
      <c r="J189" s="146" t="n">
        <v>20.1749980926514</v>
      </c>
      <c r="K189" s="146" t="n">
        <v>20.9499980926514</v>
      </c>
      <c r="L189" s="105"/>
      <c r="M189" s="106" t="n">
        <v>41730</v>
      </c>
      <c r="N189" s="147" t="n">
        <v>23.0425003051758</v>
      </c>
      <c r="O189" s="147" t="n">
        <v>23.7175003051758</v>
      </c>
      <c r="P189" s="147" t="n">
        <v>24.3925003051758</v>
      </c>
      <c r="Q189" s="18"/>
      <c r="R189" s="147" t="n">
        <v>18.1349990844726</v>
      </c>
      <c r="S189" s="147" t="n">
        <v>22.4349990844726</v>
      </c>
      <c r="T189" s="147" t="n">
        <v>26.7349990844726</v>
      </c>
      <c r="U189" s="18"/>
      <c r="V189" s="147" t="n">
        <v>0.3</v>
      </c>
      <c r="W189" s="147" t="n">
        <v>0.3</v>
      </c>
      <c r="X189" s="147" t="n">
        <v>0.3</v>
      </c>
      <c r="Y189" s="18"/>
      <c r="Z189" s="147" t="n">
        <v>0.0611005414623431</v>
      </c>
      <c r="AA189" s="147" t="n">
        <v>0.122201082924686</v>
      </c>
      <c r="AB189" s="147" t="n">
        <v>0.183301624387029</v>
      </c>
      <c r="AC189" s="18"/>
      <c r="AD189" s="147" t="n">
        <v>0.0226092582442471</v>
      </c>
      <c r="AE189" s="147" t="n">
        <v>0.0452185164884941</v>
      </c>
      <c r="AF189" s="147" t="n">
        <v>0.0678277747327412</v>
      </c>
      <c r="AG189" s="18"/>
      <c r="AH189" s="147" t="n">
        <v>-0.25</v>
      </c>
      <c r="AI189" s="147" t="n">
        <v>1.1</v>
      </c>
      <c r="AJ189" s="147" t="n">
        <v>0.3</v>
      </c>
      <c r="AK189" s="18"/>
      <c r="AL189" s="147" t="n">
        <v>-0.15</v>
      </c>
      <c r="AM189" s="147" t="n">
        <v>0.35</v>
      </c>
      <c r="AN189" s="147" t="n">
        <v>0.2</v>
      </c>
      <c r="AO189" s="18"/>
      <c r="AP189" s="105" t="n">
        <v>57</v>
      </c>
      <c r="AQ189" s="148" t="n">
        <v>0.4</v>
      </c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06" t="n">
        <v>41730</v>
      </c>
      <c r="BI189" s="150" t="n">
        <v>0.9</v>
      </c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0"/>
      <c r="CM189" s="175"/>
      <c r="CN189" s="175"/>
      <c r="CO189" s="151"/>
      <c r="CP189" s="0"/>
      <c r="CQ189" s="0"/>
      <c r="CR189" s="0"/>
      <c r="CS189" s="0"/>
      <c r="CT189" s="0"/>
      <c r="CY189" s="152" t="n">
        <f aca="false">M189</f>
        <v>41730</v>
      </c>
      <c r="CZ189" s="153" t="n">
        <f aca="false">AI189+AH189</f>
        <v>0.85</v>
      </c>
      <c r="DA189" s="153" t="n">
        <f aca="false">AI189</f>
        <v>1.1</v>
      </c>
      <c r="DB189" s="153" t="n">
        <f aca="false">AI189+AJ189</f>
        <v>1.4</v>
      </c>
      <c r="DD189" s="153" t="n">
        <f aca="false">Z189</f>
        <v>0.0611005414623431</v>
      </c>
      <c r="DE189" s="153" t="n">
        <f aca="false">AA189</f>
        <v>0.122201082924686</v>
      </c>
      <c r="DF189" s="153" t="n">
        <f aca="false">AB189</f>
        <v>0.183301624387029</v>
      </c>
      <c r="DH189" s="152" t="n">
        <f aca="false">BH189</f>
        <v>41730</v>
      </c>
      <c r="DI189" s="99" t="n">
        <v>0.9</v>
      </c>
    </row>
    <row r="190" customFormat="false" ht="12.75" hidden="false" customHeight="false" outlineLevel="0" collapsed="false">
      <c r="A190" s="110" t="n">
        <f aca="false">EOMONTH(A189,0)+1</f>
        <v>51318</v>
      </c>
      <c r="B190" s="99" t="n">
        <f aca="false">'Gas Curves'!C194</f>
        <v>0.074187884510225</v>
      </c>
      <c r="C190" s="99"/>
      <c r="D190" s="145" t="n">
        <v>40878</v>
      </c>
      <c r="E190" s="146" t="n">
        <v>30.2</v>
      </c>
      <c r="F190" s="146" t="n">
        <v>31.75</v>
      </c>
      <c r="G190" s="146" t="n">
        <v>33.3</v>
      </c>
      <c r="H190" s="127"/>
      <c r="I190" s="146" t="n">
        <v>20.8249992370605</v>
      </c>
      <c r="J190" s="146" t="n">
        <v>21.5999992370605</v>
      </c>
      <c r="K190" s="146" t="n">
        <v>22.3749992370605</v>
      </c>
      <c r="L190" s="105"/>
      <c r="M190" s="106" t="n">
        <v>41760</v>
      </c>
      <c r="N190" s="147" t="n">
        <v>21.9725000762939</v>
      </c>
      <c r="O190" s="147" t="n">
        <v>23.8325000762939</v>
      </c>
      <c r="P190" s="147" t="n">
        <v>25.6925000762939</v>
      </c>
      <c r="Q190" s="18"/>
      <c r="R190" s="147" t="n">
        <v>18.6649997711182</v>
      </c>
      <c r="S190" s="147" t="n">
        <v>22.9649997711182</v>
      </c>
      <c r="T190" s="147" t="n">
        <v>27.2649997711182</v>
      </c>
      <c r="U190" s="18"/>
      <c r="V190" s="147" t="n">
        <v>0.3</v>
      </c>
      <c r="W190" s="147" t="n">
        <v>0.3</v>
      </c>
      <c r="X190" s="147" t="n">
        <v>0.3</v>
      </c>
      <c r="Y190" s="18"/>
      <c r="Z190" s="147" t="n">
        <v>0.0703406989613742</v>
      </c>
      <c r="AA190" s="147" t="n">
        <v>0.140681397922748</v>
      </c>
      <c r="AB190" s="147" t="n">
        <v>0.211022096884122</v>
      </c>
      <c r="AC190" s="18"/>
      <c r="AD190" s="147" t="n">
        <v>0.0263774679516216</v>
      </c>
      <c r="AE190" s="147" t="n">
        <v>0.0527549359032431</v>
      </c>
      <c r="AF190" s="147" t="n">
        <v>0.0791324038548647</v>
      </c>
      <c r="AG190" s="18"/>
      <c r="AH190" s="147" t="n">
        <v>-0.25</v>
      </c>
      <c r="AI190" s="147" t="n">
        <v>1.1</v>
      </c>
      <c r="AJ190" s="147" t="n">
        <v>0.3</v>
      </c>
      <c r="AK190" s="18"/>
      <c r="AL190" s="147" t="n">
        <v>-0.15</v>
      </c>
      <c r="AM190" s="147" t="n">
        <v>0.5</v>
      </c>
      <c r="AN190" s="147" t="n">
        <v>0.2</v>
      </c>
      <c r="AO190" s="18"/>
      <c r="AP190" s="105" t="n">
        <v>58</v>
      </c>
      <c r="AQ190" s="148" t="n">
        <v>0.4</v>
      </c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06" t="n">
        <v>41760</v>
      </c>
      <c r="BI190" s="150" t="n">
        <v>0.9</v>
      </c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0"/>
      <c r="CM190" s="175"/>
      <c r="CN190" s="175"/>
      <c r="CO190" s="151"/>
      <c r="CP190" s="0"/>
      <c r="CQ190" s="0"/>
      <c r="CR190" s="0"/>
      <c r="CS190" s="0"/>
      <c r="CT190" s="0"/>
      <c r="CY190" s="152" t="n">
        <f aca="false">M190</f>
        <v>41760</v>
      </c>
      <c r="CZ190" s="153" t="n">
        <f aca="false">AI190+AH190</f>
        <v>0.85</v>
      </c>
      <c r="DA190" s="153" t="n">
        <f aca="false">AI190</f>
        <v>1.1</v>
      </c>
      <c r="DB190" s="153" t="n">
        <f aca="false">AI190+AJ190</f>
        <v>1.4</v>
      </c>
      <c r="DD190" s="153" t="n">
        <f aca="false">Z190</f>
        <v>0.0703406989613742</v>
      </c>
      <c r="DE190" s="153" t="n">
        <f aca="false">AA190</f>
        <v>0.140681397922748</v>
      </c>
      <c r="DF190" s="153" t="n">
        <f aca="false">AB190</f>
        <v>0.211022096884122</v>
      </c>
      <c r="DH190" s="152" t="n">
        <f aca="false">BH190</f>
        <v>41760</v>
      </c>
      <c r="DI190" s="99" t="n">
        <v>0.9</v>
      </c>
    </row>
    <row r="191" customFormat="false" ht="12.75" hidden="false" customHeight="false" outlineLevel="0" collapsed="false">
      <c r="A191" s="110" t="n">
        <f aca="false">EOMONTH(A190,0)+1</f>
        <v>51349</v>
      </c>
      <c r="B191" s="99" t="n">
        <f aca="false">'Gas Curves'!C195</f>
        <v>0.074187589792344</v>
      </c>
      <c r="C191" s="99"/>
      <c r="D191" s="145" t="n">
        <v>40909</v>
      </c>
      <c r="E191" s="146" t="n">
        <v>36.35</v>
      </c>
      <c r="F191" s="146" t="n">
        <v>38.05</v>
      </c>
      <c r="G191" s="146" t="n">
        <v>39.75</v>
      </c>
      <c r="H191" s="127"/>
      <c r="I191" s="146" t="n">
        <v>20.7400009155273</v>
      </c>
      <c r="J191" s="146" t="n">
        <v>21.5900009155273</v>
      </c>
      <c r="K191" s="146" t="n">
        <v>22.4400009155273</v>
      </c>
      <c r="L191" s="105"/>
      <c r="M191" s="106" t="n">
        <v>41791</v>
      </c>
      <c r="N191" s="147" t="n">
        <v>22.9262501525879</v>
      </c>
      <c r="O191" s="147" t="n">
        <v>28.2587501525879</v>
      </c>
      <c r="P191" s="147" t="n">
        <v>33.5912501525879</v>
      </c>
      <c r="Q191" s="18"/>
      <c r="R191" s="147" t="n">
        <v>17.4424995422363</v>
      </c>
      <c r="S191" s="147" t="n">
        <v>21.7424995422363</v>
      </c>
      <c r="T191" s="147" t="n">
        <v>26.0424995422363</v>
      </c>
      <c r="U191" s="18"/>
      <c r="V191" s="147" t="n">
        <v>0.3</v>
      </c>
      <c r="W191" s="147" t="n">
        <v>0.3</v>
      </c>
      <c r="X191" s="147" t="n">
        <v>0.3</v>
      </c>
      <c r="Y191" s="18"/>
      <c r="Z191" s="147" t="n">
        <v>0.0881857531313779</v>
      </c>
      <c r="AA191" s="147" t="n">
        <v>0.176371506262756</v>
      </c>
      <c r="AB191" s="147" t="n">
        <v>0.264557259394134</v>
      </c>
      <c r="AC191" s="18"/>
      <c r="AD191" s="147" t="n">
        <v>0.0339138873663706</v>
      </c>
      <c r="AE191" s="147" t="n">
        <v>0.0678277747327412</v>
      </c>
      <c r="AF191" s="147" t="n">
        <v>0.101741662099112</v>
      </c>
      <c r="AG191" s="18"/>
      <c r="AH191" s="147" t="n">
        <v>-0.35</v>
      </c>
      <c r="AI191" s="147" t="n">
        <v>2</v>
      </c>
      <c r="AJ191" s="147" t="n">
        <v>0.3</v>
      </c>
      <c r="AK191" s="18"/>
      <c r="AL191" s="147" t="n">
        <v>-0.15</v>
      </c>
      <c r="AM191" s="147" t="n">
        <v>0.65</v>
      </c>
      <c r="AN191" s="147" t="n">
        <v>0.2</v>
      </c>
      <c r="AO191" s="18"/>
      <c r="AP191" s="105" t="n">
        <v>58</v>
      </c>
      <c r="AQ191" s="148" t="n">
        <v>0.4</v>
      </c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06" t="n">
        <v>41791</v>
      </c>
      <c r="BI191" s="150" t="n">
        <v>0.9</v>
      </c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0"/>
      <c r="CM191" s="175"/>
      <c r="CN191" s="175"/>
      <c r="CO191" s="151"/>
      <c r="CP191" s="0"/>
      <c r="CQ191" s="0"/>
      <c r="CR191" s="0"/>
      <c r="CS191" s="0"/>
      <c r="CT191" s="0"/>
      <c r="CY191" s="152" t="n">
        <f aca="false">M191</f>
        <v>41791</v>
      </c>
      <c r="CZ191" s="153" t="n">
        <f aca="false">AI191+AH191</f>
        <v>1.65</v>
      </c>
      <c r="DA191" s="153" t="n">
        <f aca="false">AI191</f>
        <v>2</v>
      </c>
      <c r="DB191" s="153" t="n">
        <f aca="false">AI191+AJ191</f>
        <v>2.3</v>
      </c>
      <c r="DD191" s="153" t="n">
        <f aca="false">Z191</f>
        <v>0.0881857531313779</v>
      </c>
      <c r="DE191" s="153" t="n">
        <f aca="false">AA191</f>
        <v>0.176371506262756</v>
      </c>
      <c r="DF191" s="153" t="n">
        <f aca="false">AB191</f>
        <v>0.264557259394134</v>
      </c>
      <c r="DH191" s="152" t="n">
        <f aca="false">BH191</f>
        <v>41791</v>
      </c>
      <c r="DI191" s="99" t="n">
        <v>0.9</v>
      </c>
    </row>
    <row r="192" customFormat="false" ht="12.75" hidden="false" customHeight="false" outlineLevel="0" collapsed="false">
      <c r="A192" s="110" t="n">
        <f aca="false">EOMONTH(A191,0)+1</f>
        <v>51380</v>
      </c>
      <c r="B192" s="99" t="n">
        <f aca="false">'Gas Curves'!C196</f>
        <v>0.074187323595549</v>
      </c>
      <c r="C192" s="99"/>
      <c r="D192" s="145" t="n">
        <v>40940</v>
      </c>
      <c r="E192" s="146" t="n">
        <v>36.35</v>
      </c>
      <c r="F192" s="146" t="n">
        <v>38.05</v>
      </c>
      <c r="G192" s="146" t="n">
        <v>39.75</v>
      </c>
      <c r="H192" s="127"/>
      <c r="I192" s="146" t="n">
        <v>20.5499977111816</v>
      </c>
      <c r="J192" s="146" t="n">
        <v>21.3999977111816</v>
      </c>
      <c r="K192" s="146" t="n">
        <v>22.2499977111816</v>
      </c>
      <c r="L192" s="105"/>
      <c r="M192" s="106" t="n">
        <v>41821</v>
      </c>
      <c r="N192" s="147" t="n">
        <v>37.7112495422364</v>
      </c>
      <c r="O192" s="147" t="n">
        <v>41.4612495422364</v>
      </c>
      <c r="P192" s="147" t="n">
        <v>45.2112495422364</v>
      </c>
      <c r="Q192" s="18"/>
      <c r="R192" s="147" t="n">
        <v>26.6474994659424</v>
      </c>
      <c r="S192" s="147" t="n">
        <v>30.9474994659424</v>
      </c>
      <c r="T192" s="147" t="n">
        <v>35.2474994659424</v>
      </c>
      <c r="U192" s="18"/>
      <c r="V192" s="147" t="n">
        <v>0.3</v>
      </c>
      <c r="W192" s="147" t="n">
        <v>0.3</v>
      </c>
      <c r="X192" s="147" t="n">
        <v>0.3</v>
      </c>
      <c r="Y192" s="18"/>
      <c r="Z192" s="147" t="n">
        <v>0.104356028754682</v>
      </c>
      <c r="AA192" s="147" t="n">
        <v>0.208712057509365</v>
      </c>
      <c r="AB192" s="147" t="n">
        <v>0.313068086264047</v>
      </c>
      <c r="AC192" s="18"/>
      <c r="AD192" s="147" t="n">
        <v>0.0452185164884941</v>
      </c>
      <c r="AE192" s="147" t="n">
        <v>0.0904370329769882</v>
      </c>
      <c r="AF192" s="147" t="n">
        <v>0.135655549465482</v>
      </c>
      <c r="AG192" s="18"/>
      <c r="AH192" s="147" t="n">
        <v>-0.35</v>
      </c>
      <c r="AI192" s="147" t="n">
        <v>3</v>
      </c>
      <c r="AJ192" s="147" t="n">
        <v>0.5</v>
      </c>
      <c r="AK192" s="18"/>
      <c r="AL192" s="147" t="n">
        <v>-0.15</v>
      </c>
      <c r="AM192" s="147" t="n">
        <v>0.75</v>
      </c>
      <c r="AN192" s="147" t="n">
        <v>0.2</v>
      </c>
      <c r="AO192" s="18"/>
      <c r="AP192" s="105" t="n">
        <v>58</v>
      </c>
      <c r="AQ192" s="148" t="n">
        <v>0.4</v>
      </c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06" t="n">
        <v>41821</v>
      </c>
      <c r="BI192" s="150" t="n">
        <v>0.9</v>
      </c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0"/>
      <c r="CM192" s="175"/>
      <c r="CN192" s="175"/>
      <c r="CO192" s="151"/>
      <c r="CP192" s="0"/>
      <c r="CQ192" s="0"/>
      <c r="CR192" s="0"/>
      <c r="CS192" s="0"/>
      <c r="CT192" s="0"/>
      <c r="CY192" s="152" t="n">
        <f aca="false">M192</f>
        <v>41821</v>
      </c>
      <c r="CZ192" s="153" t="n">
        <f aca="false">AI192+AH192</f>
        <v>2.65</v>
      </c>
      <c r="DA192" s="153" t="n">
        <f aca="false">AI192</f>
        <v>3</v>
      </c>
      <c r="DB192" s="153" t="n">
        <f aca="false">AI192+AJ192</f>
        <v>3.5</v>
      </c>
      <c r="DD192" s="153" t="n">
        <f aca="false">Z192</f>
        <v>0.104356028754682</v>
      </c>
      <c r="DE192" s="153" t="n">
        <f aca="false">AA192</f>
        <v>0.208712057509365</v>
      </c>
      <c r="DF192" s="153" t="n">
        <f aca="false">AB192</f>
        <v>0.313068086264047</v>
      </c>
      <c r="DH192" s="152" t="n">
        <f aca="false">BH192</f>
        <v>41821</v>
      </c>
      <c r="DI192" s="99" t="n">
        <v>0.9</v>
      </c>
    </row>
    <row r="193" customFormat="false" ht="12.75" hidden="false" customHeight="false" outlineLevel="0" collapsed="false">
      <c r="A193" s="110" t="n">
        <f aca="false">EOMONTH(A192,0)+1</f>
        <v>51410</v>
      </c>
      <c r="B193" s="99" t="n">
        <f aca="false">'Gas Curves'!C197</f>
        <v>0.074187028877669</v>
      </c>
      <c r="C193" s="99"/>
      <c r="D193" s="145" t="n">
        <v>40969</v>
      </c>
      <c r="E193" s="146" t="n">
        <v>33.35</v>
      </c>
      <c r="F193" s="146" t="n">
        <v>34.3</v>
      </c>
      <c r="G193" s="146" t="n">
        <v>35.25</v>
      </c>
      <c r="H193" s="127"/>
      <c r="I193" s="146" t="n">
        <v>19.9249996185303</v>
      </c>
      <c r="J193" s="146" t="n">
        <v>20.3999996185303</v>
      </c>
      <c r="K193" s="146" t="n">
        <v>20.8749996185303</v>
      </c>
      <c r="L193" s="105"/>
      <c r="M193" s="106" t="n">
        <v>41852</v>
      </c>
      <c r="N193" s="147" t="n">
        <v>39.9724990844727</v>
      </c>
      <c r="O193" s="147" t="n">
        <v>43.7224990844727</v>
      </c>
      <c r="P193" s="147" t="n">
        <v>47.4724990844727</v>
      </c>
      <c r="Q193" s="18"/>
      <c r="R193" s="147" t="n">
        <v>28.1450008392334</v>
      </c>
      <c r="S193" s="147" t="n">
        <v>32.4450008392334</v>
      </c>
      <c r="T193" s="147" t="n">
        <v>36.7450008392334</v>
      </c>
      <c r="U193" s="18"/>
      <c r="V193" s="147" t="n">
        <v>0.3</v>
      </c>
      <c r="W193" s="147" t="n">
        <v>0.3</v>
      </c>
      <c r="X193" s="147" t="n">
        <v>0.3</v>
      </c>
      <c r="Y193" s="18"/>
      <c r="Z193" s="147" t="n">
        <v>0.102681250207983</v>
      </c>
      <c r="AA193" s="147" t="n">
        <v>0.205362500415966</v>
      </c>
      <c r="AB193" s="147" t="n">
        <v>0.308043750623949</v>
      </c>
      <c r="AC193" s="18"/>
      <c r="AD193" s="147" t="n">
        <v>0.0452185164884941</v>
      </c>
      <c r="AE193" s="147" t="n">
        <v>0.0904370329769882</v>
      </c>
      <c r="AF193" s="147" t="n">
        <v>0.135655549465482</v>
      </c>
      <c r="AG193" s="18"/>
      <c r="AH193" s="147" t="n">
        <v>-0.35</v>
      </c>
      <c r="AI193" s="147" t="n">
        <v>3</v>
      </c>
      <c r="AJ193" s="147" t="n">
        <v>0.5</v>
      </c>
      <c r="AK193" s="18"/>
      <c r="AL193" s="147" t="n">
        <v>-0.15</v>
      </c>
      <c r="AM193" s="147" t="n">
        <v>0.75</v>
      </c>
      <c r="AN193" s="147" t="n">
        <v>0.2</v>
      </c>
      <c r="AO193" s="18"/>
      <c r="AP193" s="105" t="n">
        <v>59</v>
      </c>
      <c r="AQ193" s="148" t="n">
        <v>0.4</v>
      </c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06" t="n">
        <v>41852</v>
      </c>
      <c r="BI193" s="150" t="n">
        <v>0.9</v>
      </c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0"/>
      <c r="CM193" s="175"/>
      <c r="CN193" s="175"/>
      <c r="CO193" s="151"/>
      <c r="CP193" s="0"/>
      <c r="CQ193" s="0"/>
      <c r="CR193" s="0"/>
      <c r="CS193" s="0"/>
      <c r="CT193" s="0"/>
      <c r="CY193" s="152" t="n">
        <f aca="false">M193</f>
        <v>41852</v>
      </c>
      <c r="CZ193" s="153" t="n">
        <f aca="false">AI193+AH193</f>
        <v>2.65</v>
      </c>
      <c r="DA193" s="153" t="n">
        <f aca="false">AI193</f>
        <v>3</v>
      </c>
      <c r="DB193" s="153" t="n">
        <f aca="false">AI193+AJ193</f>
        <v>3.5</v>
      </c>
      <c r="DD193" s="153" t="n">
        <f aca="false">Z193</f>
        <v>0.102681250207983</v>
      </c>
      <c r="DE193" s="153" t="n">
        <f aca="false">AA193</f>
        <v>0.205362500415966</v>
      </c>
      <c r="DF193" s="153" t="n">
        <f aca="false">AB193</f>
        <v>0.308043750623949</v>
      </c>
      <c r="DH193" s="152" t="n">
        <f aca="false">BH193</f>
        <v>41852</v>
      </c>
      <c r="DI193" s="99" t="n">
        <v>0.9</v>
      </c>
    </row>
    <row r="194" customFormat="false" ht="12.75" hidden="false" customHeight="false" outlineLevel="0" collapsed="false">
      <c r="A194" s="110" t="n">
        <f aca="false">EOMONTH(A193,0)+1</f>
        <v>51441</v>
      </c>
      <c r="B194" s="99" t="n">
        <f aca="false">'Gas Curves'!C198</f>
        <v>0.074186743666816</v>
      </c>
      <c r="C194" s="99"/>
      <c r="D194" s="145" t="n">
        <v>41000</v>
      </c>
      <c r="E194" s="146" t="n">
        <v>32.25</v>
      </c>
      <c r="F194" s="146" t="n">
        <v>33.05</v>
      </c>
      <c r="G194" s="146" t="n">
        <v>33.85</v>
      </c>
      <c r="H194" s="127"/>
      <c r="I194" s="146" t="n">
        <v>19.9999977111816</v>
      </c>
      <c r="J194" s="146" t="n">
        <v>20.3999977111816</v>
      </c>
      <c r="K194" s="146" t="n">
        <v>20.7999977111816</v>
      </c>
      <c r="L194" s="105"/>
      <c r="M194" s="106" t="n">
        <v>41883</v>
      </c>
      <c r="N194" s="147" t="n">
        <v>23.6049991607666</v>
      </c>
      <c r="O194" s="147" t="n">
        <v>25.1049991607666</v>
      </c>
      <c r="P194" s="147" t="n">
        <v>26.6049991607666</v>
      </c>
      <c r="Q194" s="18"/>
      <c r="R194" s="147" t="n">
        <v>21.3</v>
      </c>
      <c r="S194" s="147" t="n">
        <v>25.6</v>
      </c>
      <c r="T194" s="147" t="n">
        <v>29.9</v>
      </c>
      <c r="U194" s="18"/>
      <c r="V194" s="147" t="n">
        <v>0.8</v>
      </c>
      <c r="W194" s="147" t="n">
        <v>0.8</v>
      </c>
      <c r="X194" s="147" t="n">
        <v>0.8</v>
      </c>
      <c r="Y194" s="18"/>
      <c r="Z194" s="147" t="n">
        <v>0.0680306595866164</v>
      </c>
      <c r="AA194" s="147" t="n">
        <v>0.136061319173233</v>
      </c>
      <c r="AB194" s="147" t="n">
        <v>0.204091978759849</v>
      </c>
      <c r="AC194" s="18"/>
      <c r="AD194" s="147" t="n">
        <v>0.0301456776589961</v>
      </c>
      <c r="AE194" s="147" t="n">
        <v>0.0602913553179921</v>
      </c>
      <c r="AF194" s="147" t="n">
        <v>0.0904370329769882</v>
      </c>
      <c r="AG194" s="18"/>
      <c r="AH194" s="147" t="n">
        <v>-0.35</v>
      </c>
      <c r="AI194" s="147" t="n">
        <v>1.5</v>
      </c>
      <c r="AJ194" s="147" t="n">
        <v>0.3</v>
      </c>
      <c r="AK194" s="18"/>
      <c r="AL194" s="147" t="n">
        <v>-0.15</v>
      </c>
      <c r="AM194" s="147" t="n">
        <v>0.4</v>
      </c>
      <c r="AN194" s="147" t="n">
        <v>0.2</v>
      </c>
      <c r="AO194" s="18"/>
      <c r="AP194" s="105" t="n">
        <v>59</v>
      </c>
      <c r="AQ194" s="148" t="n">
        <v>0.4</v>
      </c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06" t="n">
        <v>41883</v>
      </c>
      <c r="BI194" s="150" t="n">
        <v>0.9</v>
      </c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0"/>
      <c r="CM194" s="175"/>
      <c r="CN194" s="175"/>
      <c r="CO194" s="151"/>
      <c r="CP194" s="0"/>
      <c r="CQ194" s="0"/>
      <c r="CR194" s="0"/>
      <c r="CS194" s="0"/>
      <c r="CT194" s="0"/>
      <c r="CY194" s="152" t="n">
        <f aca="false">M194</f>
        <v>41883</v>
      </c>
      <c r="CZ194" s="153" t="n">
        <f aca="false">AI194+AH194</f>
        <v>1.15</v>
      </c>
      <c r="DA194" s="153" t="n">
        <f aca="false">AI194</f>
        <v>1.5</v>
      </c>
      <c r="DB194" s="153" t="n">
        <f aca="false">AI194+AJ194</f>
        <v>1.8</v>
      </c>
      <c r="DD194" s="153" t="n">
        <f aca="false">Z194</f>
        <v>0.0680306595866164</v>
      </c>
      <c r="DE194" s="153" t="n">
        <f aca="false">AA194</f>
        <v>0.136061319173233</v>
      </c>
      <c r="DF194" s="153" t="n">
        <f aca="false">AB194</f>
        <v>0.204091978759849</v>
      </c>
      <c r="DH194" s="152" t="n">
        <f aca="false">BH194</f>
        <v>41883</v>
      </c>
      <c r="DI194" s="99" t="n">
        <v>0.9</v>
      </c>
    </row>
    <row r="195" customFormat="false" ht="12.75" hidden="false" customHeight="false" outlineLevel="0" collapsed="false">
      <c r="A195" s="110" t="n">
        <f aca="false">EOMONTH(A194,0)+1</f>
        <v>51471</v>
      </c>
      <c r="B195" s="99" t="n">
        <f aca="false">'Gas Curves'!C199</f>
        <v>0.074186448948936</v>
      </c>
      <c r="C195" s="99"/>
      <c r="D195" s="145" t="n">
        <v>41030</v>
      </c>
      <c r="E195" s="146" t="n">
        <v>33.17</v>
      </c>
      <c r="F195" s="146" t="n">
        <v>35.65</v>
      </c>
      <c r="G195" s="146" t="n">
        <v>38.13</v>
      </c>
      <c r="H195" s="127"/>
      <c r="I195" s="146" t="n">
        <v>19.1599977111816</v>
      </c>
      <c r="J195" s="146" t="n">
        <v>20.3999977111816</v>
      </c>
      <c r="K195" s="146" t="n">
        <v>21.6399977111816</v>
      </c>
      <c r="L195" s="105"/>
      <c r="M195" s="106" t="n">
        <v>41913</v>
      </c>
      <c r="N195" s="147" t="n">
        <v>23.8130001068115</v>
      </c>
      <c r="O195" s="147" t="n">
        <v>25.2005001068115</v>
      </c>
      <c r="P195" s="147" t="n">
        <v>26.5880001068115</v>
      </c>
      <c r="Q195" s="18"/>
      <c r="R195" s="147" t="n">
        <v>18.9009998321533</v>
      </c>
      <c r="S195" s="147" t="n">
        <v>23.2009998321533</v>
      </c>
      <c r="T195" s="147" t="n">
        <v>27.5009998321533</v>
      </c>
      <c r="U195" s="18"/>
      <c r="V195" s="147" t="n">
        <v>0.8</v>
      </c>
      <c r="W195" s="147" t="n">
        <v>0.8</v>
      </c>
      <c r="X195" s="147" t="n">
        <v>0.8</v>
      </c>
      <c r="Y195" s="18"/>
      <c r="Z195" s="147" t="n">
        <v>0.0621400591809841</v>
      </c>
      <c r="AA195" s="147" t="n">
        <v>0.124280118361968</v>
      </c>
      <c r="AB195" s="147" t="n">
        <v>0.186420177542952</v>
      </c>
      <c r="AC195" s="18"/>
      <c r="AD195" s="147" t="n">
        <v>0.0226092582442471</v>
      </c>
      <c r="AE195" s="147" t="n">
        <v>0.0452185164884941</v>
      </c>
      <c r="AF195" s="147" t="n">
        <v>0.0678277747327412</v>
      </c>
      <c r="AG195" s="18"/>
      <c r="AH195" s="147" t="n">
        <v>-0.25</v>
      </c>
      <c r="AI195" s="147" t="n">
        <v>1.1</v>
      </c>
      <c r="AJ195" s="147" t="n">
        <v>0.3</v>
      </c>
      <c r="AK195" s="18"/>
      <c r="AL195" s="147" t="n">
        <v>-0.15</v>
      </c>
      <c r="AM195" s="147" t="n">
        <v>0.35</v>
      </c>
      <c r="AN195" s="147" t="n">
        <v>0.2</v>
      </c>
      <c r="AO195" s="18"/>
      <c r="AP195" s="105" t="n">
        <v>59</v>
      </c>
      <c r="AQ195" s="148" t="n">
        <v>0.4</v>
      </c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06" t="n">
        <v>41913</v>
      </c>
      <c r="BI195" s="150" t="n">
        <v>0.9</v>
      </c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0"/>
      <c r="CM195" s="175"/>
      <c r="CN195" s="175"/>
      <c r="CO195" s="151"/>
      <c r="CP195" s="0"/>
      <c r="CQ195" s="0"/>
      <c r="CR195" s="0"/>
      <c r="CS195" s="0"/>
      <c r="CT195" s="0"/>
      <c r="CY195" s="152" t="n">
        <f aca="false">M195</f>
        <v>41913</v>
      </c>
      <c r="CZ195" s="153" t="n">
        <f aca="false">AI195+AH195</f>
        <v>0.85</v>
      </c>
      <c r="DA195" s="153" t="n">
        <f aca="false">AI195</f>
        <v>1.1</v>
      </c>
      <c r="DB195" s="153" t="n">
        <f aca="false">AI195+AJ195</f>
        <v>1.4</v>
      </c>
      <c r="DD195" s="153" t="n">
        <f aca="false">Z195</f>
        <v>0.0621400591809841</v>
      </c>
      <c r="DE195" s="153" t="n">
        <f aca="false">AA195</f>
        <v>0.124280118361968</v>
      </c>
      <c r="DF195" s="153" t="n">
        <f aca="false">AB195</f>
        <v>0.186420177542952</v>
      </c>
      <c r="DH195" s="152" t="n">
        <f aca="false">BH195</f>
        <v>41913</v>
      </c>
      <c r="DI195" s="99" t="n">
        <v>0.9</v>
      </c>
    </row>
    <row r="196" customFormat="false" ht="12.75" hidden="false" customHeight="false" outlineLevel="0" collapsed="false">
      <c r="A196" s="110" t="n">
        <f aca="false">EOMONTH(A195,0)+1</f>
        <v>51502</v>
      </c>
      <c r="B196" s="99" t="n">
        <f aca="false">'Gas Curves'!C200</f>
        <v>0.074186163738084</v>
      </c>
      <c r="C196" s="99"/>
      <c r="D196" s="145" t="n">
        <v>41061</v>
      </c>
      <c r="E196" s="146" t="n">
        <v>47.14</v>
      </c>
      <c r="F196" s="146" t="n">
        <v>54.25</v>
      </c>
      <c r="G196" s="146" t="n">
        <v>61.36</v>
      </c>
      <c r="H196" s="127"/>
      <c r="I196" s="146" t="n">
        <v>16.7999987792969</v>
      </c>
      <c r="J196" s="146" t="n">
        <v>20.3549987792969</v>
      </c>
      <c r="K196" s="146" t="n">
        <v>23.9099987792969</v>
      </c>
      <c r="L196" s="105"/>
      <c r="M196" s="106" t="n">
        <v>41944</v>
      </c>
      <c r="N196" s="147" t="n">
        <v>24.8172515869141</v>
      </c>
      <c r="O196" s="147" t="n">
        <v>26.2047515869141</v>
      </c>
      <c r="P196" s="147" t="n">
        <v>27.5922515869141</v>
      </c>
      <c r="Q196" s="18"/>
      <c r="R196" s="147" t="n">
        <v>19.9044998168945</v>
      </c>
      <c r="S196" s="147" t="n">
        <v>24.2044998168945</v>
      </c>
      <c r="T196" s="147" t="n">
        <v>28.5044998168945</v>
      </c>
      <c r="U196" s="18"/>
      <c r="V196" s="147" t="n">
        <v>0.8</v>
      </c>
      <c r="W196" s="147" t="n">
        <v>0.8</v>
      </c>
      <c r="X196" s="147" t="n">
        <v>0.8</v>
      </c>
      <c r="Y196" s="18"/>
      <c r="Z196" s="147" t="n">
        <v>0.0621400591809841</v>
      </c>
      <c r="AA196" s="147" t="n">
        <v>0.124280118361968</v>
      </c>
      <c r="AB196" s="147" t="n">
        <v>0.186420177542952</v>
      </c>
      <c r="AC196" s="18"/>
      <c r="AD196" s="147" t="n">
        <v>0.0226092582442471</v>
      </c>
      <c r="AE196" s="147" t="n">
        <v>0.0452185164884941</v>
      </c>
      <c r="AF196" s="147" t="n">
        <v>0.0678277747327412</v>
      </c>
      <c r="AG196" s="18"/>
      <c r="AH196" s="147" t="n">
        <v>-0.25</v>
      </c>
      <c r="AI196" s="147" t="n">
        <v>1.25</v>
      </c>
      <c r="AJ196" s="147" t="n">
        <v>0.3</v>
      </c>
      <c r="AK196" s="18"/>
      <c r="AL196" s="147" t="n">
        <v>-0.15</v>
      </c>
      <c r="AM196" s="147" t="n">
        <v>0.3</v>
      </c>
      <c r="AN196" s="147" t="n">
        <v>0.2</v>
      </c>
      <c r="AO196" s="18"/>
      <c r="AP196" s="105" t="n">
        <v>60</v>
      </c>
      <c r="AQ196" s="148" t="n">
        <v>0.4</v>
      </c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06" t="n">
        <v>41944</v>
      </c>
      <c r="BI196" s="150" t="n">
        <v>0.9</v>
      </c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0"/>
      <c r="CM196" s="175"/>
      <c r="CN196" s="175"/>
      <c r="CO196" s="151"/>
      <c r="CP196" s="0"/>
      <c r="CQ196" s="0"/>
      <c r="CR196" s="0"/>
      <c r="CS196" s="0"/>
      <c r="CT196" s="0"/>
      <c r="CY196" s="152" t="n">
        <f aca="false">M196</f>
        <v>41944</v>
      </c>
      <c r="CZ196" s="153" t="n">
        <f aca="false">AI196+AH196</f>
        <v>1</v>
      </c>
      <c r="DA196" s="153" t="n">
        <f aca="false">AI196</f>
        <v>1.25</v>
      </c>
      <c r="DB196" s="153" t="n">
        <f aca="false">AI196+AJ196</f>
        <v>1.55</v>
      </c>
      <c r="DD196" s="153" t="n">
        <f aca="false">Z196</f>
        <v>0.0621400591809841</v>
      </c>
      <c r="DE196" s="153" t="n">
        <f aca="false">AA196</f>
        <v>0.124280118361968</v>
      </c>
      <c r="DF196" s="153" t="n">
        <f aca="false">AB196</f>
        <v>0.186420177542952</v>
      </c>
      <c r="DH196" s="152" t="n">
        <f aca="false">BH196</f>
        <v>41944</v>
      </c>
      <c r="DI196" s="99" t="n">
        <v>0.9</v>
      </c>
    </row>
    <row r="197" customFormat="false" ht="12.75" hidden="false" customHeight="false" outlineLevel="0" collapsed="false">
      <c r="A197" s="110" t="n">
        <f aca="false">EOMONTH(A196,0)+1</f>
        <v>51533</v>
      </c>
      <c r="B197" s="99" t="n">
        <f aca="false">'Gas Curves'!C201</f>
        <v>0.074185869020203</v>
      </c>
      <c r="C197" s="99"/>
      <c r="D197" s="145" t="n">
        <v>41091</v>
      </c>
      <c r="E197" s="146" t="n">
        <v>75.5</v>
      </c>
      <c r="F197" s="146" t="n">
        <v>80.5</v>
      </c>
      <c r="G197" s="146" t="n">
        <v>85.5</v>
      </c>
      <c r="H197" s="127"/>
      <c r="I197" s="146" t="n">
        <v>22.3499977111816</v>
      </c>
      <c r="J197" s="146" t="n">
        <v>24.8499977111816</v>
      </c>
      <c r="K197" s="146" t="n">
        <v>27.3499977111816</v>
      </c>
      <c r="L197" s="105"/>
      <c r="M197" s="106" t="n">
        <v>41974</v>
      </c>
      <c r="N197" s="147" t="n">
        <v>26.2674983978271</v>
      </c>
      <c r="O197" s="147" t="n">
        <v>27.6549983978271</v>
      </c>
      <c r="P197" s="147" t="n">
        <v>29.0424983978271</v>
      </c>
      <c r="Q197" s="18"/>
      <c r="R197" s="147" t="n">
        <v>19.8499992370605</v>
      </c>
      <c r="S197" s="147" t="n">
        <v>24.1499992370605</v>
      </c>
      <c r="T197" s="147" t="n">
        <v>28.4499992370605</v>
      </c>
      <c r="U197" s="18"/>
      <c r="V197" s="147" t="n">
        <v>0.8</v>
      </c>
      <c r="W197" s="147" t="n">
        <v>0.8</v>
      </c>
      <c r="X197" s="147" t="n">
        <v>0.8</v>
      </c>
      <c r="Y197" s="18"/>
      <c r="Z197" s="147" t="n">
        <v>0.0643576969807515</v>
      </c>
      <c r="AA197" s="147" t="n">
        <v>0.128715393961503</v>
      </c>
      <c r="AB197" s="147" t="n">
        <v>0.193073090942255</v>
      </c>
      <c r="AC197" s="18"/>
      <c r="AD197" s="147" t="n">
        <v>0.0226092582442471</v>
      </c>
      <c r="AE197" s="147" t="n">
        <v>0.0452185164884941</v>
      </c>
      <c r="AF197" s="147" t="n">
        <v>0.0678277747327412</v>
      </c>
      <c r="AG197" s="18"/>
      <c r="AH197" s="147" t="n">
        <v>-0.25</v>
      </c>
      <c r="AI197" s="147" t="n">
        <v>1.25</v>
      </c>
      <c r="AJ197" s="147" t="n">
        <v>0.35</v>
      </c>
      <c r="AK197" s="18"/>
      <c r="AL197" s="147" t="n">
        <v>-0.15</v>
      </c>
      <c r="AM197" s="147" t="n">
        <v>0.3</v>
      </c>
      <c r="AN197" s="147" t="n">
        <v>0.2</v>
      </c>
      <c r="AO197" s="18"/>
      <c r="AP197" s="105" t="n">
        <v>60</v>
      </c>
      <c r="AQ197" s="148" t="n">
        <v>0.4</v>
      </c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06" t="n">
        <v>41974</v>
      </c>
      <c r="BI197" s="150" t="n">
        <v>0.9</v>
      </c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0"/>
      <c r="CM197" s="175"/>
      <c r="CN197" s="175"/>
      <c r="CO197" s="151"/>
      <c r="CP197" s="0"/>
      <c r="CQ197" s="0"/>
      <c r="CR197" s="0"/>
      <c r="CS197" s="0"/>
      <c r="CT197" s="0"/>
      <c r="CY197" s="152" t="n">
        <f aca="false">M197</f>
        <v>41974</v>
      </c>
      <c r="CZ197" s="153" t="n">
        <f aca="false">AI197+AH197</f>
        <v>1</v>
      </c>
      <c r="DA197" s="153" t="n">
        <f aca="false">AI197</f>
        <v>1.25</v>
      </c>
      <c r="DB197" s="153" t="n">
        <f aca="false">AI197+AJ197</f>
        <v>1.6</v>
      </c>
      <c r="DD197" s="153" t="n">
        <f aca="false">Z197</f>
        <v>0.0643576969807515</v>
      </c>
      <c r="DE197" s="153" t="n">
        <f aca="false">AA197</f>
        <v>0.128715393961503</v>
      </c>
      <c r="DF197" s="153" t="n">
        <f aca="false">AB197</f>
        <v>0.193073090942255</v>
      </c>
      <c r="DH197" s="152" t="n">
        <f aca="false">BH197</f>
        <v>41974</v>
      </c>
      <c r="DI197" s="99" t="n">
        <v>0.9</v>
      </c>
    </row>
    <row r="198" customFormat="false" ht="12.75" hidden="false" customHeight="false" outlineLevel="0" collapsed="false">
      <c r="A198" s="110" t="n">
        <f aca="false">EOMONTH(A197,0)+1</f>
        <v>51561</v>
      </c>
      <c r="B198" s="99" t="n">
        <f aca="false">'Gas Curves'!C202</f>
        <v>0.074185574302323</v>
      </c>
      <c r="C198" s="99"/>
      <c r="D198" s="145" t="n">
        <v>41122</v>
      </c>
      <c r="E198" s="146" t="n">
        <v>71</v>
      </c>
      <c r="F198" s="146" t="n">
        <v>76</v>
      </c>
      <c r="G198" s="146" t="n">
        <v>81</v>
      </c>
      <c r="H198" s="127"/>
      <c r="I198" s="146" t="n">
        <v>22.6999980926514</v>
      </c>
      <c r="J198" s="146" t="n">
        <v>25.1999980926514</v>
      </c>
      <c r="K198" s="146" t="n">
        <v>27.6999980926514</v>
      </c>
      <c r="L198" s="105"/>
      <c r="M198" s="106" t="n">
        <v>42005</v>
      </c>
      <c r="N198" s="147" t="n">
        <v>29.5487483978271</v>
      </c>
      <c r="O198" s="147" t="n">
        <v>31.0487483978271</v>
      </c>
      <c r="P198" s="147" t="n">
        <v>32.5487483978271</v>
      </c>
      <c r="Q198" s="18"/>
      <c r="R198" s="147" t="n">
        <v>25.2525001525879</v>
      </c>
      <c r="S198" s="147" t="n">
        <v>29.5525001525879</v>
      </c>
      <c r="T198" s="147" t="n">
        <v>33.8525001525879</v>
      </c>
      <c r="U198" s="18"/>
      <c r="V198" s="147" t="n">
        <v>0.8</v>
      </c>
      <c r="W198" s="147" t="n">
        <v>0.8</v>
      </c>
      <c r="X198" s="147" t="n">
        <v>0.8</v>
      </c>
      <c r="Y198" s="18"/>
      <c r="Z198" s="147" t="n">
        <v>0.0692498470344052</v>
      </c>
      <c r="AA198" s="147" t="n">
        <v>0.13849969406881</v>
      </c>
      <c r="AB198" s="147" t="n">
        <v>0.207749541103216</v>
      </c>
      <c r="AC198" s="18"/>
      <c r="AD198" s="147" t="n">
        <v>0.0258499185925891</v>
      </c>
      <c r="AE198" s="147" t="n">
        <v>0.0516998371851783</v>
      </c>
      <c r="AF198" s="147" t="n">
        <v>0.0775497557777674</v>
      </c>
      <c r="AG198" s="18"/>
      <c r="AH198" s="147" t="n">
        <v>-0.75</v>
      </c>
      <c r="AI198" s="147" t="n">
        <v>2</v>
      </c>
      <c r="AJ198" s="147" t="n">
        <v>0.75</v>
      </c>
      <c r="AK198" s="18"/>
      <c r="AL198" s="147" t="n">
        <v>-0.15</v>
      </c>
      <c r="AM198" s="147" t="n">
        <v>0.5</v>
      </c>
      <c r="AN198" s="147" t="n">
        <v>0.2</v>
      </c>
      <c r="AO198" s="18"/>
      <c r="AP198" s="105" t="n">
        <v>60</v>
      </c>
      <c r="AQ198" s="148" t="n">
        <v>0.4</v>
      </c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06" t="n">
        <v>42005</v>
      </c>
      <c r="BI198" s="150" t="n">
        <v>0.9</v>
      </c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0"/>
      <c r="CM198" s="175"/>
      <c r="CN198" s="175"/>
      <c r="CO198" s="151"/>
      <c r="CP198" s="0"/>
      <c r="CQ198" s="0"/>
      <c r="CR198" s="0"/>
      <c r="CS198" s="0"/>
      <c r="CT198" s="0"/>
      <c r="CY198" s="152" t="n">
        <f aca="false">M198</f>
        <v>42005</v>
      </c>
      <c r="CZ198" s="153" t="n">
        <f aca="false">AI198+AH198</f>
        <v>1.25</v>
      </c>
      <c r="DA198" s="153" t="n">
        <f aca="false">AI198</f>
        <v>2</v>
      </c>
      <c r="DB198" s="153" t="n">
        <f aca="false">AI198+AJ198</f>
        <v>2.75</v>
      </c>
      <c r="DD198" s="153" t="n">
        <f aca="false">Z198</f>
        <v>0.0692498470344052</v>
      </c>
      <c r="DE198" s="153" t="n">
        <f aca="false">AA198</f>
        <v>0.13849969406881</v>
      </c>
      <c r="DF198" s="153" t="n">
        <f aca="false">AB198</f>
        <v>0.207749541103216</v>
      </c>
      <c r="DH198" s="152" t="n">
        <f aca="false">BH198</f>
        <v>42005</v>
      </c>
      <c r="DI198" s="99" t="n">
        <v>0.9</v>
      </c>
    </row>
    <row r="199" customFormat="false" ht="12.75" hidden="false" customHeight="false" outlineLevel="0" collapsed="false">
      <c r="A199" s="110" t="n">
        <f aca="false">EOMONTH(A198,0)+1</f>
        <v>51592</v>
      </c>
      <c r="B199" s="99" t="n">
        <f aca="false">'Gas Curves'!C203</f>
        <v>0.074185289091471</v>
      </c>
      <c r="C199" s="99"/>
      <c r="D199" s="145" t="n">
        <v>41153</v>
      </c>
      <c r="E199" s="146" t="n">
        <v>32.25</v>
      </c>
      <c r="F199" s="146" t="n">
        <v>34.05</v>
      </c>
      <c r="G199" s="146" t="n">
        <v>35.85</v>
      </c>
      <c r="H199" s="127"/>
      <c r="I199" s="146" t="n">
        <v>19.8499980926514</v>
      </c>
      <c r="J199" s="146" t="n">
        <v>20.7499980926514</v>
      </c>
      <c r="K199" s="146" t="n">
        <v>21.6499980926514</v>
      </c>
      <c r="L199" s="105"/>
      <c r="M199" s="106" t="n">
        <v>42036</v>
      </c>
      <c r="N199" s="147" t="n">
        <v>28.5462501525879</v>
      </c>
      <c r="O199" s="147" t="n">
        <v>30.0462501525879</v>
      </c>
      <c r="P199" s="147" t="n">
        <v>31.5462501525879</v>
      </c>
      <c r="Q199" s="18"/>
      <c r="R199" s="147" t="n">
        <v>23.2474994659424</v>
      </c>
      <c r="S199" s="147" t="n">
        <v>27.5474994659424</v>
      </c>
      <c r="T199" s="147" t="n">
        <v>31.8474994659424</v>
      </c>
      <c r="U199" s="18"/>
      <c r="V199" s="147" t="n">
        <v>0.8</v>
      </c>
      <c r="W199" s="147" t="n">
        <v>0.8</v>
      </c>
      <c r="X199" s="147" t="n">
        <v>0.8</v>
      </c>
      <c r="Y199" s="18"/>
      <c r="Z199" s="147" t="n">
        <v>0.0668114721388276</v>
      </c>
      <c r="AA199" s="147" t="n">
        <v>0.133622944277655</v>
      </c>
      <c r="AB199" s="147" t="n">
        <v>0.200434416416483</v>
      </c>
      <c r="AC199" s="18"/>
      <c r="AD199" s="147" t="n">
        <v>0.0258499185925891</v>
      </c>
      <c r="AE199" s="147" t="n">
        <v>0.0516998371851783</v>
      </c>
      <c r="AF199" s="147" t="n">
        <v>0.0775497557777674</v>
      </c>
      <c r="AG199" s="18"/>
      <c r="AH199" s="147" t="n">
        <v>-0.75</v>
      </c>
      <c r="AI199" s="147" t="n">
        <v>2</v>
      </c>
      <c r="AJ199" s="147" t="n">
        <v>0.75</v>
      </c>
      <c r="AK199" s="18"/>
      <c r="AL199" s="147" t="n">
        <v>-0.15</v>
      </c>
      <c r="AM199" s="147" t="n">
        <v>0.5</v>
      </c>
      <c r="AN199" s="147" t="n">
        <v>0.2</v>
      </c>
      <c r="AO199" s="18"/>
      <c r="AP199" s="105" t="n">
        <v>61</v>
      </c>
      <c r="AQ199" s="148" t="n">
        <v>0.4</v>
      </c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06" t="n">
        <v>42036</v>
      </c>
      <c r="BI199" s="150" t="n">
        <v>0.9</v>
      </c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0"/>
      <c r="CM199" s="175"/>
      <c r="CN199" s="175"/>
      <c r="CO199" s="151"/>
      <c r="CP199" s="0"/>
      <c r="CQ199" s="0"/>
      <c r="CR199" s="0"/>
      <c r="CS199" s="0"/>
      <c r="CT199" s="0"/>
      <c r="CY199" s="152" t="n">
        <f aca="false">M199</f>
        <v>42036</v>
      </c>
      <c r="CZ199" s="153" t="n">
        <f aca="false">AI199+AH199</f>
        <v>1.25</v>
      </c>
      <c r="DA199" s="153" t="n">
        <f aca="false">AI199</f>
        <v>2</v>
      </c>
      <c r="DB199" s="153" t="n">
        <f aca="false">AI199+AJ199</f>
        <v>2.75</v>
      </c>
      <c r="DD199" s="153" t="n">
        <f aca="false">Z199</f>
        <v>0.0668114721388276</v>
      </c>
      <c r="DE199" s="153" t="n">
        <f aca="false">AA199</f>
        <v>0.133622944277655</v>
      </c>
      <c r="DF199" s="153" t="n">
        <f aca="false">AB199</f>
        <v>0.200434416416483</v>
      </c>
      <c r="DH199" s="152" t="n">
        <f aca="false">BH199</f>
        <v>42036</v>
      </c>
      <c r="DI199" s="99" t="n">
        <v>0.9</v>
      </c>
    </row>
    <row r="200" customFormat="false" ht="12.75" hidden="false" customHeight="false" outlineLevel="0" collapsed="false">
      <c r="A200" s="110" t="n">
        <f aca="false">EOMONTH(A199,0)+1</f>
        <v>51622</v>
      </c>
      <c r="B200" s="99" t="n">
        <f aca="false">'Gas Curves'!C204</f>
        <v>0.07418499437359</v>
      </c>
      <c r="C200" s="99"/>
      <c r="D200" s="145" t="n">
        <v>41183</v>
      </c>
      <c r="E200" s="146" t="n">
        <v>30.15</v>
      </c>
      <c r="F200" s="146" t="n">
        <v>31.8</v>
      </c>
      <c r="G200" s="146" t="n">
        <v>33.45</v>
      </c>
      <c r="H200" s="127"/>
      <c r="I200" s="146" t="n">
        <v>19.6249988555908</v>
      </c>
      <c r="J200" s="146" t="n">
        <v>20.4499988555908</v>
      </c>
      <c r="K200" s="146" t="n">
        <v>21.2749988555908</v>
      </c>
      <c r="L200" s="105"/>
      <c r="M200" s="106" t="n">
        <v>42064</v>
      </c>
      <c r="N200" s="147" t="n">
        <v>22.4097496032715</v>
      </c>
      <c r="O200" s="147" t="n">
        <v>23.2347496032715</v>
      </c>
      <c r="P200" s="147" t="n">
        <v>24.0597496032715</v>
      </c>
      <c r="Q200" s="18"/>
      <c r="R200" s="147" t="n">
        <v>18.5644989013672</v>
      </c>
      <c r="S200" s="147" t="n">
        <v>22.8644989013672</v>
      </c>
      <c r="T200" s="147" t="n">
        <v>27.1644989013672</v>
      </c>
      <c r="U200" s="18"/>
      <c r="V200" s="147" t="n">
        <v>0.3</v>
      </c>
      <c r="W200" s="147" t="n">
        <v>0.3</v>
      </c>
      <c r="X200" s="147" t="n">
        <v>0.3</v>
      </c>
      <c r="Y200" s="18"/>
      <c r="Z200" s="147" t="n">
        <v>0.06512289752364</v>
      </c>
      <c r="AA200" s="147" t="n">
        <v>0.13024579504728</v>
      </c>
      <c r="AB200" s="147" t="n">
        <v>0.19536869257092</v>
      </c>
      <c r="AC200" s="18"/>
      <c r="AD200" s="147" t="n">
        <v>0.0221570730793621</v>
      </c>
      <c r="AE200" s="147" t="n">
        <v>0.0443141461587242</v>
      </c>
      <c r="AF200" s="147" t="n">
        <v>0.0664712192380863</v>
      </c>
      <c r="AG200" s="18"/>
      <c r="AH200" s="147" t="n">
        <v>-0.25</v>
      </c>
      <c r="AI200" s="147" t="n">
        <v>1.3</v>
      </c>
      <c r="AJ200" s="147" t="n">
        <v>0.3</v>
      </c>
      <c r="AK200" s="18"/>
      <c r="AL200" s="147" t="n">
        <v>-0.15</v>
      </c>
      <c r="AM200" s="147" t="n">
        <v>0.35</v>
      </c>
      <c r="AN200" s="147" t="n">
        <v>0.2</v>
      </c>
      <c r="AO200" s="18"/>
      <c r="AP200" s="105" t="n">
        <v>61</v>
      </c>
      <c r="AQ200" s="148" t="n">
        <v>0.4</v>
      </c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06" t="n">
        <v>42064</v>
      </c>
      <c r="BI200" s="150" t="n">
        <v>0.9</v>
      </c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0"/>
      <c r="CM200" s="175"/>
      <c r="CN200" s="175"/>
      <c r="CO200" s="151"/>
      <c r="CP200" s="0"/>
      <c r="CQ200" s="0"/>
      <c r="CR200" s="0"/>
      <c r="CS200" s="0"/>
      <c r="CT200" s="0"/>
      <c r="CY200" s="152" t="n">
        <f aca="false">M200</f>
        <v>42064</v>
      </c>
      <c r="CZ200" s="153" t="n">
        <f aca="false">AI200+AH200</f>
        <v>1.05</v>
      </c>
      <c r="DA200" s="153" t="n">
        <f aca="false">AI200</f>
        <v>1.3</v>
      </c>
      <c r="DB200" s="153" t="n">
        <f aca="false">AI200+AJ200</f>
        <v>1.6</v>
      </c>
      <c r="DD200" s="153" t="n">
        <f aca="false">Z200</f>
        <v>0.06512289752364</v>
      </c>
      <c r="DE200" s="153" t="n">
        <f aca="false">AA200</f>
        <v>0.13024579504728</v>
      </c>
      <c r="DF200" s="153" t="n">
        <f aca="false">AB200</f>
        <v>0.19536869257092</v>
      </c>
      <c r="DH200" s="152" t="n">
        <f aca="false">BH200</f>
        <v>42064</v>
      </c>
      <c r="DI200" s="99" t="n">
        <v>0.9</v>
      </c>
    </row>
    <row r="201" customFormat="false" ht="12.75" hidden="false" customHeight="false" outlineLevel="0" collapsed="false">
      <c r="A201" s="110" t="n">
        <f aca="false">EOMONTH(A200,0)+1</f>
        <v>51653</v>
      </c>
      <c r="B201" s="99" t="n">
        <f aca="false">'Gas Curves'!C205</f>
        <v>0.074184709162739</v>
      </c>
      <c r="C201" s="99"/>
      <c r="D201" s="145" t="n">
        <v>41214</v>
      </c>
      <c r="E201" s="146" t="n">
        <v>30.525</v>
      </c>
      <c r="F201" s="146" t="n">
        <v>32.175</v>
      </c>
      <c r="G201" s="146" t="n">
        <v>33.825</v>
      </c>
      <c r="H201" s="127"/>
      <c r="I201" s="146" t="n">
        <v>19.5499980926514</v>
      </c>
      <c r="J201" s="146" t="n">
        <v>20.3749980926514</v>
      </c>
      <c r="K201" s="146" t="n">
        <v>21.1999980926514</v>
      </c>
      <c r="L201" s="105"/>
      <c r="M201" s="106" t="n">
        <v>42095</v>
      </c>
      <c r="N201" s="147" t="n">
        <v>23.2050003051758</v>
      </c>
      <c r="O201" s="147" t="n">
        <v>23.9175003051758</v>
      </c>
      <c r="P201" s="147" t="n">
        <v>24.6300003051758</v>
      </c>
      <c r="Q201" s="18"/>
      <c r="R201" s="147" t="n">
        <v>18.3349990844726</v>
      </c>
      <c r="S201" s="147" t="n">
        <v>22.6349990844726</v>
      </c>
      <c r="T201" s="147" t="n">
        <v>26.9349990844726</v>
      </c>
      <c r="U201" s="18"/>
      <c r="V201" s="147" t="n">
        <v>0.3</v>
      </c>
      <c r="W201" s="147" t="n">
        <v>0.3</v>
      </c>
      <c r="X201" s="147" t="n">
        <v>0.3</v>
      </c>
      <c r="Y201" s="18"/>
      <c r="Z201" s="147" t="n">
        <v>0.0580455143892259</v>
      </c>
      <c r="AA201" s="147" t="n">
        <v>0.116091028778452</v>
      </c>
      <c r="AB201" s="147" t="n">
        <v>0.174136543167678</v>
      </c>
      <c r="AC201" s="18"/>
      <c r="AD201" s="147" t="n">
        <v>0.0221570730793621</v>
      </c>
      <c r="AE201" s="147" t="n">
        <v>0.0443141461587242</v>
      </c>
      <c r="AF201" s="147" t="n">
        <v>0.0664712192380863</v>
      </c>
      <c r="AG201" s="18"/>
      <c r="AH201" s="147" t="n">
        <v>-0.25</v>
      </c>
      <c r="AI201" s="147" t="n">
        <v>1.1</v>
      </c>
      <c r="AJ201" s="147" t="n">
        <v>0.3</v>
      </c>
      <c r="AK201" s="18"/>
      <c r="AL201" s="147" t="n">
        <v>-0.15</v>
      </c>
      <c r="AM201" s="147" t="n">
        <v>0.35</v>
      </c>
      <c r="AN201" s="147" t="n">
        <v>0.2</v>
      </c>
      <c r="AO201" s="18"/>
      <c r="AP201" s="105" t="n">
        <v>61</v>
      </c>
      <c r="AQ201" s="148" t="n">
        <v>0.4</v>
      </c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06" t="n">
        <v>42095</v>
      </c>
      <c r="BI201" s="150" t="n">
        <v>0.9</v>
      </c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0"/>
      <c r="CP201" s="0"/>
      <c r="CQ201" s="0"/>
      <c r="CR201" s="0"/>
      <c r="CS201" s="0"/>
      <c r="CT201" s="0"/>
      <c r="CY201" s="152" t="n">
        <f aca="false">M201</f>
        <v>42095</v>
      </c>
      <c r="CZ201" s="153" t="n">
        <f aca="false">AI201+AH201</f>
        <v>0.85</v>
      </c>
      <c r="DA201" s="153" t="n">
        <f aca="false">AI201</f>
        <v>1.1</v>
      </c>
      <c r="DB201" s="153" t="n">
        <f aca="false">AI201+AJ201</f>
        <v>1.4</v>
      </c>
      <c r="DD201" s="153" t="n">
        <f aca="false">Z201</f>
        <v>0.0580455143892259</v>
      </c>
      <c r="DE201" s="153" t="n">
        <f aca="false">AA201</f>
        <v>0.116091028778452</v>
      </c>
      <c r="DF201" s="153" t="n">
        <f aca="false">AB201</f>
        <v>0.174136543167678</v>
      </c>
      <c r="DH201" s="152" t="n">
        <f aca="false">BH201</f>
        <v>42095</v>
      </c>
      <c r="DI201" s="99" t="n">
        <v>0.9</v>
      </c>
    </row>
    <row r="202" customFormat="false" ht="12.75" hidden="false" customHeight="false" outlineLevel="0" collapsed="false">
      <c r="A202" s="110" t="n">
        <f aca="false">EOMONTH(A201,0)+1</f>
        <v>51683</v>
      </c>
      <c r="B202" s="99" t="n">
        <f aca="false">'Gas Curves'!C206</f>
        <v>0.074184414444858</v>
      </c>
      <c r="C202" s="99"/>
      <c r="D202" s="145" t="n">
        <v>41244</v>
      </c>
      <c r="E202" s="146" t="n">
        <v>30.4</v>
      </c>
      <c r="F202" s="146" t="n">
        <v>32.05</v>
      </c>
      <c r="G202" s="146" t="n">
        <v>33.7</v>
      </c>
      <c r="H202" s="127"/>
      <c r="I202" s="146" t="n">
        <v>20.9749992370605</v>
      </c>
      <c r="J202" s="146" t="n">
        <v>21.7999992370605</v>
      </c>
      <c r="K202" s="146" t="n">
        <v>22.6249992370605</v>
      </c>
      <c r="L202" s="105"/>
      <c r="M202" s="106" t="n">
        <v>42125</v>
      </c>
      <c r="N202" s="147" t="n">
        <v>22.1725000762939</v>
      </c>
      <c r="O202" s="147" t="n">
        <v>24.0325000762939</v>
      </c>
      <c r="P202" s="147" t="n">
        <v>25.8925000762939</v>
      </c>
      <c r="Q202" s="18"/>
      <c r="R202" s="147" t="n">
        <v>18.8649997711182</v>
      </c>
      <c r="S202" s="147" t="n">
        <v>23.1649997711182</v>
      </c>
      <c r="T202" s="147" t="n">
        <v>27.4649997711182</v>
      </c>
      <c r="U202" s="18"/>
      <c r="V202" s="147" t="n">
        <v>0.3</v>
      </c>
      <c r="W202" s="147" t="n">
        <v>0.3</v>
      </c>
      <c r="X202" s="147" t="n">
        <v>0.3</v>
      </c>
      <c r="Y202" s="18"/>
      <c r="Z202" s="147" t="n">
        <v>0.0668236640133054</v>
      </c>
      <c r="AA202" s="147" t="n">
        <v>0.133647328026611</v>
      </c>
      <c r="AB202" s="147" t="n">
        <v>0.200470992039916</v>
      </c>
      <c r="AC202" s="18"/>
      <c r="AD202" s="147" t="n">
        <v>0.0258499185925891</v>
      </c>
      <c r="AE202" s="147" t="n">
        <v>0.0516998371851783</v>
      </c>
      <c r="AF202" s="147" t="n">
        <v>0.0775497557777674</v>
      </c>
      <c r="AG202" s="18"/>
      <c r="AH202" s="147" t="n">
        <v>-0.25</v>
      </c>
      <c r="AI202" s="147" t="n">
        <v>1.1</v>
      </c>
      <c r="AJ202" s="147" t="n">
        <v>0.3</v>
      </c>
      <c r="AK202" s="18"/>
      <c r="AL202" s="147" t="n">
        <v>-0.15</v>
      </c>
      <c r="AM202" s="147" t="n">
        <v>0.5</v>
      </c>
      <c r="AN202" s="147" t="n">
        <v>0.2</v>
      </c>
      <c r="AO202" s="18"/>
      <c r="AP202" s="105" t="n">
        <v>62</v>
      </c>
      <c r="AQ202" s="148" t="n">
        <v>0.4</v>
      </c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06" t="n">
        <v>42125</v>
      </c>
      <c r="BI202" s="150" t="n">
        <v>0.9</v>
      </c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0"/>
      <c r="CP202" s="0"/>
      <c r="CQ202" s="0"/>
      <c r="CR202" s="0"/>
      <c r="CS202" s="0"/>
      <c r="CT202" s="0"/>
      <c r="CY202" s="152" t="n">
        <f aca="false">M202</f>
        <v>42125</v>
      </c>
      <c r="CZ202" s="153" t="n">
        <f aca="false">AI202+AH202</f>
        <v>0.85</v>
      </c>
      <c r="DA202" s="153" t="n">
        <f aca="false">AI202</f>
        <v>1.1</v>
      </c>
      <c r="DB202" s="153" t="n">
        <f aca="false">AI202+AJ202</f>
        <v>1.4</v>
      </c>
      <c r="DD202" s="153" t="n">
        <f aca="false">Z202</f>
        <v>0.0668236640133054</v>
      </c>
      <c r="DE202" s="153" t="n">
        <f aca="false">AA202</f>
        <v>0.133647328026611</v>
      </c>
      <c r="DF202" s="153" t="n">
        <f aca="false">AB202</f>
        <v>0.200470992039916</v>
      </c>
      <c r="DH202" s="152" t="n">
        <f aca="false">BH202</f>
        <v>42125</v>
      </c>
      <c r="DI202" s="99" t="n">
        <v>0.9</v>
      </c>
    </row>
    <row r="203" customFormat="false" ht="12.75" hidden="false" customHeight="false" outlineLevel="0" collapsed="false">
      <c r="A203" s="110" t="n">
        <f aca="false">EOMONTH(A202,0)+1</f>
        <v>51714</v>
      </c>
      <c r="B203" s="99" t="n">
        <f aca="false">'Gas Curves'!C207</f>
        <v>0.074184119726978</v>
      </c>
      <c r="C203" s="99"/>
      <c r="D203" s="145" t="n">
        <v>41275</v>
      </c>
      <c r="E203" s="146" t="n">
        <v>36.55</v>
      </c>
      <c r="F203" s="146" t="n">
        <v>38.35</v>
      </c>
      <c r="G203" s="146" t="n">
        <v>40.15</v>
      </c>
      <c r="H203" s="127"/>
      <c r="I203" s="146" t="n">
        <v>20.8900009155273</v>
      </c>
      <c r="J203" s="146" t="n">
        <v>21.7900009155273</v>
      </c>
      <c r="K203" s="146" t="n">
        <v>22.6900009155273</v>
      </c>
      <c r="L203" s="105"/>
      <c r="M203" s="106" t="n">
        <v>42156</v>
      </c>
      <c r="N203" s="147" t="n">
        <v>23.1262501525879</v>
      </c>
      <c r="O203" s="147" t="n">
        <v>28.4587501525879</v>
      </c>
      <c r="P203" s="147" t="n">
        <v>33.7912501525879</v>
      </c>
      <c r="Q203" s="18"/>
      <c r="R203" s="147" t="n">
        <v>17.6424995422363</v>
      </c>
      <c r="S203" s="147" t="n">
        <v>21.9424995422363</v>
      </c>
      <c r="T203" s="147" t="n">
        <v>26.2424995422363</v>
      </c>
      <c r="U203" s="18"/>
      <c r="V203" s="147" t="n">
        <v>0.3</v>
      </c>
      <c r="W203" s="147" t="n">
        <v>0.3</v>
      </c>
      <c r="X203" s="147" t="n">
        <v>0.3</v>
      </c>
      <c r="Y203" s="18"/>
      <c r="Z203" s="147" t="n">
        <v>0.083776465474809</v>
      </c>
      <c r="AA203" s="147" t="n">
        <v>0.167552930949618</v>
      </c>
      <c r="AB203" s="147" t="n">
        <v>0.251329396424427</v>
      </c>
      <c r="AC203" s="18"/>
      <c r="AD203" s="147" t="n">
        <v>0.0332356096190432</v>
      </c>
      <c r="AE203" s="147" t="n">
        <v>0.0664712192380863</v>
      </c>
      <c r="AF203" s="147" t="n">
        <v>0.0997068288571295</v>
      </c>
      <c r="AG203" s="18"/>
      <c r="AH203" s="147" t="n">
        <v>-0.35</v>
      </c>
      <c r="AI203" s="147" t="n">
        <v>2</v>
      </c>
      <c r="AJ203" s="147" t="n">
        <v>0.3</v>
      </c>
      <c r="AK203" s="18"/>
      <c r="AL203" s="147" t="n">
        <v>-0.15</v>
      </c>
      <c r="AM203" s="147" t="n">
        <v>0.65</v>
      </c>
      <c r="AN203" s="147" t="n">
        <v>0.2</v>
      </c>
      <c r="AO203" s="18"/>
      <c r="AP203" s="105" t="n">
        <v>62</v>
      </c>
      <c r="AQ203" s="148" t="n">
        <v>0.4</v>
      </c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06" t="n">
        <v>42156</v>
      </c>
      <c r="BI203" s="150" t="n">
        <v>0.9</v>
      </c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0"/>
      <c r="CP203" s="0"/>
      <c r="CQ203" s="0"/>
      <c r="CR203" s="0"/>
      <c r="CS203" s="0"/>
      <c r="CT203" s="0"/>
      <c r="CY203" s="152" t="n">
        <f aca="false">M203</f>
        <v>42156</v>
      </c>
      <c r="CZ203" s="153" t="n">
        <f aca="false">AI203+AH203</f>
        <v>1.65</v>
      </c>
      <c r="DA203" s="153" t="n">
        <f aca="false">AI203</f>
        <v>2</v>
      </c>
      <c r="DB203" s="153" t="n">
        <f aca="false">AI203+AJ203</f>
        <v>2.3</v>
      </c>
      <c r="DD203" s="153" t="n">
        <f aca="false">Z203</f>
        <v>0.083776465474809</v>
      </c>
      <c r="DE203" s="153" t="n">
        <f aca="false">AA203</f>
        <v>0.167552930949618</v>
      </c>
      <c r="DF203" s="153" t="n">
        <f aca="false">AB203</f>
        <v>0.251329396424427</v>
      </c>
      <c r="DH203" s="152" t="n">
        <f aca="false">BH203</f>
        <v>42156</v>
      </c>
      <c r="DI203" s="99" t="n">
        <v>0.9</v>
      </c>
    </row>
    <row r="204" customFormat="false" ht="12.75" hidden="false" customHeight="false" outlineLevel="0" collapsed="false">
      <c r="A204" s="110" t="n">
        <f aca="false">EOMONTH(A203,0)+1</f>
        <v>51745</v>
      </c>
      <c r="B204" s="99" t="n">
        <f aca="false">'Gas Curves'!C208</f>
        <v>0.074183844023154</v>
      </c>
      <c r="C204" s="99"/>
      <c r="D204" s="145" t="n">
        <v>41306</v>
      </c>
      <c r="E204" s="146" t="n">
        <v>36.55</v>
      </c>
      <c r="F204" s="146" t="n">
        <v>38.35</v>
      </c>
      <c r="G204" s="146" t="n">
        <v>40.15</v>
      </c>
      <c r="H204" s="127"/>
      <c r="I204" s="146" t="n">
        <v>20.6999977111816</v>
      </c>
      <c r="J204" s="146" t="n">
        <v>21.5999977111816</v>
      </c>
      <c r="K204" s="146" t="n">
        <v>22.4999977111816</v>
      </c>
      <c r="L204" s="105"/>
      <c r="M204" s="106" t="n">
        <v>42186</v>
      </c>
      <c r="N204" s="147" t="n">
        <v>37.9112495422364</v>
      </c>
      <c r="O204" s="147" t="n">
        <v>41.6612495422364</v>
      </c>
      <c r="P204" s="147" t="n">
        <v>45.4112495422364</v>
      </c>
      <c r="Q204" s="18"/>
      <c r="R204" s="147" t="n">
        <v>26.8474994659424</v>
      </c>
      <c r="S204" s="147" t="n">
        <v>31.1474994659424</v>
      </c>
      <c r="T204" s="147" t="n">
        <v>35.4474994659424</v>
      </c>
      <c r="U204" s="18"/>
      <c r="V204" s="147" t="n">
        <v>0.3</v>
      </c>
      <c r="W204" s="147" t="n">
        <v>0.3</v>
      </c>
      <c r="X204" s="147" t="n">
        <v>0.3</v>
      </c>
      <c r="Y204" s="18"/>
      <c r="Z204" s="147" t="n">
        <v>0.0991382273169482</v>
      </c>
      <c r="AA204" s="147" t="n">
        <v>0.198276454633896</v>
      </c>
      <c r="AB204" s="147" t="n">
        <v>0.297414681950845</v>
      </c>
      <c r="AC204" s="18"/>
      <c r="AD204" s="147" t="n">
        <v>0.0443141461587242</v>
      </c>
      <c r="AE204" s="147" t="n">
        <v>0.0886282923174484</v>
      </c>
      <c r="AF204" s="147" t="n">
        <v>0.132942438476173</v>
      </c>
      <c r="AG204" s="18"/>
      <c r="AH204" s="147" t="n">
        <v>-0.35</v>
      </c>
      <c r="AI204" s="147" t="n">
        <v>3</v>
      </c>
      <c r="AJ204" s="147" t="n">
        <v>0.5</v>
      </c>
      <c r="AK204" s="18"/>
      <c r="AL204" s="147" t="n">
        <v>-0.15</v>
      </c>
      <c r="AM204" s="147" t="n">
        <v>0.75</v>
      </c>
      <c r="AN204" s="147" t="n">
        <v>0.2</v>
      </c>
      <c r="AO204" s="18"/>
      <c r="AP204" s="105" t="n">
        <v>62</v>
      </c>
      <c r="AQ204" s="148" t="n">
        <v>0.4</v>
      </c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06" t="n">
        <v>42186</v>
      </c>
      <c r="BI204" s="150" t="n">
        <v>0.9</v>
      </c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0"/>
      <c r="CP204" s="0"/>
      <c r="CQ204" s="0"/>
      <c r="CR204" s="0"/>
      <c r="CS204" s="0"/>
      <c r="CT204" s="0"/>
      <c r="CY204" s="152" t="n">
        <f aca="false">M204</f>
        <v>42186</v>
      </c>
      <c r="CZ204" s="153" t="n">
        <f aca="false">AI204+AH204</f>
        <v>2.65</v>
      </c>
      <c r="DA204" s="153" t="n">
        <f aca="false">AI204</f>
        <v>3</v>
      </c>
      <c r="DB204" s="153" t="n">
        <f aca="false">AI204+AJ204</f>
        <v>3.5</v>
      </c>
      <c r="DD204" s="153" t="n">
        <f aca="false">Z204</f>
        <v>0.0991382273169482</v>
      </c>
      <c r="DE204" s="153" t="n">
        <f aca="false">AA204</f>
        <v>0.198276454633896</v>
      </c>
      <c r="DF204" s="153" t="n">
        <f aca="false">AB204</f>
        <v>0.297414681950845</v>
      </c>
      <c r="DH204" s="152" t="n">
        <f aca="false">BH204</f>
        <v>42186</v>
      </c>
      <c r="DI204" s="99" t="n">
        <v>0.9</v>
      </c>
    </row>
    <row r="205" customFormat="false" ht="12.75" hidden="false" customHeight="false" outlineLevel="0" collapsed="false">
      <c r="A205" s="110" t="n">
        <f aca="false">EOMONTH(A204,0)+1</f>
        <v>51775</v>
      </c>
      <c r="B205" s="99" t="n">
        <f aca="false">'Gas Curves'!C209</f>
        <v>0.074183549305274</v>
      </c>
      <c r="C205" s="99"/>
      <c r="D205" s="145" t="n">
        <v>41334</v>
      </c>
      <c r="E205" s="146" t="n">
        <v>33.6</v>
      </c>
      <c r="F205" s="146" t="n">
        <v>34.6</v>
      </c>
      <c r="G205" s="146" t="n">
        <v>35.6</v>
      </c>
      <c r="H205" s="127"/>
      <c r="I205" s="146" t="n">
        <v>20.0999996185303</v>
      </c>
      <c r="J205" s="146" t="n">
        <v>20.5999996185303</v>
      </c>
      <c r="K205" s="146" t="n">
        <v>21.0999996185303</v>
      </c>
      <c r="L205" s="105"/>
      <c r="M205" s="106" t="n">
        <v>42217</v>
      </c>
      <c r="N205" s="147" t="n">
        <v>40.1724990844727</v>
      </c>
      <c r="O205" s="147" t="n">
        <v>43.9224990844727</v>
      </c>
      <c r="P205" s="147" t="n">
        <v>47.6724990844727</v>
      </c>
      <c r="Q205" s="18"/>
      <c r="R205" s="147" t="n">
        <v>28.3450008392334</v>
      </c>
      <c r="S205" s="147" t="n">
        <v>32.6450008392334</v>
      </c>
      <c r="T205" s="147" t="n">
        <v>36.9450008392334</v>
      </c>
      <c r="U205" s="18"/>
      <c r="V205" s="147" t="n">
        <v>0.3</v>
      </c>
      <c r="W205" s="147" t="n">
        <v>0.3</v>
      </c>
      <c r="X205" s="147" t="n">
        <v>0.3</v>
      </c>
      <c r="Y205" s="18"/>
      <c r="Z205" s="147" t="n">
        <v>0.0975471876975838</v>
      </c>
      <c r="AA205" s="147" t="n">
        <v>0.195094375395168</v>
      </c>
      <c r="AB205" s="147" t="n">
        <v>0.292641563092751</v>
      </c>
      <c r="AC205" s="18"/>
      <c r="AD205" s="147" t="n">
        <v>0.0443141461587242</v>
      </c>
      <c r="AE205" s="147" t="n">
        <v>0.0886282923174484</v>
      </c>
      <c r="AF205" s="147" t="n">
        <v>0.132942438476173</v>
      </c>
      <c r="AG205" s="18"/>
      <c r="AH205" s="147" t="n">
        <v>-0.35</v>
      </c>
      <c r="AI205" s="147" t="n">
        <v>3</v>
      </c>
      <c r="AJ205" s="147" t="n">
        <v>0.5</v>
      </c>
      <c r="AK205" s="18"/>
      <c r="AL205" s="147" t="n">
        <v>-0.15</v>
      </c>
      <c r="AM205" s="147" t="n">
        <v>0.75</v>
      </c>
      <c r="AN205" s="147" t="n">
        <v>0.2</v>
      </c>
      <c r="AO205" s="18"/>
      <c r="AP205" s="105" t="n">
        <v>63</v>
      </c>
      <c r="AQ205" s="148" t="n">
        <v>0.4</v>
      </c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06" t="n">
        <v>42217</v>
      </c>
      <c r="BI205" s="150" t="n">
        <v>0.9</v>
      </c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0"/>
      <c r="CP205" s="0"/>
      <c r="CQ205" s="0"/>
      <c r="CR205" s="0"/>
      <c r="CS205" s="0"/>
      <c r="CT205" s="0"/>
      <c r="CY205" s="152" t="n">
        <f aca="false">M205</f>
        <v>42217</v>
      </c>
      <c r="CZ205" s="153" t="n">
        <f aca="false">AI205+AH205</f>
        <v>2.65</v>
      </c>
      <c r="DA205" s="153" t="n">
        <f aca="false">AI205</f>
        <v>3</v>
      </c>
      <c r="DB205" s="153" t="n">
        <f aca="false">AI205+AJ205</f>
        <v>3.5</v>
      </c>
      <c r="DD205" s="153" t="n">
        <f aca="false">Z205</f>
        <v>0.0975471876975838</v>
      </c>
      <c r="DE205" s="153" t="n">
        <f aca="false">AA205</f>
        <v>0.195094375395168</v>
      </c>
      <c r="DF205" s="153" t="n">
        <f aca="false">AB205</f>
        <v>0.292641563092751</v>
      </c>
      <c r="DH205" s="152" t="n">
        <f aca="false">BH205</f>
        <v>42217</v>
      </c>
      <c r="DI205" s="99" t="n">
        <v>0.9</v>
      </c>
    </row>
    <row r="206" customFormat="false" ht="12.75" hidden="false" customHeight="false" outlineLevel="0" collapsed="false">
      <c r="A206" s="110" t="n">
        <f aca="false">EOMONTH(A205,0)+1</f>
        <v>51806</v>
      </c>
      <c r="B206" s="99" t="n">
        <f aca="false">'Gas Curves'!C210</f>
        <v>0.074183264094422</v>
      </c>
      <c r="C206" s="99"/>
      <c r="D206" s="145" t="n">
        <v>41365</v>
      </c>
      <c r="E206" s="146" t="n">
        <v>32.5</v>
      </c>
      <c r="F206" s="146" t="n">
        <v>33.35</v>
      </c>
      <c r="G206" s="146" t="n">
        <v>34.2</v>
      </c>
      <c r="H206" s="127"/>
      <c r="I206" s="146" t="n">
        <v>20.1749977111816</v>
      </c>
      <c r="J206" s="146" t="n">
        <v>20.5999977111816</v>
      </c>
      <c r="K206" s="146" t="n">
        <v>21.0249977111816</v>
      </c>
      <c r="L206" s="105"/>
      <c r="M206" s="106" t="n">
        <v>42248</v>
      </c>
      <c r="N206" s="147" t="n">
        <v>23.7299991607666</v>
      </c>
      <c r="O206" s="147" t="n">
        <v>25.3049991607666</v>
      </c>
      <c r="P206" s="147" t="n">
        <v>26.8799991607666</v>
      </c>
      <c r="Q206" s="18"/>
      <c r="R206" s="147" t="n">
        <v>21.5</v>
      </c>
      <c r="S206" s="147" t="n">
        <v>25.8</v>
      </c>
      <c r="T206" s="147" t="n">
        <v>30.1</v>
      </c>
      <c r="U206" s="18"/>
      <c r="V206" s="147" t="n">
        <v>0.8</v>
      </c>
      <c r="W206" s="147" t="n">
        <v>0.8</v>
      </c>
      <c r="X206" s="147" t="n">
        <v>0.8</v>
      </c>
      <c r="Y206" s="18"/>
      <c r="Z206" s="147" t="n">
        <v>0.0646291266072856</v>
      </c>
      <c r="AA206" s="147" t="n">
        <v>0.129258253214571</v>
      </c>
      <c r="AB206" s="147" t="n">
        <v>0.193887379821857</v>
      </c>
      <c r="AC206" s="18"/>
      <c r="AD206" s="147" t="n">
        <v>0.0295427641058161</v>
      </c>
      <c r="AE206" s="147" t="n">
        <v>0.0590855282116323</v>
      </c>
      <c r="AF206" s="147" t="n">
        <v>0.0886282923174484</v>
      </c>
      <c r="AG206" s="18"/>
      <c r="AH206" s="147" t="n">
        <v>-0.35</v>
      </c>
      <c r="AI206" s="147" t="n">
        <v>1.5</v>
      </c>
      <c r="AJ206" s="147" t="n">
        <v>0.3</v>
      </c>
      <c r="AK206" s="18"/>
      <c r="AL206" s="147" t="n">
        <v>-0.15</v>
      </c>
      <c r="AM206" s="147" t="n">
        <v>0.4</v>
      </c>
      <c r="AN206" s="147" t="n">
        <v>0.2</v>
      </c>
      <c r="AO206" s="18"/>
      <c r="AP206" s="105" t="n">
        <v>63</v>
      </c>
      <c r="AQ206" s="148" t="n">
        <v>0.4</v>
      </c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06" t="n">
        <v>42248</v>
      </c>
      <c r="BI206" s="150" t="n">
        <v>0.9</v>
      </c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0"/>
      <c r="CP206" s="0"/>
      <c r="CQ206" s="0"/>
      <c r="CR206" s="0"/>
      <c r="CS206" s="0"/>
      <c r="CT206" s="0"/>
      <c r="CY206" s="152" t="n">
        <f aca="false">M206</f>
        <v>42248</v>
      </c>
      <c r="CZ206" s="153" t="n">
        <f aca="false">AI206+AH206</f>
        <v>1.15</v>
      </c>
      <c r="DA206" s="153" t="n">
        <f aca="false">AI206</f>
        <v>1.5</v>
      </c>
      <c r="DB206" s="153" t="n">
        <f aca="false">AI206+AJ206</f>
        <v>1.8</v>
      </c>
      <c r="DD206" s="153" t="n">
        <f aca="false">Z206</f>
        <v>0.0646291266072856</v>
      </c>
      <c r="DE206" s="153" t="n">
        <f aca="false">AA206</f>
        <v>0.129258253214571</v>
      </c>
      <c r="DF206" s="153" t="n">
        <f aca="false">AB206</f>
        <v>0.193887379821857</v>
      </c>
      <c r="DH206" s="152" t="n">
        <f aca="false">BH206</f>
        <v>42248</v>
      </c>
      <c r="DI206" s="99" t="n">
        <v>0.9</v>
      </c>
    </row>
    <row r="207" customFormat="false" ht="12.75" hidden="false" customHeight="false" outlineLevel="0" collapsed="false">
      <c r="A207" s="110" t="n">
        <f aca="false">EOMONTH(A206,0)+1</f>
        <v>51836</v>
      </c>
      <c r="B207" s="99" t="n">
        <f aca="false">'Gas Curves'!C211</f>
        <v>0.074182969376542</v>
      </c>
      <c r="C207" s="99"/>
      <c r="D207" s="145" t="n">
        <v>41395</v>
      </c>
      <c r="E207" s="146" t="n">
        <v>33.67</v>
      </c>
      <c r="F207" s="146" t="n">
        <v>36.15</v>
      </c>
      <c r="G207" s="146" t="n">
        <v>38.63</v>
      </c>
      <c r="H207" s="127"/>
      <c r="I207" s="146" t="n">
        <v>19.3599977111816</v>
      </c>
      <c r="J207" s="146" t="n">
        <v>20.5999977111816</v>
      </c>
      <c r="K207" s="146" t="n">
        <v>21.8399977111816</v>
      </c>
      <c r="L207" s="105"/>
      <c r="M207" s="106" t="n">
        <v>42278</v>
      </c>
      <c r="N207" s="147" t="n">
        <v>23.9380001068115</v>
      </c>
      <c r="O207" s="147" t="n">
        <v>25.4005001068115</v>
      </c>
      <c r="P207" s="147" t="n">
        <v>26.8630001068115</v>
      </c>
      <c r="Q207" s="18"/>
      <c r="R207" s="147" t="n">
        <v>19.1009998321533</v>
      </c>
      <c r="S207" s="147" t="n">
        <v>23.4009998321533</v>
      </c>
      <c r="T207" s="147" t="n">
        <v>27.7009998321533</v>
      </c>
      <c r="U207" s="18"/>
      <c r="V207" s="147" t="n">
        <v>0.8</v>
      </c>
      <c r="W207" s="147" t="n">
        <v>0.8</v>
      </c>
      <c r="X207" s="147" t="n">
        <v>0.8</v>
      </c>
      <c r="Y207" s="18"/>
      <c r="Z207" s="147" t="n">
        <v>0.0590330562219349</v>
      </c>
      <c r="AA207" s="147" t="n">
        <v>0.11806611244387</v>
      </c>
      <c r="AB207" s="147" t="n">
        <v>0.177099168665805</v>
      </c>
      <c r="AC207" s="18"/>
      <c r="AD207" s="147" t="n">
        <v>0.0221570730793621</v>
      </c>
      <c r="AE207" s="147" t="n">
        <v>0.0443141461587242</v>
      </c>
      <c r="AF207" s="147" t="n">
        <v>0.0664712192380863</v>
      </c>
      <c r="AG207" s="18"/>
      <c r="AH207" s="147" t="n">
        <v>-0.25</v>
      </c>
      <c r="AI207" s="147" t="n">
        <v>1.1</v>
      </c>
      <c r="AJ207" s="147" t="n">
        <v>0.3</v>
      </c>
      <c r="AK207" s="18"/>
      <c r="AL207" s="147" t="n">
        <v>-0.15</v>
      </c>
      <c r="AM207" s="147" t="n">
        <v>0.35</v>
      </c>
      <c r="AN207" s="147" t="n">
        <v>0.2</v>
      </c>
      <c r="AO207" s="18"/>
      <c r="AP207" s="105" t="n">
        <v>63</v>
      </c>
      <c r="AQ207" s="148" t="n">
        <v>0.4</v>
      </c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06" t="n">
        <v>42278</v>
      </c>
      <c r="BI207" s="150" t="n">
        <v>0.9</v>
      </c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0"/>
      <c r="CP207" s="0"/>
      <c r="CQ207" s="0"/>
      <c r="CR207" s="0"/>
      <c r="CS207" s="0"/>
      <c r="CT207" s="0"/>
      <c r="CY207" s="152" t="n">
        <f aca="false">M207</f>
        <v>42278</v>
      </c>
      <c r="CZ207" s="153" t="n">
        <f aca="false">AI207+AH207</f>
        <v>0.85</v>
      </c>
      <c r="DA207" s="153" t="n">
        <f aca="false">AI207</f>
        <v>1.1</v>
      </c>
      <c r="DB207" s="153" t="n">
        <f aca="false">AI207+AJ207</f>
        <v>1.4</v>
      </c>
      <c r="DD207" s="153" t="n">
        <f aca="false">Z207</f>
        <v>0.0590330562219349</v>
      </c>
      <c r="DE207" s="153" t="n">
        <f aca="false">AA207</f>
        <v>0.11806611244387</v>
      </c>
      <c r="DF207" s="153" t="n">
        <f aca="false">AB207</f>
        <v>0.177099168665805</v>
      </c>
      <c r="DH207" s="152" t="n">
        <f aca="false">BH207</f>
        <v>42278</v>
      </c>
      <c r="DI207" s="99" t="n">
        <v>0.9</v>
      </c>
    </row>
    <row r="208" customFormat="false" ht="12.75" hidden="false" customHeight="false" outlineLevel="0" collapsed="false">
      <c r="A208" s="110" t="n">
        <f aca="false">EOMONTH(A207,0)+1</f>
        <v>51867</v>
      </c>
      <c r="B208" s="99" t="n">
        <f aca="false">'Gas Curves'!C212</f>
        <v>0.07418268416569</v>
      </c>
      <c r="C208" s="99"/>
      <c r="D208" s="145" t="n">
        <v>41426</v>
      </c>
      <c r="E208" s="146" t="n">
        <v>48.14</v>
      </c>
      <c r="F208" s="146" t="n">
        <v>55.25</v>
      </c>
      <c r="G208" s="146" t="n">
        <v>62.36</v>
      </c>
      <c r="H208" s="127"/>
      <c r="I208" s="146" t="n">
        <v>16.9999987792969</v>
      </c>
      <c r="J208" s="146" t="n">
        <v>20.5549987792969</v>
      </c>
      <c r="K208" s="146" t="n">
        <v>24.1099987792969</v>
      </c>
      <c r="L208" s="105"/>
      <c r="M208" s="106" t="n">
        <v>42309</v>
      </c>
      <c r="N208" s="147" t="n">
        <v>24.9422515869141</v>
      </c>
      <c r="O208" s="147" t="n">
        <v>26.4047515869141</v>
      </c>
      <c r="P208" s="147" t="n">
        <v>27.8672515869141</v>
      </c>
      <c r="Q208" s="18"/>
      <c r="R208" s="147" t="n">
        <v>20.1044998168945</v>
      </c>
      <c r="S208" s="147" t="n">
        <v>24.4044998168945</v>
      </c>
      <c r="T208" s="147" t="n">
        <v>28.7044998168945</v>
      </c>
      <c r="U208" s="18"/>
      <c r="V208" s="147" t="n">
        <v>0.8</v>
      </c>
      <c r="W208" s="147" t="n">
        <v>0.8</v>
      </c>
      <c r="X208" s="147" t="n">
        <v>0.8</v>
      </c>
      <c r="Y208" s="18"/>
      <c r="Z208" s="147" t="n">
        <v>0.0590330562219349</v>
      </c>
      <c r="AA208" s="147" t="n">
        <v>0.11806611244387</v>
      </c>
      <c r="AB208" s="147" t="n">
        <v>0.177099168665805</v>
      </c>
      <c r="AC208" s="18"/>
      <c r="AD208" s="147" t="n">
        <v>0.0221570730793621</v>
      </c>
      <c r="AE208" s="147" t="n">
        <v>0.0443141461587242</v>
      </c>
      <c r="AF208" s="147" t="n">
        <v>0.0664712192380863</v>
      </c>
      <c r="AG208" s="18"/>
      <c r="AH208" s="147" t="n">
        <v>-0.25</v>
      </c>
      <c r="AI208" s="147" t="n">
        <v>1.25</v>
      </c>
      <c r="AJ208" s="147" t="n">
        <v>0.3</v>
      </c>
      <c r="AK208" s="18"/>
      <c r="AL208" s="147" t="n">
        <v>-0.15</v>
      </c>
      <c r="AM208" s="147" t="n">
        <v>0.3</v>
      </c>
      <c r="AN208" s="147" t="n">
        <v>0.2</v>
      </c>
      <c r="AO208" s="18"/>
      <c r="AP208" s="105" t="n">
        <v>64</v>
      </c>
      <c r="AQ208" s="148" t="n">
        <v>0.4</v>
      </c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06" t="n">
        <v>42309</v>
      </c>
      <c r="BI208" s="150" t="n">
        <v>0.9</v>
      </c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0"/>
      <c r="CP208" s="0"/>
      <c r="CQ208" s="0"/>
      <c r="CR208" s="0"/>
      <c r="CS208" s="0"/>
      <c r="CT208" s="0"/>
      <c r="CY208" s="152" t="n">
        <f aca="false">M208</f>
        <v>42309</v>
      </c>
      <c r="CZ208" s="153" t="n">
        <f aca="false">AI208+AH208</f>
        <v>1</v>
      </c>
      <c r="DA208" s="153" t="n">
        <f aca="false">AI208</f>
        <v>1.25</v>
      </c>
      <c r="DB208" s="153" t="n">
        <f aca="false">AI208+AJ208</f>
        <v>1.55</v>
      </c>
      <c r="DD208" s="153" t="n">
        <f aca="false">Z208</f>
        <v>0.0590330562219349</v>
      </c>
      <c r="DE208" s="153" t="n">
        <f aca="false">AA208</f>
        <v>0.11806611244387</v>
      </c>
      <c r="DF208" s="153" t="n">
        <f aca="false">AB208</f>
        <v>0.177099168665805</v>
      </c>
      <c r="DH208" s="152" t="n">
        <f aca="false">BH208</f>
        <v>42309</v>
      </c>
      <c r="DI208" s="99" t="n">
        <v>0.9</v>
      </c>
    </row>
    <row r="209" customFormat="false" ht="12.75" hidden="false" customHeight="false" outlineLevel="0" collapsed="false">
      <c r="A209" s="110" t="n">
        <f aca="false">EOMONTH(A208,0)+1</f>
        <v>51898</v>
      </c>
      <c r="B209" s="99" t="n">
        <f aca="false">'Gas Curves'!C213</f>
        <v>0.07418238944781</v>
      </c>
      <c r="C209" s="99"/>
      <c r="D209" s="145" t="n">
        <v>41456</v>
      </c>
      <c r="E209" s="146" t="n">
        <v>77.5</v>
      </c>
      <c r="F209" s="146" t="n">
        <v>82.5</v>
      </c>
      <c r="G209" s="146" t="n">
        <v>87.5</v>
      </c>
      <c r="H209" s="127"/>
      <c r="I209" s="146" t="n">
        <v>22.5499977111816</v>
      </c>
      <c r="J209" s="146" t="n">
        <v>25.0499977111816</v>
      </c>
      <c r="K209" s="146" t="n">
        <v>27.5499977111816</v>
      </c>
      <c r="L209" s="105"/>
      <c r="M209" s="106" t="n">
        <v>42339</v>
      </c>
      <c r="N209" s="147" t="n">
        <v>26.3924983978271</v>
      </c>
      <c r="O209" s="147" t="n">
        <v>27.8549983978271</v>
      </c>
      <c r="P209" s="147" t="n">
        <v>29.3174983978271</v>
      </c>
      <c r="Q209" s="18"/>
      <c r="R209" s="147" t="n">
        <v>20.0499992370605</v>
      </c>
      <c r="S209" s="147" t="n">
        <v>24.3499992370605</v>
      </c>
      <c r="T209" s="147" t="n">
        <v>28.6499992370605</v>
      </c>
      <c r="U209" s="18"/>
      <c r="V209" s="147" t="n">
        <v>0.8</v>
      </c>
      <c r="W209" s="147" t="n">
        <v>0.8</v>
      </c>
      <c r="X209" s="147" t="n">
        <v>0.8</v>
      </c>
      <c r="Y209" s="18"/>
      <c r="Z209" s="147" t="n">
        <v>0.061139812131714</v>
      </c>
      <c r="AA209" s="147" t="n">
        <v>0.122279624263428</v>
      </c>
      <c r="AB209" s="147" t="n">
        <v>0.183419436395142</v>
      </c>
      <c r="AC209" s="18"/>
      <c r="AD209" s="147" t="n">
        <v>0.0221570730793621</v>
      </c>
      <c r="AE209" s="147" t="n">
        <v>0.0443141461587242</v>
      </c>
      <c r="AF209" s="147" t="n">
        <v>0.0664712192380863</v>
      </c>
      <c r="AG209" s="18"/>
      <c r="AH209" s="147" t="n">
        <v>-0.25</v>
      </c>
      <c r="AI209" s="147" t="n">
        <v>1.25</v>
      </c>
      <c r="AJ209" s="147" t="n">
        <v>0.35</v>
      </c>
      <c r="AK209" s="18"/>
      <c r="AL209" s="147" t="n">
        <v>-0.15</v>
      </c>
      <c r="AM209" s="147" t="n">
        <v>0.3</v>
      </c>
      <c r="AN209" s="147" t="n">
        <v>0.2</v>
      </c>
      <c r="AO209" s="18"/>
      <c r="AP209" s="105" t="n">
        <v>64</v>
      </c>
      <c r="AQ209" s="148" t="n">
        <v>0.4</v>
      </c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06" t="n">
        <v>42339</v>
      </c>
      <c r="BI209" s="150" t="n">
        <v>0.9</v>
      </c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0"/>
      <c r="CP209" s="0"/>
      <c r="CQ209" s="0"/>
      <c r="CR209" s="0"/>
      <c r="CS209" s="0"/>
      <c r="CT209" s="0"/>
      <c r="CY209" s="152" t="n">
        <f aca="false">M209</f>
        <v>42339</v>
      </c>
      <c r="CZ209" s="153" t="n">
        <f aca="false">AI209+AH209</f>
        <v>1</v>
      </c>
      <c r="DA209" s="153" t="n">
        <f aca="false">AI209</f>
        <v>1.25</v>
      </c>
      <c r="DB209" s="153" t="n">
        <f aca="false">AI209+AJ209</f>
        <v>1.6</v>
      </c>
      <c r="DD209" s="153" t="n">
        <f aca="false">Z209</f>
        <v>0.061139812131714</v>
      </c>
      <c r="DE209" s="153" t="n">
        <f aca="false">AA209</f>
        <v>0.122279624263428</v>
      </c>
      <c r="DF209" s="153" t="n">
        <f aca="false">AB209</f>
        <v>0.183419436395142</v>
      </c>
      <c r="DH209" s="152" t="n">
        <f aca="false">BH209</f>
        <v>42339</v>
      </c>
      <c r="DI209" s="99" t="n">
        <v>0.9</v>
      </c>
    </row>
    <row r="210" customFormat="false" ht="12.75" hidden="false" customHeight="false" outlineLevel="0" collapsed="false">
      <c r="A210" s="110" t="n">
        <f aca="false">EOMONTH(A209,0)+1</f>
        <v>51926</v>
      </c>
      <c r="B210" s="99" t="n">
        <f aca="false">'Gas Curves'!C214</f>
        <v>0.07418209472993</v>
      </c>
      <c r="C210" s="99"/>
      <c r="D210" s="145" t="n">
        <v>41487</v>
      </c>
      <c r="E210" s="146" t="n">
        <v>73</v>
      </c>
      <c r="F210" s="146" t="n">
        <v>78</v>
      </c>
      <c r="G210" s="146" t="n">
        <v>83</v>
      </c>
      <c r="H210" s="127"/>
      <c r="I210" s="146" t="n">
        <v>22.8999980926514</v>
      </c>
      <c r="J210" s="146" t="n">
        <v>25.3999980926514</v>
      </c>
      <c r="K210" s="146" t="n">
        <v>27.8999980926514</v>
      </c>
      <c r="L210" s="105"/>
      <c r="M210" s="106" t="n">
        <v>42370</v>
      </c>
      <c r="N210" s="147" t="n">
        <v>29.6737483978271</v>
      </c>
      <c r="O210" s="147" t="n">
        <v>31.2487483978271</v>
      </c>
      <c r="P210" s="147" t="n">
        <v>32.8237483978271</v>
      </c>
      <c r="Q210" s="18"/>
      <c r="R210" s="147" t="n">
        <v>25.4525001525879</v>
      </c>
      <c r="S210" s="147" t="n">
        <v>29.7525001525879</v>
      </c>
      <c r="T210" s="147" t="n">
        <v>34.0525001525879</v>
      </c>
      <c r="U210" s="18"/>
      <c r="V210" s="147" t="n">
        <v>0.8</v>
      </c>
      <c r="W210" s="147" t="n">
        <v>0.8</v>
      </c>
      <c r="X210" s="147" t="n">
        <v>0.8</v>
      </c>
      <c r="Y210" s="18"/>
      <c r="Z210" s="147" t="n">
        <v>0.065787354682685</v>
      </c>
      <c r="AA210" s="147" t="n">
        <v>0.13157470936537</v>
      </c>
      <c r="AB210" s="147" t="n">
        <v>0.197362064048055</v>
      </c>
      <c r="AC210" s="18"/>
      <c r="AD210" s="147" t="n">
        <v>0.0253329202207374</v>
      </c>
      <c r="AE210" s="147" t="n">
        <v>0.0506658404414747</v>
      </c>
      <c r="AF210" s="147" t="n">
        <v>0.0759987606622121</v>
      </c>
      <c r="AG210" s="18"/>
      <c r="AH210" s="147" t="n">
        <v>-0.75</v>
      </c>
      <c r="AI210" s="147" t="n">
        <v>2</v>
      </c>
      <c r="AJ210" s="147" t="n">
        <v>0.75</v>
      </c>
      <c r="AK210" s="18"/>
      <c r="AL210" s="147" t="n">
        <v>-0.15</v>
      </c>
      <c r="AM210" s="147" t="n">
        <v>0.5</v>
      </c>
      <c r="AN210" s="147" t="n">
        <v>0.2</v>
      </c>
      <c r="AO210" s="18"/>
      <c r="AP210" s="105" t="n">
        <v>64</v>
      </c>
      <c r="AQ210" s="148" t="n">
        <v>0.4</v>
      </c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06" t="n">
        <v>42370</v>
      </c>
      <c r="BI210" s="150" t="n">
        <v>0.9</v>
      </c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0"/>
      <c r="CP210" s="0"/>
      <c r="CQ210" s="0"/>
      <c r="CR210" s="0"/>
      <c r="CS210" s="0"/>
      <c r="CT210" s="0"/>
      <c r="CY210" s="152" t="n">
        <f aca="false">M210</f>
        <v>42370</v>
      </c>
      <c r="CZ210" s="153" t="n">
        <f aca="false">AI210+AH210</f>
        <v>1.25</v>
      </c>
      <c r="DA210" s="153" t="n">
        <f aca="false">AI210</f>
        <v>2</v>
      </c>
      <c r="DB210" s="153" t="n">
        <f aca="false">AI210+AJ210</f>
        <v>2.75</v>
      </c>
      <c r="DD210" s="153" t="n">
        <f aca="false">Z210</f>
        <v>0.065787354682685</v>
      </c>
      <c r="DE210" s="153" t="n">
        <f aca="false">AA210</f>
        <v>0.13157470936537</v>
      </c>
      <c r="DF210" s="153" t="n">
        <f aca="false">AB210</f>
        <v>0.197362064048055</v>
      </c>
      <c r="DH210" s="152" t="n">
        <f aca="false">BH210</f>
        <v>42370</v>
      </c>
      <c r="DI210" s="99" t="n">
        <v>0.9</v>
      </c>
    </row>
    <row r="211" customFormat="false" ht="12.75" hidden="false" customHeight="false" outlineLevel="0" collapsed="false">
      <c r="A211" s="110" t="n">
        <f aca="false">EOMONTH(A210,0)+1</f>
        <v>51957</v>
      </c>
      <c r="B211" s="99" t="n">
        <f aca="false">'Gas Curves'!C215</f>
        <v>0.074181809519078</v>
      </c>
      <c r="C211" s="99"/>
      <c r="D211" s="145" t="n">
        <v>41518</v>
      </c>
      <c r="E211" s="146" t="n">
        <v>32.45</v>
      </c>
      <c r="F211" s="146" t="n">
        <v>34.35</v>
      </c>
      <c r="G211" s="146" t="n">
        <v>36.25</v>
      </c>
      <c r="H211" s="127"/>
      <c r="I211" s="146" t="n">
        <v>19.9999980926514</v>
      </c>
      <c r="J211" s="146" t="n">
        <v>20.9499980926514</v>
      </c>
      <c r="K211" s="146" t="n">
        <v>21.8999980926514</v>
      </c>
      <c r="L211" s="105"/>
      <c r="M211" s="106" t="n">
        <v>42401</v>
      </c>
      <c r="N211" s="147" t="n">
        <v>28.6712501525879</v>
      </c>
      <c r="O211" s="147" t="n">
        <v>30.2462501525879</v>
      </c>
      <c r="P211" s="147" t="n">
        <v>31.8212501525879</v>
      </c>
      <c r="Q211" s="18"/>
      <c r="R211" s="147" t="n">
        <v>23.4474994659424</v>
      </c>
      <c r="S211" s="147" t="n">
        <v>27.7474994659424</v>
      </c>
      <c r="T211" s="147" t="n">
        <v>32.0474994659424</v>
      </c>
      <c r="U211" s="18"/>
      <c r="V211" s="147" t="n">
        <v>0.8</v>
      </c>
      <c r="W211" s="147" t="n">
        <v>0.8</v>
      </c>
      <c r="X211" s="147" t="n">
        <v>0.8</v>
      </c>
      <c r="Y211" s="18"/>
      <c r="Z211" s="147" t="n">
        <v>0.0634708985318862</v>
      </c>
      <c r="AA211" s="147" t="n">
        <v>0.126941797063772</v>
      </c>
      <c r="AB211" s="147" t="n">
        <v>0.190412695595659</v>
      </c>
      <c r="AC211" s="18"/>
      <c r="AD211" s="147" t="n">
        <v>0.0253329202207374</v>
      </c>
      <c r="AE211" s="147" t="n">
        <v>0.0506658404414747</v>
      </c>
      <c r="AF211" s="147" t="n">
        <v>0.0759987606622121</v>
      </c>
      <c r="AG211" s="18"/>
      <c r="AH211" s="147" t="n">
        <v>-0.75</v>
      </c>
      <c r="AI211" s="147" t="n">
        <v>2</v>
      </c>
      <c r="AJ211" s="147" t="n">
        <v>0.75</v>
      </c>
      <c r="AK211" s="18"/>
      <c r="AL211" s="147" t="n">
        <v>-0.15</v>
      </c>
      <c r="AM211" s="147" t="n">
        <v>0.5</v>
      </c>
      <c r="AN211" s="147" t="n">
        <v>0.2</v>
      </c>
      <c r="AO211" s="18"/>
      <c r="AP211" s="105" t="n">
        <v>65</v>
      </c>
      <c r="AQ211" s="148" t="n">
        <v>0.4</v>
      </c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06" t="n">
        <v>42401</v>
      </c>
      <c r="BI211" s="150" t="n">
        <v>0.9</v>
      </c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0"/>
      <c r="CP211" s="0"/>
      <c r="CQ211" s="0"/>
      <c r="CR211" s="0"/>
      <c r="CS211" s="0"/>
      <c r="CT211" s="0"/>
      <c r="CY211" s="152" t="n">
        <f aca="false">M211</f>
        <v>42401</v>
      </c>
      <c r="CZ211" s="153" t="n">
        <f aca="false">AI211+AH211</f>
        <v>1.25</v>
      </c>
      <c r="DA211" s="153" t="n">
        <f aca="false">AI211</f>
        <v>2</v>
      </c>
      <c r="DB211" s="153" t="n">
        <f aca="false">AI211+AJ211</f>
        <v>2.75</v>
      </c>
      <c r="DD211" s="153" t="n">
        <f aca="false">Z211</f>
        <v>0.0634708985318862</v>
      </c>
      <c r="DE211" s="153" t="n">
        <f aca="false">AA211</f>
        <v>0.126941797063772</v>
      </c>
      <c r="DF211" s="153" t="n">
        <f aca="false">AB211</f>
        <v>0.190412695595659</v>
      </c>
      <c r="DH211" s="152" t="n">
        <f aca="false">BH211</f>
        <v>42401</v>
      </c>
      <c r="DI211" s="99" t="n">
        <v>0.9</v>
      </c>
    </row>
    <row r="212" customFormat="false" ht="12.75" hidden="false" customHeight="false" outlineLevel="0" collapsed="false">
      <c r="A212" s="110" t="n">
        <f aca="false">EOMONTH(A211,0)+1</f>
        <v>51987</v>
      </c>
      <c r="B212" s="99" t="n">
        <f aca="false">'Gas Curves'!C216</f>
        <v>0.074181514801198</v>
      </c>
      <c r="C212" s="99"/>
      <c r="D212" s="145" t="n">
        <v>41548</v>
      </c>
      <c r="E212" s="146" t="n">
        <v>30.35</v>
      </c>
      <c r="F212" s="146" t="n">
        <v>32.1</v>
      </c>
      <c r="G212" s="146" t="n">
        <v>33.85</v>
      </c>
      <c r="H212" s="127"/>
      <c r="I212" s="146" t="n">
        <v>19.7749988555908</v>
      </c>
      <c r="J212" s="146" t="n">
        <v>20.6499988555908</v>
      </c>
      <c r="K212" s="146" t="n">
        <v>21.5249988555908</v>
      </c>
      <c r="L212" s="105"/>
      <c r="M212" s="106" t="n">
        <v>42430</v>
      </c>
      <c r="N212" s="147" t="n">
        <v>22.5722496032715</v>
      </c>
      <c r="O212" s="147" t="n">
        <v>23.4347496032715</v>
      </c>
      <c r="P212" s="147" t="n">
        <v>24.2972496032715</v>
      </c>
      <c r="Q212" s="18"/>
      <c r="R212" s="147" t="n">
        <v>18.7644989013672</v>
      </c>
      <c r="S212" s="147" t="n">
        <v>23.0644989013672</v>
      </c>
      <c r="T212" s="147" t="n">
        <v>27.3644989013672</v>
      </c>
      <c r="U212" s="18"/>
      <c r="V212" s="147" t="n">
        <v>0.3</v>
      </c>
      <c r="W212" s="147" t="n">
        <v>0.3</v>
      </c>
      <c r="X212" s="147" t="n">
        <v>0.3</v>
      </c>
      <c r="Y212" s="18"/>
      <c r="Z212" s="147" t="n">
        <v>0.061866752647458</v>
      </c>
      <c r="AA212" s="147" t="n">
        <v>0.123733505294916</v>
      </c>
      <c r="AB212" s="147" t="n">
        <v>0.185600257942374</v>
      </c>
      <c r="AC212" s="18"/>
      <c r="AD212" s="147" t="n">
        <v>0.0217139316177749</v>
      </c>
      <c r="AE212" s="147" t="n">
        <v>0.0434278632355497</v>
      </c>
      <c r="AF212" s="147" t="n">
        <v>0.0651417948533246</v>
      </c>
      <c r="AG212" s="18"/>
      <c r="AH212" s="147" t="n">
        <v>-0.25</v>
      </c>
      <c r="AI212" s="147" t="n">
        <v>1.3</v>
      </c>
      <c r="AJ212" s="147" t="n">
        <v>0.3</v>
      </c>
      <c r="AK212" s="18"/>
      <c r="AL212" s="147" t="n">
        <v>-0.15</v>
      </c>
      <c r="AM212" s="147" t="n">
        <v>0.35</v>
      </c>
      <c r="AN212" s="147" t="n">
        <v>0.2</v>
      </c>
      <c r="AO212" s="18"/>
      <c r="AP212" s="105" t="n">
        <v>65</v>
      </c>
      <c r="AQ212" s="148" t="n">
        <v>0.4</v>
      </c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06" t="n">
        <v>42430</v>
      </c>
      <c r="BI212" s="150" t="n">
        <v>0.9</v>
      </c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0"/>
      <c r="CP212" s="0"/>
      <c r="CQ212" s="0"/>
      <c r="CR212" s="0"/>
      <c r="CS212" s="0"/>
      <c r="CT212" s="0"/>
      <c r="CY212" s="152" t="n">
        <f aca="false">M212</f>
        <v>42430</v>
      </c>
      <c r="CZ212" s="153" t="n">
        <f aca="false">AI212+AH212</f>
        <v>1.05</v>
      </c>
      <c r="DA212" s="153" t="n">
        <f aca="false">AI212</f>
        <v>1.3</v>
      </c>
      <c r="DB212" s="153" t="n">
        <f aca="false">AI212+AJ212</f>
        <v>1.6</v>
      </c>
      <c r="DD212" s="153" t="n">
        <f aca="false">Z212</f>
        <v>0.061866752647458</v>
      </c>
      <c r="DE212" s="153" t="n">
        <f aca="false">AA212</f>
        <v>0.123733505294916</v>
      </c>
      <c r="DF212" s="153" t="n">
        <f aca="false">AB212</f>
        <v>0.185600257942374</v>
      </c>
      <c r="DH212" s="152" t="n">
        <f aca="false">BH212</f>
        <v>42430</v>
      </c>
      <c r="DI212" s="99" t="n">
        <v>0.9</v>
      </c>
    </row>
    <row r="213" customFormat="false" ht="12.75" hidden="false" customHeight="false" outlineLevel="0" collapsed="false">
      <c r="A213" s="110" t="n">
        <f aca="false">EOMONTH(A212,0)+1</f>
        <v>52018</v>
      </c>
      <c r="B213" s="99" t="n">
        <f aca="false">'Gas Curves'!C217</f>
        <v>0.074181229590346</v>
      </c>
      <c r="C213" s="99"/>
      <c r="D213" s="145" t="n">
        <v>41579</v>
      </c>
      <c r="E213" s="146" t="n">
        <v>30.725</v>
      </c>
      <c r="F213" s="146" t="n">
        <v>32.475</v>
      </c>
      <c r="G213" s="146" t="n">
        <v>34.225</v>
      </c>
      <c r="H213" s="127"/>
      <c r="I213" s="146" t="n">
        <v>19.6999980926514</v>
      </c>
      <c r="J213" s="146" t="n">
        <v>20.5749980926514</v>
      </c>
      <c r="K213" s="146" t="n">
        <v>21.4499980926514</v>
      </c>
      <c r="L213" s="105"/>
      <c r="M213" s="106" t="n">
        <v>42461</v>
      </c>
      <c r="N213" s="147" t="n">
        <v>23.3675003051758</v>
      </c>
      <c r="O213" s="147" t="n">
        <v>24.1175003051758</v>
      </c>
      <c r="P213" s="147" t="n">
        <v>24.8675003051758</v>
      </c>
      <c r="Q213" s="18"/>
      <c r="R213" s="147" t="n">
        <v>18.5349990844726</v>
      </c>
      <c r="S213" s="147" t="n">
        <v>22.8349990844726</v>
      </c>
      <c r="T213" s="147" t="n">
        <v>27.1349990844726</v>
      </c>
      <c r="U213" s="18"/>
      <c r="V213" s="147" t="n">
        <v>0.3</v>
      </c>
      <c r="W213" s="147" t="n">
        <v>0.3</v>
      </c>
      <c r="X213" s="147" t="n">
        <v>0.3</v>
      </c>
      <c r="Y213" s="18"/>
      <c r="Z213" s="147" t="n">
        <v>0.0551432386697646</v>
      </c>
      <c r="AA213" s="147" t="n">
        <v>0.110286477339529</v>
      </c>
      <c r="AB213" s="147" t="n">
        <v>0.165429716009294</v>
      </c>
      <c r="AC213" s="18"/>
      <c r="AD213" s="147" t="n">
        <v>0.0217139316177749</v>
      </c>
      <c r="AE213" s="147" t="n">
        <v>0.0434278632355497</v>
      </c>
      <c r="AF213" s="147" t="n">
        <v>0.0651417948533246</v>
      </c>
      <c r="AG213" s="18"/>
      <c r="AH213" s="147" t="n">
        <v>-0.25</v>
      </c>
      <c r="AI213" s="147" t="n">
        <v>1.1</v>
      </c>
      <c r="AJ213" s="147" t="n">
        <v>0.3</v>
      </c>
      <c r="AK213" s="18"/>
      <c r="AL213" s="147" t="n">
        <v>-0.15</v>
      </c>
      <c r="AM213" s="147" t="n">
        <v>0.35</v>
      </c>
      <c r="AN213" s="147" t="n">
        <v>0.2</v>
      </c>
      <c r="AO213" s="18"/>
      <c r="AP213" s="105" t="n">
        <v>65</v>
      </c>
      <c r="AQ213" s="148" t="n">
        <v>0.4</v>
      </c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06" t="n">
        <v>42461</v>
      </c>
      <c r="BI213" s="150" t="n">
        <v>0.9</v>
      </c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0"/>
      <c r="CP213" s="0"/>
      <c r="CQ213" s="0"/>
      <c r="CR213" s="0"/>
      <c r="CS213" s="0"/>
      <c r="CT213" s="0"/>
      <c r="CY213" s="152" t="n">
        <f aca="false">M213</f>
        <v>42461</v>
      </c>
      <c r="CZ213" s="153" t="n">
        <f aca="false">AI213+AH213</f>
        <v>0.85</v>
      </c>
      <c r="DA213" s="153" t="n">
        <f aca="false">AI213</f>
        <v>1.1</v>
      </c>
      <c r="DB213" s="153" t="n">
        <f aca="false">AI213+AJ213</f>
        <v>1.4</v>
      </c>
      <c r="DD213" s="153" t="n">
        <f aca="false">Z213</f>
        <v>0.0551432386697646</v>
      </c>
      <c r="DE213" s="153" t="n">
        <f aca="false">AA213</f>
        <v>0.110286477339529</v>
      </c>
      <c r="DF213" s="153" t="n">
        <f aca="false">AB213</f>
        <v>0.165429716009294</v>
      </c>
      <c r="DH213" s="152" t="n">
        <f aca="false">BH213</f>
        <v>42461</v>
      </c>
      <c r="DI213" s="99" t="n">
        <v>0.9</v>
      </c>
    </row>
    <row r="214" customFormat="false" ht="12.75" hidden="false" customHeight="false" outlineLevel="0" collapsed="false">
      <c r="A214" s="110" t="n">
        <f aca="false">EOMONTH(A213,0)+1</f>
        <v>52048</v>
      </c>
      <c r="B214" s="99" t="n">
        <f aca="false">'Gas Curves'!C218</f>
        <v>0.074180934872467</v>
      </c>
      <c r="C214" s="99"/>
      <c r="D214" s="145" t="n">
        <v>41609</v>
      </c>
      <c r="E214" s="146" t="n">
        <v>30.6</v>
      </c>
      <c r="F214" s="146" t="n">
        <v>32.35</v>
      </c>
      <c r="G214" s="146" t="n">
        <v>34.1</v>
      </c>
      <c r="H214" s="127"/>
      <c r="I214" s="146" t="n">
        <v>21.1249992370605</v>
      </c>
      <c r="J214" s="146" t="n">
        <v>21.9999992370605</v>
      </c>
      <c r="K214" s="146" t="n">
        <v>22.8749992370605</v>
      </c>
      <c r="L214" s="105"/>
      <c r="M214" s="106" t="n">
        <v>42491</v>
      </c>
      <c r="N214" s="147" t="n">
        <v>22.3725000762939</v>
      </c>
      <c r="O214" s="147" t="n">
        <v>24.2325000762939</v>
      </c>
      <c r="P214" s="147" t="n">
        <v>26.0925000762939</v>
      </c>
      <c r="Q214" s="18"/>
      <c r="R214" s="147" t="n">
        <v>19.0649997711182</v>
      </c>
      <c r="S214" s="147" t="n">
        <v>23.3649997711182</v>
      </c>
      <c r="T214" s="147" t="n">
        <v>27.6649997711182</v>
      </c>
      <c r="U214" s="18"/>
      <c r="V214" s="147" t="n">
        <v>0.3</v>
      </c>
      <c r="W214" s="147" t="n">
        <v>0.3</v>
      </c>
      <c r="X214" s="147" t="n">
        <v>0.3</v>
      </c>
      <c r="Y214" s="18"/>
      <c r="Z214" s="147" t="n">
        <v>0.0634824808126402</v>
      </c>
      <c r="AA214" s="147" t="n">
        <v>0.12696496162528</v>
      </c>
      <c r="AB214" s="147" t="n">
        <v>0.190447442437921</v>
      </c>
      <c r="AC214" s="18"/>
      <c r="AD214" s="147" t="n">
        <v>0.0253329202207374</v>
      </c>
      <c r="AE214" s="147" t="n">
        <v>0.0506658404414747</v>
      </c>
      <c r="AF214" s="147" t="n">
        <v>0.0759987606622121</v>
      </c>
      <c r="AG214" s="18"/>
      <c r="AH214" s="147" t="n">
        <v>-0.25</v>
      </c>
      <c r="AI214" s="147" t="n">
        <v>1.1</v>
      </c>
      <c r="AJ214" s="147" t="n">
        <v>0.3</v>
      </c>
      <c r="AK214" s="18"/>
      <c r="AL214" s="147" t="n">
        <v>-0.15</v>
      </c>
      <c r="AM214" s="147" t="n">
        <v>0.5</v>
      </c>
      <c r="AN214" s="147" t="n">
        <v>0.2</v>
      </c>
      <c r="AO214" s="18"/>
      <c r="AP214" s="105" t="n">
        <v>66</v>
      </c>
      <c r="AQ214" s="148" t="n">
        <v>0.4</v>
      </c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06" t="n">
        <v>42491</v>
      </c>
      <c r="BI214" s="150" t="n">
        <v>0.9</v>
      </c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0"/>
      <c r="CP214" s="0"/>
      <c r="CQ214" s="0"/>
      <c r="CR214" s="0"/>
      <c r="CS214" s="0"/>
      <c r="CT214" s="0"/>
      <c r="CY214" s="152" t="n">
        <f aca="false">M214</f>
        <v>42491</v>
      </c>
      <c r="CZ214" s="153" t="n">
        <f aca="false">AI214+AH214</f>
        <v>0.85</v>
      </c>
      <c r="DA214" s="153" t="n">
        <f aca="false">AI214</f>
        <v>1.1</v>
      </c>
      <c r="DB214" s="153" t="n">
        <f aca="false">AI214+AJ214</f>
        <v>1.4</v>
      </c>
      <c r="DD214" s="153" t="n">
        <f aca="false">Z214</f>
        <v>0.0634824808126402</v>
      </c>
      <c r="DE214" s="153" t="n">
        <f aca="false">AA214</f>
        <v>0.12696496162528</v>
      </c>
      <c r="DF214" s="153" t="n">
        <f aca="false">AB214</f>
        <v>0.190447442437921</v>
      </c>
      <c r="DH214" s="152" t="n">
        <f aca="false">BH214</f>
        <v>42491</v>
      </c>
      <c r="DI214" s="99" t="n">
        <v>0.9</v>
      </c>
    </row>
    <row r="215" customFormat="false" ht="12.75" hidden="false" customHeight="false" outlineLevel="0" collapsed="false">
      <c r="A215" s="110" t="n">
        <f aca="false">EOMONTH(A214,0)+1</f>
        <v>52079</v>
      </c>
      <c r="B215" s="99" t="n">
        <f aca="false">'Gas Curves'!C219</f>
        <v>0.074180640154587</v>
      </c>
      <c r="C215" s="99"/>
      <c r="D215" s="145" t="n">
        <v>41640</v>
      </c>
      <c r="E215" s="146" t="n">
        <v>36.75</v>
      </c>
      <c r="F215" s="146" t="n">
        <v>38.65</v>
      </c>
      <c r="G215" s="146" t="n">
        <v>40.55</v>
      </c>
      <c r="H215" s="127"/>
      <c r="I215" s="146" t="n">
        <v>21.0400009155273</v>
      </c>
      <c r="J215" s="146" t="n">
        <v>21.9900009155273</v>
      </c>
      <c r="K215" s="146" t="n">
        <v>22.9400009155273</v>
      </c>
      <c r="L215" s="105"/>
      <c r="M215" s="106" t="n">
        <v>42522</v>
      </c>
      <c r="N215" s="147" t="n">
        <v>23.3262501525879</v>
      </c>
      <c r="O215" s="147" t="n">
        <v>28.6587501525879</v>
      </c>
      <c r="P215" s="147" t="n">
        <v>33.9912501525879</v>
      </c>
      <c r="Q215" s="18"/>
      <c r="R215" s="147" t="n">
        <v>17.8424995422363</v>
      </c>
      <c r="S215" s="147" t="n">
        <v>22.1424995422363</v>
      </c>
      <c r="T215" s="147" t="n">
        <v>26.4424995422363</v>
      </c>
      <c r="U215" s="18"/>
      <c r="V215" s="147" t="n">
        <v>0.3</v>
      </c>
      <c r="W215" s="147" t="n">
        <v>0.3</v>
      </c>
      <c r="X215" s="147" t="n">
        <v>0.3</v>
      </c>
      <c r="Y215" s="18"/>
      <c r="Z215" s="147" t="n">
        <v>0.0795876422010686</v>
      </c>
      <c r="AA215" s="147" t="n">
        <v>0.159175284402137</v>
      </c>
      <c r="AB215" s="147" t="n">
        <v>0.238762926603206</v>
      </c>
      <c r="AC215" s="18"/>
      <c r="AD215" s="147" t="n">
        <v>0.0325708974266623</v>
      </c>
      <c r="AE215" s="147" t="n">
        <v>0.0651417948533246</v>
      </c>
      <c r="AF215" s="147" t="n">
        <v>0.0977126922799869</v>
      </c>
      <c r="AG215" s="18"/>
      <c r="AH215" s="147" t="n">
        <v>-0.35</v>
      </c>
      <c r="AI215" s="147" t="n">
        <v>2</v>
      </c>
      <c r="AJ215" s="147" t="n">
        <v>0.3</v>
      </c>
      <c r="AK215" s="18"/>
      <c r="AL215" s="147" t="n">
        <v>-0.15</v>
      </c>
      <c r="AM215" s="147" t="n">
        <v>0.65</v>
      </c>
      <c r="AN215" s="147" t="n">
        <v>0.2</v>
      </c>
      <c r="AO215" s="18"/>
      <c r="AP215" s="105" t="n">
        <v>66</v>
      </c>
      <c r="AQ215" s="148" t="n">
        <v>0.4</v>
      </c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06" t="n">
        <v>42522</v>
      </c>
      <c r="BI215" s="150" t="n">
        <v>0.9</v>
      </c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0"/>
      <c r="CP215" s="0"/>
      <c r="CQ215" s="0"/>
      <c r="CR215" s="0"/>
      <c r="CS215" s="0"/>
      <c r="CT215" s="0"/>
      <c r="CY215" s="152" t="n">
        <f aca="false">M215</f>
        <v>42522</v>
      </c>
      <c r="CZ215" s="153" t="n">
        <f aca="false">AI215+AH215</f>
        <v>1.65</v>
      </c>
      <c r="DA215" s="153" t="n">
        <f aca="false">AI215</f>
        <v>2</v>
      </c>
      <c r="DB215" s="153" t="n">
        <f aca="false">AI215+AJ215</f>
        <v>2.3</v>
      </c>
      <c r="DD215" s="153" t="n">
        <f aca="false">Z215</f>
        <v>0.0795876422010686</v>
      </c>
      <c r="DE215" s="153" t="n">
        <f aca="false">AA215</f>
        <v>0.159175284402137</v>
      </c>
      <c r="DF215" s="153" t="n">
        <f aca="false">AB215</f>
        <v>0.238762926603206</v>
      </c>
      <c r="DH215" s="152" t="n">
        <f aca="false">BH215</f>
        <v>42522</v>
      </c>
      <c r="DI215" s="99" t="n">
        <v>0.9</v>
      </c>
    </row>
    <row r="216" customFormat="false" ht="12.75" hidden="false" customHeight="false" outlineLevel="0" collapsed="false">
      <c r="A216" s="110" t="n">
        <f aca="false">EOMONTH(A215,0)+1</f>
        <v>52110</v>
      </c>
      <c r="B216" s="99" t="n">
        <f aca="false">'Gas Curves'!C220</f>
        <v>0.074180373957792</v>
      </c>
      <c r="C216" s="99"/>
      <c r="D216" s="145" t="n">
        <v>41671</v>
      </c>
      <c r="E216" s="146" t="n">
        <v>36.75</v>
      </c>
      <c r="F216" s="146" t="n">
        <v>38.65</v>
      </c>
      <c r="G216" s="146" t="n">
        <v>40.55</v>
      </c>
      <c r="H216" s="127"/>
      <c r="I216" s="146" t="n">
        <v>20.8499977111816</v>
      </c>
      <c r="J216" s="146" t="n">
        <v>21.7999977111816</v>
      </c>
      <c r="K216" s="146" t="n">
        <v>22.7499977111816</v>
      </c>
      <c r="L216" s="105"/>
      <c r="M216" s="106" t="n">
        <v>42552</v>
      </c>
      <c r="N216" s="147" t="n">
        <v>38.1112495422364</v>
      </c>
      <c r="O216" s="147" t="n">
        <v>41.8612495422364</v>
      </c>
      <c r="P216" s="147" t="n">
        <v>45.6112495422364</v>
      </c>
      <c r="Q216" s="18"/>
      <c r="R216" s="147" t="n">
        <v>27.0474994659424</v>
      </c>
      <c r="S216" s="147" t="n">
        <v>31.3474994659424</v>
      </c>
      <c r="T216" s="147" t="n">
        <v>35.6474994659424</v>
      </c>
      <c r="U216" s="18"/>
      <c r="V216" s="147" t="n">
        <v>0.3</v>
      </c>
      <c r="W216" s="147" t="n">
        <v>0.3</v>
      </c>
      <c r="X216" s="147" t="n">
        <v>0.3</v>
      </c>
      <c r="Y216" s="18"/>
      <c r="Z216" s="147" t="n">
        <v>0.0941813159511008</v>
      </c>
      <c r="AA216" s="147" t="n">
        <v>0.188362631902202</v>
      </c>
      <c r="AB216" s="147" t="n">
        <v>0.282543947853302</v>
      </c>
      <c r="AC216" s="18"/>
      <c r="AD216" s="147" t="n">
        <v>0.0434278632355497</v>
      </c>
      <c r="AE216" s="147" t="n">
        <v>0.0868557264710995</v>
      </c>
      <c r="AF216" s="147" t="n">
        <v>0.130283589706649</v>
      </c>
      <c r="AG216" s="18"/>
      <c r="AH216" s="147" t="n">
        <v>-0.35</v>
      </c>
      <c r="AI216" s="147" t="n">
        <v>3</v>
      </c>
      <c r="AJ216" s="147" t="n">
        <v>0.5</v>
      </c>
      <c r="AK216" s="18"/>
      <c r="AL216" s="147" t="n">
        <v>-0.15</v>
      </c>
      <c r="AM216" s="147" t="n">
        <v>0.75</v>
      </c>
      <c r="AN216" s="147" t="n">
        <v>0.2</v>
      </c>
      <c r="AO216" s="18"/>
      <c r="AP216" s="105" t="n">
        <v>66</v>
      </c>
      <c r="AQ216" s="148" t="n">
        <v>0.4</v>
      </c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06" t="n">
        <v>42552</v>
      </c>
      <c r="BI216" s="150" t="n">
        <v>0.9</v>
      </c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0"/>
      <c r="CP216" s="0"/>
      <c r="CQ216" s="0"/>
      <c r="CR216" s="0"/>
      <c r="CS216" s="0"/>
      <c r="CT216" s="0"/>
      <c r="CY216" s="152" t="n">
        <f aca="false">M216</f>
        <v>42552</v>
      </c>
      <c r="CZ216" s="153" t="n">
        <f aca="false">AI216+AH216</f>
        <v>2.65</v>
      </c>
      <c r="DA216" s="153" t="n">
        <f aca="false">AI216</f>
        <v>3</v>
      </c>
      <c r="DB216" s="153" t="n">
        <f aca="false">AI216+AJ216</f>
        <v>3.5</v>
      </c>
      <c r="DD216" s="153" t="n">
        <f aca="false">Z216</f>
        <v>0.0941813159511008</v>
      </c>
      <c r="DE216" s="153" t="n">
        <f aca="false">AA216</f>
        <v>0.188362631902202</v>
      </c>
      <c r="DF216" s="153" t="n">
        <f aca="false">AB216</f>
        <v>0.282543947853302</v>
      </c>
      <c r="DH216" s="152" t="n">
        <f aca="false">BH216</f>
        <v>42552</v>
      </c>
      <c r="DI216" s="99" t="n">
        <v>0.9</v>
      </c>
    </row>
    <row r="217" customFormat="false" ht="12.75" hidden="false" customHeight="false" outlineLevel="0" collapsed="false">
      <c r="A217" s="110" t="n">
        <f aca="false">EOMONTH(A216,0)+1</f>
        <v>52140</v>
      </c>
      <c r="B217" s="99" t="n">
        <f aca="false">'Gas Curves'!C221</f>
        <v>0.074180079239912</v>
      </c>
      <c r="C217" s="99"/>
      <c r="D217" s="145" t="n">
        <v>41699</v>
      </c>
      <c r="E217" s="146" t="n">
        <v>33.85</v>
      </c>
      <c r="F217" s="146" t="n">
        <v>34.9</v>
      </c>
      <c r="G217" s="146" t="n">
        <v>35.95</v>
      </c>
      <c r="H217" s="127"/>
      <c r="I217" s="146" t="n">
        <v>20.2749996185303</v>
      </c>
      <c r="J217" s="146" t="n">
        <v>20.7999996185303</v>
      </c>
      <c r="K217" s="146" t="n">
        <v>21.3249996185303</v>
      </c>
      <c r="L217" s="105"/>
      <c r="M217" s="106" t="n">
        <v>42583</v>
      </c>
      <c r="N217" s="147" t="n">
        <v>40.3724990844727</v>
      </c>
      <c r="O217" s="147" t="n">
        <v>44.1224990844727</v>
      </c>
      <c r="P217" s="147" t="n">
        <v>47.8724990844727</v>
      </c>
      <c r="Q217" s="18"/>
      <c r="R217" s="147" t="n">
        <v>28.5450008392334</v>
      </c>
      <c r="S217" s="147" t="n">
        <v>32.8450008392334</v>
      </c>
      <c r="T217" s="147" t="n">
        <v>37.1450008392334</v>
      </c>
      <c r="U217" s="18"/>
      <c r="V217" s="147" t="n">
        <v>0.3</v>
      </c>
      <c r="W217" s="147" t="n">
        <v>0.3</v>
      </c>
      <c r="X217" s="147" t="n">
        <v>0.3</v>
      </c>
      <c r="Y217" s="18"/>
      <c r="Z217" s="147" t="n">
        <v>0.0926698283127046</v>
      </c>
      <c r="AA217" s="147" t="n">
        <v>0.185339656625409</v>
      </c>
      <c r="AB217" s="147" t="n">
        <v>0.278009484938114</v>
      </c>
      <c r="AC217" s="18"/>
      <c r="AD217" s="147" t="n">
        <v>0.0434278632355497</v>
      </c>
      <c r="AE217" s="147" t="n">
        <v>0.0868557264710995</v>
      </c>
      <c r="AF217" s="147" t="n">
        <v>0.130283589706649</v>
      </c>
      <c r="AG217" s="18"/>
      <c r="AH217" s="147" t="n">
        <v>-0.35</v>
      </c>
      <c r="AI217" s="147" t="n">
        <v>3</v>
      </c>
      <c r="AJ217" s="147" t="n">
        <v>0.5</v>
      </c>
      <c r="AK217" s="18"/>
      <c r="AL217" s="147" t="n">
        <v>-0.15</v>
      </c>
      <c r="AM217" s="147" t="n">
        <v>0.75</v>
      </c>
      <c r="AN217" s="147" t="n">
        <v>0.2</v>
      </c>
      <c r="AO217" s="18"/>
      <c r="AP217" s="105" t="n">
        <v>67</v>
      </c>
      <c r="AQ217" s="148" t="n">
        <v>0.4</v>
      </c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06" t="n">
        <v>42583</v>
      </c>
      <c r="BI217" s="150" t="n">
        <v>0.9</v>
      </c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0"/>
      <c r="CP217" s="0"/>
      <c r="CQ217" s="0"/>
      <c r="CR217" s="0"/>
      <c r="CS217" s="0"/>
      <c r="CT217" s="0"/>
      <c r="CY217" s="152" t="n">
        <f aca="false">M217</f>
        <v>42583</v>
      </c>
      <c r="CZ217" s="153" t="n">
        <f aca="false">AI217+AH217</f>
        <v>2.65</v>
      </c>
      <c r="DA217" s="153" t="n">
        <f aca="false">AI217</f>
        <v>3</v>
      </c>
      <c r="DB217" s="153" t="n">
        <f aca="false">AI217+AJ217</f>
        <v>3.5</v>
      </c>
      <c r="DD217" s="153" t="n">
        <f aca="false">Z217</f>
        <v>0.0926698283127046</v>
      </c>
      <c r="DE217" s="153" t="n">
        <f aca="false">AA217</f>
        <v>0.185339656625409</v>
      </c>
      <c r="DF217" s="153" t="n">
        <f aca="false">AB217</f>
        <v>0.278009484938114</v>
      </c>
      <c r="DH217" s="152" t="n">
        <f aca="false">BH217</f>
        <v>42583</v>
      </c>
      <c r="DI217" s="99" t="n">
        <v>0.9</v>
      </c>
    </row>
    <row r="218" customFormat="false" ht="12.75" hidden="false" customHeight="false" outlineLevel="0" collapsed="false">
      <c r="A218" s="110" t="n">
        <f aca="false">EOMONTH(A217,0)+1</f>
        <v>52171</v>
      </c>
      <c r="B218" s="99" t="n">
        <f aca="false">'Gas Curves'!C222</f>
        <v>0.07417979402906</v>
      </c>
      <c r="C218" s="99"/>
      <c r="D218" s="145" t="n">
        <v>41730</v>
      </c>
      <c r="E218" s="146" t="n">
        <v>32.75</v>
      </c>
      <c r="F218" s="146" t="n">
        <v>33.65</v>
      </c>
      <c r="G218" s="146" t="n">
        <v>34.55</v>
      </c>
      <c r="H218" s="127"/>
      <c r="I218" s="146" t="n">
        <v>20.3499977111816</v>
      </c>
      <c r="J218" s="146" t="n">
        <v>20.7999977111816</v>
      </c>
      <c r="K218" s="146" t="n">
        <v>21.2499977111816</v>
      </c>
      <c r="L218" s="105"/>
      <c r="M218" s="106" t="n">
        <v>42614</v>
      </c>
      <c r="N218" s="147" t="n">
        <v>23.8549991607666</v>
      </c>
      <c r="O218" s="147" t="n">
        <v>25.5049991607666</v>
      </c>
      <c r="P218" s="147" t="n">
        <v>27.1549991607666</v>
      </c>
      <c r="Q218" s="18"/>
      <c r="R218" s="147" t="n">
        <v>21.7</v>
      </c>
      <c r="S218" s="147" t="n">
        <v>26</v>
      </c>
      <c r="T218" s="147" t="n">
        <v>30.3</v>
      </c>
      <c r="U218" s="18"/>
      <c r="V218" s="147" t="n">
        <v>0.8</v>
      </c>
      <c r="W218" s="147" t="n">
        <v>0.8</v>
      </c>
      <c r="X218" s="147" t="n">
        <v>0.8</v>
      </c>
      <c r="Y218" s="18"/>
      <c r="Z218" s="147" t="n">
        <v>0.0613976702769213</v>
      </c>
      <c r="AA218" s="147" t="n">
        <v>0.122795340553843</v>
      </c>
      <c r="AB218" s="147" t="n">
        <v>0.184193010830764</v>
      </c>
      <c r="AC218" s="18"/>
      <c r="AD218" s="147" t="n">
        <v>0.0289519088236998</v>
      </c>
      <c r="AE218" s="147" t="n">
        <v>0.0579038176473996</v>
      </c>
      <c r="AF218" s="147" t="n">
        <v>0.0868557264710995</v>
      </c>
      <c r="AG218" s="18"/>
      <c r="AH218" s="147" t="n">
        <v>-0.35</v>
      </c>
      <c r="AI218" s="147" t="n">
        <v>1.5</v>
      </c>
      <c r="AJ218" s="147" t="n">
        <v>0.3</v>
      </c>
      <c r="AK218" s="18"/>
      <c r="AL218" s="147" t="n">
        <v>-0.15</v>
      </c>
      <c r="AM218" s="147" t="n">
        <v>0.4</v>
      </c>
      <c r="AN218" s="147" t="n">
        <v>0.2</v>
      </c>
      <c r="AO218" s="18"/>
      <c r="AP218" s="105" t="n">
        <v>67</v>
      </c>
      <c r="AQ218" s="148" t="n">
        <v>0.4</v>
      </c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06" t="n">
        <v>42614</v>
      </c>
      <c r="BI218" s="150" t="n">
        <v>0.9</v>
      </c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0"/>
      <c r="CP218" s="0"/>
      <c r="CQ218" s="0"/>
      <c r="CR218" s="0"/>
      <c r="CS218" s="0"/>
      <c r="CT218" s="0"/>
      <c r="CY218" s="152" t="n">
        <f aca="false">M218</f>
        <v>42614</v>
      </c>
      <c r="CZ218" s="153" t="n">
        <f aca="false">AI218+AH218</f>
        <v>1.15</v>
      </c>
      <c r="DA218" s="153" t="n">
        <f aca="false">AI218</f>
        <v>1.5</v>
      </c>
      <c r="DB218" s="153" t="n">
        <f aca="false">AI218+AJ218</f>
        <v>1.8</v>
      </c>
      <c r="DD218" s="153" t="n">
        <f aca="false">Z218</f>
        <v>0.0613976702769213</v>
      </c>
      <c r="DE218" s="153" t="n">
        <f aca="false">AA218</f>
        <v>0.122795340553843</v>
      </c>
      <c r="DF218" s="153" t="n">
        <f aca="false">AB218</f>
        <v>0.184193010830764</v>
      </c>
      <c r="DH218" s="152" t="n">
        <f aca="false">BH218</f>
        <v>42614</v>
      </c>
      <c r="DI218" s="99" t="n">
        <v>0.9</v>
      </c>
    </row>
    <row r="219" customFormat="false" ht="12.75" hidden="false" customHeight="false" outlineLevel="0" collapsed="false">
      <c r="A219" s="110" t="n">
        <f aca="false">EOMONTH(A218,0)+1</f>
        <v>52201</v>
      </c>
      <c r="B219" s="99" t="n">
        <f aca="false">'Gas Curves'!C223</f>
        <v>0.07417949931118</v>
      </c>
      <c r="C219" s="99"/>
      <c r="D219" s="145" t="n">
        <v>41760</v>
      </c>
      <c r="E219" s="146" t="n">
        <v>34.17</v>
      </c>
      <c r="F219" s="146" t="n">
        <v>36.65</v>
      </c>
      <c r="G219" s="146" t="n">
        <v>39.13</v>
      </c>
      <c r="H219" s="127"/>
      <c r="I219" s="146" t="n">
        <v>19.5599977111816</v>
      </c>
      <c r="J219" s="146" t="n">
        <v>20.7999977111816</v>
      </c>
      <c r="K219" s="146" t="n">
        <v>22.0399977111816</v>
      </c>
      <c r="L219" s="105"/>
      <c r="M219" s="106" t="n">
        <v>42644</v>
      </c>
      <c r="N219" s="147" t="n">
        <v>24.0630001068115</v>
      </c>
      <c r="O219" s="147" t="n">
        <v>25.6005001068115</v>
      </c>
      <c r="P219" s="147" t="n">
        <v>27.1380001068115</v>
      </c>
      <c r="Q219" s="18"/>
      <c r="R219" s="147" t="n">
        <v>19.3009998321533</v>
      </c>
      <c r="S219" s="147" t="n">
        <v>23.6009998321533</v>
      </c>
      <c r="T219" s="147" t="n">
        <v>27.9009998321533</v>
      </c>
      <c r="U219" s="18"/>
      <c r="V219" s="147" t="n">
        <v>0.8</v>
      </c>
      <c r="W219" s="147" t="n">
        <v>0.8</v>
      </c>
      <c r="X219" s="147" t="n">
        <v>0.8</v>
      </c>
      <c r="Y219" s="18"/>
      <c r="Z219" s="147" t="n">
        <v>0.0560814034108381</v>
      </c>
      <c r="AA219" s="147" t="n">
        <v>0.112162806821676</v>
      </c>
      <c r="AB219" s="147" t="n">
        <v>0.168244210232514</v>
      </c>
      <c r="AC219" s="18"/>
      <c r="AD219" s="147" t="n">
        <v>0.0217139316177749</v>
      </c>
      <c r="AE219" s="147" t="n">
        <v>0.0434278632355497</v>
      </c>
      <c r="AF219" s="147" t="n">
        <v>0.0651417948533246</v>
      </c>
      <c r="AG219" s="18"/>
      <c r="AH219" s="147" t="n">
        <v>-0.25</v>
      </c>
      <c r="AI219" s="147" t="n">
        <v>1.1</v>
      </c>
      <c r="AJ219" s="147" t="n">
        <v>0.3</v>
      </c>
      <c r="AK219" s="18"/>
      <c r="AL219" s="147" t="n">
        <v>-0.15</v>
      </c>
      <c r="AM219" s="147" t="n">
        <v>0.35</v>
      </c>
      <c r="AN219" s="147" t="n">
        <v>0.2</v>
      </c>
      <c r="AO219" s="18"/>
      <c r="AP219" s="105" t="n">
        <v>67</v>
      </c>
      <c r="AQ219" s="148" t="n">
        <v>0.4</v>
      </c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06" t="n">
        <v>42644</v>
      </c>
      <c r="BI219" s="150" t="n">
        <v>0.9</v>
      </c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  <c r="CH219" s="0"/>
      <c r="CP219" s="0"/>
      <c r="CQ219" s="0"/>
      <c r="CR219" s="0"/>
      <c r="CS219" s="0"/>
      <c r="CT219" s="0"/>
      <c r="CY219" s="152" t="n">
        <f aca="false">M219</f>
        <v>42644</v>
      </c>
      <c r="CZ219" s="153" t="n">
        <f aca="false">AI219+AH219</f>
        <v>0.85</v>
      </c>
      <c r="DA219" s="153" t="n">
        <f aca="false">AI219</f>
        <v>1.1</v>
      </c>
      <c r="DB219" s="153" t="n">
        <f aca="false">AI219+AJ219</f>
        <v>1.4</v>
      </c>
      <c r="DD219" s="153" t="n">
        <f aca="false">Z219</f>
        <v>0.0560814034108381</v>
      </c>
      <c r="DE219" s="153" t="n">
        <f aca="false">AA219</f>
        <v>0.112162806821676</v>
      </c>
      <c r="DF219" s="153" t="n">
        <f aca="false">AB219</f>
        <v>0.168244210232514</v>
      </c>
      <c r="DH219" s="152" t="n">
        <f aca="false">BH219</f>
        <v>42644</v>
      </c>
      <c r="DI219" s="99" t="n">
        <v>0.9</v>
      </c>
    </row>
    <row r="220" customFormat="false" ht="12.75" hidden="false" customHeight="false" outlineLevel="0" collapsed="false">
      <c r="A220" s="110" t="n">
        <f aca="false">EOMONTH(A219,0)+1</f>
        <v>52232</v>
      </c>
      <c r="B220" s="99" t="n">
        <f aca="false">'Gas Curves'!C224</f>
        <v>0.074179214100328</v>
      </c>
      <c r="C220" s="99"/>
      <c r="D220" s="145" t="n">
        <v>41791</v>
      </c>
      <c r="E220" s="146" t="n">
        <v>49.14</v>
      </c>
      <c r="F220" s="146" t="n">
        <v>56.25</v>
      </c>
      <c r="G220" s="146" t="n">
        <v>63.36</v>
      </c>
      <c r="H220" s="127"/>
      <c r="I220" s="146" t="n">
        <v>17.1999987792969</v>
      </c>
      <c r="J220" s="146" t="n">
        <v>20.7549987792969</v>
      </c>
      <c r="K220" s="146" t="n">
        <v>24.3099987792969</v>
      </c>
      <c r="L220" s="105"/>
      <c r="M220" s="106" t="n">
        <v>42675</v>
      </c>
      <c r="N220" s="147" t="n">
        <v>25.0672515869141</v>
      </c>
      <c r="O220" s="147" t="n">
        <v>26.6047515869141</v>
      </c>
      <c r="P220" s="147" t="n">
        <v>28.1422515869141</v>
      </c>
      <c r="Q220" s="18"/>
      <c r="R220" s="147" t="n">
        <v>20.3044998168945</v>
      </c>
      <c r="S220" s="147" t="n">
        <v>24.6044998168945</v>
      </c>
      <c r="T220" s="147" t="n">
        <v>28.9044998168945</v>
      </c>
      <c r="U220" s="18"/>
      <c r="V220" s="147" t="n">
        <v>0.8</v>
      </c>
      <c r="W220" s="147" t="n">
        <v>0.8</v>
      </c>
      <c r="X220" s="147" t="n">
        <v>0.8</v>
      </c>
      <c r="Y220" s="18"/>
      <c r="Z220" s="147" t="n">
        <v>0.0560814034108381</v>
      </c>
      <c r="AA220" s="147" t="n">
        <v>0.112162806821676</v>
      </c>
      <c r="AB220" s="147" t="n">
        <v>0.168244210232514</v>
      </c>
      <c r="AC220" s="18"/>
      <c r="AD220" s="147" t="n">
        <v>0.0217139316177749</v>
      </c>
      <c r="AE220" s="147" t="n">
        <v>0.0434278632355497</v>
      </c>
      <c r="AF220" s="147" t="n">
        <v>0.0651417948533246</v>
      </c>
      <c r="AG220" s="18"/>
      <c r="AH220" s="147" t="n">
        <v>-0.25</v>
      </c>
      <c r="AI220" s="147" t="n">
        <v>1.25</v>
      </c>
      <c r="AJ220" s="147" t="n">
        <v>0.3</v>
      </c>
      <c r="AK220" s="18"/>
      <c r="AL220" s="147" t="n">
        <v>-0.15</v>
      </c>
      <c r="AM220" s="147" t="n">
        <v>0.3</v>
      </c>
      <c r="AN220" s="147" t="n">
        <v>0.2</v>
      </c>
      <c r="AO220" s="18"/>
      <c r="AP220" s="105" t="n">
        <v>68</v>
      </c>
      <c r="AQ220" s="148" t="n">
        <v>0.4</v>
      </c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06" t="n">
        <v>42675</v>
      </c>
      <c r="BI220" s="150" t="n">
        <v>0.9</v>
      </c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0"/>
      <c r="CP220" s="0"/>
      <c r="CQ220" s="0"/>
      <c r="CR220" s="0"/>
      <c r="CS220" s="0"/>
      <c r="CT220" s="0"/>
      <c r="CY220" s="152" t="n">
        <f aca="false">M220</f>
        <v>42675</v>
      </c>
      <c r="CZ220" s="153" t="n">
        <f aca="false">AI220+AH220</f>
        <v>1</v>
      </c>
      <c r="DA220" s="153" t="n">
        <f aca="false">AI220</f>
        <v>1.25</v>
      </c>
      <c r="DB220" s="153" t="n">
        <f aca="false">AI220+AJ220</f>
        <v>1.55</v>
      </c>
      <c r="DD220" s="153" t="n">
        <f aca="false">Z220</f>
        <v>0.0560814034108381</v>
      </c>
      <c r="DE220" s="153" t="n">
        <f aca="false">AA220</f>
        <v>0.112162806821676</v>
      </c>
      <c r="DF220" s="153" t="n">
        <f aca="false">AB220</f>
        <v>0.168244210232514</v>
      </c>
      <c r="DH220" s="152" t="n">
        <f aca="false">BH220</f>
        <v>42675</v>
      </c>
      <c r="DI220" s="99" t="n">
        <v>0.9</v>
      </c>
    </row>
    <row r="221" customFormat="false" ht="12.75" hidden="false" customHeight="false" outlineLevel="0" collapsed="false">
      <c r="A221" s="110" t="n">
        <f aca="false">EOMONTH(A220,0)+1</f>
        <v>52263</v>
      </c>
      <c r="B221" s="99" t="n">
        <f aca="false">'Gas Curves'!C225</f>
        <v>0.074178919382449</v>
      </c>
      <c r="C221" s="99"/>
      <c r="D221" s="145" t="n">
        <v>41821</v>
      </c>
      <c r="E221" s="146" t="n">
        <v>79.5</v>
      </c>
      <c r="F221" s="146" t="n">
        <v>84.5</v>
      </c>
      <c r="G221" s="146" t="n">
        <v>89.5</v>
      </c>
      <c r="H221" s="127"/>
      <c r="I221" s="146" t="n">
        <v>22.7499977111816</v>
      </c>
      <c r="J221" s="146" t="n">
        <v>25.2499977111816</v>
      </c>
      <c r="K221" s="146" t="n">
        <v>27.7499977111816</v>
      </c>
      <c r="L221" s="105"/>
      <c r="M221" s="106" t="n">
        <v>42705</v>
      </c>
      <c r="N221" s="147" t="n">
        <v>26.5174983978271</v>
      </c>
      <c r="O221" s="147" t="n">
        <v>28.0549983978271</v>
      </c>
      <c r="P221" s="147" t="n">
        <v>29.5924983978271</v>
      </c>
      <c r="Q221" s="18"/>
      <c r="R221" s="147" t="n">
        <v>20.2499992370605</v>
      </c>
      <c r="S221" s="147" t="n">
        <v>24.5499992370605</v>
      </c>
      <c r="T221" s="147" t="n">
        <v>28.8499992370605</v>
      </c>
      <c r="U221" s="18"/>
      <c r="V221" s="147" t="n">
        <v>0.8</v>
      </c>
      <c r="W221" s="147" t="n">
        <v>0.8</v>
      </c>
      <c r="X221" s="147" t="n">
        <v>0.8</v>
      </c>
      <c r="Y221" s="18"/>
      <c r="Z221" s="147" t="n">
        <v>0.0580828215251282</v>
      </c>
      <c r="AA221" s="147" t="n">
        <v>0.116165643050256</v>
      </c>
      <c r="AB221" s="147" t="n">
        <v>0.174248464575385</v>
      </c>
      <c r="AC221" s="18"/>
      <c r="AD221" s="147" t="n">
        <v>0.0217139316177749</v>
      </c>
      <c r="AE221" s="147" t="n">
        <v>0.0434278632355497</v>
      </c>
      <c r="AF221" s="147" t="n">
        <v>0.0651417948533246</v>
      </c>
      <c r="AG221" s="18"/>
      <c r="AH221" s="147" t="n">
        <v>-0.25</v>
      </c>
      <c r="AI221" s="147" t="n">
        <v>1.25</v>
      </c>
      <c r="AJ221" s="147" t="n">
        <v>0.35</v>
      </c>
      <c r="AK221" s="18"/>
      <c r="AL221" s="147" t="n">
        <v>-0.15</v>
      </c>
      <c r="AM221" s="147" t="n">
        <v>0.3</v>
      </c>
      <c r="AN221" s="147" t="n">
        <v>0.2</v>
      </c>
      <c r="AO221" s="18"/>
      <c r="AP221" s="105" t="n">
        <v>68</v>
      </c>
      <c r="AQ221" s="148" t="n">
        <v>0.4</v>
      </c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06" t="n">
        <v>42705</v>
      </c>
      <c r="BI221" s="150" t="n">
        <v>0.9</v>
      </c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0"/>
      <c r="CP221" s="0"/>
      <c r="CQ221" s="0"/>
      <c r="CR221" s="0"/>
      <c r="CS221" s="0"/>
      <c r="CT221" s="0"/>
      <c r="CY221" s="152" t="n">
        <f aca="false">M221</f>
        <v>42705</v>
      </c>
      <c r="CZ221" s="153" t="n">
        <f aca="false">AI221+AH221</f>
        <v>1</v>
      </c>
      <c r="DA221" s="153" t="n">
        <f aca="false">AI221</f>
        <v>1.25</v>
      </c>
      <c r="DB221" s="153" t="n">
        <f aca="false">AI221+AJ221</f>
        <v>1.6</v>
      </c>
      <c r="DD221" s="153" t="n">
        <f aca="false">Z221</f>
        <v>0.0580828215251282</v>
      </c>
      <c r="DE221" s="153" t="n">
        <f aca="false">AA221</f>
        <v>0.116165643050256</v>
      </c>
      <c r="DF221" s="153" t="n">
        <f aca="false">AB221</f>
        <v>0.174248464575385</v>
      </c>
      <c r="DH221" s="152" t="n">
        <f aca="false">BH221</f>
        <v>42705</v>
      </c>
      <c r="DI221" s="99" t="n">
        <v>0.9</v>
      </c>
    </row>
    <row r="222" customFormat="false" ht="12.75" hidden="false" customHeight="false" outlineLevel="0" collapsed="false">
      <c r="A222" s="110" t="n">
        <f aca="false">EOMONTH(A221,0)+1</f>
        <v>52291</v>
      </c>
      <c r="B222" s="99" t="n">
        <f aca="false">'Gas Curves'!C226</f>
        <v>0.074178624664569</v>
      </c>
      <c r="C222" s="99"/>
      <c r="D222" s="145" t="n">
        <v>41852</v>
      </c>
      <c r="E222" s="146" t="n">
        <v>75</v>
      </c>
      <c r="F222" s="146" t="n">
        <v>80</v>
      </c>
      <c r="G222" s="146" t="n">
        <v>85</v>
      </c>
      <c r="H222" s="127"/>
      <c r="I222" s="146" t="n">
        <v>23.0999980926514</v>
      </c>
      <c r="J222" s="146" t="n">
        <v>25.5999980926514</v>
      </c>
      <c r="K222" s="146" t="n">
        <v>28.0999980926514</v>
      </c>
      <c r="L222" s="105"/>
      <c r="M222" s="106" t="n">
        <v>42736</v>
      </c>
      <c r="N222" s="147" t="n">
        <v>29.7987483978271</v>
      </c>
      <c r="O222" s="147" t="n">
        <v>31.4487483978271</v>
      </c>
      <c r="P222" s="147" t="n">
        <v>33.0987483978271</v>
      </c>
      <c r="Q222" s="18"/>
      <c r="R222" s="147" t="n">
        <v>25.6525001525879</v>
      </c>
      <c r="S222" s="147" t="n">
        <v>29.9525001525879</v>
      </c>
      <c r="T222" s="147" t="n">
        <v>34.2525001525879</v>
      </c>
      <c r="U222" s="18"/>
      <c r="V222" s="147" t="n">
        <v>0.8</v>
      </c>
      <c r="W222" s="147" t="n">
        <v>0.8</v>
      </c>
      <c r="X222" s="147" t="n">
        <v>0.8</v>
      </c>
      <c r="Y222" s="18"/>
      <c r="Z222" s="147" t="n">
        <v>0.0624979869485507</v>
      </c>
      <c r="AA222" s="147" t="n">
        <v>0.124995973897101</v>
      </c>
      <c r="AB222" s="147" t="n">
        <v>0.187493960845652</v>
      </c>
      <c r="AC222" s="18"/>
      <c r="AD222" s="147" t="n">
        <v>0.0248262618163226</v>
      </c>
      <c r="AE222" s="147" t="n">
        <v>0.0496525236326452</v>
      </c>
      <c r="AF222" s="147" t="n">
        <v>0.0744787854489678</v>
      </c>
      <c r="AG222" s="18"/>
      <c r="AH222" s="147" t="n">
        <v>-0.75</v>
      </c>
      <c r="AI222" s="147" t="n">
        <v>2</v>
      </c>
      <c r="AJ222" s="147" t="n">
        <v>0.75</v>
      </c>
      <c r="AK222" s="18"/>
      <c r="AL222" s="147" t="n">
        <v>-0.15</v>
      </c>
      <c r="AM222" s="147" t="n">
        <v>0.5</v>
      </c>
      <c r="AN222" s="147" t="n">
        <v>0.2</v>
      </c>
      <c r="AO222" s="18"/>
      <c r="AP222" s="105" t="n">
        <v>68</v>
      </c>
      <c r="AQ222" s="148" t="n">
        <v>0.4</v>
      </c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06" t="n">
        <v>42736</v>
      </c>
      <c r="BI222" s="150" t="n">
        <v>0.9</v>
      </c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  <c r="CH222" s="0"/>
      <c r="CP222" s="0"/>
      <c r="CQ222" s="0"/>
      <c r="CR222" s="0"/>
      <c r="CS222" s="0"/>
      <c r="CT222" s="0"/>
      <c r="CY222" s="152" t="n">
        <f aca="false">M222</f>
        <v>42736</v>
      </c>
      <c r="CZ222" s="153" t="n">
        <f aca="false">AI222+AH222</f>
        <v>1.25</v>
      </c>
      <c r="DA222" s="153" t="n">
        <f aca="false">AI222</f>
        <v>2</v>
      </c>
      <c r="DB222" s="153" t="n">
        <f aca="false">AI222+AJ222</f>
        <v>2.75</v>
      </c>
      <c r="DD222" s="153" t="n">
        <f aca="false">Z222</f>
        <v>0.0624979869485507</v>
      </c>
      <c r="DE222" s="153" t="n">
        <f aca="false">AA222</f>
        <v>0.124995973897101</v>
      </c>
      <c r="DF222" s="153" t="n">
        <f aca="false">AB222</f>
        <v>0.187493960845652</v>
      </c>
      <c r="DH222" s="152" t="n">
        <f aca="false">BH222</f>
        <v>42736</v>
      </c>
      <c r="DI222" s="99" t="n">
        <v>0.9</v>
      </c>
    </row>
    <row r="223" customFormat="false" ht="12.75" hidden="false" customHeight="false" outlineLevel="0" collapsed="false">
      <c r="A223" s="110" t="n">
        <f aca="false">EOMONTH(A222,0)+1</f>
        <v>52322</v>
      </c>
      <c r="B223" s="99" t="n">
        <f aca="false">'Gas Curves'!C227</f>
        <v>0.074178339453718</v>
      </c>
      <c r="C223" s="99"/>
      <c r="D223" s="145" t="n">
        <v>41883</v>
      </c>
      <c r="E223" s="146" t="n">
        <v>32.65</v>
      </c>
      <c r="F223" s="146" t="n">
        <v>34.65</v>
      </c>
      <c r="G223" s="146" t="n">
        <v>36.65</v>
      </c>
      <c r="H223" s="127"/>
      <c r="I223" s="146" t="n">
        <v>20.1499980926514</v>
      </c>
      <c r="J223" s="146" t="n">
        <v>21.1499980926514</v>
      </c>
      <c r="K223" s="146" t="n">
        <v>22.1499980926514</v>
      </c>
      <c r="L223" s="105"/>
      <c r="M223" s="106" t="n">
        <v>42767</v>
      </c>
      <c r="N223" s="147" t="n">
        <v>28.7962501525879</v>
      </c>
      <c r="O223" s="147" t="n">
        <v>30.4462501525879</v>
      </c>
      <c r="P223" s="147" t="n">
        <v>32.0962501525879</v>
      </c>
      <c r="Q223" s="18"/>
      <c r="R223" s="147" t="n">
        <v>23.6474994659424</v>
      </c>
      <c r="S223" s="147" t="n">
        <v>27.9474994659424</v>
      </c>
      <c r="T223" s="147" t="n">
        <v>32.2474994659424</v>
      </c>
      <c r="U223" s="18"/>
      <c r="V223" s="147" t="n">
        <v>0.8</v>
      </c>
      <c r="W223" s="147" t="n">
        <v>0.8</v>
      </c>
      <c r="X223" s="147" t="n">
        <v>0.8</v>
      </c>
      <c r="Y223" s="18"/>
      <c r="Z223" s="147" t="n">
        <v>0.0602973536052919</v>
      </c>
      <c r="AA223" s="147" t="n">
        <v>0.120594707210584</v>
      </c>
      <c r="AB223" s="147" t="n">
        <v>0.180892060815876</v>
      </c>
      <c r="AC223" s="18"/>
      <c r="AD223" s="147" t="n">
        <v>0.0248262618163226</v>
      </c>
      <c r="AE223" s="147" t="n">
        <v>0.0496525236326452</v>
      </c>
      <c r="AF223" s="147" t="n">
        <v>0.0744787854489678</v>
      </c>
      <c r="AG223" s="18"/>
      <c r="AH223" s="147" t="n">
        <v>-0.75</v>
      </c>
      <c r="AI223" s="147" t="n">
        <v>2</v>
      </c>
      <c r="AJ223" s="147" t="n">
        <v>0.75</v>
      </c>
      <c r="AK223" s="18"/>
      <c r="AL223" s="147" t="n">
        <v>-0.15</v>
      </c>
      <c r="AM223" s="147" t="n">
        <v>0.5</v>
      </c>
      <c r="AN223" s="147" t="n">
        <v>0.2</v>
      </c>
      <c r="AO223" s="18"/>
      <c r="AP223" s="105" t="n">
        <v>69</v>
      </c>
      <c r="AQ223" s="148" t="n">
        <v>0.4</v>
      </c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06" t="n">
        <v>42767</v>
      </c>
      <c r="BI223" s="150" t="n">
        <v>0.9</v>
      </c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0"/>
      <c r="CP223" s="0"/>
      <c r="CQ223" s="0"/>
      <c r="CR223" s="0"/>
      <c r="CS223" s="0"/>
      <c r="CT223" s="0"/>
      <c r="CY223" s="152" t="n">
        <f aca="false">M223</f>
        <v>42767</v>
      </c>
      <c r="CZ223" s="153" t="n">
        <f aca="false">AI223+AH223</f>
        <v>1.25</v>
      </c>
      <c r="DA223" s="153" t="n">
        <f aca="false">AI223</f>
        <v>2</v>
      </c>
      <c r="DB223" s="153" t="n">
        <f aca="false">AI223+AJ223</f>
        <v>2.75</v>
      </c>
      <c r="DD223" s="153" t="n">
        <f aca="false">Z223</f>
        <v>0.0602973536052919</v>
      </c>
      <c r="DE223" s="153" t="n">
        <f aca="false">AA223</f>
        <v>0.120594707210584</v>
      </c>
      <c r="DF223" s="153" t="n">
        <f aca="false">AB223</f>
        <v>0.180892060815876</v>
      </c>
      <c r="DH223" s="152" t="n">
        <f aca="false">BH223</f>
        <v>42767</v>
      </c>
      <c r="DI223" s="99" t="n">
        <v>0.9</v>
      </c>
    </row>
    <row r="224" customFormat="false" ht="12.75" hidden="false" customHeight="false" outlineLevel="0" collapsed="false">
      <c r="A224" s="110" t="n">
        <f aca="false">EOMONTH(A223,0)+1</f>
        <v>52352</v>
      </c>
      <c r="B224" s="99" t="n">
        <f aca="false">'Gas Curves'!C228</f>
        <v>0.074178044735838</v>
      </c>
      <c r="C224" s="99"/>
      <c r="D224" s="145" t="n">
        <v>41913</v>
      </c>
      <c r="E224" s="146" t="n">
        <v>30.55</v>
      </c>
      <c r="F224" s="146" t="n">
        <v>32.4</v>
      </c>
      <c r="G224" s="146" t="n">
        <v>34.25</v>
      </c>
      <c r="H224" s="127"/>
      <c r="I224" s="146" t="n">
        <v>19.9249988555908</v>
      </c>
      <c r="J224" s="146" t="n">
        <v>20.8499988555908</v>
      </c>
      <c r="K224" s="146" t="n">
        <v>21.7749988555908</v>
      </c>
      <c r="L224" s="105"/>
      <c r="M224" s="106" t="n">
        <v>42795</v>
      </c>
      <c r="N224" s="147" t="n">
        <v>22.7347496032715</v>
      </c>
      <c r="O224" s="147" t="n">
        <v>23.6347496032715</v>
      </c>
      <c r="P224" s="147" t="n">
        <v>24.5347496032715</v>
      </c>
      <c r="Q224" s="18"/>
      <c r="R224" s="147" t="n">
        <v>18.9644989013672</v>
      </c>
      <c r="S224" s="147" t="n">
        <v>23.2644989013672</v>
      </c>
      <c r="T224" s="147" t="n">
        <v>27.5644989013672</v>
      </c>
      <c r="U224" s="18"/>
      <c r="V224" s="147" t="n">
        <v>0.3</v>
      </c>
      <c r="W224" s="147" t="n">
        <v>0.3</v>
      </c>
      <c r="X224" s="147" t="n">
        <v>0.3</v>
      </c>
      <c r="Y224" s="18"/>
      <c r="Z224" s="147" t="n">
        <v>0.0587734150150851</v>
      </c>
      <c r="AA224" s="147" t="n">
        <v>0.11754683003017</v>
      </c>
      <c r="AB224" s="147" t="n">
        <v>0.176320245045255</v>
      </c>
      <c r="AC224" s="18"/>
      <c r="AD224" s="147" t="n">
        <v>0.0212796529854194</v>
      </c>
      <c r="AE224" s="147" t="n">
        <v>0.0425593059708387</v>
      </c>
      <c r="AF224" s="147" t="n">
        <v>0.0638389589562581</v>
      </c>
      <c r="AG224" s="18"/>
      <c r="AH224" s="147" t="n">
        <v>-0.25</v>
      </c>
      <c r="AI224" s="147" t="n">
        <v>1.3</v>
      </c>
      <c r="AJ224" s="147" t="n">
        <v>0.3</v>
      </c>
      <c r="AK224" s="18"/>
      <c r="AL224" s="147" t="n">
        <v>-0.15</v>
      </c>
      <c r="AM224" s="147" t="n">
        <v>0.35</v>
      </c>
      <c r="AN224" s="147" t="n">
        <v>0.2</v>
      </c>
      <c r="AO224" s="18"/>
      <c r="AP224" s="105" t="n">
        <v>69</v>
      </c>
      <c r="AQ224" s="148" t="n">
        <v>0.4</v>
      </c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06" t="n">
        <v>42795</v>
      </c>
      <c r="BI224" s="150" t="n">
        <v>0.9</v>
      </c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0"/>
      <c r="CP224" s="0"/>
      <c r="CQ224" s="0"/>
      <c r="CR224" s="0"/>
      <c r="CS224" s="0"/>
      <c r="CT224" s="0"/>
      <c r="CY224" s="152" t="n">
        <f aca="false">M224</f>
        <v>42795</v>
      </c>
      <c r="CZ224" s="153" t="n">
        <f aca="false">AI224+AH224</f>
        <v>1.05</v>
      </c>
      <c r="DA224" s="153" t="n">
        <f aca="false">AI224</f>
        <v>1.3</v>
      </c>
      <c r="DB224" s="153" t="n">
        <f aca="false">AI224+AJ224</f>
        <v>1.6</v>
      </c>
      <c r="DD224" s="153" t="n">
        <f aca="false">Z224</f>
        <v>0.0587734150150851</v>
      </c>
      <c r="DE224" s="153" t="n">
        <f aca="false">AA224</f>
        <v>0.11754683003017</v>
      </c>
      <c r="DF224" s="153" t="n">
        <f aca="false">AB224</f>
        <v>0.176320245045255</v>
      </c>
      <c r="DH224" s="152" t="n">
        <f aca="false">BH224</f>
        <v>42795</v>
      </c>
      <c r="DI224" s="99" t="n">
        <v>0.9</v>
      </c>
    </row>
    <row r="225" customFormat="false" ht="12.75" hidden="false" customHeight="false" outlineLevel="0" collapsed="false">
      <c r="A225" s="110" t="n">
        <f aca="false">EOMONTH(A224,0)+1</f>
        <v>52383</v>
      </c>
      <c r="B225" s="99" t="n">
        <f aca="false">'Gas Curves'!C229</f>
        <v>0.074177759524987</v>
      </c>
      <c r="C225" s="99"/>
      <c r="D225" s="145" t="n">
        <v>41944</v>
      </c>
      <c r="E225" s="146" t="n">
        <v>30.925</v>
      </c>
      <c r="F225" s="146" t="n">
        <v>32.775</v>
      </c>
      <c r="G225" s="146" t="n">
        <v>34.625</v>
      </c>
      <c r="H225" s="127"/>
      <c r="I225" s="146" t="n">
        <v>19.8499980926514</v>
      </c>
      <c r="J225" s="146" t="n">
        <v>20.7749980926514</v>
      </c>
      <c r="K225" s="146" t="n">
        <v>21.6999980926514</v>
      </c>
      <c r="L225" s="105"/>
      <c r="M225" s="106" t="n">
        <v>42826</v>
      </c>
      <c r="N225" s="147" t="n">
        <v>23.5300003051758</v>
      </c>
      <c r="O225" s="147" t="n">
        <v>24.3175003051758</v>
      </c>
      <c r="P225" s="147" t="n">
        <v>25.1050003051758</v>
      </c>
      <c r="Q225" s="18"/>
      <c r="R225" s="147" t="n">
        <v>18.7349990844726</v>
      </c>
      <c r="S225" s="147" t="n">
        <v>23.0349990844726</v>
      </c>
      <c r="T225" s="147" t="n">
        <v>27.3349990844726</v>
      </c>
      <c r="U225" s="18"/>
      <c r="V225" s="147" t="n">
        <v>0.3</v>
      </c>
      <c r="W225" s="147" t="n">
        <v>0.3</v>
      </c>
      <c r="X225" s="147" t="n">
        <v>0.3</v>
      </c>
      <c r="Y225" s="18"/>
      <c r="Z225" s="147" t="n">
        <v>0.0523860767362764</v>
      </c>
      <c r="AA225" s="147" t="n">
        <v>0.104772153472553</v>
      </c>
      <c r="AB225" s="147" t="n">
        <v>0.157158230208829</v>
      </c>
      <c r="AC225" s="18"/>
      <c r="AD225" s="147" t="n">
        <v>0.0212796529854194</v>
      </c>
      <c r="AE225" s="147" t="n">
        <v>0.0425593059708387</v>
      </c>
      <c r="AF225" s="147" t="n">
        <v>0.0638389589562581</v>
      </c>
      <c r="AG225" s="18"/>
      <c r="AH225" s="147" t="n">
        <v>-0.25</v>
      </c>
      <c r="AI225" s="147" t="n">
        <v>1.1</v>
      </c>
      <c r="AJ225" s="147" t="n">
        <v>0.3</v>
      </c>
      <c r="AK225" s="18"/>
      <c r="AL225" s="147" t="n">
        <v>-0.15</v>
      </c>
      <c r="AM225" s="147" t="n">
        <v>0.35</v>
      </c>
      <c r="AN225" s="147" t="n">
        <v>0.2</v>
      </c>
      <c r="AO225" s="18"/>
      <c r="AP225" s="105" t="n">
        <v>69</v>
      </c>
      <c r="AQ225" s="148" t="n">
        <v>0.4</v>
      </c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06" t="n">
        <v>42826</v>
      </c>
      <c r="BI225" s="150" t="n">
        <v>0.9</v>
      </c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0"/>
      <c r="CP225" s="0"/>
      <c r="CQ225" s="0"/>
      <c r="CR225" s="0"/>
      <c r="CS225" s="0"/>
      <c r="CT225" s="0"/>
      <c r="CY225" s="152" t="n">
        <f aca="false">M225</f>
        <v>42826</v>
      </c>
      <c r="CZ225" s="153" t="n">
        <f aca="false">AI225+AH225</f>
        <v>0.85</v>
      </c>
      <c r="DA225" s="153" t="n">
        <f aca="false">AI225</f>
        <v>1.1</v>
      </c>
      <c r="DB225" s="153" t="n">
        <f aca="false">AI225+AJ225</f>
        <v>1.4</v>
      </c>
      <c r="DD225" s="153" t="n">
        <f aca="false">Z225</f>
        <v>0.0523860767362764</v>
      </c>
      <c r="DE225" s="153" t="n">
        <f aca="false">AA225</f>
        <v>0.104772153472553</v>
      </c>
      <c r="DF225" s="153" t="n">
        <f aca="false">AB225</f>
        <v>0.157158230208829</v>
      </c>
      <c r="DH225" s="152" t="n">
        <f aca="false">BH225</f>
        <v>42826</v>
      </c>
      <c r="DI225" s="99" t="n">
        <v>0.9</v>
      </c>
    </row>
    <row r="226" customFormat="false" ht="12.75" hidden="false" customHeight="false" outlineLevel="0" collapsed="false">
      <c r="A226" s="110" t="n">
        <f aca="false">EOMONTH(A225,0)+1</f>
        <v>52413</v>
      </c>
      <c r="B226" s="99" t="n">
        <f aca="false">'Gas Curves'!C230</f>
        <v>0.074177464807107</v>
      </c>
      <c r="C226" s="99"/>
      <c r="D226" s="145" t="n">
        <v>41974</v>
      </c>
      <c r="E226" s="146" t="n">
        <v>30.8</v>
      </c>
      <c r="F226" s="146" t="n">
        <v>32.65</v>
      </c>
      <c r="G226" s="146" t="n">
        <v>34.5</v>
      </c>
      <c r="H226" s="127"/>
      <c r="I226" s="146" t="n">
        <v>21.2749992370605</v>
      </c>
      <c r="J226" s="146" t="n">
        <v>22.1999992370605</v>
      </c>
      <c r="K226" s="146" t="n">
        <v>23.1249992370605</v>
      </c>
      <c r="L226" s="105"/>
      <c r="M226" s="106" t="n">
        <v>42856</v>
      </c>
      <c r="N226" s="147" t="n">
        <v>22.5725000762939</v>
      </c>
      <c r="O226" s="147" t="n">
        <v>24.4325000762939</v>
      </c>
      <c r="P226" s="147" t="n">
        <v>26.2925000762939</v>
      </c>
      <c r="Q226" s="18"/>
      <c r="R226" s="147" t="n">
        <v>19.2649997711182</v>
      </c>
      <c r="S226" s="147" t="n">
        <v>23.5649997711182</v>
      </c>
      <c r="T226" s="147" t="n">
        <v>27.8649997711182</v>
      </c>
      <c r="U226" s="18"/>
      <c r="V226" s="147" t="n">
        <v>0.3</v>
      </c>
      <c r="W226" s="147" t="n">
        <v>0.3</v>
      </c>
      <c r="X226" s="147" t="n">
        <v>0.3</v>
      </c>
      <c r="Y226" s="18"/>
      <c r="Z226" s="147" t="n">
        <v>0.0603083567720082</v>
      </c>
      <c r="AA226" s="147" t="n">
        <v>0.120616713544016</v>
      </c>
      <c r="AB226" s="147" t="n">
        <v>0.180925070316024</v>
      </c>
      <c r="AC226" s="18"/>
      <c r="AD226" s="147" t="n">
        <v>0.0248262618163226</v>
      </c>
      <c r="AE226" s="147" t="n">
        <v>0.0496525236326452</v>
      </c>
      <c r="AF226" s="147" t="n">
        <v>0.0744787854489678</v>
      </c>
      <c r="AG226" s="18"/>
      <c r="AH226" s="147" t="n">
        <v>-0.25</v>
      </c>
      <c r="AI226" s="147" t="n">
        <v>1.1</v>
      </c>
      <c r="AJ226" s="147" t="n">
        <v>0.3</v>
      </c>
      <c r="AK226" s="18"/>
      <c r="AL226" s="147" t="n">
        <v>-0.15</v>
      </c>
      <c r="AM226" s="147" t="n">
        <v>0.5</v>
      </c>
      <c r="AN226" s="147" t="n">
        <v>0.2</v>
      </c>
      <c r="AO226" s="18"/>
      <c r="AP226" s="105" t="n">
        <v>70</v>
      </c>
      <c r="AQ226" s="148" t="n">
        <v>0.4</v>
      </c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06" t="n">
        <v>42856</v>
      </c>
      <c r="BI226" s="150" t="n">
        <v>0.9</v>
      </c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0"/>
      <c r="CP226" s="0"/>
      <c r="CQ226" s="0"/>
      <c r="CR226" s="0"/>
      <c r="CS226" s="0"/>
      <c r="CT226" s="0"/>
      <c r="CY226" s="152" t="n">
        <f aca="false">M226</f>
        <v>42856</v>
      </c>
      <c r="CZ226" s="153" t="n">
        <f aca="false">AI226+AH226</f>
        <v>0.85</v>
      </c>
      <c r="DA226" s="153" t="n">
        <f aca="false">AI226</f>
        <v>1.1</v>
      </c>
      <c r="DB226" s="153" t="n">
        <f aca="false">AI226+AJ226</f>
        <v>1.4</v>
      </c>
      <c r="DD226" s="153" t="n">
        <f aca="false">Z226</f>
        <v>0.0603083567720082</v>
      </c>
      <c r="DE226" s="153" t="n">
        <f aca="false">AA226</f>
        <v>0.120616713544016</v>
      </c>
      <c r="DF226" s="153" t="n">
        <f aca="false">AB226</f>
        <v>0.180925070316024</v>
      </c>
      <c r="DH226" s="152" t="n">
        <f aca="false">BH226</f>
        <v>42856</v>
      </c>
      <c r="DI226" s="99" t="n">
        <v>0.9</v>
      </c>
    </row>
    <row r="227" customFormat="false" ht="12.75" hidden="false" customHeight="false" outlineLevel="0" collapsed="false">
      <c r="A227" s="110" t="n">
        <f aca="false">EOMONTH(A226,0)+1</f>
        <v>52444</v>
      </c>
      <c r="B227" s="99" t="n">
        <f aca="false">'Gas Curves'!C231</f>
        <v>0.074177170089227</v>
      </c>
      <c r="C227" s="99"/>
      <c r="D227" s="145" t="n">
        <v>42005</v>
      </c>
      <c r="E227" s="146" t="n">
        <v>36.95</v>
      </c>
      <c r="F227" s="146" t="n">
        <v>38.95</v>
      </c>
      <c r="G227" s="146" t="n">
        <v>40.95</v>
      </c>
      <c r="H227" s="127"/>
      <c r="I227" s="146" t="n">
        <v>21.1900009155273</v>
      </c>
      <c r="J227" s="146" t="n">
        <v>22.1900009155273</v>
      </c>
      <c r="K227" s="146" t="n">
        <v>23.1900009155273</v>
      </c>
      <c r="L227" s="105"/>
      <c r="M227" s="106" t="n">
        <v>42887</v>
      </c>
      <c r="N227" s="147" t="n">
        <v>23.5262501525879</v>
      </c>
      <c r="O227" s="147" t="n">
        <v>28.8587501525879</v>
      </c>
      <c r="P227" s="147" t="n">
        <v>34.1912501525879</v>
      </c>
      <c r="Q227" s="18"/>
      <c r="R227" s="147" t="n">
        <v>18.0424995422363</v>
      </c>
      <c r="S227" s="147" t="n">
        <v>22.3424995422363</v>
      </c>
      <c r="T227" s="147" t="n">
        <v>26.6424995422363</v>
      </c>
      <c r="U227" s="18"/>
      <c r="V227" s="147" t="n">
        <v>0.3</v>
      </c>
      <c r="W227" s="147" t="n">
        <v>0.3</v>
      </c>
      <c r="X227" s="147" t="n">
        <v>0.3</v>
      </c>
      <c r="Y227" s="18"/>
      <c r="Z227" s="147" t="n">
        <v>0.0756082600910151</v>
      </c>
      <c r="AA227" s="147" t="n">
        <v>0.15121652018203</v>
      </c>
      <c r="AB227" s="147" t="n">
        <v>0.226824780273045</v>
      </c>
      <c r="AC227" s="18"/>
      <c r="AD227" s="147" t="n">
        <v>0.0319194794781291</v>
      </c>
      <c r="AE227" s="147" t="n">
        <v>0.0638389589562581</v>
      </c>
      <c r="AF227" s="147" t="n">
        <v>0.0957584384343872</v>
      </c>
      <c r="AG227" s="18"/>
      <c r="AH227" s="147" t="n">
        <v>-0.35</v>
      </c>
      <c r="AI227" s="147" t="n">
        <v>2</v>
      </c>
      <c r="AJ227" s="147" t="n">
        <v>0.3</v>
      </c>
      <c r="AK227" s="18"/>
      <c r="AL227" s="147" t="n">
        <v>-0.15</v>
      </c>
      <c r="AM227" s="147" t="n">
        <v>0.65</v>
      </c>
      <c r="AN227" s="147" t="n">
        <v>0.2</v>
      </c>
      <c r="AO227" s="18"/>
      <c r="AP227" s="105" t="n">
        <v>70</v>
      </c>
      <c r="AQ227" s="148" t="n">
        <v>0.4</v>
      </c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06" t="n">
        <v>42887</v>
      </c>
      <c r="BI227" s="150" t="n">
        <v>0.9</v>
      </c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0"/>
      <c r="CP227" s="0"/>
      <c r="CQ227" s="0"/>
      <c r="CR227" s="0"/>
      <c r="CS227" s="0"/>
      <c r="CT227" s="0"/>
      <c r="CY227" s="152" t="n">
        <f aca="false">M227</f>
        <v>42887</v>
      </c>
      <c r="CZ227" s="153" t="n">
        <f aca="false">AI227+AH227</f>
        <v>1.65</v>
      </c>
      <c r="DA227" s="153" t="n">
        <f aca="false">AI227</f>
        <v>2</v>
      </c>
      <c r="DB227" s="153" t="n">
        <f aca="false">AI227+AJ227</f>
        <v>2.3</v>
      </c>
      <c r="DD227" s="153" t="n">
        <f aca="false">Z227</f>
        <v>0.0756082600910151</v>
      </c>
      <c r="DE227" s="153" t="n">
        <f aca="false">AA227</f>
        <v>0.15121652018203</v>
      </c>
      <c r="DF227" s="153" t="n">
        <f aca="false">AB227</f>
        <v>0.226824780273045</v>
      </c>
      <c r="DH227" s="152" t="n">
        <f aca="false">BH227</f>
        <v>42887</v>
      </c>
      <c r="DI227" s="99" t="n">
        <v>0.9</v>
      </c>
    </row>
    <row r="228" customFormat="false" ht="12.75" hidden="false" customHeight="false" outlineLevel="0" collapsed="false">
      <c r="A228" s="110" t="n">
        <f aca="false">EOMONTH(A227,0)+1</f>
        <v>52475</v>
      </c>
      <c r="B228" s="99" t="n">
        <f aca="false">'Gas Curves'!C232</f>
        <v>0.074176903892433</v>
      </c>
      <c r="C228" s="99"/>
      <c r="D228" s="145" t="n">
        <v>42036</v>
      </c>
      <c r="E228" s="146" t="n">
        <v>36.95</v>
      </c>
      <c r="F228" s="146" t="n">
        <v>38.95</v>
      </c>
      <c r="G228" s="146" t="n">
        <v>40.95</v>
      </c>
      <c r="H228" s="127"/>
      <c r="I228" s="146" t="n">
        <v>20.9999977111816</v>
      </c>
      <c r="J228" s="146" t="n">
        <v>21.9999977111816</v>
      </c>
      <c r="K228" s="146" t="n">
        <v>22.9999977111816</v>
      </c>
      <c r="L228" s="105"/>
      <c r="M228" s="106" t="n">
        <v>42917</v>
      </c>
      <c r="N228" s="147" t="n">
        <v>38.3112495422364</v>
      </c>
      <c r="O228" s="147" t="n">
        <v>42.0612495422364</v>
      </c>
      <c r="P228" s="147" t="n">
        <v>45.8112495422364</v>
      </c>
      <c r="Q228" s="18"/>
      <c r="R228" s="147" t="n">
        <v>27.2474994659424</v>
      </c>
      <c r="S228" s="147" t="n">
        <v>31.5474994659424</v>
      </c>
      <c r="T228" s="147" t="n">
        <v>35.8474994659424</v>
      </c>
      <c r="U228" s="18"/>
      <c r="V228" s="147" t="n">
        <v>0.3</v>
      </c>
      <c r="W228" s="147" t="n">
        <v>0.3</v>
      </c>
      <c r="X228" s="147" t="n">
        <v>0.3</v>
      </c>
      <c r="Y228" s="18"/>
      <c r="Z228" s="147" t="n">
        <v>0.0894722501535458</v>
      </c>
      <c r="AA228" s="147" t="n">
        <v>0.178944500307092</v>
      </c>
      <c r="AB228" s="147" t="n">
        <v>0.268416750460637</v>
      </c>
      <c r="AC228" s="18"/>
      <c r="AD228" s="147" t="n">
        <v>0.0425593059708387</v>
      </c>
      <c r="AE228" s="147" t="n">
        <v>0.0851186119416775</v>
      </c>
      <c r="AF228" s="147" t="n">
        <v>0.127677917912516</v>
      </c>
      <c r="AG228" s="18"/>
      <c r="AH228" s="147" t="n">
        <v>-0.35</v>
      </c>
      <c r="AI228" s="147" t="n">
        <v>3</v>
      </c>
      <c r="AJ228" s="147" t="n">
        <v>0.5</v>
      </c>
      <c r="AK228" s="18"/>
      <c r="AL228" s="147" t="n">
        <v>-0.15</v>
      </c>
      <c r="AM228" s="147" t="n">
        <v>0.75</v>
      </c>
      <c r="AN228" s="147" t="n">
        <v>0.2</v>
      </c>
      <c r="AO228" s="18"/>
      <c r="AP228" s="105" t="n">
        <v>70</v>
      </c>
      <c r="AQ228" s="148" t="n">
        <v>0.4</v>
      </c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06" t="n">
        <v>42917</v>
      </c>
      <c r="BI228" s="150" t="n">
        <v>0.9</v>
      </c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0"/>
      <c r="CP228" s="0"/>
      <c r="CQ228" s="0"/>
      <c r="CR228" s="0"/>
      <c r="CS228" s="0"/>
      <c r="CT228" s="0"/>
      <c r="CY228" s="152" t="n">
        <f aca="false">M228</f>
        <v>42917</v>
      </c>
      <c r="CZ228" s="153" t="n">
        <f aca="false">AI228+AH228</f>
        <v>2.65</v>
      </c>
      <c r="DA228" s="153" t="n">
        <f aca="false">AI228</f>
        <v>3</v>
      </c>
      <c r="DB228" s="153" t="n">
        <f aca="false">AI228+AJ228</f>
        <v>3.5</v>
      </c>
      <c r="DD228" s="153" t="n">
        <f aca="false">Z228</f>
        <v>0.0894722501535458</v>
      </c>
      <c r="DE228" s="153" t="n">
        <f aca="false">AA228</f>
        <v>0.178944500307092</v>
      </c>
      <c r="DF228" s="153" t="n">
        <f aca="false">AB228</f>
        <v>0.268416750460637</v>
      </c>
      <c r="DH228" s="152" t="n">
        <f aca="false">BH228</f>
        <v>42917</v>
      </c>
      <c r="DI228" s="99" t="n">
        <v>0.9</v>
      </c>
    </row>
    <row r="229" customFormat="false" ht="12.75" hidden="false" customHeight="false" outlineLevel="0" collapsed="false">
      <c r="A229" s="110" t="n">
        <f aca="false">EOMONTH(A228,0)+1</f>
        <v>52505</v>
      </c>
      <c r="B229" s="99" t="n">
        <f aca="false">'Gas Curves'!C233</f>
        <v>0.074176609174553</v>
      </c>
      <c r="C229" s="99"/>
      <c r="D229" s="145" t="n">
        <v>42064</v>
      </c>
      <c r="E229" s="146" t="n">
        <v>34.1</v>
      </c>
      <c r="F229" s="146" t="n">
        <v>35.2</v>
      </c>
      <c r="G229" s="146" t="n">
        <v>36.3</v>
      </c>
      <c r="H229" s="127"/>
      <c r="I229" s="146" t="n">
        <v>20.4499996185303</v>
      </c>
      <c r="J229" s="146" t="n">
        <v>20.9999996185303</v>
      </c>
      <c r="K229" s="146" t="n">
        <v>21.5499996185303</v>
      </c>
      <c r="L229" s="105"/>
      <c r="M229" s="106" t="n">
        <v>42948</v>
      </c>
      <c r="N229" s="147" t="n">
        <v>40.5724990844727</v>
      </c>
      <c r="O229" s="147" t="n">
        <v>44.3224990844727</v>
      </c>
      <c r="P229" s="147" t="n">
        <v>48.0724990844727</v>
      </c>
      <c r="Q229" s="18"/>
      <c r="R229" s="147" t="n">
        <v>28.7450008392334</v>
      </c>
      <c r="S229" s="147" t="n">
        <v>33.0450008392334</v>
      </c>
      <c r="T229" s="147" t="n">
        <v>37.3450008392334</v>
      </c>
      <c r="U229" s="18"/>
      <c r="V229" s="147" t="n">
        <v>0.3</v>
      </c>
      <c r="W229" s="147" t="n">
        <v>0.3</v>
      </c>
      <c r="X229" s="147" t="n">
        <v>0.3</v>
      </c>
      <c r="Y229" s="18"/>
      <c r="Z229" s="147" t="n">
        <v>0.0880363368970694</v>
      </c>
      <c r="AA229" s="147" t="n">
        <v>0.176072673794139</v>
      </c>
      <c r="AB229" s="147" t="n">
        <v>0.264109010691208</v>
      </c>
      <c r="AC229" s="18"/>
      <c r="AD229" s="147" t="n">
        <v>0.0425593059708387</v>
      </c>
      <c r="AE229" s="147" t="n">
        <v>0.0851186119416775</v>
      </c>
      <c r="AF229" s="147" t="n">
        <v>0.127677917912516</v>
      </c>
      <c r="AG229" s="18"/>
      <c r="AH229" s="147" t="n">
        <v>-0.35</v>
      </c>
      <c r="AI229" s="147" t="n">
        <v>3</v>
      </c>
      <c r="AJ229" s="147" t="n">
        <v>0.5</v>
      </c>
      <c r="AK229" s="18"/>
      <c r="AL229" s="147" t="n">
        <v>-0.15</v>
      </c>
      <c r="AM229" s="147" t="n">
        <v>0.75</v>
      </c>
      <c r="AN229" s="147" t="n">
        <v>0.2</v>
      </c>
      <c r="AO229" s="18"/>
      <c r="AP229" s="105" t="n">
        <v>71</v>
      </c>
      <c r="AQ229" s="148" t="n">
        <v>0.4</v>
      </c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06" t="n">
        <v>42948</v>
      </c>
      <c r="BI229" s="150" t="n">
        <v>0.9</v>
      </c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  <c r="CH229" s="0"/>
      <c r="CP229" s="0"/>
      <c r="CQ229" s="0"/>
      <c r="CR229" s="0"/>
      <c r="CS229" s="0"/>
      <c r="CT229" s="0"/>
      <c r="CY229" s="152" t="n">
        <f aca="false">M229</f>
        <v>42948</v>
      </c>
      <c r="CZ229" s="153" t="n">
        <f aca="false">AI229+AH229</f>
        <v>2.65</v>
      </c>
      <c r="DA229" s="153" t="n">
        <f aca="false">AI229</f>
        <v>3</v>
      </c>
      <c r="DB229" s="153" t="n">
        <f aca="false">AI229+AJ229</f>
        <v>3.5</v>
      </c>
      <c r="DD229" s="153" t="n">
        <f aca="false">Z229</f>
        <v>0.0880363368970694</v>
      </c>
      <c r="DE229" s="153" t="n">
        <f aca="false">AA229</f>
        <v>0.176072673794139</v>
      </c>
      <c r="DF229" s="153" t="n">
        <f aca="false">AB229</f>
        <v>0.264109010691208</v>
      </c>
      <c r="DH229" s="152" t="n">
        <f aca="false">BH229</f>
        <v>42948</v>
      </c>
      <c r="DI229" s="99" t="n">
        <v>0.9</v>
      </c>
    </row>
    <row r="230" customFormat="false" ht="12.75" hidden="false" customHeight="false" outlineLevel="0" collapsed="false">
      <c r="A230" s="110" t="n">
        <f aca="false">EOMONTH(A229,0)+1</f>
        <v>52536</v>
      </c>
      <c r="B230" s="99" t="n">
        <f aca="false">'Gas Curves'!C234</f>
        <v>0.074176323963702</v>
      </c>
      <c r="C230" s="99"/>
      <c r="D230" s="145" t="n">
        <v>42095</v>
      </c>
      <c r="E230" s="146" t="n">
        <v>33</v>
      </c>
      <c r="F230" s="146" t="n">
        <v>33.95</v>
      </c>
      <c r="G230" s="146" t="n">
        <v>34.9</v>
      </c>
      <c r="H230" s="127"/>
      <c r="I230" s="146" t="n">
        <v>20.5249977111816</v>
      </c>
      <c r="J230" s="146" t="n">
        <v>20.9999977111816</v>
      </c>
      <c r="K230" s="146" t="n">
        <v>21.4749977111816</v>
      </c>
      <c r="L230" s="105"/>
      <c r="M230" s="106" t="n">
        <v>42979</v>
      </c>
      <c r="N230" s="147" t="n">
        <v>23.9799991607666</v>
      </c>
      <c r="O230" s="147" t="n">
        <v>25.7049991607666</v>
      </c>
      <c r="P230" s="147" t="n">
        <v>27.4299991607666</v>
      </c>
      <c r="Q230" s="18"/>
      <c r="R230" s="147" t="n">
        <v>21.9</v>
      </c>
      <c r="S230" s="147" t="n">
        <v>26.2</v>
      </c>
      <c r="T230" s="147" t="n">
        <v>30.5</v>
      </c>
      <c r="U230" s="18"/>
      <c r="V230" s="147" t="n">
        <v>0.8</v>
      </c>
      <c r="W230" s="147" t="n">
        <v>0.8</v>
      </c>
      <c r="X230" s="147" t="n">
        <v>0.8</v>
      </c>
      <c r="Y230" s="18"/>
      <c r="Z230" s="147" t="n">
        <v>0.0583277867630752</v>
      </c>
      <c r="AA230" s="147" t="n">
        <v>0.11665557352615</v>
      </c>
      <c r="AB230" s="147" t="n">
        <v>0.174983360289226</v>
      </c>
      <c r="AC230" s="18"/>
      <c r="AD230" s="147" t="n">
        <v>0.0283728706472258</v>
      </c>
      <c r="AE230" s="147" t="n">
        <v>0.0567457412944517</v>
      </c>
      <c r="AF230" s="147" t="n">
        <v>0.0851186119416775</v>
      </c>
      <c r="AG230" s="18"/>
      <c r="AH230" s="147" t="n">
        <v>-0.35</v>
      </c>
      <c r="AI230" s="147" t="n">
        <v>1.5</v>
      </c>
      <c r="AJ230" s="147" t="n">
        <v>0.3</v>
      </c>
      <c r="AK230" s="18"/>
      <c r="AL230" s="147" t="n">
        <v>-0.15</v>
      </c>
      <c r="AM230" s="147" t="n">
        <v>0.4</v>
      </c>
      <c r="AN230" s="147" t="n">
        <v>0.2</v>
      </c>
      <c r="AO230" s="18"/>
      <c r="AP230" s="105" t="n">
        <v>71</v>
      </c>
      <c r="AQ230" s="148" t="n">
        <v>0.4</v>
      </c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06" t="n">
        <v>42979</v>
      </c>
      <c r="BI230" s="150" t="n">
        <v>0.9</v>
      </c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  <c r="CH230" s="0"/>
      <c r="CP230" s="0"/>
      <c r="CQ230" s="0"/>
      <c r="CR230" s="0"/>
      <c r="CS230" s="0"/>
      <c r="CT230" s="0"/>
      <c r="CY230" s="152" t="n">
        <f aca="false">M230</f>
        <v>42979</v>
      </c>
      <c r="CZ230" s="153" t="n">
        <f aca="false">AI230+AH230</f>
        <v>1.15</v>
      </c>
      <c r="DA230" s="153" t="n">
        <f aca="false">AI230</f>
        <v>1.5</v>
      </c>
      <c r="DB230" s="153" t="n">
        <f aca="false">AI230+AJ230</f>
        <v>1.8</v>
      </c>
      <c r="DD230" s="153" t="n">
        <f aca="false">Z230</f>
        <v>0.0583277867630752</v>
      </c>
      <c r="DE230" s="153" t="n">
        <f aca="false">AA230</f>
        <v>0.11665557352615</v>
      </c>
      <c r="DF230" s="153" t="n">
        <f aca="false">AB230</f>
        <v>0.174983360289226</v>
      </c>
      <c r="DH230" s="152" t="n">
        <f aca="false">BH230</f>
        <v>42979</v>
      </c>
      <c r="DI230" s="99" t="n">
        <v>0.9</v>
      </c>
    </row>
    <row r="231" customFormat="false" ht="12.75" hidden="false" customHeight="false" outlineLevel="0" collapsed="false">
      <c r="A231" s="110" t="n">
        <f aca="false">EOMONTH(A230,0)+1</f>
        <v>52566</v>
      </c>
      <c r="B231" s="99" t="n">
        <f aca="false">'Gas Curves'!C235</f>
        <v>0.074176029245823</v>
      </c>
      <c r="C231" s="99"/>
      <c r="D231" s="145" t="n">
        <v>42125</v>
      </c>
      <c r="E231" s="146" t="n">
        <v>34.67</v>
      </c>
      <c r="F231" s="146" t="n">
        <v>37.15</v>
      </c>
      <c r="G231" s="146" t="n">
        <v>39.63</v>
      </c>
      <c r="H231" s="127"/>
      <c r="I231" s="146" t="n">
        <v>19.7599977111816</v>
      </c>
      <c r="J231" s="146" t="n">
        <v>20.9999977111816</v>
      </c>
      <c r="K231" s="146" t="n">
        <v>22.2399977111816</v>
      </c>
      <c r="L231" s="105"/>
      <c r="M231" s="106" t="n">
        <v>43009</v>
      </c>
      <c r="N231" s="147" t="n">
        <v>24.1880001068115</v>
      </c>
      <c r="O231" s="147" t="n">
        <v>25.8005001068115</v>
      </c>
      <c r="P231" s="147" t="n">
        <v>27.4130001068115</v>
      </c>
      <c r="Q231" s="18"/>
      <c r="R231" s="147" t="n">
        <v>19.5009998321533</v>
      </c>
      <c r="S231" s="147" t="n">
        <v>23.8009998321533</v>
      </c>
      <c r="T231" s="147" t="n">
        <v>28.1009998321533</v>
      </c>
      <c r="U231" s="18"/>
      <c r="V231" s="147" t="n">
        <v>0.8</v>
      </c>
      <c r="W231" s="147" t="n">
        <v>0.8</v>
      </c>
      <c r="X231" s="147" t="n">
        <v>0.8</v>
      </c>
      <c r="Y231" s="18"/>
      <c r="Z231" s="147" t="n">
        <v>0.0532773332402962</v>
      </c>
      <c r="AA231" s="147" t="n">
        <v>0.106554666480592</v>
      </c>
      <c r="AB231" s="147" t="n">
        <v>0.159831999720889</v>
      </c>
      <c r="AC231" s="18"/>
      <c r="AD231" s="147" t="n">
        <v>0.0212796529854194</v>
      </c>
      <c r="AE231" s="147" t="n">
        <v>0.0425593059708387</v>
      </c>
      <c r="AF231" s="147" t="n">
        <v>0.0638389589562581</v>
      </c>
      <c r="AG231" s="18"/>
      <c r="AH231" s="147" t="n">
        <v>-0.25</v>
      </c>
      <c r="AI231" s="147" t="n">
        <v>1.1</v>
      </c>
      <c r="AJ231" s="147" t="n">
        <v>0.3</v>
      </c>
      <c r="AK231" s="18"/>
      <c r="AL231" s="147" t="n">
        <v>-0.15</v>
      </c>
      <c r="AM231" s="147" t="n">
        <v>0.35</v>
      </c>
      <c r="AN231" s="147" t="n">
        <v>0.2</v>
      </c>
      <c r="AO231" s="18"/>
      <c r="AP231" s="105" t="n">
        <v>71</v>
      </c>
      <c r="AQ231" s="148" t="n">
        <v>0.4</v>
      </c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06" t="n">
        <v>43009</v>
      </c>
      <c r="BI231" s="150" t="n">
        <v>0.9</v>
      </c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  <c r="CH231" s="0"/>
      <c r="CP231" s="0"/>
      <c r="CQ231" s="0"/>
      <c r="CR231" s="0"/>
      <c r="CS231" s="0"/>
      <c r="CT231" s="0"/>
      <c r="CY231" s="152" t="n">
        <f aca="false">M231</f>
        <v>43009</v>
      </c>
      <c r="CZ231" s="153" t="n">
        <f aca="false">AI231+AH231</f>
        <v>0.85</v>
      </c>
      <c r="DA231" s="153" t="n">
        <f aca="false">AI231</f>
        <v>1.1</v>
      </c>
      <c r="DB231" s="153" t="n">
        <f aca="false">AI231+AJ231</f>
        <v>1.4</v>
      </c>
      <c r="DD231" s="153" t="n">
        <f aca="false">Z231</f>
        <v>0.0532773332402962</v>
      </c>
      <c r="DE231" s="153" t="n">
        <f aca="false">AA231</f>
        <v>0.106554666480592</v>
      </c>
      <c r="DF231" s="153" t="n">
        <f aca="false">AB231</f>
        <v>0.159831999720889</v>
      </c>
      <c r="DH231" s="152" t="n">
        <f aca="false">BH231</f>
        <v>43009</v>
      </c>
      <c r="DI231" s="99" t="n">
        <v>0.9</v>
      </c>
    </row>
    <row r="232" customFormat="false" ht="12.75" hidden="false" customHeight="false" outlineLevel="0" collapsed="false">
      <c r="A232" s="110" t="n">
        <f aca="false">EOMONTH(A231,0)+1</f>
        <v>52597</v>
      </c>
      <c r="B232" s="99" t="n">
        <f aca="false">'Gas Curves'!C236</f>
        <v>0.074175744034972</v>
      </c>
      <c r="C232" s="99"/>
      <c r="D232" s="145" t="n">
        <v>42156</v>
      </c>
      <c r="E232" s="146" t="n">
        <v>50.14</v>
      </c>
      <c r="F232" s="146" t="n">
        <v>57.25</v>
      </c>
      <c r="G232" s="146" t="n">
        <v>64.36</v>
      </c>
      <c r="H232" s="127"/>
      <c r="I232" s="146" t="n">
        <v>17.3999987792969</v>
      </c>
      <c r="J232" s="146" t="n">
        <v>20.9549987792969</v>
      </c>
      <c r="K232" s="146" t="n">
        <v>24.5099987792969</v>
      </c>
      <c r="L232" s="105"/>
      <c r="M232" s="106" t="n">
        <v>43040</v>
      </c>
      <c r="N232" s="147" t="n">
        <v>25.1922515869141</v>
      </c>
      <c r="O232" s="147" t="n">
        <v>26.8047515869141</v>
      </c>
      <c r="P232" s="147" t="n">
        <v>28.4172515869141</v>
      </c>
      <c r="Q232" s="18"/>
      <c r="R232" s="147" t="n">
        <v>20.5044998168945</v>
      </c>
      <c r="S232" s="147" t="n">
        <v>24.8044998168945</v>
      </c>
      <c r="T232" s="147" t="n">
        <v>29.1044998168945</v>
      </c>
      <c r="U232" s="18"/>
      <c r="V232" s="147" t="n">
        <v>0.8</v>
      </c>
      <c r="W232" s="147" t="n">
        <v>0.8</v>
      </c>
      <c r="X232" s="147" t="n">
        <v>0.8</v>
      </c>
      <c r="Y232" s="18"/>
      <c r="Z232" s="147" t="n">
        <v>0.0532773332402962</v>
      </c>
      <c r="AA232" s="147" t="n">
        <v>0.106554666480592</v>
      </c>
      <c r="AB232" s="147" t="n">
        <v>0.159831999720889</v>
      </c>
      <c r="AC232" s="18"/>
      <c r="AD232" s="147" t="n">
        <v>0.0212796529854194</v>
      </c>
      <c r="AE232" s="147" t="n">
        <v>0.0425593059708387</v>
      </c>
      <c r="AF232" s="147" t="n">
        <v>0.0638389589562581</v>
      </c>
      <c r="AG232" s="18"/>
      <c r="AH232" s="147" t="n">
        <v>-0.25</v>
      </c>
      <c r="AI232" s="147" t="n">
        <v>1.25</v>
      </c>
      <c r="AJ232" s="147" t="n">
        <v>0.3</v>
      </c>
      <c r="AK232" s="18"/>
      <c r="AL232" s="147" t="n">
        <v>-0.15</v>
      </c>
      <c r="AM232" s="147" t="n">
        <v>0.3</v>
      </c>
      <c r="AN232" s="147" t="n">
        <v>0.2</v>
      </c>
      <c r="AO232" s="18"/>
      <c r="AP232" s="105" t="n">
        <v>72</v>
      </c>
      <c r="AQ232" s="148" t="n">
        <v>0.4</v>
      </c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06" t="n">
        <v>43040</v>
      </c>
      <c r="BI232" s="150" t="n">
        <v>0.9</v>
      </c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0"/>
      <c r="CP232" s="0"/>
      <c r="CQ232" s="0"/>
      <c r="CR232" s="0"/>
      <c r="CS232" s="0"/>
      <c r="CT232" s="0"/>
      <c r="CY232" s="152" t="n">
        <f aca="false">M232</f>
        <v>43040</v>
      </c>
      <c r="CZ232" s="153" t="n">
        <f aca="false">AI232+AH232</f>
        <v>1</v>
      </c>
      <c r="DA232" s="153" t="n">
        <f aca="false">AI232</f>
        <v>1.25</v>
      </c>
      <c r="DB232" s="153" t="n">
        <f aca="false">AI232+AJ232</f>
        <v>1.55</v>
      </c>
      <c r="DD232" s="153" t="n">
        <f aca="false">Z232</f>
        <v>0.0532773332402962</v>
      </c>
      <c r="DE232" s="153" t="n">
        <f aca="false">AA232</f>
        <v>0.106554666480592</v>
      </c>
      <c r="DF232" s="153" t="n">
        <f aca="false">AB232</f>
        <v>0.159831999720889</v>
      </c>
      <c r="DH232" s="152" t="n">
        <f aca="false">BH232</f>
        <v>43040</v>
      </c>
      <c r="DI232" s="99" t="n">
        <v>0.9</v>
      </c>
    </row>
    <row r="233" customFormat="false" ht="12.75" hidden="false" customHeight="false" outlineLevel="0" collapsed="false">
      <c r="A233" s="110" t="n">
        <f aca="false">EOMONTH(A232,0)+1</f>
        <v>52628</v>
      </c>
      <c r="B233" s="99" t="n">
        <f aca="false">'Gas Curves'!C237</f>
        <v>0.074175449317092</v>
      </c>
      <c r="C233" s="99"/>
      <c r="D233" s="145" t="n">
        <v>42186</v>
      </c>
      <c r="E233" s="146" t="n">
        <v>81.5</v>
      </c>
      <c r="F233" s="146" t="n">
        <v>86.5</v>
      </c>
      <c r="G233" s="146" t="n">
        <v>91.5</v>
      </c>
      <c r="H233" s="127"/>
      <c r="I233" s="146" t="n">
        <v>22.9499977111816</v>
      </c>
      <c r="J233" s="146" t="n">
        <v>25.4499977111816</v>
      </c>
      <c r="K233" s="146" t="n">
        <v>27.9499977111816</v>
      </c>
      <c r="L233" s="105"/>
      <c r="M233" s="106" t="n">
        <v>43070</v>
      </c>
      <c r="N233" s="147" t="n">
        <v>26.6424983978271</v>
      </c>
      <c r="O233" s="147" t="n">
        <v>28.2549983978271</v>
      </c>
      <c r="P233" s="147" t="n">
        <v>29.8674983978271</v>
      </c>
      <c r="Q233" s="18"/>
      <c r="R233" s="147" t="n">
        <v>20.4499992370605</v>
      </c>
      <c r="S233" s="147" t="n">
        <v>24.7499992370605</v>
      </c>
      <c r="T233" s="147" t="n">
        <v>29.0499992370605</v>
      </c>
      <c r="U233" s="18"/>
      <c r="V233" s="147" t="n">
        <v>0.8</v>
      </c>
      <c r="W233" s="147" t="n">
        <v>0.8</v>
      </c>
      <c r="X233" s="147" t="n">
        <v>0.8</v>
      </c>
      <c r="Y233" s="18"/>
      <c r="Z233" s="147" t="n">
        <v>0.0551786804488718</v>
      </c>
      <c r="AA233" s="147" t="n">
        <v>0.110357360897744</v>
      </c>
      <c r="AB233" s="147" t="n">
        <v>0.165536041346615</v>
      </c>
      <c r="AC233" s="18"/>
      <c r="AD233" s="147" t="n">
        <v>0.0212796529854194</v>
      </c>
      <c r="AE233" s="147" t="n">
        <v>0.0425593059708387</v>
      </c>
      <c r="AF233" s="147" t="n">
        <v>0.0638389589562581</v>
      </c>
      <c r="AG233" s="18"/>
      <c r="AH233" s="147" t="n">
        <v>-0.25</v>
      </c>
      <c r="AI233" s="147" t="n">
        <v>1.25</v>
      </c>
      <c r="AJ233" s="147" t="n">
        <v>0.3</v>
      </c>
      <c r="AK233" s="18"/>
      <c r="AL233" s="147" t="n">
        <v>-0.15</v>
      </c>
      <c r="AM233" s="147" t="n">
        <v>0.3</v>
      </c>
      <c r="AN233" s="147" t="n">
        <v>0.2</v>
      </c>
      <c r="AO233" s="18"/>
      <c r="AP233" s="105" t="n">
        <v>72</v>
      </c>
      <c r="AQ233" s="148" t="n">
        <v>0.4</v>
      </c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06" t="n">
        <v>43070</v>
      </c>
      <c r="BI233" s="150" t="n">
        <v>0.9</v>
      </c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0"/>
      <c r="CP233" s="0"/>
      <c r="CQ233" s="0"/>
      <c r="CR233" s="0"/>
      <c r="CS233" s="0"/>
      <c r="CT233" s="0"/>
      <c r="CY233" s="152" t="n">
        <f aca="false">M233</f>
        <v>43070</v>
      </c>
      <c r="CZ233" s="153" t="n">
        <f aca="false">AI233+AH233</f>
        <v>1</v>
      </c>
      <c r="DA233" s="153" t="n">
        <f aca="false">AI233</f>
        <v>1.25</v>
      </c>
      <c r="DB233" s="153" t="n">
        <f aca="false">AI233+AJ233</f>
        <v>1.55</v>
      </c>
      <c r="DD233" s="153" t="n">
        <f aca="false">Z233</f>
        <v>0.0551786804488718</v>
      </c>
      <c r="DE233" s="153" t="n">
        <f aca="false">AA233</f>
        <v>0.110357360897744</v>
      </c>
      <c r="DF233" s="153" t="n">
        <f aca="false">AB233</f>
        <v>0.165536041346615</v>
      </c>
      <c r="DH233" s="152" t="n">
        <f aca="false">BH233</f>
        <v>43070</v>
      </c>
      <c r="DI233" s="99" t="n">
        <v>0.9</v>
      </c>
    </row>
    <row r="234" customFormat="false" ht="12.75" hidden="false" customHeight="false" outlineLevel="0" collapsed="false">
      <c r="A234" s="110" t="n">
        <f aca="false">EOMONTH(A233,0)+1</f>
        <v>52657</v>
      </c>
      <c r="B234" s="99" t="n">
        <f aca="false">'Gas Curves'!C238</f>
        <v>0.074175154599213</v>
      </c>
      <c r="C234" s="99"/>
      <c r="D234" s="145" t="n">
        <v>42217</v>
      </c>
      <c r="E234" s="146" t="n">
        <v>77</v>
      </c>
      <c r="F234" s="146" t="n">
        <v>82</v>
      </c>
      <c r="G234" s="146" t="n">
        <v>87</v>
      </c>
      <c r="H234" s="127"/>
      <c r="I234" s="146" t="n">
        <v>23.2999980926514</v>
      </c>
      <c r="J234" s="146" t="n">
        <v>25.7999980926514</v>
      </c>
      <c r="K234" s="146" t="n">
        <v>28.2999980926514</v>
      </c>
      <c r="L234" s="105"/>
      <c r="M234" s="106" t="n">
        <v>43101</v>
      </c>
      <c r="N234" s="147" t="n">
        <v>29.9987483978271</v>
      </c>
      <c r="O234" s="147" t="n">
        <v>31.6487483978271</v>
      </c>
      <c r="P234" s="147" t="n">
        <v>33.2987483978271</v>
      </c>
      <c r="Q234" s="18"/>
      <c r="R234" s="147" t="n">
        <v>25.8525001525879</v>
      </c>
      <c r="S234" s="147" t="n">
        <v>30.1525001525879</v>
      </c>
      <c r="T234" s="147" t="n">
        <v>34.4525001525879</v>
      </c>
      <c r="U234" s="18"/>
      <c r="V234" s="147" t="n">
        <v>0.8</v>
      </c>
      <c r="W234" s="147" t="n">
        <v>0.8</v>
      </c>
      <c r="X234" s="147" t="n">
        <v>0.8</v>
      </c>
      <c r="Y234" s="18"/>
      <c r="Z234" s="147" t="n">
        <v>0.0593730876011232</v>
      </c>
      <c r="AA234" s="147" t="n">
        <v>0.118746175202246</v>
      </c>
      <c r="AB234" s="147" t="n">
        <v>0.17811926280337</v>
      </c>
      <c r="AC234" s="18"/>
      <c r="AD234" s="147" t="n">
        <v>0.0243297365799962</v>
      </c>
      <c r="AE234" s="147" t="n">
        <v>0.0486594731599923</v>
      </c>
      <c r="AF234" s="147" t="n">
        <v>0.0729892097399885</v>
      </c>
      <c r="AG234" s="18"/>
      <c r="AH234" s="147" t="n">
        <v>-0.75</v>
      </c>
      <c r="AI234" s="147" t="n">
        <v>2</v>
      </c>
      <c r="AJ234" s="147" t="n">
        <v>0.75</v>
      </c>
      <c r="AK234" s="18"/>
      <c r="AL234" s="147" t="n">
        <v>-0.15</v>
      </c>
      <c r="AM234" s="147" t="n">
        <v>0.5</v>
      </c>
      <c r="AN234" s="147" t="n">
        <v>0.2</v>
      </c>
      <c r="AO234" s="18"/>
      <c r="AP234" s="105" t="n">
        <v>72</v>
      </c>
      <c r="AQ234" s="148" t="n">
        <v>0.4</v>
      </c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06" t="n">
        <v>43101</v>
      </c>
      <c r="BI234" s="150" t="n">
        <v>0.9</v>
      </c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0"/>
      <c r="CP234" s="0"/>
      <c r="CQ234" s="0"/>
      <c r="CR234" s="0"/>
      <c r="CS234" s="0"/>
      <c r="CT234" s="0"/>
      <c r="CY234" s="152" t="n">
        <f aca="false">M234</f>
        <v>43101</v>
      </c>
      <c r="CZ234" s="153" t="n">
        <f aca="false">AI234+AH234</f>
        <v>1.25</v>
      </c>
      <c r="DA234" s="153" t="n">
        <f aca="false">AI234</f>
        <v>2</v>
      </c>
      <c r="DB234" s="153" t="n">
        <f aca="false">AI234+AJ234</f>
        <v>2.75</v>
      </c>
      <c r="DD234" s="153" t="n">
        <f aca="false">Z234</f>
        <v>0.0593730876011232</v>
      </c>
      <c r="DE234" s="153" t="n">
        <f aca="false">AA234</f>
        <v>0.118746175202246</v>
      </c>
      <c r="DF234" s="153" t="n">
        <f aca="false">AB234</f>
        <v>0.17811926280337</v>
      </c>
      <c r="DH234" s="152" t="n">
        <f aca="false">BH234</f>
        <v>43101</v>
      </c>
      <c r="DI234" s="99" t="n">
        <v>0.9</v>
      </c>
    </row>
    <row r="235" customFormat="false" ht="12.75" hidden="false" customHeight="false" outlineLevel="0" collapsed="false">
      <c r="A235" s="110" t="n">
        <f aca="false">EOMONTH(A234,0)+1</f>
        <v>52688</v>
      </c>
      <c r="B235" s="99" t="n">
        <f aca="false">'Gas Curves'!C239</f>
        <v>0.074174869388361</v>
      </c>
      <c r="C235" s="99"/>
      <c r="D235" s="145" t="n">
        <v>42248</v>
      </c>
      <c r="E235" s="146" t="n">
        <v>32.85</v>
      </c>
      <c r="F235" s="146" t="n">
        <v>34.95</v>
      </c>
      <c r="G235" s="146" t="n">
        <v>37.05</v>
      </c>
      <c r="H235" s="127"/>
      <c r="I235" s="146" t="n">
        <v>20.2999980926514</v>
      </c>
      <c r="J235" s="146" t="n">
        <v>21.3499980926514</v>
      </c>
      <c r="K235" s="146" t="n">
        <v>22.3999980926514</v>
      </c>
      <c r="L235" s="105"/>
      <c r="M235" s="106" t="n">
        <v>43132</v>
      </c>
      <c r="N235" s="147" t="n">
        <v>28.9962501525879</v>
      </c>
      <c r="O235" s="147" t="n">
        <v>30.6462501525879</v>
      </c>
      <c r="P235" s="147" t="n">
        <v>32.2962501525879</v>
      </c>
      <c r="Q235" s="18"/>
      <c r="R235" s="147" t="n">
        <v>23.8474994659424</v>
      </c>
      <c r="S235" s="147" t="n">
        <v>28.1474994659424</v>
      </c>
      <c r="T235" s="147" t="n">
        <v>32.4474994659424</v>
      </c>
      <c r="U235" s="18"/>
      <c r="V235" s="147" t="n">
        <v>0.8</v>
      </c>
      <c r="W235" s="147" t="n">
        <v>0.8</v>
      </c>
      <c r="X235" s="147" t="n">
        <v>0.8</v>
      </c>
      <c r="Y235" s="18"/>
      <c r="Z235" s="147" t="n">
        <v>0.0572824859250273</v>
      </c>
      <c r="AA235" s="147" t="n">
        <v>0.114564971850055</v>
      </c>
      <c r="AB235" s="147" t="n">
        <v>0.171847457775082</v>
      </c>
      <c r="AC235" s="18"/>
      <c r="AD235" s="147" t="n">
        <v>0.0243297365799962</v>
      </c>
      <c r="AE235" s="147" t="n">
        <v>0.0486594731599923</v>
      </c>
      <c r="AF235" s="147" t="n">
        <v>0.0729892097399885</v>
      </c>
      <c r="AG235" s="18"/>
      <c r="AH235" s="147" t="n">
        <v>-0.75</v>
      </c>
      <c r="AI235" s="147" t="n">
        <v>2</v>
      </c>
      <c r="AJ235" s="147" t="n">
        <v>0.75</v>
      </c>
      <c r="AK235" s="18"/>
      <c r="AL235" s="147" t="n">
        <v>-0.15</v>
      </c>
      <c r="AM235" s="147" t="n">
        <v>0.5</v>
      </c>
      <c r="AN235" s="147" t="n">
        <v>0.2</v>
      </c>
      <c r="AO235" s="18"/>
      <c r="AP235" s="105" t="n">
        <v>73</v>
      </c>
      <c r="AQ235" s="148" t="n">
        <v>0.4</v>
      </c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06" t="n">
        <v>43132</v>
      </c>
      <c r="BI235" s="150" t="n">
        <v>0.9</v>
      </c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0"/>
      <c r="CP235" s="0"/>
      <c r="CQ235" s="0"/>
      <c r="CR235" s="0"/>
      <c r="CS235" s="0"/>
      <c r="CT235" s="0"/>
      <c r="CY235" s="152" t="n">
        <f aca="false">M235</f>
        <v>43132</v>
      </c>
      <c r="CZ235" s="153" t="n">
        <f aca="false">AI235+AH235</f>
        <v>1.25</v>
      </c>
      <c r="DA235" s="153" t="n">
        <f aca="false">AI235</f>
        <v>2</v>
      </c>
      <c r="DB235" s="153" t="n">
        <f aca="false">AI235+AJ235</f>
        <v>2.75</v>
      </c>
      <c r="DD235" s="153" t="n">
        <f aca="false">Z235</f>
        <v>0.0572824859250273</v>
      </c>
      <c r="DE235" s="153" t="n">
        <f aca="false">AA235</f>
        <v>0.114564971850055</v>
      </c>
      <c r="DF235" s="153" t="n">
        <f aca="false">AB235</f>
        <v>0.171847457775082</v>
      </c>
      <c r="DH235" s="152" t="n">
        <f aca="false">BH235</f>
        <v>43132</v>
      </c>
      <c r="DI235" s="99" t="n">
        <v>0.9</v>
      </c>
    </row>
    <row r="236" customFormat="false" ht="12.75" hidden="false" customHeight="false" outlineLevel="0" collapsed="false">
      <c r="A236" s="110" t="n">
        <f aca="false">EOMONTH(A235,0)+1</f>
        <v>52718</v>
      </c>
      <c r="B236" s="99" t="n">
        <f aca="false">'Gas Curves'!C240</f>
        <v>0.074174574670482</v>
      </c>
      <c r="C236" s="99"/>
      <c r="D236" s="145" t="n">
        <v>42278</v>
      </c>
      <c r="E236" s="146" t="n">
        <v>30.75</v>
      </c>
      <c r="F236" s="146" t="n">
        <v>32.7</v>
      </c>
      <c r="G236" s="146" t="n">
        <v>34.65</v>
      </c>
      <c r="H236" s="127"/>
      <c r="I236" s="146" t="n">
        <v>20.0749988555908</v>
      </c>
      <c r="J236" s="146" t="n">
        <v>21.0499988555908</v>
      </c>
      <c r="K236" s="146" t="n">
        <v>22.0249988555908</v>
      </c>
      <c r="L236" s="105"/>
      <c r="M236" s="106" t="n">
        <v>43160</v>
      </c>
      <c r="N236" s="147" t="n">
        <v>22.9347496032715</v>
      </c>
      <c r="O236" s="147" t="n">
        <v>23.8347496032715</v>
      </c>
      <c r="P236" s="147" t="n">
        <v>24.7347496032715</v>
      </c>
      <c r="Q236" s="18"/>
      <c r="R236" s="147" t="n">
        <v>19.1644989013672</v>
      </c>
      <c r="S236" s="147" t="n">
        <v>23.4644989013672</v>
      </c>
      <c r="T236" s="147" t="n">
        <v>27.7644989013672</v>
      </c>
      <c r="U236" s="18"/>
      <c r="V236" s="147" t="n">
        <v>0.3</v>
      </c>
      <c r="W236" s="147" t="n">
        <v>0.3</v>
      </c>
      <c r="X236" s="147" t="n">
        <v>0.3</v>
      </c>
      <c r="Y236" s="18"/>
      <c r="Z236" s="147" t="n">
        <v>0.0558347442643309</v>
      </c>
      <c r="AA236" s="147" t="n">
        <v>0.111669488528662</v>
      </c>
      <c r="AB236" s="147" t="n">
        <v>0.167504232792993</v>
      </c>
      <c r="AC236" s="18"/>
      <c r="AD236" s="147" t="n">
        <v>0.020854059925711</v>
      </c>
      <c r="AE236" s="147" t="n">
        <v>0.041708119851422</v>
      </c>
      <c r="AF236" s="147" t="n">
        <v>0.0625621797771329</v>
      </c>
      <c r="AG236" s="18"/>
      <c r="AH236" s="147" t="n">
        <v>-0.25</v>
      </c>
      <c r="AI236" s="147" t="n">
        <v>1.25</v>
      </c>
      <c r="AJ236" s="147" t="n">
        <v>0.3</v>
      </c>
      <c r="AK236" s="18"/>
      <c r="AL236" s="147" t="n">
        <v>-0.15</v>
      </c>
      <c r="AM236" s="147" t="n">
        <v>0.35</v>
      </c>
      <c r="AN236" s="147" t="n">
        <v>0.2</v>
      </c>
      <c r="AO236" s="18"/>
      <c r="AP236" s="105" t="n">
        <v>73</v>
      </c>
      <c r="AQ236" s="148" t="n">
        <v>0.4</v>
      </c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06" t="n">
        <v>43160</v>
      </c>
      <c r="BI236" s="150" t="n">
        <v>0.9</v>
      </c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0"/>
      <c r="CP236" s="0"/>
      <c r="CQ236" s="0"/>
      <c r="CR236" s="0"/>
      <c r="CS236" s="0"/>
      <c r="CT236" s="0"/>
      <c r="CY236" s="152" t="n">
        <f aca="false">M236</f>
        <v>43160</v>
      </c>
      <c r="CZ236" s="153" t="n">
        <f aca="false">AI236+AH236</f>
        <v>1</v>
      </c>
      <c r="DA236" s="153" t="n">
        <f aca="false">AI236</f>
        <v>1.25</v>
      </c>
      <c r="DB236" s="153" t="n">
        <f aca="false">AI236+AJ236</f>
        <v>1.55</v>
      </c>
      <c r="DD236" s="153" t="n">
        <f aca="false">Z236</f>
        <v>0.0558347442643309</v>
      </c>
      <c r="DE236" s="153" t="n">
        <f aca="false">AA236</f>
        <v>0.111669488528662</v>
      </c>
      <c r="DF236" s="153" t="n">
        <f aca="false">AB236</f>
        <v>0.167504232792993</v>
      </c>
      <c r="DH236" s="152" t="n">
        <f aca="false">BH236</f>
        <v>43160</v>
      </c>
      <c r="DI236" s="99" t="n">
        <v>0.9</v>
      </c>
    </row>
    <row r="237" customFormat="false" ht="12.75" hidden="false" customHeight="false" outlineLevel="0" collapsed="false">
      <c r="A237" s="110" t="n">
        <f aca="false">EOMONTH(A236,0)+1</f>
        <v>52749</v>
      </c>
      <c r="B237" s="99" t="n">
        <f aca="false">'Gas Curves'!C241</f>
        <v>0.074174289459631</v>
      </c>
      <c r="C237" s="99"/>
      <c r="D237" s="145" t="n">
        <v>42309</v>
      </c>
      <c r="E237" s="146" t="n">
        <v>31.125</v>
      </c>
      <c r="F237" s="146" t="n">
        <v>33.075</v>
      </c>
      <c r="G237" s="146" t="n">
        <v>35.025</v>
      </c>
      <c r="H237" s="127"/>
      <c r="I237" s="146" t="n">
        <v>19.9999980926514</v>
      </c>
      <c r="J237" s="146" t="n">
        <v>20.9749980926514</v>
      </c>
      <c r="K237" s="146" t="n">
        <v>21.9499980926514</v>
      </c>
      <c r="L237" s="105"/>
      <c r="M237" s="106" t="n">
        <v>43191</v>
      </c>
      <c r="N237" s="147" t="n">
        <v>23.7300003051758</v>
      </c>
      <c r="O237" s="147" t="n">
        <v>24.5175003051758</v>
      </c>
      <c r="P237" s="147" t="n">
        <v>25.3050003051758</v>
      </c>
      <c r="Q237" s="18"/>
      <c r="R237" s="147" t="n">
        <v>18.9349990844726</v>
      </c>
      <c r="S237" s="147" t="n">
        <v>23.2349990844726</v>
      </c>
      <c r="T237" s="147" t="n">
        <v>27.5349990844726</v>
      </c>
      <c r="U237" s="18"/>
      <c r="V237" s="147" t="n">
        <v>0.3</v>
      </c>
      <c r="W237" s="147" t="n">
        <v>0.3</v>
      </c>
      <c r="X237" s="147" t="n">
        <v>0.3</v>
      </c>
      <c r="Y237" s="18"/>
      <c r="Z237" s="147" t="n">
        <v>0.0497667728994625</v>
      </c>
      <c r="AA237" s="147" t="n">
        <v>0.0995335457989251</v>
      </c>
      <c r="AB237" s="147" t="n">
        <v>0.149300318698388</v>
      </c>
      <c r="AC237" s="18"/>
      <c r="AD237" s="147" t="n">
        <v>0.020854059925711</v>
      </c>
      <c r="AE237" s="147" t="n">
        <v>0.041708119851422</v>
      </c>
      <c r="AF237" s="147" t="n">
        <v>0.0625621797771329</v>
      </c>
      <c r="AG237" s="18"/>
      <c r="AH237" s="147" t="n">
        <v>-0.25</v>
      </c>
      <c r="AI237" s="147" t="n">
        <v>1.25</v>
      </c>
      <c r="AJ237" s="147" t="n">
        <v>0.3</v>
      </c>
      <c r="AK237" s="18"/>
      <c r="AL237" s="147" t="n">
        <v>-0.15</v>
      </c>
      <c r="AM237" s="147" t="n">
        <v>0.35</v>
      </c>
      <c r="AN237" s="147" t="n">
        <v>0.2</v>
      </c>
      <c r="AO237" s="18"/>
      <c r="AP237" s="105" t="n">
        <v>73</v>
      </c>
      <c r="AQ237" s="148" t="n">
        <v>0.4</v>
      </c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06" t="n">
        <v>43191</v>
      </c>
      <c r="BI237" s="150" t="n">
        <v>0.9</v>
      </c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0"/>
      <c r="CP237" s="0"/>
      <c r="CQ237" s="0"/>
      <c r="CR237" s="0"/>
      <c r="CS237" s="0"/>
      <c r="CT237" s="0"/>
      <c r="CY237" s="152" t="n">
        <f aca="false">M237</f>
        <v>43191</v>
      </c>
      <c r="CZ237" s="153" t="n">
        <f aca="false">AI237+AH237</f>
        <v>1</v>
      </c>
      <c r="DA237" s="153" t="n">
        <f aca="false">AI237</f>
        <v>1.25</v>
      </c>
      <c r="DB237" s="153" t="n">
        <f aca="false">AI237+AJ237</f>
        <v>1.55</v>
      </c>
      <c r="DD237" s="153" t="n">
        <f aca="false">Z237</f>
        <v>0.0497667728994625</v>
      </c>
      <c r="DE237" s="153" t="n">
        <f aca="false">AA237</f>
        <v>0.0995335457989251</v>
      </c>
      <c r="DF237" s="153" t="n">
        <f aca="false">AB237</f>
        <v>0.149300318698388</v>
      </c>
      <c r="DH237" s="152" t="n">
        <f aca="false">BH237</f>
        <v>43191</v>
      </c>
      <c r="DI237" s="99" t="n">
        <v>0.9</v>
      </c>
    </row>
    <row r="238" customFormat="false" ht="12.75" hidden="false" customHeight="false" outlineLevel="0" collapsed="false">
      <c r="A238" s="110" t="n">
        <f aca="false">EOMONTH(A237,0)+1</f>
        <v>52779</v>
      </c>
      <c r="B238" s="99" t="n">
        <f aca="false">'Gas Curves'!C242</f>
        <v>0.074173994741752</v>
      </c>
      <c r="C238" s="99"/>
      <c r="D238" s="145" t="n">
        <v>42339</v>
      </c>
      <c r="E238" s="146" t="n">
        <v>31</v>
      </c>
      <c r="F238" s="146" t="n">
        <v>32.95</v>
      </c>
      <c r="G238" s="146" t="n">
        <v>34.9</v>
      </c>
      <c r="H238" s="127"/>
      <c r="I238" s="146" t="n">
        <v>21.4249992370605</v>
      </c>
      <c r="J238" s="146" t="n">
        <v>22.3999992370605</v>
      </c>
      <c r="K238" s="146" t="n">
        <v>23.3749992370605</v>
      </c>
      <c r="L238" s="105"/>
      <c r="M238" s="106" t="n">
        <v>43221</v>
      </c>
      <c r="N238" s="147" t="n">
        <v>22.7725000762939</v>
      </c>
      <c r="O238" s="147" t="n">
        <v>24.6325000762939</v>
      </c>
      <c r="P238" s="147" t="n">
        <v>26.4925000762939</v>
      </c>
      <c r="Q238" s="18"/>
      <c r="R238" s="147" t="n">
        <v>19.4649997711182</v>
      </c>
      <c r="S238" s="147" t="n">
        <v>23.7649997711182</v>
      </c>
      <c r="T238" s="147" t="n">
        <v>28.0649997711182</v>
      </c>
      <c r="U238" s="18"/>
      <c r="V238" s="147" t="n">
        <v>0.3</v>
      </c>
      <c r="W238" s="147" t="n">
        <v>0.3</v>
      </c>
      <c r="X238" s="147" t="n">
        <v>0.3</v>
      </c>
      <c r="Y238" s="18"/>
      <c r="Z238" s="147" t="n">
        <v>0.0572929389334078</v>
      </c>
      <c r="AA238" s="147" t="n">
        <v>0.114585877866816</v>
      </c>
      <c r="AB238" s="147" t="n">
        <v>0.171878816800223</v>
      </c>
      <c r="AC238" s="18"/>
      <c r="AD238" s="147" t="n">
        <v>0.0243297365799962</v>
      </c>
      <c r="AE238" s="147" t="n">
        <v>0.0486594731599923</v>
      </c>
      <c r="AF238" s="147" t="n">
        <v>0.0729892097399885</v>
      </c>
      <c r="AG238" s="18"/>
      <c r="AH238" s="147" t="n">
        <v>-0.25</v>
      </c>
      <c r="AI238" s="147" t="n">
        <v>1.25</v>
      </c>
      <c r="AJ238" s="147" t="n">
        <v>0.3</v>
      </c>
      <c r="AK238" s="18"/>
      <c r="AL238" s="147" t="n">
        <v>-0.15</v>
      </c>
      <c r="AM238" s="147" t="n">
        <v>0.5</v>
      </c>
      <c r="AN238" s="147" t="n">
        <v>0.2</v>
      </c>
      <c r="AO238" s="18"/>
      <c r="AP238" s="105" t="n">
        <v>74</v>
      </c>
      <c r="AQ238" s="148" t="n">
        <v>0.4</v>
      </c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06" t="n">
        <v>43221</v>
      </c>
      <c r="BI238" s="150" t="n">
        <v>0.9</v>
      </c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0"/>
      <c r="CP238" s="0"/>
      <c r="CQ238" s="0"/>
      <c r="CR238" s="0"/>
      <c r="CS238" s="0"/>
      <c r="CT238" s="0"/>
      <c r="CY238" s="152" t="n">
        <f aca="false">M238</f>
        <v>43221</v>
      </c>
      <c r="CZ238" s="153" t="n">
        <f aca="false">AI238+AH238</f>
        <v>1</v>
      </c>
      <c r="DA238" s="153" t="n">
        <f aca="false">AI238</f>
        <v>1.25</v>
      </c>
      <c r="DB238" s="153" t="n">
        <f aca="false">AI238+AJ238</f>
        <v>1.55</v>
      </c>
      <c r="DD238" s="153" t="n">
        <f aca="false">Z238</f>
        <v>0.0572929389334078</v>
      </c>
      <c r="DE238" s="153" t="n">
        <f aca="false">AA238</f>
        <v>0.114585877866816</v>
      </c>
      <c r="DF238" s="153" t="n">
        <f aca="false">AB238</f>
        <v>0.171878816800223</v>
      </c>
      <c r="DH238" s="152" t="n">
        <f aca="false">BH238</f>
        <v>43221</v>
      </c>
      <c r="DI238" s="99" t="n">
        <v>0.9</v>
      </c>
    </row>
    <row r="239" customFormat="false" ht="12.75" hidden="false" customHeight="false" outlineLevel="0" collapsed="false">
      <c r="A239" s="110" t="n">
        <f aca="false">EOMONTH(A238,0)+1</f>
        <v>52810</v>
      </c>
      <c r="B239" s="99" t="n">
        <f aca="false">'Gas Curves'!C243</f>
        <v>0.074173700023873</v>
      </c>
      <c r="C239" s="99"/>
      <c r="D239" s="145" t="n">
        <v>42370</v>
      </c>
      <c r="E239" s="146" t="n">
        <v>37.15</v>
      </c>
      <c r="F239" s="146" t="n">
        <v>39.25</v>
      </c>
      <c r="G239" s="146" t="n">
        <v>41.35</v>
      </c>
      <c r="H239" s="127"/>
      <c r="I239" s="146" t="n">
        <v>21.3400009155273</v>
      </c>
      <c r="J239" s="146" t="n">
        <v>22.3900009155273</v>
      </c>
      <c r="K239" s="146" t="n">
        <v>23.4400009155273</v>
      </c>
      <c r="L239" s="105"/>
      <c r="M239" s="106" t="n">
        <v>43252</v>
      </c>
      <c r="N239" s="147" t="n">
        <v>23.7262501525879</v>
      </c>
      <c r="O239" s="147" t="n">
        <v>29.0587501525879</v>
      </c>
      <c r="P239" s="147" t="n">
        <v>34.3912501525879</v>
      </c>
      <c r="Q239" s="18"/>
      <c r="R239" s="147" t="n">
        <v>18.2424995422363</v>
      </c>
      <c r="S239" s="147" t="n">
        <v>22.5424995422363</v>
      </c>
      <c r="T239" s="147" t="n">
        <v>26.8424995422363</v>
      </c>
      <c r="U239" s="18"/>
      <c r="V239" s="147" t="n">
        <v>0.3</v>
      </c>
      <c r="W239" s="147" t="n">
        <v>0.3</v>
      </c>
      <c r="X239" s="147" t="n">
        <v>0.3</v>
      </c>
      <c r="Y239" s="18"/>
      <c r="Z239" s="147" t="n">
        <v>0.0718278470864644</v>
      </c>
      <c r="AA239" s="147" t="n">
        <v>0.143655694172929</v>
      </c>
      <c r="AB239" s="147" t="n">
        <v>0.215483541259393</v>
      </c>
      <c r="AC239" s="18"/>
      <c r="AD239" s="147" t="n">
        <v>0.0312810898885665</v>
      </c>
      <c r="AE239" s="147" t="n">
        <v>0.0625621797771329</v>
      </c>
      <c r="AF239" s="147" t="n">
        <v>0.0938432696656994</v>
      </c>
      <c r="AG239" s="18"/>
      <c r="AH239" s="147" t="n">
        <v>-0.25</v>
      </c>
      <c r="AI239" s="147" t="n">
        <v>1.25</v>
      </c>
      <c r="AJ239" s="147" t="n">
        <v>0.3</v>
      </c>
      <c r="AK239" s="18"/>
      <c r="AL239" s="147" t="n">
        <v>-0.15</v>
      </c>
      <c r="AM239" s="147" t="n">
        <v>0.65</v>
      </c>
      <c r="AN239" s="147" t="n">
        <v>0.2</v>
      </c>
      <c r="AO239" s="18"/>
      <c r="AP239" s="105" t="n">
        <v>74</v>
      </c>
      <c r="AQ239" s="148" t="n">
        <v>0.4</v>
      </c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06" t="n">
        <v>43252</v>
      </c>
      <c r="BI239" s="150" t="n">
        <v>0.9</v>
      </c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0"/>
      <c r="CP239" s="0"/>
      <c r="CQ239" s="0"/>
      <c r="CR239" s="0"/>
      <c r="CS239" s="0"/>
      <c r="CT239" s="0"/>
      <c r="CY239" s="152" t="n">
        <f aca="false">M239</f>
        <v>43252</v>
      </c>
      <c r="CZ239" s="153" t="n">
        <f aca="false">AI239+AH239</f>
        <v>1</v>
      </c>
      <c r="DA239" s="153" t="n">
        <f aca="false">AI239</f>
        <v>1.25</v>
      </c>
      <c r="DB239" s="153" t="n">
        <f aca="false">AI239+AJ239</f>
        <v>1.55</v>
      </c>
      <c r="DD239" s="153" t="n">
        <f aca="false">Z239</f>
        <v>0.0718278470864644</v>
      </c>
      <c r="DE239" s="153" t="n">
        <f aca="false">AA239</f>
        <v>0.143655694172929</v>
      </c>
      <c r="DF239" s="153" t="n">
        <f aca="false">AB239</f>
        <v>0.215483541259393</v>
      </c>
      <c r="DH239" s="152" t="n">
        <f aca="false">BH239</f>
        <v>43252</v>
      </c>
      <c r="DI239" s="99" t="n">
        <v>0.9</v>
      </c>
    </row>
    <row r="240" customFormat="false" ht="12.75" hidden="false" customHeight="false" outlineLevel="0" collapsed="false">
      <c r="A240" s="110" t="n">
        <f aca="false">EOMONTH(A239,0)+1</f>
        <v>52841</v>
      </c>
      <c r="B240" s="99" t="n">
        <f aca="false">'Gas Curves'!C244</f>
        <v>0.074173433827078</v>
      </c>
      <c r="C240" s="99"/>
      <c r="D240" s="145" t="n">
        <v>42401</v>
      </c>
      <c r="E240" s="146" t="n">
        <v>37.15</v>
      </c>
      <c r="F240" s="146" t="n">
        <v>39.25</v>
      </c>
      <c r="G240" s="146" t="n">
        <v>41.35</v>
      </c>
      <c r="H240" s="127"/>
      <c r="I240" s="146" t="n">
        <v>21.1499977111816</v>
      </c>
      <c r="J240" s="146" t="n">
        <v>22.1999977111816</v>
      </c>
      <c r="K240" s="146" t="n">
        <v>23.2499977111816</v>
      </c>
      <c r="L240" s="105"/>
      <c r="M240" s="106" t="n">
        <v>43282</v>
      </c>
      <c r="N240" s="147" t="n">
        <v>38.5112495422364</v>
      </c>
      <c r="O240" s="147" t="n">
        <v>42.2612495422364</v>
      </c>
      <c r="P240" s="147" t="n">
        <v>46.0112495422364</v>
      </c>
      <c r="Q240" s="18"/>
      <c r="R240" s="147" t="n">
        <v>27.4474994659424</v>
      </c>
      <c r="S240" s="147" t="n">
        <v>31.7474994659424</v>
      </c>
      <c r="T240" s="147" t="n">
        <v>36.0474994659424</v>
      </c>
      <c r="U240" s="18"/>
      <c r="V240" s="147" t="n">
        <v>0.3</v>
      </c>
      <c r="W240" s="147" t="n">
        <v>0.3</v>
      </c>
      <c r="X240" s="147" t="n">
        <v>0.3</v>
      </c>
      <c r="Y240" s="18"/>
      <c r="Z240" s="147" t="n">
        <v>0.0849986376458685</v>
      </c>
      <c r="AA240" s="147" t="n">
        <v>0.169997275291737</v>
      </c>
      <c r="AB240" s="147" t="n">
        <v>0.254995912937605</v>
      </c>
      <c r="AC240" s="18"/>
      <c r="AD240" s="147" t="n">
        <v>0.041708119851422</v>
      </c>
      <c r="AE240" s="147" t="n">
        <v>0.0834162397028439</v>
      </c>
      <c r="AF240" s="147" t="n">
        <v>0.125124359554266</v>
      </c>
      <c r="AG240" s="18"/>
      <c r="AH240" s="147" t="n">
        <v>-0.25</v>
      </c>
      <c r="AI240" s="147" t="n">
        <v>1.25</v>
      </c>
      <c r="AJ240" s="147" t="n">
        <v>0.3</v>
      </c>
      <c r="AK240" s="18"/>
      <c r="AL240" s="147" t="n">
        <v>-0.15</v>
      </c>
      <c r="AM240" s="147" t="n">
        <v>0.75</v>
      </c>
      <c r="AN240" s="147" t="n">
        <v>0.2</v>
      </c>
      <c r="AO240" s="18"/>
      <c r="AP240" s="105" t="n">
        <v>74</v>
      </c>
      <c r="AQ240" s="148" t="n">
        <v>0.4</v>
      </c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06" t="n">
        <v>43282</v>
      </c>
      <c r="BI240" s="150" t="n">
        <v>0.9</v>
      </c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0"/>
      <c r="CP240" s="0"/>
      <c r="CQ240" s="0"/>
      <c r="CR240" s="0"/>
      <c r="CS240" s="0"/>
      <c r="CT240" s="0"/>
      <c r="CY240" s="152" t="n">
        <f aca="false">M240</f>
        <v>43282</v>
      </c>
      <c r="CZ240" s="153" t="n">
        <f aca="false">AI240+AH240</f>
        <v>1</v>
      </c>
      <c r="DA240" s="153" t="n">
        <f aca="false">AI240</f>
        <v>1.25</v>
      </c>
      <c r="DB240" s="153" t="n">
        <f aca="false">AI240+AJ240</f>
        <v>1.55</v>
      </c>
      <c r="DD240" s="153" t="n">
        <f aca="false">Z240</f>
        <v>0.0849986376458685</v>
      </c>
      <c r="DE240" s="153" t="n">
        <f aca="false">AA240</f>
        <v>0.169997275291737</v>
      </c>
      <c r="DF240" s="153" t="n">
        <f aca="false">AB240</f>
        <v>0.254995912937605</v>
      </c>
      <c r="DH240" s="152" t="n">
        <f aca="false">BH240</f>
        <v>43282</v>
      </c>
      <c r="DI240" s="99" t="n">
        <v>0.9</v>
      </c>
    </row>
    <row r="241" customFormat="false" ht="12.75" hidden="false" customHeight="false" outlineLevel="0" collapsed="false">
      <c r="A241" s="110" t="n">
        <f aca="false">EOMONTH(A240,0)+1</f>
        <v>52871</v>
      </c>
      <c r="B241" s="99" t="n">
        <f aca="false">'Gas Curves'!C245</f>
        <v>0.074173139109199</v>
      </c>
      <c r="C241" s="99"/>
      <c r="D241" s="145" t="n">
        <v>42430</v>
      </c>
      <c r="E241" s="146" t="n">
        <v>34.35</v>
      </c>
      <c r="F241" s="146" t="n">
        <v>35.5</v>
      </c>
      <c r="G241" s="146" t="n">
        <v>36.65</v>
      </c>
      <c r="H241" s="127"/>
      <c r="I241" s="146" t="n">
        <v>20.6249996185303</v>
      </c>
      <c r="J241" s="146" t="n">
        <v>21.1999996185303</v>
      </c>
      <c r="K241" s="146" t="n">
        <v>21.7749996185303</v>
      </c>
      <c r="L241" s="105"/>
      <c r="M241" s="106" t="n">
        <v>43313</v>
      </c>
      <c r="N241" s="147" t="n">
        <v>40.7724990844727</v>
      </c>
      <c r="O241" s="147" t="n">
        <v>44.5224990844727</v>
      </c>
      <c r="P241" s="147" t="n">
        <v>48.2724990844727</v>
      </c>
      <c r="Q241" s="18"/>
      <c r="R241" s="147" t="n">
        <v>28.9450008392334</v>
      </c>
      <c r="S241" s="147" t="n">
        <v>33.2450008392334</v>
      </c>
      <c r="T241" s="147" t="n">
        <v>37.5450008392334</v>
      </c>
      <c r="U241" s="18"/>
      <c r="V241" s="147" t="n">
        <v>0.3</v>
      </c>
      <c r="W241" s="147" t="n">
        <v>0.3</v>
      </c>
      <c r="X241" s="147" t="n">
        <v>0.3</v>
      </c>
      <c r="Y241" s="18"/>
      <c r="Z241" s="147" t="n">
        <v>0.0836345200522159</v>
      </c>
      <c r="AA241" s="147" t="n">
        <v>0.167269040104432</v>
      </c>
      <c r="AB241" s="147" t="n">
        <v>0.250903560156648</v>
      </c>
      <c r="AC241" s="18"/>
      <c r="AD241" s="147" t="n">
        <v>0.041708119851422</v>
      </c>
      <c r="AE241" s="147" t="n">
        <v>0.0834162397028439</v>
      </c>
      <c r="AF241" s="147" t="n">
        <v>0.125124359554266</v>
      </c>
      <c r="AG241" s="18"/>
      <c r="AH241" s="147" t="n">
        <v>-0.25</v>
      </c>
      <c r="AI241" s="147" t="n">
        <v>1.25</v>
      </c>
      <c r="AJ241" s="147" t="n">
        <v>0.3</v>
      </c>
      <c r="AK241" s="18"/>
      <c r="AL241" s="147" t="n">
        <v>-0.15</v>
      </c>
      <c r="AM241" s="147" t="n">
        <v>0.75</v>
      </c>
      <c r="AN241" s="147" t="n">
        <v>0.2</v>
      </c>
      <c r="AO241" s="18"/>
      <c r="AP241" s="105" t="n">
        <v>74</v>
      </c>
      <c r="AQ241" s="148" t="n">
        <v>0.4</v>
      </c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06" t="n">
        <v>43313</v>
      </c>
      <c r="BI241" s="150" t="n">
        <v>0.9</v>
      </c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  <c r="CH241" s="0"/>
      <c r="CP241" s="0"/>
      <c r="CQ241" s="0"/>
      <c r="CR241" s="0"/>
      <c r="CS241" s="0"/>
      <c r="CT241" s="0"/>
      <c r="CY241" s="152" t="n">
        <f aca="false">M241</f>
        <v>43313</v>
      </c>
      <c r="CZ241" s="153" t="n">
        <f aca="false">AI241+AH241</f>
        <v>1</v>
      </c>
      <c r="DA241" s="153" t="n">
        <f aca="false">AI241</f>
        <v>1.25</v>
      </c>
      <c r="DB241" s="153" t="n">
        <f aca="false">AI241+AJ241</f>
        <v>1.55</v>
      </c>
      <c r="DD241" s="153" t="n">
        <f aca="false">Z241</f>
        <v>0.0836345200522159</v>
      </c>
      <c r="DE241" s="153" t="n">
        <f aca="false">AA241</f>
        <v>0.167269040104432</v>
      </c>
      <c r="DF241" s="153" t="n">
        <f aca="false">AB241</f>
        <v>0.250903560156648</v>
      </c>
      <c r="DH241" s="152" t="n">
        <f aca="false">BH241</f>
        <v>43313</v>
      </c>
      <c r="DI241" s="99" t="n">
        <v>0.9</v>
      </c>
    </row>
    <row r="242" customFormat="false" ht="12.75" hidden="false" customHeight="false" outlineLevel="0" collapsed="false">
      <c r="A242" s="110" t="n">
        <f aca="false">EOMONTH(A241,0)+1</f>
        <v>52902</v>
      </c>
      <c r="B242" s="99" t="n">
        <f aca="false">'Gas Curves'!C246</f>
        <v>0.074172853898348</v>
      </c>
      <c r="C242" s="99"/>
      <c r="D242" s="145" t="n">
        <v>42461</v>
      </c>
      <c r="E242" s="146" t="n">
        <v>33.25</v>
      </c>
      <c r="F242" s="146" t="n">
        <v>34.25</v>
      </c>
      <c r="G242" s="146" t="n">
        <v>35.25</v>
      </c>
      <c r="H242" s="127"/>
      <c r="I242" s="146" t="n">
        <v>20.6999977111816</v>
      </c>
      <c r="J242" s="146" t="n">
        <v>21.1999977111816</v>
      </c>
      <c r="K242" s="146" t="n">
        <v>21.6999977111816</v>
      </c>
      <c r="L242" s="105"/>
      <c r="M242" s="106" t="n">
        <v>43344</v>
      </c>
      <c r="N242" s="147" t="n">
        <v>24.1799991607666</v>
      </c>
      <c r="O242" s="147" t="n">
        <v>25.9049991607666</v>
      </c>
      <c r="P242" s="147" t="n">
        <v>27.6299991607666</v>
      </c>
      <c r="Q242" s="18"/>
      <c r="R242" s="147" t="n">
        <v>22.1</v>
      </c>
      <c r="S242" s="147" t="n">
        <v>26.4</v>
      </c>
      <c r="T242" s="147" t="n">
        <v>30.7</v>
      </c>
      <c r="U242" s="18"/>
      <c r="V242" s="147" t="n">
        <v>0.8</v>
      </c>
      <c r="W242" s="147" t="n">
        <v>0.8</v>
      </c>
      <c r="X242" s="147" t="n">
        <v>0.8</v>
      </c>
      <c r="Y242" s="18"/>
      <c r="Z242" s="147" t="n">
        <v>0.0554113974249214</v>
      </c>
      <c r="AA242" s="147" t="n">
        <v>0.110822794849843</v>
      </c>
      <c r="AB242" s="147" t="n">
        <v>0.166234192274764</v>
      </c>
      <c r="AC242" s="18"/>
      <c r="AD242" s="147" t="n">
        <v>0.0278054132342813</v>
      </c>
      <c r="AE242" s="147" t="n">
        <v>0.0556108264685626</v>
      </c>
      <c r="AF242" s="147" t="n">
        <v>0.0834162397028439</v>
      </c>
      <c r="AG242" s="18"/>
      <c r="AH242" s="147" t="n">
        <v>-0.25</v>
      </c>
      <c r="AI242" s="147" t="n">
        <v>1.25</v>
      </c>
      <c r="AJ242" s="147" t="n">
        <v>0.3</v>
      </c>
      <c r="AK242" s="18"/>
      <c r="AL242" s="147" t="n">
        <v>-0.15</v>
      </c>
      <c r="AM242" s="147" t="n">
        <v>0.4</v>
      </c>
      <c r="AN242" s="147" t="n">
        <v>0.2</v>
      </c>
      <c r="AO242" s="18"/>
      <c r="AP242" s="105" t="n">
        <v>74</v>
      </c>
      <c r="AQ242" s="148" t="n">
        <v>0.4</v>
      </c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06" t="n">
        <v>43344</v>
      </c>
      <c r="BI242" s="150" t="n">
        <v>0.9</v>
      </c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  <c r="CH242" s="0"/>
      <c r="CP242" s="0"/>
      <c r="CQ242" s="0"/>
      <c r="CR242" s="0"/>
      <c r="CS242" s="0"/>
      <c r="CT242" s="0"/>
      <c r="CY242" s="152" t="n">
        <f aca="false">M242</f>
        <v>43344</v>
      </c>
      <c r="CZ242" s="153" t="n">
        <f aca="false">AI242+AH242</f>
        <v>1</v>
      </c>
      <c r="DA242" s="153" t="n">
        <f aca="false">AI242</f>
        <v>1.25</v>
      </c>
      <c r="DB242" s="153" t="n">
        <f aca="false">AI242+AJ242</f>
        <v>1.55</v>
      </c>
      <c r="DD242" s="153" t="n">
        <f aca="false">Z242</f>
        <v>0.0554113974249214</v>
      </c>
      <c r="DE242" s="153" t="n">
        <f aca="false">AA242</f>
        <v>0.110822794849843</v>
      </c>
      <c r="DF242" s="153" t="n">
        <f aca="false">AB242</f>
        <v>0.166234192274764</v>
      </c>
      <c r="DH242" s="152" t="n">
        <f aca="false">BH242</f>
        <v>43344</v>
      </c>
      <c r="DI242" s="99" t="n">
        <v>0.9</v>
      </c>
    </row>
    <row r="243" customFormat="false" ht="12.75" hidden="false" customHeight="false" outlineLevel="0" collapsed="false">
      <c r="A243" s="110" t="n">
        <f aca="false">EOMONTH(A242,0)+1</f>
        <v>52932</v>
      </c>
      <c r="B243" s="99" t="n">
        <f aca="false">'Gas Curves'!C247</f>
        <v>0.074172559180469</v>
      </c>
      <c r="C243" s="99"/>
      <c r="D243" s="145" t="n">
        <v>42491</v>
      </c>
      <c r="E243" s="146" t="n">
        <v>35.17</v>
      </c>
      <c r="F243" s="146" t="n">
        <v>37.65</v>
      </c>
      <c r="G243" s="146" t="n">
        <v>40.13</v>
      </c>
      <c r="H243" s="127"/>
      <c r="I243" s="146" t="n">
        <v>19.9599977111816</v>
      </c>
      <c r="J243" s="146" t="n">
        <v>21.1999977111816</v>
      </c>
      <c r="K243" s="146" t="n">
        <v>22.4399977111816</v>
      </c>
      <c r="L243" s="105"/>
      <c r="M243" s="106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06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  <c r="CH243" s="0"/>
      <c r="CP243" s="0"/>
      <c r="CQ243" s="0"/>
      <c r="CR243" s="0"/>
      <c r="CS243" s="0"/>
      <c r="CT243" s="0"/>
      <c r="CY243" s="152" t="n">
        <f aca="false">IF(M243=0,EOMONTH(CY242,0)+1,M243)</f>
        <v>43374</v>
      </c>
      <c r="CZ243" s="153" t="n">
        <f aca="false">IF(AI243=0,CZ231,AH243+AI243)</f>
        <v>0.85</v>
      </c>
      <c r="DA243" s="153" t="n">
        <f aca="false">IF(AI243=0,DA231,AI243)</f>
        <v>1.1</v>
      </c>
      <c r="DB243" s="153" t="n">
        <f aca="false">IF(AI243=0,DB231,AI243+AJ243)</f>
        <v>1.4</v>
      </c>
      <c r="DD243" s="132" t="n">
        <f aca="false">IF(Z243=0,DD231,Z243)</f>
        <v>0.0532773332402962</v>
      </c>
      <c r="DE243" s="132" t="n">
        <f aca="false">IF(AA243=0,DE231,AA243)</f>
        <v>0.106554666480592</v>
      </c>
      <c r="DF243" s="132" t="n">
        <f aca="false">IF(AB243=0,DF231,AB243)</f>
        <v>0.159831999720889</v>
      </c>
      <c r="DH243" s="152" t="n">
        <f aca="false">IF(BH243=0,EOMONTH(DH242,0)+1,BH243)</f>
        <v>43374</v>
      </c>
      <c r="DI243" s="99" t="n">
        <v>0.9</v>
      </c>
    </row>
    <row r="244" customFormat="false" ht="12.75" hidden="false" customHeight="false" outlineLevel="0" collapsed="false">
      <c r="A244" s="110" t="n">
        <f aca="false">EOMONTH(A243,0)+1</f>
        <v>52963</v>
      </c>
      <c r="B244" s="99" t="n">
        <f aca="false">'Gas Curves'!C248</f>
        <v>0.074172273969618</v>
      </c>
      <c r="C244" s="99"/>
      <c r="D244" s="145" t="n">
        <v>42522</v>
      </c>
      <c r="E244" s="146" t="n">
        <v>51.14</v>
      </c>
      <c r="F244" s="146" t="n">
        <v>58.25</v>
      </c>
      <c r="G244" s="146" t="n">
        <v>65.36</v>
      </c>
      <c r="H244" s="127"/>
      <c r="I244" s="146" t="n">
        <v>17.5999987792969</v>
      </c>
      <c r="J244" s="146" t="n">
        <v>21.1549987792969</v>
      </c>
      <c r="K244" s="146" t="n">
        <v>24.7099987792969</v>
      </c>
      <c r="L244" s="105"/>
      <c r="M244" s="106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06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0"/>
      <c r="CP244" s="0"/>
      <c r="CQ244" s="0"/>
      <c r="CR244" s="0"/>
      <c r="CS244" s="0"/>
      <c r="CT244" s="0"/>
      <c r="CY244" s="152" t="n">
        <f aca="false">EOMONTH(CY243,0)+1</f>
        <v>43405</v>
      </c>
      <c r="CZ244" s="153" t="n">
        <f aca="false">IF(AI244=0,CZ232,AH244+AI244)</f>
        <v>1</v>
      </c>
      <c r="DA244" s="153" t="n">
        <f aca="false">IF(AI244=0,DA232,AI244)</f>
        <v>1.25</v>
      </c>
      <c r="DB244" s="153" t="n">
        <f aca="false">IF(AI244=0,DB232,AI244+AJ244)</f>
        <v>1.55</v>
      </c>
      <c r="DD244" s="132" t="n">
        <f aca="false">IF(Z244=0,DD232,Z244)</f>
        <v>0.0532773332402962</v>
      </c>
      <c r="DE244" s="132" t="n">
        <f aca="false">IF(AA244=0,DE232,AA244)</f>
        <v>0.106554666480592</v>
      </c>
      <c r="DF244" s="132" t="n">
        <f aca="false">IF(AB244=0,DF232,AB244)</f>
        <v>0.159831999720889</v>
      </c>
      <c r="DH244" s="152" t="n">
        <f aca="false">IF(BH244=0,EOMONTH(DH243,0)+1,BH244)</f>
        <v>43405</v>
      </c>
      <c r="DI244" s="99" t="n">
        <v>0.9</v>
      </c>
    </row>
    <row r="245" customFormat="false" ht="12.75" hidden="false" customHeight="false" outlineLevel="0" collapsed="false">
      <c r="A245" s="110" t="n">
        <f aca="false">EOMONTH(A244,0)+1</f>
        <v>52994</v>
      </c>
      <c r="B245" s="99" t="n">
        <f aca="false">'Gas Curves'!C249</f>
        <v>0.074171979251739</v>
      </c>
      <c r="C245" s="99"/>
      <c r="D245" s="145" t="n">
        <v>42552</v>
      </c>
      <c r="E245" s="146" t="n">
        <v>83.5</v>
      </c>
      <c r="F245" s="146" t="n">
        <v>88.5</v>
      </c>
      <c r="G245" s="146" t="n">
        <v>93.5</v>
      </c>
      <c r="H245" s="127"/>
      <c r="I245" s="146" t="n">
        <v>23.1499977111816</v>
      </c>
      <c r="J245" s="146" t="n">
        <v>25.6499977111816</v>
      </c>
      <c r="K245" s="146" t="n">
        <v>28.1499977111816</v>
      </c>
      <c r="L245" s="105"/>
      <c r="M245" s="106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06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0"/>
      <c r="CP245" s="0"/>
      <c r="CQ245" s="0"/>
      <c r="CR245" s="0"/>
      <c r="CS245" s="0"/>
      <c r="CT245" s="0"/>
      <c r="CY245" s="152" t="n">
        <f aca="false">EOMONTH(CY244,0)+1</f>
        <v>43435</v>
      </c>
      <c r="CZ245" s="153" t="n">
        <f aca="false">IF(AI245=0,CZ233,AH245+AI245)</f>
        <v>1</v>
      </c>
      <c r="DA245" s="153" t="n">
        <f aca="false">IF(AI245=0,DA233,AI245)</f>
        <v>1.25</v>
      </c>
      <c r="DB245" s="153" t="n">
        <f aca="false">IF(AI245=0,DB233,AI245+AJ245)</f>
        <v>1.55</v>
      </c>
      <c r="DD245" s="132" t="n">
        <f aca="false">IF(Z245=0,DD233,Z245)</f>
        <v>0.0551786804488718</v>
      </c>
      <c r="DE245" s="132" t="n">
        <f aca="false">IF(AA245=0,DE233,AA245)</f>
        <v>0.110357360897744</v>
      </c>
      <c r="DF245" s="132" t="n">
        <f aca="false">IF(AB245=0,DF233,AB245)</f>
        <v>0.165536041346615</v>
      </c>
      <c r="DH245" s="152" t="n">
        <f aca="false">IF(BH245=0,EOMONTH(DH244,0)+1,BH245)</f>
        <v>43435</v>
      </c>
      <c r="DI245" s="99" t="n">
        <v>0.9</v>
      </c>
    </row>
    <row r="246" customFormat="false" ht="12.75" hidden="false" customHeight="false" outlineLevel="0" collapsed="false">
      <c r="A246" s="110" t="n">
        <f aca="false">EOMONTH(A245,0)+1</f>
        <v>53022</v>
      </c>
      <c r="B246" s="99" t="n">
        <f aca="false">'Gas Curves'!C250</f>
        <v>0.07417168453386</v>
      </c>
      <c r="C246" s="99"/>
      <c r="D246" s="145" t="n">
        <v>42583</v>
      </c>
      <c r="E246" s="146" t="n">
        <v>79</v>
      </c>
      <c r="F246" s="146" t="n">
        <v>84</v>
      </c>
      <c r="G246" s="146" t="n">
        <v>89</v>
      </c>
      <c r="H246" s="127"/>
      <c r="I246" s="146" t="n">
        <v>23.4999980926514</v>
      </c>
      <c r="J246" s="146" t="n">
        <v>25.9999980926514</v>
      </c>
      <c r="K246" s="146" t="n">
        <v>28.4999980926514</v>
      </c>
      <c r="L246" s="105"/>
      <c r="M246" s="106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06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0"/>
      <c r="CP246" s="0"/>
      <c r="CQ246" s="0"/>
      <c r="CR246" s="0"/>
      <c r="CS246" s="0"/>
      <c r="CT246" s="0"/>
      <c r="CY246" s="152" t="n">
        <f aca="false">EOMONTH(CY245,0)+1</f>
        <v>43466</v>
      </c>
      <c r="CZ246" s="153" t="n">
        <f aca="false">IF(AI246=0,CZ234,AH246+AI246)</f>
        <v>1.25</v>
      </c>
      <c r="DA246" s="153" t="n">
        <f aca="false">IF(AI246=0,DA234,AI246)</f>
        <v>2</v>
      </c>
      <c r="DB246" s="153" t="n">
        <f aca="false">IF(AI246=0,DB234,AI246+AJ246)</f>
        <v>2.75</v>
      </c>
      <c r="DD246" s="132" t="n">
        <f aca="false">IF(Z246=0,DD234,Z246)</f>
        <v>0.0593730876011232</v>
      </c>
      <c r="DE246" s="132" t="n">
        <f aca="false">IF(AA246=0,DE234,AA246)</f>
        <v>0.118746175202246</v>
      </c>
      <c r="DF246" s="132" t="n">
        <f aca="false">IF(AB246=0,DF234,AB246)</f>
        <v>0.17811926280337</v>
      </c>
      <c r="DH246" s="152" t="n">
        <f aca="false">IF(BH246=0,EOMONTH(DH245,0)+1,BH246)</f>
        <v>43466</v>
      </c>
      <c r="DI246" s="99" t="n">
        <v>0.9</v>
      </c>
    </row>
    <row r="247" customFormat="false" ht="12.75" hidden="false" customHeight="false" outlineLevel="0" collapsed="false">
      <c r="A247" s="110" t="n">
        <f aca="false">EOMONTH(A246,0)+1</f>
        <v>53053</v>
      </c>
      <c r="B247" s="99" t="n">
        <f aca="false">'Gas Curves'!C251</f>
        <v>0.07417139932301</v>
      </c>
      <c r="C247" s="99"/>
      <c r="D247" s="145" t="n">
        <v>42614</v>
      </c>
      <c r="E247" s="146" t="n">
        <v>33.05</v>
      </c>
      <c r="F247" s="146" t="n">
        <v>35.25</v>
      </c>
      <c r="G247" s="146" t="n">
        <v>37.45</v>
      </c>
      <c r="H247" s="127"/>
      <c r="I247" s="146" t="n">
        <v>20.4499980926514</v>
      </c>
      <c r="J247" s="146" t="n">
        <v>21.5499980926514</v>
      </c>
      <c r="K247" s="146" t="n">
        <v>22.6499980926514</v>
      </c>
      <c r="L247" s="105"/>
      <c r="M247" s="106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06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  <c r="CH247" s="0"/>
      <c r="CP247" s="0"/>
      <c r="CQ247" s="0"/>
      <c r="CR247" s="0"/>
      <c r="CS247" s="0"/>
      <c r="CT247" s="0"/>
      <c r="CY247" s="152" t="n">
        <f aca="false">EOMONTH(CY246,0)+1</f>
        <v>43497</v>
      </c>
      <c r="CZ247" s="153" t="n">
        <f aca="false">IF(AI247=0,CZ235,AH247+AI247)</f>
        <v>1.25</v>
      </c>
      <c r="DA247" s="153" t="n">
        <f aca="false">IF(AI247=0,DA235,AI247)</f>
        <v>2</v>
      </c>
      <c r="DB247" s="153" t="n">
        <f aca="false">IF(AI247=0,DB235,AI247+AJ247)</f>
        <v>2.75</v>
      </c>
      <c r="DD247" s="132" t="n">
        <f aca="false">IF(Z247=0,DD235,Z247)</f>
        <v>0.0572824859250273</v>
      </c>
      <c r="DE247" s="132" t="n">
        <f aca="false">IF(AA247=0,DE235,AA247)</f>
        <v>0.114564971850055</v>
      </c>
      <c r="DF247" s="132" t="n">
        <f aca="false">IF(AB247=0,DF235,AB247)</f>
        <v>0.171847457775082</v>
      </c>
      <c r="DH247" s="152" t="n">
        <f aca="false">IF(BH247=0,EOMONTH(DH246,0)+1,BH247)</f>
        <v>43497</v>
      </c>
      <c r="DI247" s="99" t="n">
        <v>0.9</v>
      </c>
    </row>
    <row r="248" customFormat="false" ht="12.75" hidden="false" customHeight="false" outlineLevel="0" collapsed="false">
      <c r="A248" s="110" t="n">
        <f aca="false">EOMONTH(A247,0)+1</f>
        <v>53083</v>
      </c>
      <c r="B248" s="99" t="n">
        <f aca="false">'Gas Curves'!C252</f>
        <v>0.07417110460513</v>
      </c>
      <c r="C248" s="99"/>
      <c r="D248" s="145" t="n">
        <v>42644</v>
      </c>
      <c r="E248" s="146" t="n">
        <v>30.95</v>
      </c>
      <c r="F248" s="146" t="n">
        <v>33</v>
      </c>
      <c r="G248" s="146" t="n">
        <v>35.05</v>
      </c>
      <c r="H248" s="127"/>
      <c r="I248" s="146" t="n">
        <v>20.2249988555908</v>
      </c>
      <c r="J248" s="146" t="n">
        <v>21.2499988555908</v>
      </c>
      <c r="K248" s="146" t="n">
        <v>22.2749988555908</v>
      </c>
      <c r="L248" s="105"/>
      <c r="M248" s="106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06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0"/>
      <c r="CP248" s="0"/>
      <c r="CQ248" s="0"/>
      <c r="CR248" s="0"/>
      <c r="CS248" s="0"/>
      <c r="CT248" s="0"/>
      <c r="CY248" s="152" t="n">
        <f aca="false">EOMONTH(CY247,0)+1</f>
        <v>43525</v>
      </c>
      <c r="CZ248" s="153" t="n">
        <f aca="false">IF(AI248=0,CZ236,AH248+AI248)</f>
        <v>1</v>
      </c>
      <c r="DA248" s="153" t="n">
        <f aca="false">IF(AI248=0,DA236,AI248)</f>
        <v>1.25</v>
      </c>
      <c r="DB248" s="153" t="n">
        <f aca="false">IF(AI248=0,DB236,AI248+AJ248)</f>
        <v>1.55</v>
      </c>
      <c r="DD248" s="132" t="n">
        <f aca="false">IF(Z248=0,DD236,Z248)</f>
        <v>0.0558347442643309</v>
      </c>
      <c r="DE248" s="132" t="n">
        <f aca="false">IF(AA248=0,DE236,AA248)</f>
        <v>0.111669488528662</v>
      </c>
      <c r="DF248" s="132" t="n">
        <f aca="false">IF(AB248=0,DF236,AB248)</f>
        <v>0.167504232792993</v>
      </c>
      <c r="DH248" s="152" t="n">
        <f aca="false">IF(BH248=0,EOMONTH(DH247,0)+1,BH248)</f>
        <v>43525</v>
      </c>
      <c r="DI248" s="99" t="n">
        <v>0.9</v>
      </c>
    </row>
    <row r="249" customFormat="false" ht="12.75" hidden="false" customHeight="false" outlineLevel="0" collapsed="false">
      <c r="A249" s="110" t="n">
        <f aca="false">EOMONTH(A248,0)+1</f>
        <v>53114</v>
      </c>
      <c r="B249" s="99" t="n">
        <f aca="false">'Gas Curves'!C253</f>
        <v>0.07417081939428</v>
      </c>
      <c r="C249" s="99"/>
      <c r="D249" s="145" t="n">
        <v>42675</v>
      </c>
      <c r="E249" s="146" t="n">
        <v>31.325</v>
      </c>
      <c r="F249" s="146" t="n">
        <v>33.375</v>
      </c>
      <c r="G249" s="146" t="n">
        <v>35.425</v>
      </c>
      <c r="H249" s="127"/>
      <c r="I249" s="146" t="n">
        <v>20.1499980926514</v>
      </c>
      <c r="J249" s="146" t="n">
        <v>21.1749980926514</v>
      </c>
      <c r="K249" s="146" t="n">
        <v>22.1999980926514</v>
      </c>
      <c r="L249" s="105"/>
      <c r="M249" s="106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06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0"/>
      <c r="CP249" s="0"/>
      <c r="CQ249" s="0"/>
      <c r="CR249" s="0"/>
      <c r="CS249" s="0"/>
      <c r="CT249" s="0"/>
      <c r="CY249" s="152" t="n">
        <f aca="false">EOMONTH(CY248,0)+1</f>
        <v>43556</v>
      </c>
      <c r="CZ249" s="153" t="n">
        <f aca="false">IF(AI249=0,CZ237,AH249+AI249)</f>
        <v>1</v>
      </c>
      <c r="DA249" s="153" t="n">
        <f aca="false">IF(AI249=0,DA237,AI249)</f>
        <v>1.25</v>
      </c>
      <c r="DB249" s="153" t="n">
        <f aca="false">IF(AI249=0,DB237,AI249+AJ249)</f>
        <v>1.55</v>
      </c>
      <c r="DD249" s="132" t="n">
        <f aca="false">IF(Z249=0,DD237,Z249)</f>
        <v>0.0497667728994625</v>
      </c>
      <c r="DE249" s="132" t="n">
        <f aca="false">IF(AA249=0,DE237,AA249)</f>
        <v>0.0995335457989251</v>
      </c>
      <c r="DF249" s="132" t="n">
        <f aca="false">IF(AB249=0,DF237,AB249)</f>
        <v>0.149300318698388</v>
      </c>
      <c r="DH249" s="152" t="n">
        <f aca="false">IF(BH249=0,EOMONTH(DH248,0)+1,BH249)</f>
        <v>43556</v>
      </c>
      <c r="DI249" s="99" t="n">
        <v>0.9</v>
      </c>
    </row>
    <row r="250" customFormat="false" ht="12.75" hidden="false" customHeight="false" outlineLevel="0" collapsed="false">
      <c r="A250" s="110" t="n">
        <f aca="false">EOMONTH(A249,0)+1</f>
        <v>53144</v>
      </c>
      <c r="B250" s="99" t="n">
        <f aca="false">'Gas Curves'!C254</f>
        <v>0.074170524676401</v>
      </c>
      <c r="C250" s="99"/>
      <c r="D250" s="145" t="n">
        <v>42705</v>
      </c>
      <c r="E250" s="146" t="n">
        <v>31.2</v>
      </c>
      <c r="F250" s="146" t="n">
        <v>33.25</v>
      </c>
      <c r="G250" s="146" t="n">
        <v>35.3</v>
      </c>
      <c r="H250" s="127"/>
      <c r="I250" s="146" t="n">
        <v>21.5749992370605</v>
      </c>
      <c r="J250" s="146" t="n">
        <v>22.5999992370605</v>
      </c>
      <c r="K250" s="146" t="n">
        <v>23.6249992370605</v>
      </c>
      <c r="L250" s="105"/>
      <c r="M250" s="106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06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0"/>
      <c r="CP250" s="0"/>
      <c r="CQ250" s="0"/>
      <c r="CR250" s="0"/>
      <c r="CS250" s="0"/>
      <c r="CT250" s="0"/>
      <c r="CY250" s="152" t="n">
        <f aca="false">EOMONTH(CY249,0)+1</f>
        <v>43586</v>
      </c>
      <c r="CZ250" s="153" t="n">
        <f aca="false">IF(AI250=0,CZ238,AH250+AI250)</f>
        <v>1</v>
      </c>
      <c r="DA250" s="153" t="n">
        <f aca="false">IF(AI250=0,DA238,AI250)</f>
        <v>1.25</v>
      </c>
      <c r="DB250" s="153" t="n">
        <f aca="false">IF(AI250=0,DB238,AI250+AJ250)</f>
        <v>1.55</v>
      </c>
      <c r="DD250" s="132" t="n">
        <f aca="false">IF(Z250=0,DD238,Z250)</f>
        <v>0.0572929389334078</v>
      </c>
      <c r="DE250" s="132" t="n">
        <f aca="false">IF(AA250=0,DE238,AA250)</f>
        <v>0.114585877866816</v>
      </c>
      <c r="DF250" s="132" t="n">
        <f aca="false">IF(AB250=0,DF238,AB250)</f>
        <v>0.171878816800223</v>
      </c>
      <c r="DH250" s="152" t="n">
        <f aca="false">IF(BH250=0,EOMONTH(DH249,0)+1,BH250)</f>
        <v>43586</v>
      </c>
      <c r="DI250" s="99" t="n">
        <v>0.9</v>
      </c>
    </row>
    <row r="251" customFormat="false" ht="12.75" hidden="false" customHeight="false" outlineLevel="0" collapsed="false">
      <c r="A251" s="110" t="n">
        <f aca="false">EOMONTH(A250,0)+1</f>
        <v>53175</v>
      </c>
      <c r="B251" s="99" t="n">
        <f aca="false">'Gas Curves'!C255</f>
        <v>0.074170229958522</v>
      </c>
      <c r="C251" s="99"/>
      <c r="D251" s="145" t="n">
        <v>42736</v>
      </c>
      <c r="E251" s="146" t="n">
        <v>37.35</v>
      </c>
      <c r="F251" s="146" t="n">
        <v>39.55</v>
      </c>
      <c r="G251" s="146" t="n">
        <v>41.75</v>
      </c>
      <c r="H251" s="127"/>
      <c r="I251" s="146" t="n">
        <v>21.4900009155273</v>
      </c>
      <c r="J251" s="146" t="n">
        <v>22.5900009155273</v>
      </c>
      <c r="K251" s="146" t="n">
        <v>23.6900009155273</v>
      </c>
      <c r="L251" s="105"/>
      <c r="M251" s="106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06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0"/>
      <c r="CP251" s="0"/>
      <c r="CQ251" s="0"/>
      <c r="CR251" s="0"/>
      <c r="CS251" s="0"/>
      <c r="CT251" s="0"/>
      <c r="CY251" s="152" t="n">
        <f aca="false">EOMONTH(CY250,0)+1</f>
        <v>43617</v>
      </c>
      <c r="CZ251" s="153" t="n">
        <f aca="false">IF(AI251=0,CZ239,AH251+AI251)</f>
        <v>1</v>
      </c>
      <c r="DA251" s="153" t="n">
        <f aca="false">IF(AI251=0,DA239,AI251)</f>
        <v>1.25</v>
      </c>
      <c r="DB251" s="153" t="n">
        <f aca="false">IF(AI251=0,DB239,AI251+AJ251)</f>
        <v>1.55</v>
      </c>
      <c r="DD251" s="132" t="n">
        <f aca="false">IF(Z251=0,DD239,Z251)</f>
        <v>0.0718278470864644</v>
      </c>
      <c r="DE251" s="132" t="n">
        <f aca="false">IF(AA251=0,DE239,AA251)</f>
        <v>0.143655694172929</v>
      </c>
      <c r="DF251" s="132" t="n">
        <f aca="false">IF(AB251=0,DF239,AB251)</f>
        <v>0.215483541259393</v>
      </c>
      <c r="DH251" s="152" t="n">
        <f aca="false">IF(BH251=0,EOMONTH(DH250,0)+1,BH251)</f>
        <v>43617</v>
      </c>
      <c r="DI251" s="99" t="n">
        <v>0.9</v>
      </c>
    </row>
    <row r="252" customFormat="false" ht="12.75" hidden="false" customHeight="false" outlineLevel="0" collapsed="false">
      <c r="A252" s="110" t="n">
        <f aca="false">EOMONTH(A251,0)+1</f>
        <v>53206</v>
      </c>
      <c r="B252" s="99" t="n">
        <f aca="false">'Gas Curves'!C256</f>
        <v>0.074169954254699</v>
      </c>
      <c r="C252" s="99"/>
      <c r="D252" s="145" t="n">
        <v>42767</v>
      </c>
      <c r="E252" s="146" t="n">
        <v>37.35</v>
      </c>
      <c r="F252" s="146" t="n">
        <v>39.55</v>
      </c>
      <c r="G252" s="146" t="n">
        <v>41.75</v>
      </c>
      <c r="H252" s="127"/>
      <c r="I252" s="146" t="n">
        <v>21.2999977111816</v>
      </c>
      <c r="J252" s="146" t="n">
        <v>22.3999977111816</v>
      </c>
      <c r="K252" s="146" t="n">
        <v>23.4999977111816</v>
      </c>
      <c r="L252" s="105"/>
      <c r="M252" s="106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06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  <c r="CH252" s="0"/>
      <c r="CP252" s="0"/>
      <c r="CQ252" s="0"/>
      <c r="CR252" s="0"/>
      <c r="CS252" s="0"/>
      <c r="CT252" s="0"/>
      <c r="CY252" s="152" t="n">
        <f aca="false">EOMONTH(CY251,0)+1</f>
        <v>43647</v>
      </c>
      <c r="CZ252" s="153" t="n">
        <f aca="false">IF(AI252=0,CZ240,AH252+AI252)</f>
        <v>1</v>
      </c>
      <c r="DA252" s="153" t="n">
        <f aca="false">IF(AI252=0,DA240,AI252)</f>
        <v>1.25</v>
      </c>
      <c r="DB252" s="153" t="n">
        <f aca="false">IF(AI252=0,DB240,AI252+AJ252)</f>
        <v>1.55</v>
      </c>
      <c r="DD252" s="132" t="n">
        <f aca="false">IF(Z252=0,DD240,Z252)</f>
        <v>0.0849986376458685</v>
      </c>
      <c r="DE252" s="132" t="n">
        <f aca="false">IF(AA252=0,DE240,AA252)</f>
        <v>0.169997275291737</v>
      </c>
      <c r="DF252" s="132" t="n">
        <f aca="false">IF(AB252=0,DF240,AB252)</f>
        <v>0.254995912937605</v>
      </c>
      <c r="DH252" s="152" t="n">
        <f aca="false">IF(BH252=0,EOMONTH(DH251,0)+1,BH252)</f>
        <v>43647</v>
      </c>
      <c r="DI252" s="99" t="n">
        <v>0.9</v>
      </c>
    </row>
    <row r="253" customFormat="false" ht="12.75" hidden="false" customHeight="false" outlineLevel="0" collapsed="false">
      <c r="A253" s="110" t="n">
        <f aca="false">EOMONTH(A252,0)+1</f>
        <v>53236</v>
      </c>
      <c r="B253" s="99" t="n">
        <f aca="false">'Gas Curves'!C257</f>
        <v>0.074161295770025</v>
      </c>
      <c r="C253" s="99"/>
      <c r="D253" s="145" t="n">
        <v>42795</v>
      </c>
      <c r="E253" s="146" t="n">
        <v>34.6</v>
      </c>
      <c r="F253" s="146" t="n">
        <v>35.8</v>
      </c>
      <c r="G253" s="146" t="n">
        <v>37</v>
      </c>
      <c r="H253" s="127"/>
      <c r="I253" s="146" t="n">
        <v>20.7999996185303</v>
      </c>
      <c r="J253" s="146" t="n">
        <v>21.3999996185303</v>
      </c>
      <c r="K253" s="146" t="n">
        <v>21.9999996185303</v>
      </c>
      <c r="L253" s="105"/>
      <c r="M253" s="106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06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0"/>
      <c r="CP253" s="0"/>
      <c r="CQ253" s="0"/>
      <c r="CR253" s="0"/>
      <c r="CS253" s="0"/>
      <c r="CT253" s="0"/>
      <c r="CY253" s="152" t="n">
        <f aca="false">EOMONTH(CY252,0)+1</f>
        <v>43678</v>
      </c>
      <c r="CZ253" s="153" t="n">
        <f aca="false">IF(AI253=0,CZ241,AH253+AI253)</f>
        <v>1</v>
      </c>
      <c r="DA253" s="153" t="n">
        <f aca="false">IF(AI253=0,DA241,AI253)</f>
        <v>1.25</v>
      </c>
      <c r="DB253" s="153" t="n">
        <f aca="false">IF(AI253=0,DB241,AI253+AJ253)</f>
        <v>1.55</v>
      </c>
      <c r="DD253" s="132" t="n">
        <f aca="false">IF(Z253=0,DD241,Z253)</f>
        <v>0.0836345200522159</v>
      </c>
      <c r="DE253" s="132" t="n">
        <f aca="false">IF(AA253=0,DE241,AA253)</f>
        <v>0.167269040104432</v>
      </c>
      <c r="DF253" s="132" t="n">
        <f aca="false">IF(AB253=0,DF241,AB253)</f>
        <v>0.250903560156648</v>
      </c>
      <c r="DH253" s="152" t="n">
        <f aca="false">IF(BH253=0,EOMONTH(DH252,0)+1,BH253)</f>
        <v>43678</v>
      </c>
      <c r="DI253" s="99" t="n">
        <v>0.9</v>
      </c>
    </row>
    <row r="254" customFormat="false" ht="12.75" hidden="false" customHeight="false" outlineLevel="0" collapsed="false">
      <c r="A254" s="110" t="n">
        <f aca="false">EOMONTH(A253,0)+1</f>
        <v>53267</v>
      </c>
      <c r="B254" s="99" t="n">
        <f aca="false">'Gas Curves'!C258</f>
        <v>0.074152358386653</v>
      </c>
      <c r="C254" s="99"/>
      <c r="D254" s="145" t="n">
        <v>42826</v>
      </c>
      <c r="E254" s="146" t="n">
        <v>33.5</v>
      </c>
      <c r="F254" s="146" t="n">
        <v>34.55</v>
      </c>
      <c r="G254" s="146" t="n">
        <v>35.6</v>
      </c>
      <c r="H254" s="127"/>
      <c r="I254" s="146" t="n">
        <v>20.8749977111816</v>
      </c>
      <c r="J254" s="146" t="n">
        <v>21.3999977111816</v>
      </c>
      <c r="K254" s="146" t="n">
        <v>21.9249977111816</v>
      </c>
      <c r="L254" s="105"/>
      <c r="M254" s="106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06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0"/>
      <c r="CP254" s="0"/>
      <c r="CQ254" s="0"/>
      <c r="CR254" s="0"/>
      <c r="CS254" s="0"/>
      <c r="CT254" s="0"/>
      <c r="CY254" s="152" t="n">
        <f aca="false">EOMONTH(CY253,0)+1</f>
        <v>43709</v>
      </c>
      <c r="CZ254" s="153" t="n">
        <f aca="false">IF(AI254=0,CZ242,AH254+AI254)</f>
        <v>1</v>
      </c>
      <c r="DA254" s="153" t="n">
        <f aca="false">IF(AI254=0,DA242,AI254)</f>
        <v>1.25</v>
      </c>
      <c r="DB254" s="153" t="n">
        <f aca="false">IF(AI254=0,DB242,AI254+AJ254)</f>
        <v>1.55</v>
      </c>
      <c r="DD254" s="132" t="n">
        <f aca="false">IF(Z254=0,DD242,Z254)</f>
        <v>0.0554113974249214</v>
      </c>
      <c r="DE254" s="132" t="n">
        <f aca="false">IF(AA254=0,DE242,AA254)</f>
        <v>0.110822794849843</v>
      </c>
      <c r="DF254" s="132" t="n">
        <f aca="false">IF(AB254=0,DF242,AB254)</f>
        <v>0.166234192274764</v>
      </c>
      <c r="DH254" s="152" t="n">
        <f aca="false">IF(BH254=0,EOMONTH(DH253,0)+1,BH254)</f>
        <v>43709</v>
      </c>
      <c r="DI254" s="99" t="n">
        <v>0.9</v>
      </c>
    </row>
    <row r="255" customFormat="false" ht="12.75" hidden="false" customHeight="false" outlineLevel="0" collapsed="false">
      <c r="A255" s="110" t="n">
        <f aca="false">EOMONTH(A254,0)+1</f>
        <v>53297</v>
      </c>
      <c r="B255" s="99" t="n">
        <f aca="false">'Gas Curves'!C259</f>
        <v>0.07414312309053</v>
      </c>
      <c r="C255" s="99"/>
      <c r="D255" s="145" t="n">
        <v>42856</v>
      </c>
      <c r="E255" s="146" t="n">
        <v>35.67</v>
      </c>
      <c r="F255" s="146" t="n">
        <v>38.15</v>
      </c>
      <c r="G255" s="146" t="n">
        <v>40.63</v>
      </c>
      <c r="H255" s="127"/>
      <c r="I255" s="146" t="n">
        <v>20.1599977111816</v>
      </c>
      <c r="J255" s="146" t="n">
        <v>21.3999977111816</v>
      </c>
      <c r="K255" s="146" t="n">
        <v>22.6399977111816</v>
      </c>
      <c r="L255" s="105"/>
      <c r="M255" s="106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06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  <c r="CH255" s="0"/>
      <c r="CP255" s="0"/>
      <c r="CQ255" s="0"/>
      <c r="CR255" s="0"/>
      <c r="CS255" s="0"/>
      <c r="CT255" s="0"/>
      <c r="CY255" s="152" t="n">
        <f aca="false">EOMONTH(CY254,0)+1</f>
        <v>43739</v>
      </c>
      <c r="CZ255" s="153" t="n">
        <f aca="false">IF(AI255=0,CZ243,AH255+AI255)</f>
        <v>0.85</v>
      </c>
      <c r="DA255" s="153" t="n">
        <f aca="false">IF(AI255=0,DA243,AI255)</f>
        <v>1.1</v>
      </c>
      <c r="DB255" s="153" t="n">
        <f aca="false">IF(AI255=0,DB243,AI255+AJ255)</f>
        <v>1.4</v>
      </c>
      <c r="DD255" s="132" t="n">
        <f aca="false">IF(Z255=0,DD243,Z255)</f>
        <v>0.0532773332402962</v>
      </c>
      <c r="DE255" s="132" t="n">
        <f aca="false">IF(AA255=0,DE243,AA255)</f>
        <v>0.106554666480592</v>
      </c>
      <c r="DF255" s="132" t="n">
        <f aca="false">IF(AB255=0,DF243,AB255)</f>
        <v>0.159831999720889</v>
      </c>
      <c r="DH255" s="152" t="n">
        <f aca="false">IF(BH255=0,EOMONTH(DH254,0)+1,BH255)</f>
        <v>43739</v>
      </c>
      <c r="DI255" s="99" t="n">
        <v>0.9</v>
      </c>
    </row>
    <row r="256" customFormat="false" ht="12.75" hidden="false" customHeight="false" outlineLevel="0" collapsed="false">
      <c r="A256" s="110" t="n">
        <f aca="false">EOMONTH(A255,0)+1</f>
        <v>53328</v>
      </c>
      <c r="B256" s="99" t="n">
        <f aca="false">'Gas Curves'!C260</f>
        <v>0.074134185707211</v>
      </c>
      <c r="C256" s="99"/>
      <c r="D256" s="145" t="n">
        <v>42887</v>
      </c>
      <c r="E256" s="146" t="n">
        <v>52.14</v>
      </c>
      <c r="F256" s="146" t="n">
        <v>59.25</v>
      </c>
      <c r="G256" s="146" t="n">
        <v>66.36</v>
      </c>
      <c r="H256" s="127"/>
      <c r="I256" s="146" t="n">
        <v>17.7999987792969</v>
      </c>
      <c r="J256" s="146" t="n">
        <v>21.3549987792969</v>
      </c>
      <c r="K256" s="146" t="n">
        <v>24.9099987792969</v>
      </c>
      <c r="L256" s="105"/>
      <c r="M256" s="106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06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  <c r="CH256" s="0"/>
      <c r="CP256" s="0"/>
      <c r="CQ256" s="0"/>
      <c r="CR256" s="0"/>
      <c r="CS256" s="0"/>
      <c r="CT256" s="0"/>
      <c r="CY256" s="152" t="n">
        <f aca="false">EOMONTH(CY255,0)+1</f>
        <v>43770</v>
      </c>
      <c r="CZ256" s="153" t="n">
        <f aca="false">IF(AI256=0,CZ244,AH256+AI256)</f>
        <v>1</v>
      </c>
      <c r="DA256" s="153" t="n">
        <f aca="false">IF(AI256=0,DA244,AI256)</f>
        <v>1.25</v>
      </c>
      <c r="DB256" s="153" t="n">
        <f aca="false">IF(AI256=0,DB244,AI256+AJ256)</f>
        <v>1.55</v>
      </c>
      <c r="DD256" s="132" t="n">
        <f aca="false">IF(Z256=0,DD244,Z256)</f>
        <v>0.0532773332402962</v>
      </c>
      <c r="DE256" s="132" t="n">
        <f aca="false">IF(AA256=0,DE244,AA256)</f>
        <v>0.106554666480592</v>
      </c>
      <c r="DF256" s="132" t="n">
        <f aca="false">IF(AB256=0,DF244,AB256)</f>
        <v>0.159831999720889</v>
      </c>
      <c r="DH256" s="152" t="n">
        <f aca="false">IF(BH256=0,EOMONTH(DH255,0)+1,BH256)</f>
        <v>43770</v>
      </c>
      <c r="DI256" s="99" t="n">
        <v>0.9</v>
      </c>
    </row>
    <row r="257" customFormat="false" ht="12.75" hidden="false" customHeight="false" outlineLevel="0" collapsed="false">
      <c r="A257" s="110" t="n">
        <f aca="false">EOMONTH(A256,0)+1</f>
        <v>53359</v>
      </c>
      <c r="B257" s="99" t="n">
        <f aca="false">'Gas Curves'!C261</f>
        <v>0.074124950411143</v>
      </c>
      <c r="C257" s="99"/>
      <c r="D257" s="145" t="n">
        <v>42917</v>
      </c>
      <c r="E257" s="146" t="n">
        <v>85.5</v>
      </c>
      <c r="F257" s="146" t="n">
        <v>90.5</v>
      </c>
      <c r="G257" s="146" t="n">
        <v>95.5</v>
      </c>
      <c r="H257" s="127"/>
      <c r="I257" s="146" t="n">
        <v>23.3499977111816</v>
      </c>
      <c r="J257" s="146" t="n">
        <v>25.8499977111816</v>
      </c>
      <c r="K257" s="146" t="n">
        <v>28.3499977111816</v>
      </c>
      <c r="L257" s="105"/>
      <c r="M257" s="106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06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  <c r="CH257" s="0"/>
      <c r="CI257" s="0"/>
      <c r="CJ257" s="0"/>
      <c r="CK257" s="0"/>
      <c r="CP257" s="0"/>
      <c r="CQ257" s="0"/>
      <c r="CR257" s="0"/>
      <c r="CS257" s="0"/>
      <c r="CT257" s="0"/>
      <c r="CY257" s="152" t="n">
        <f aca="false">EOMONTH(CY256,0)+1</f>
        <v>43800</v>
      </c>
      <c r="CZ257" s="153" t="n">
        <f aca="false">IF(AI257=0,CZ245,AH257+AI257)</f>
        <v>1</v>
      </c>
      <c r="DA257" s="153" t="n">
        <f aca="false">IF(AI257=0,DA245,AI257)</f>
        <v>1.25</v>
      </c>
      <c r="DB257" s="153" t="n">
        <f aca="false">IF(AI257=0,DB245,AI257+AJ257)</f>
        <v>1.55</v>
      </c>
      <c r="DD257" s="132" t="n">
        <f aca="false">IF(Z257=0,DD245,Z257)</f>
        <v>0.0551786804488718</v>
      </c>
      <c r="DE257" s="132" t="n">
        <f aca="false">IF(AA257=0,DE245,AA257)</f>
        <v>0.110357360897744</v>
      </c>
      <c r="DF257" s="132" t="n">
        <f aca="false">IF(AB257=0,DF245,AB257)</f>
        <v>0.165536041346615</v>
      </c>
      <c r="DH257" s="152" t="n">
        <f aca="false">IF(BH257=0,EOMONTH(DH256,0)+1,BH257)</f>
        <v>43800</v>
      </c>
      <c r="DI257" s="99" t="n">
        <v>0.9</v>
      </c>
    </row>
    <row r="258" customFormat="false" ht="12.75" hidden="false" customHeight="false" outlineLevel="0" collapsed="false">
      <c r="A258" s="110" t="n">
        <f aca="false">EOMONTH(A257,0)+1</f>
        <v>53387</v>
      </c>
      <c r="B258" s="99" t="n">
        <f aca="false">'Gas Curves'!C262</f>
        <v>0.074115715115103</v>
      </c>
      <c r="C258" s="99"/>
      <c r="D258" s="145" t="n">
        <v>42948</v>
      </c>
      <c r="E258" s="146" t="n">
        <v>81</v>
      </c>
      <c r="F258" s="146" t="n">
        <v>86</v>
      </c>
      <c r="G258" s="146" t="n">
        <v>91</v>
      </c>
      <c r="H258" s="186"/>
      <c r="I258" s="146" t="n">
        <v>23.6999980926514</v>
      </c>
      <c r="J258" s="146" t="n">
        <v>26.1999980926514</v>
      </c>
      <c r="K258" s="146" t="n">
        <v>28.6999980926514</v>
      </c>
      <c r="L258" s="105"/>
      <c r="M258" s="106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06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  <c r="CH258" s="0"/>
      <c r="CI258" s="0"/>
      <c r="CJ258" s="0"/>
      <c r="CK258" s="0"/>
      <c r="CP258" s="0"/>
      <c r="CQ258" s="0"/>
      <c r="CR258" s="0"/>
      <c r="CS258" s="0"/>
      <c r="CT258" s="0"/>
      <c r="CY258" s="152" t="n">
        <f aca="false">EOMONTH(CY257,0)+1</f>
        <v>43831</v>
      </c>
      <c r="CZ258" s="153" t="n">
        <f aca="false">IF(AI258=0,CZ246,AH258+AI258)</f>
        <v>1.25</v>
      </c>
      <c r="DA258" s="153" t="n">
        <f aca="false">IF(AI258=0,DA246,AI258)</f>
        <v>2</v>
      </c>
      <c r="DB258" s="153" t="n">
        <f aca="false">IF(AI258=0,DB246,AI258+AJ258)</f>
        <v>2.75</v>
      </c>
      <c r="DD258" s="132" t="n">
        <f aca="false">IF(Z258=0,DD246,Z258)</f>
        <v>0.0593730876011232</v>
      </c>
      <c r="DE258" s="132" t="n">
        <f aca="false">IF(AA258=0,DE246,AA258)</f>
        <v>0.118746175202246</v>
      </c>
      <c r="DF258" s="132" t="n">
        <f aca="false">IF(AB258=0,DF246,AB258)</f>
        <v>0.17811926280337</v>
      </c>
      <c r="DH258" s="152" t="n">
        <f aca="false">IF(BH258=0,EOMONTH(DH257,0)+1,BH258)</f>
        <v>43831</v>
      </c>
      <c r="DI258" s="99" t="n">
        <v>0.9</v>
      </c>
    </row>
    <row r="259" customFormat="false" ht="12.75" hidden="false" customHeight="false" outlineLevel="0" collapsed="false">
      <c r="A259" s="110" t="n">
        <f aca="false">EOMONTH(A258,0)+1</f>
        <v>53418</v>
      </c>
      <c r="B259" s="99" t="n">
        <f aca="false">'Gas Curves'!C263</f>
        <v>0.074106777731866</v>
      </c>
      <c r="C259" s="99"/>
      <c r="D259" s="145" t="n">
        <v>42979</v>
      </c>
      <c r="E259" s="146" t="n">
        <v>33.25</v>
      </c>
      <c r="F259" s="146" t="n">
        <v>35.55</v>
      </c>
      <c r="G259" s="146" t="n">
        <v>37.85</v>
      </c>
      <c r="H259" s="186"/>
      <c r="I259" s="146" t="n">
        <v>20.5999980926514</v>
      </c>
      <c r="J259" s="146" t="n">
        <v>21.7499980926514</v>
      </c>
      <c r="K259" s="146" t="n">
        <v>22.8999980926514</v>
      </c>
      <c r="L259" s="105"/>
      <c r="M259" s="106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06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  <c r="CH259" s="0"/>
      <c r="CI259" s="0"/>
      <c r="CJ259" s="0"/>
      <c r="CK259" s="0"/>
      <c r="CP259" s="0"/>
      <c r="CQ259" s="0"/>
      <c r="CR259" s="0"/>
      <c r="CS259" s="0"/>
      <c r="CT259" s="0"/>
      <c r="CY259" s="152" t="n">
        <f aca="false">EOMONTH(CY258,0)+1</f>
        <v>43862</v>
      </c>
      <c r="CZ259" s="153" t="n">
        <f aca="false">IF(AI259=0,CZ247,AH259+AI259)</f>
        <v>1.25</v>
      </c>
      <c r="DA259" s="153" t="n">
        <f aca="false">IF(AI259=0,DA247,AI259)</f>
        <v>2</v>
      </c>
      <c r="DB259" s="153" t="n">
        <f aca="false">IF(AI259=0,DB247,AI259+AJ259)</f>
        <v>2.75</v>
      </c>
      <c r="DD259" s="132" t="n">
        <f aca="false">IF(Z259=0,DD247,Z259)</f>
        <v>0.0572824859250273</v>
      </c>
      <c r="DE259" s="132" t="n">
        <f aca="false">IF(AA259=0,DE247,AA259)</f>
        <v>0.114564971850055</v>
      </c>
      <c r="DF259" s="132" t="n">
        <f aca="false">IF(AB259=0,DF247,AB259)</f>
        <v>0.171847457775082</v>
      </c>
      <c r="DH259" s="152" t="n">
        <f aca="false">IF(BH259=0,EOMONTH(DH258,0)+1,BH259)</f>
        <v>43862</v>
      </c>
      <c r="DI259" s="99" t="n">
        <v>0.9</v>
      </c>
    </row>
    <row r="260" customFormat="false" ht="12.75" hidden="false" customHeight="false" outlineLevel="0" collapsed="false">
      <c r="A260" s="110" t="n">
        <f aca="false">EOMONTH(A259,0)+1</f>
        <v>53448</v>
      </c>
      <c r="B260" s="99" t="n">
        <f aca="false">'Gas Curves'!C264</f>
        <v>0.074097542435882</v>
      </c>
      <c r="C260" s="99"/>
      <c r="D260" s="145" t="n">
        <v>43009</v>
      </c>
      <c r="E260" s="146" t="n">
        <v>31.15</v>
      </c>
      <c r="F260" s="146" t="n">
        <v>33.3</v>
      </c>
      <c r="G260" s="146" t="n">
        <v>35.45</v>
      </c>
      <c r="H260" s="186"/>
      <c r="I260" s="146" t="n">
        <v>20.3749988555908</v>
      </c>
      <c r="J260" s="146" t="n">
        <v>21.4499988555908</v>
      </c>
      <c r="K260" s="146" t="n">
        <v>22.5249988555908</v>
      </c>
      <c r="L260" s="105"/>
      <c r="M260" s="106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06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  <c r="CH260" s="0"/>
      <c r="CI260" s="0"/>
      <c r="CJ260" s="0"/>
      <c r="CK260" s="0"/>
      <c r="CP260" s="0"/>
      <c r="CQ260" s="0"/>
      <c r="CR260" s="0"/>
      <c r="CS260" s="0"/>
      <c r="CT260" s="0"/>
      <c r="CY260" s="152" t="n">
        <f aca="false">EOMONTH(CY259,0)+1</f>
        <v>43891</v>
      </c>
      <c r="CZ260" s="153" t="n">
        <f aca="false">IF(AI260=0,CZ248,AH260+AI260)</f>
        <v>1</v>
      </c>
      <c r="DA260" s="153" t="n">
        <f aca="false">IF(AI260=0,DA248,AI260)</f>
        <v>1.25</v>
      </c>
      <c r="DB260" s="153" t="n">
        <f aca="false">IF(AI260=0,DB248,AI260+AJ260)</f>
        <v>1.55</v>
      </c>
      <c r="DD260" s="132" t="n">
        <f aca="false">IF(Z260=0,DD248,Z260)</f>
        <v>0.0558347442643309</v>
      </c>
      <c r="DE260" s="132" t="n">
        <f aca="false">IF(AA260=0,DE248,AA260)</f>
        <v>0.111669488528662</v>
      </c>
      <c r="DF260" s="132" t="n">
        <f aca="false">IF(AB260=0,DF248,AB260)</f>
        <v>0.167504232792993</v>
      </c>
      <c r="DH260" s="152" t="n">
        <f aca="false">IF(BH260=0,EOMONTH(DH259,0)+1,BH260)</f>
        <v>43891</v>
      </c>
      <c r="DI260" s="99" t="n">
        <v>0.9</v>
      </c>
    </row>
    <row r="261" customFormat="false" ht="12.75" hidden="false" customHeight="false" outlineLevel="0" collapsed="false">
      <c r="A261" s="110" t="n">
        <f aca="false">EOMONTH(A260,0)+1</f>
        <v>53479</v>
      </c>
      <c r="B261" s="99" t="n">
        <f aca="false">'Gas Curves'!C265</f>
        <v>0.074088605052698</v>
      </c>
      <c r="C261" s="99"/>
      <c r="D261" s="145" t="n">
        <v>43040</v>
      </c>
      <c r="E261" s="146" t="n">
        <v>31.525</v>
      </c>
      <c r="F261" s="146" t="n">
        <v>33.675</v>
      </c>
      <c r="G261" s="146" t="n">
        <v>35.825</v>
      </c>
      <c r="H261" s="186"/>
      <c r="I261" s="146" t="n">
        <v>20.2999980926514</v>
      </c>
      <c r="J261" s="146" t="n">
        <v>21.3749980926514</v>
      </c>
      <c r="K261" s="146" t="n">
        <v>22.4499980926514</v>
      </c>
      <c r="L261" s="105"/>
      <c r="M261" s="106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06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  <c r="CH261" s="0"/>
      <c r="CI261" s="0"/>
      <c r="CJ261" s="0"/>
      <c r="CK261" s="0"/>
      <c r="CP261" s="0"/>
      <c r="CQ261" s="0"/>
      <c r="CR261" s="0"/>
      <c r="CS261" s="0"/>
      <c r="CT261" s="0"/>
      <c r="CY261" s="152" t="n">
        <f aca="false">EOMONTH(CY260,0)+1</f>
        <v>43922</v>
      </c>
      <c r="CZ261" s="153" t="n">
        <f aca="false">IF(AI261=0,CZ249,AH261+AI261)</f>
        <v>1</v>
      </c>
      <c r="DA261" s="153" t="n">
        <f aca="false">IF(AI261=0,DA249,AI261)</f>
        <v>1.25</v>
      </c>
      <c r="DB261" s="153" t="n">
        <f aca="false">IF(AI261=0,DB249,AI261+AJ261)</f>
        <v>1.55</v>
      </c>
      <c r="DD261" s="132" t="n">
        <f aca="false">IF(Z261=0,DD249,Z261)</f>
        <v>0.0497667728994625</v>
      </c>
      <c r="DE261" s="132" t="n">
        <f aca="false">IF(AA261=0,DE249,AA261)</f>
        <v>0.0995335457989251</v>
      </c>
      <c r="DF261" s="132" t="n">
        <f aca="false">IF(AB261=0,DF249,AB261)</f>
        <v>0.149300318698388</v>
      </c>
      <c r="DH261" s="152" t="n">
        <f aca="false">IF(BH261=0,EOMONTH(DH260,0)+1,BH261)</f>
        <v>43922</v>
      </c>
      <c r="DI261" s="99" t="n">
        <v>0.9</v>
      </c>
    </row>
    <row r="262" customFormat="false" ht="12.75" hidden="false" customHeight="false" outlineLevel="0" collapsed="false">
      <c r="A262" s="110" t="n">
        <f aca="false">EOMONTH(A261,0)+1</f>
        <v>53509</v>
      </c>
      <c r="B262" s="99" t="n">
        <f aca="false">'Gas Curves'!C266</f>
        <v>0.074079369756769</v>
      </c>
      <c r="C262" s="99"/>
      <c r="D262" s="145" t="n">
        <v>43070</v>
      </c>
      <c r="E262" s="146" t="n">
        <v>31.4</v>
      </c>
      <c r="F262" s="146" t="n">
        <v>33.55</v>
      </c>
      <c r="G262" s="146" t="n">
        <v>35.7</v>
      </c>
      <c r="H262" s="186"/>
      <c r="I262" s="146" t="n">
        <v>21.7249992370605</v>
      </c>
      <c r="J262" s="146" t="n">
        <v>22.7999992370605</v>
      </c>
      <c r="K262" s="146" t="n">
        <v>23.8749992370605</v>
      </c>
      <c r="L262" s="105"/>
      <c r="M262" s="106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06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  <c r="CH262" s="0"/>
      <c r="CI262" s="0"/>
      <c r="CJ262" s="0"/>
      <c r="CK262" s="0"/>
      <c r="CP262" s="0"/>
      <c r="CQ262" s="0"/>
      <c r="CR262" s="0"/>
      <c r="CS262" s="0"/>
      <c r="CT262" s="0"/>
      <c r="CY262" s="152" t="n">
        <f aca="false">EOMONTH(CY261,0)+1</f>
        <v>43952</v>
      </c>
      <c r="CZ262" s="153" t="n">
        <f aca="false">IF(AI262=0,CZ250,AH262+AI262)</f>
        <v>1</v>
      </c>
      <c r="DA262" s="153" t="n">
        <f aca="false">IF(AI262=0,DA250,AI262)</f>
        <v>1.25</v>
      </c>
      <c r="DB262" s="153" t="n">
        <f aca="false">IF(AI262=0,DB250,AI262+AJ262)</f>
        <v>1.55</v>
      </c>
      <c r="DD262" s="132" t="n">
        <f aca="false">IF(Z262=0,DD250,Z262)</f>
        <v>0.0572929389334078</v>
      </c>
      <c r="DE262" s="132" t="n">
        <f aca="false">IF(AA262=0,DE250,AA262)</f>
        <v>0.114585877866816</v>
      </c>
      <c r="DF262" s="132" t="n">
        <f aca="false">IF(AB262=0,DF250,AB262)</f>
        <v>0.171878816800223</v>
      </c>
      <c r="DH262" s="152" t="n">
        <f aca="false">IF(BH262=0,EOMONTH(DH261,0)+1,BH262)</f>
        <v>43952</v>
      </c>
      <c r="DI262" s="99" t="n">
        <v>0.9</v>
      </c>
    </row>
    <row r="263" customFormat="false" ht="12.75" hidden="false" customHeight="false" outlineLevel="0" collapsed="false">
      <c r="A263" s="110" t="n">
        <f aca="false">EOMONTH(A262,0)+1</f>
        <v>53540</v>
      </c>
      <c r="B263" s="99" t="n">
        <f aca="false">'Gas Curves'!C267</f>
        <v>0.074070134460868</v>
      </c>
      <c r="C263" s="99"/>
      <c r="D263" s="145" t="n">
        <v>43101</v>
      </c>
      <c r="E263" s="146" t="n">
        <v>37.65</v>
      </c>
      <c r="F263" s="146" t="n">
        <v>39.85</v>
      </c>
      <c r="G263" s="146" t="n">
        <v>42.05</v>
      </c>
      <c r="H263" s="186"/>
      <c r="I263" s="146" t="n">
        <v>21.6900009155273</v>
      </c>
      <c r="J263" s="146" t="n">
        <v>22.7900009155273</v>
      </c>
      <c r="K263" s="146" t="n">
        <v>23.8900009155273</v>
      </c>
      <c r="L263" s="105"/>
      <c r="M263" s="106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06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  <c r="CH263" s="0"/>
      <c r="CI263" s="0"/>
      <c r="CJ263" s="0"/>
      <c r="CK263" s="0"/>
      <c r="CP263" s="0"/>
      <c r="CQ263" s="0"/>
      <c r="CR263" s="0"/>
      <c r="CS263" s="0"/>
      <c r="CT263" s="0"/>
      <c r="CY263" s="152" t="n">
        <f aca="false">EOMONTH(CY262,0)+1</f>
        <v>43983</v>
      </c>
      <c r="CZ263" s="153" t="n">
        <f aca="false">IF(AI263=0,CZ251,AH263+AI263)</f>
        <v>1</v>
      </c>
      <c r="DA263" s="153" t="n">
        <f aca="false">IF(AI263=0,DA251,AI263)</f>
        <v>1.25</v>
      </c>
      <c r="DB263" s="153" t="n">
        <f aca="false">IF(AI263=0,DB251,AI263+AJ263)</f>
        <v>1.55</v>
      </c>
      <c r="DD263" s="132" t="n">
        <f aca="false">IF(Z263=0,DD251,Z263)</f>
        <v>0.0718278470864644</v>
      </c>
      <c r="DE263" s="132" t="n">
        <f aca="false">IF(AA263=0,DE251,AA263)</f>
        <v>0.143655694172929</v>
      </c>
      <c r="DF263" s="132" t="n">
        <f aca="false">IF(AB263=0,DF251,AB263)</f>
        <v>0.215483541259393</v>
      </c>
      <c r="DH263" s="152" t="n">
        <f aca="false">IF(BH263=0,EOMONTH(DH262,0)+1,BH263)</f>
        <v>43983</v>
      </c>
      <c r="DI263" s="99" t="n">
        <v>0.9</v>
      </c>
    </row>
    <row r="264" customFormat="false" ht="12.75" hidden="false" customHeight="false" outlineLevel="0" collapsed="false">
      <c r="A264" s="110" t="n">
        <f aca="false">EOMONTH(A263,0)+1</f>
        <v>53571</v>
      </c>
      <c r="B264" s="99" t="n">
        <f aca="false">'Gas Curves'!C268</f>
        <v>0.074061792903305</v>
      </c>
      <c r="C264" s="99"/>
      <c r="D264" s="145" t="n">
        <v>43132</v>
      </c>
      <c r="E264" s="146" t="n">
        <v>37.65</v>
      </c>
      <c r="F264" s="146" t="n">
        <v>39.85</v>
      </c>
      <c r="G264" s="146" t="n">
        <v>42.05</v>
      </c>
      <c r="H264" s="186"/>
      <c r="I264" s="146" t="n">
        <v>21.4999977111816</v>
      </c>
      <c r="J264" s="146" t="n">
        <v>22.5999977111816</v>
      </c>
      <c r="K264" s="146" t="n">
        <v>23.6999977111816</v>
      </c>
      <c r="L264" s="105"/>
      <c r="M264" s="106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06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  <c r="CH264" s="0"/>
      <c r="CI264" s="0"/>
      <c r="CJ264" s="0"/>
      <c r="CK264" s="0"/>
      <c r="CP264" s="0"/>
      <c r="CQ264" s="0"/>
      <c r="CR264" s="0"/>
      <c r="CS264" s="0"/>
      <c r="CT264" s="0"/>
      <c r="CY264" s="152" t="n">
        <f aca="false">EOMONTH(CY263,0)+1</f>
        <v>44013</v>
      </c>
      <c r="CZ264" s="153" t="n">
        <f aca="false">IF(AI264=0,CZ252,AH264+AI264)</f>
        <v>1</v>
      </c>
      <c r="DA264" s="153" t="n">
        <f aca="false">IF(AI264=0,DA252,AI264)</f>
        <v>1.25</v>
      </c>
      <c r="DB264" s="153" t="n">
        <f aca="false">IF(AI264=0,DB252,AI264+AJ264)</f>
        <v>1.55</v>
      </c>
      <c r="DD264" s="132" t="n">
        <f aca="false">IF(Z264=0,DD252,Z264)</f>
        <v>0.0849986376458685</v>
      </c>
      <c r="DE264" s="132" t="n">
        <f aca="false">IF(AA264=0,DE252,AA264)</f>
        <v>0.169997275291737</v>
      </c>
      <c r="DF264" s="132" t="n">
        <f aca="false">IF(AB264=0,DF252,AB264)</f>
        <v>0.254995912937605</v>
      </c>
      <c r="DH264" s="152" t="n">
        <f aca="false">IF(BH264=0,EOMONTH(DH263,0)+1,BH264)</f>
        <v>44013</v>
      </c>
      <c r="DI264" s="99" t="n">
        <v>0.9</v>
      </c>
    </row>
    <row r="265" customFormat="false" ht="12.75" hidden="false" customHeight="false" outlineLevel="0" collapsed="false">
      <c r="A265" s="110" t="n">
        <f aca="false">EOMONTH(A264,0)+1</f>
        <v>53601</v>
      </c>
      <c r="B265" s="99" t="n">
        <f aca="false">'Gas Curves'!C269</f>
        <v>0.074052557607457</v>
      </c>
      <c r="C265" s="99"/>
      <c r="D265" s="145" t="n">
        <v>43160</v>
      </c>
      <c r="E265" s="146" t="n">
        <v>34.9</v>
      </c>
      <c r="F265" s="146" t="n">
        <v>36.1</v>
      </c>
      <c r="G265" s="146" t="n">
        <v>37.3</v>
      </c>
      <c r="H265" s="186"/>
      <c r="I265" s="146" t="n">
        <v>20.9999996185303</v>
      </c>
      <c r="J265" s="146" t="n">
        <v>21.5999996185303</v>
      </c>
      <c r="K265" s="146" t="n">
        <v>22.1999996185303</v>
      </c>
      <c r="L265" s="105"/>
      <c r="M265" s="106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06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  <c r="CH265" s="0"/>
      <c r="CI265" s="0"/>
      <c r="CJ265" s="0"/>
      <c r="CK265" s="0"/>
      <c r="CP265" s="0"/>
      <c r="CQ265" s="0"/>
      <c r="CR265" s="0"/>
      <c r="CS265" s="0"/>
      <c r="CT265" s="0"/>
      <c r="CY265" s="152" t="n">
        <f aca="false">EOMONTH(CY264,0)+1</f>
        <v>44044</v>
      </c>
      <c r="CZ265" s="153" t="n">
        <f aca="false">IF(AI265=0,CZ253,AH265+AI265)</f>
        <v>1</v>
      </c>
      <c r="DA265" s="153" t="n">
        <f aca="false">IF(AI265=0,DA253,AI265)</f>
        <v>1.25</v>
      </c>
      <c r="DB265" s="153" t="n">
        <f aca="false">IF(AI265=0,DB253,AI265+AJ265)</f>
        <v>1.55</v>
      </c>
      <c r="DD265" s="132" t="n">
        <f aca="false">IF(Z265=0,DD253,Z265)</f>
        <v>0.0836345200522159</v>
      </c>
      <c r="DE265" s="132" t="n">
        <f aca="false">IF(AA265=0,DE253,AA265)</f>
        <v>0.167269040104432</v>
      </c>
      <c r="DF265" s="132" t="n">
        <f aca="false">IF(AB265=0,DF253,AB265)</f>
        <v>0.250903560156648</v>
      </c>
      <c r="DH265" s="152" t="n">
        <f aca="false">IF(BH265=0,EOMONTH(DH264,0)+1,BH265)</f>
        <v>44044</v>
      </c>
      <c r="DI265" s="99" t="n">
        <v>0.9</v>
      </c>
    </row>
    <row r="266" customFormat="false" ht="12.75" hidden="false" customHeight="false" outlineLevel="0" collapsed="false">
      <c r="A266" s="110" t="n">
        <f aca="false">EOMONTH(A265,0)+1</f>
        <v>53632</v>
      </c>
      <c r="B266" s="99" t="n">
        <f aca="false">'Gas Curves'!C270</f>
        <v>0.074043620224406</v>
      </c>
      <c r="C266" s="99"/>
      <c r="D266" s="145" t="n">
        <v>43191</v>
      </c>
      <c r="E266" s="146" t="n">
        <v>33.8</v>
      </c>
      <c r="F266" s="146" t="n">
        <v>34.85</v>
      </c>
      <c r="G266" s="146" t="n">
        <v>35.9</v>
      </c>
      <c r="H266" s="186"/>
      <c r="I266" s="146" t="n">
        <v>21.0749977111816</v>
      </c>
      <c r="J266" s="146" t="n">
        <v>21.5999977111816</v>
      </c>
      <c r="K266" s="146" t="n">
        <v>22.1249977111816</v>
      </c>
      <c r="L266" s="105"/>
      <c r="M266" s="106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06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  <c r="CH266" s="0"/>
      <c r="CI266" s="0"/>
      <c r="CJ266" s="0"/>
      <c r="CK266" s="0"/>
      <c r="CP266" s="0"/>
      <c r="CQ266" s="0"/>
      <c r="CR266" s="0"/>
      <c r="CS266" s="0"/>
      <c r="CT266" s="0"/>
      <c r="CY266" s="152" t="n">
        <f aca="false">EOMONTH(CY265,0)+1</f>
        <v>44075</v>
      </c>
      <c r="CZ266" s="153" t="n">
        <f aca="false">IF(AI266=0,CZ254,AH266+AI266)</f>
        <v>1</v>
      </c>
      <c r="DA266" s="153" t="n">
        <f aca="false">IF(AI266=0,DA254,AI266)</f>
        <v>1.25</v>
      </c>
      <c r="DB266" s="153" t="n">
        <f aca="false">IF(AI266=0,DB254,AI266+AJ266)</f>
        <v>1.55</v>
      </c>
      <c r="DD266" s="132" t="n">
        <f aca="false">IF(Z266=0,DD254,Z266)</f>
        <v>0.0554113974249214</v>
      </c>
      <c r="DE266" s="132" t="n">
        <f aca="false">IF(AA266=0,DE254,AA266)</f>
        <v>0.110822794849843</v>
      </c>
      <c r="DF266" s="132" t="n">
        <f aca="false">IF(AB266=0,DF254,AB266)</f>
        <v>0.166234192274764</v>
      </c>
      <c r="DH266" s="152" t="n">
        <f aca="false">IF(BH266=0,EOMONTH(DH265,0)+1,BH266)</f>
        <v>44075</v>
      </c>
      <c r="DI266" s="99" t="n">
        <v>0.9</v>
      </c>
    </row>
    <row r="267" customFormat="false" ht="12.75" hidden="false" customHeight="false" outlineLevel="0" collapsed="false">
      <c r="A267" s="110" t="n">
        <f aca="false">EOMONTH(A266,0)+1</f>
        <v>53662</v>
      </c>
      <c r="B267" s="99" t="n">
        <f aca="false">'Gas Curves'!C271</f>
        <v>0.074034384928614</v>
      </c>
      <c r="C267" s="99"/>
      <c r="D267" s="145" t="n">
        <v>43221</v>
      </c>
      <c r="E267" s="146" t="n">
        <v>36.17</v>
      </c>
      <c r="F267" s="146" t="n">
        <v>38.65</v>
      </c>
      <c r="G267" s="146" t="n">
        <v>41.13</v>
      </c>
      <c r="H267" s="186"/>
      <c r="I267" s="146" t="n">
        <v>20.3599977111816</v>
      </c>
      <c r="J267" s="146" t="n">
        <v>21.5999977111816</v>
      </c>
      <c r="K267" s="146" t="n">
        <v>22.8399977111816</v>
      </c>
      <c r="L267" s="105"/>
      <c r="M267" s="106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06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  <c r="CH267" s="0"/>
      <c r="CI267" s="0"/>
      <c r="CJ267" s="0"/>
      <c r="CK267" s="0"/>
      <c r="CP267" s="0"/>
      <c r="CQ267" s="0"/>
      <c r="CR267" s="0"/>
      <c r="CS267" s="0"/>
      <c r="CT267" s="0"/>
      <c r="CY267" s="152" t="n">
        <f aca="false">EOMONTH(CY266,0)+1</f>
        <v>44105</v>
      </c>
      <c r="CZ267" s="153" t="n">
        <f aca="false">IF(AI267=0,CZ255,AH267+AI267)</f>
        <v>0.85</v>
      </c>
      <c r="DA267" s="153" t="n">
        <f aca="false">IF(AI267=0,DA255,AI267)</f>
        <v>1.1</v>
      </c>
      <c r="DB267" s="153" t="n">
        <f aca="false">IF(AI267=0,DB255,AI267+AJ267)</f>
        <v>1.4</v>
      </c>
      <c r="DD267" s="132" t="n">
        <f aca="false">IF(Z267=0,DD255,Z267)</f>
        <v>0.0532773332402962</v>
      </c>
      <c r="DE267" s="132" t="n">
        <f aca="false">IF(AA267=0,DE255,AA267)</f>
        <v>0.106554666480592</v>
      </c>
      <c r="DF267" s="132" t="n">
        <f aca="false">IF(AB267=0,DF255,AB267)</f>
        <v>0.159831999720889</v>
      </c>
      <c r="DH267" s="152" t="n">
        <f aca="false">IF(BH267=0,EOMONTH(DH266,0)+1,BH267)</f>
        <v>44105</v>
      </c>
      <c r="DI267" s="99" t="n">
        <v>0.9</v>
      </c>
    </row>
    <row r="268" customFormat="false" ht="12.75" hidden="false" customHeight="false" outlineLevel="0" collapsed="false">
      <c r="A268" s="110" t="n">
        <f aca="false">EOMONTH(A267,0)+1</f>
        <v>53693</v>
      </c>
      <c r="B268" s="99" t="n">
        <f aca="false">'Gas Curves'!C272</f>
        <v>0.074025447545616</v>
      </c>
      <c r="C268" s="99"/>
      <c r="D268" s="145" t="n">
        <v>43252</v>
      </c>
      <c r="E268" s="146" t="n">
        <v>53.14</v>
      </c>
      <c r="F268" s="146" t="n">
        <v>60.25</v>
      </c>
      <c r="G268" s="146" t="n">
        <v>67.36</v>
      </c>
      <c r="H268" s="186"/>
      <c r="I268" s="146" t="n">
        <v>17.9999987792969</v>
      </c>
      <c r="J268" s="146" t="n">
        <v>21.5549987792969</v>
      </c>
      <c r="K268" s="146" t="n">
        <v>25.1099987792969</v>
      </c>
      <c r="L268" s="105"/>
      <c r="M268" s="106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06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  <c r="CH268" s="0"/>
      <c r="CI268" s="0"/>
      <c r="CJ268" s="0"/>
      <c r="CK268" s="0"/>
      <c r="CP268" s="0"/>
      <c r="CQ268" s="0"/>
      <c r="CR268" s="0"/>
      <c r="CS268" s="0"/>
      <c r="CT268" s="0"/>
      <c r="CY268" s="152" t="n">
        <f aca="false">EOMONTH(CY267,0)+1</f>
        <v>44136</v>
      </c>
      <c r="CZ268" s="153" t="n">
        <f aca="false">IF(AI268=0,CZ256,AH268+AI268)</f>
        <v>1</v>
      </c>
      <c r="DA268" s="153" t="n">
        <f aca="false">IF(AI268=0,DA256,AI268)</f>
        <v>1.25</v>
      </c>
      <c r="DB268" s="153" t="n">
        <f aca="false">IF(AI268=0,DB256,AI268+AJ268)</f>
        <v>1.55</v>
      </c>
      <c r="DD268" s="132" t="n">
        <f aca="false">IF(Z268=0,DD256,Z268)</f>
        <v>0.0532773332402962</v>
      </c>
      <c r="DE268" s="132" t="n">
        <f aca="false">IF(AA268=0,DE256,AA268)</f>
        <v>0.106554666480592</v>
      </c>
      <c r="DF268" s="132" t="n">
        <f aca="false">IF(AB268=0,DF256,AB268)</f>
        <v>0.159831999720889</v>
      </c>
      <c r="DH268" s="152" t="n">
        <f aca="false">IF(BH268=0,EOMONTH(DH267,0)+1,BH268)</f>
        <v>44136</v>
      </c>
      <c r="DI268" s="99" t="n">
        <v>0.9</v>
      </c>
    </row>
    <row r="269" customFormat="false" ht="12.75" hidden="false" customHeight="false" outlineLevel="0" collapsed="false">
      <c r="A269" s="110" t="n">
        <f aca="false">EOMONTH(A268,0)+1</f>
        <v>53724</v>
      </c>
      <c r="B269" s="99" t="n">
        <f aca="false">'Gas Curves'!C273</f>
        <v>0.07401621224988</v>
      </c>
      <c r="C269" s="99"/>
      <c r="D269" s="145" t="n">
        <v>43282</v>
      </c>
      <c r="E269" s="146" t="n">
        <v>87.5</v>
      </c>
      <c r="F269" s="146" t="n">
        <v>92.5</v>
      </c>
      <c r="G269" s="146" t="n">
        <v>97.5</v>
      </c>
      <c r="H269" s="186"/>
      <c r="I269" s="146" t="n">
        <v>23.5499977111816</v>
      </c>
      <c r="J269" s="146" t="n">
        <v>26.0499977111816</v>
      </c>
      <c r="K269" s="146" t="n">
        <v>28.5499977111816</v>
      </c>
      <c r="L269" s="105"/>
      <c r="M269" s="106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06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  <c r="CH269" s="0"/>
      <c r="CI269" s="0"/>
      <c r="CJ269" s="0"/>
      <c r="CK269" s="0"/>
      <c r="CP269" s="0"/>
      <c r="CQ269" s="0"/>
      <c r="CR269" s="0"/>
      <c r="CS269" s="0"/>
      <c r="CT269" s="0"/>
      <c r="CY269" s="152" t="n">
        <f aca="false">EOMONTH(CY268,0)+1</f>
        <v>44166</v>
      </c>
      <c r="CZ269" s="153" t="n">
        <f aca="false">IF(AI269=0,CZ257,AH269+AI269)</f>
        <v>1</v>
      </c>
      <c r="DA269" s="153" t="n">
        <f aca="false">IF(AI269=0,DA257,AI269)</f>
        <v>1.25</v>
      </c>
      <c r="DB269" s="153" t="n">
        <f aca="false">IF(AI269=0,DB257,AI269+AJ269)</f>
        <v>1.55</v>
      </c>
      <c r="DD269" s="132" t="n">
        <f aca="false">IF(Z269=0,DD257,Z269)</f>
        <v>0.0551786804488718</v>
      </c>
      <c r="DE269" s="132" t="n">
        <f aca="false">IF(AA269=0,DE257,AA269)</f>
        <v>0.110357360897744</v>
      </c>
      <c r="DF269" s="132" t="n">
        <f aca="false">IF(AB269=0,DF257,AB269)</f>
        <v>0.165536041346615</v>
      </c>
      <c r="DH269" s="152" t="n">
        <f aca="false">IF(BH269=0,EOMONTH(DH268,0)+1,BH269)</f>
        <v>44166</v>
      </c>
      <c r="DI269" s="99" t="n">
        <v>0.9</v>
      </c>
    </row>
    <row r="270" customFormat="false" ht="12.75" hidden="false" customHeight="false" outlineLevel="0" collapsed="false">
      <c r="A270" s="110" t="n">
        <f aca="false">EOMONTH(A269,0)+1</f>
        <v>53752</v>
      </c>
      <c r="B270" s="99" t="n">
        <f aca="false">'Gas Curves'!C274</f>
        <v>0.074006976954171</v>
      </c>
      <c r="C270" s="99"/>
      <c r="D270" s="145" t="n">
        <v>43313</v>
      </c>
      <c r="E270" s="146" t="n">
        <v>83</v>
      </c>
      <c r="F270" s="146" t="n">
        <v>88</v>
      </c>
      <c r="G270" s="146" t="n">
        <v>93</v>
      </c>
      <c r="H270" s="186"/>
      <c r="I270" s="146" t="n">
        <v>23.8999980926514</v>
      </c>
      <c r="J270" s="146" t="n">
        <v>26.3999980926514</v>
      </c>
      <c r="K270" s="146" t="n">
        <v>28.8999980926514</v>
      </c>
      <c r="L270" s="105"/>
      <c r="M270" s="106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06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  <c r="CH270" s="0"/>
      <c r="CI270" s="0"/>
      <c r="CJ270" s="0"/>
      <c r="CK270" s="0"/>
      <c r="CP270" s="0"/>
      <c r="CQ270" s="0"/>
      <c r="CR270" s="0"/>
      <c r="CS270" s="0"/>
      <c r="CT270" s="0"/>
      <c r="CY270" s="152" t="n">
        <f aca="false">EOMONTH(CY269,0)+1</f>
        <v>44197</v>
      </c>
      <c r="CZ270" s="153" t="n">
        <f aca="false">IF(AI270=0,CZ258,AH270+AI270)</f>
        <v>1.25</v>
      </c>
      <c r="DA270" s="153" t="n">
        <f aca="false">IF(AI270=0,DA258,AI270)</f>
        <v>2</v>
      </c>
      <c r="DB270" s="153" t="n">
        <f aca="false">IF(AI270=0,DB258,AI270+AJ270)</f>
        <v>2.75</v>
      </c>
      <c r="DD270" s="132" t="n">
        <f aca="false">IF(Z270=0,DD258,Z270)</f>
        <v>0.0593730876011232</v>
      </c>
      <c r="DE270" s="132" t="n">
        <f aca="false">IF(AA270=0,DE258,AA270)</f>
        <v>0.118746175202246</v>
      </c>
      <c r="DF270" s="132" t="n">
        <f aca="false">IF(AB270=0,DF258,AB270)</f>
        <v>0.17811926280337</v>
      </c>
      <c r="DH270" s="152" t="n">
        <f aca="false">IF(BH270=0,EOMONTH(DH269,0)+1,BH270)</f>
        <v>44197</v>
      </c>
      <c r="DI270" s="99" t="n">
        <v>0.9</v>
      </c>
    </row>
    <row r="271" customFormat="false" ht="12.75" hidden="false" customHeight="false" outlineLevel="0" collapsed="false">
      <c r="A271" s="110" t="n">
        <f aca="false">EOMONTH(A270,0)+1</f>
        <v>53783</v>
      </c>
      <c r="B271" s="99" t="n">
        <f aca="false">'Gas Curves'!C275</f>
        <v>0.073998039571255</v>
      </c>
      <c r="C271" s="99"/>
      <c r="D271" s="145" t="n">
        <v>43344</v>
      </c>
      <c r="E271" s="146" t="n">
        <v>33.55</v>
      </c>
      <c r="F271" s="146" t="n">
        <v>35.85</v>
      </c>
      <c r="G271" s="146" t="n">
        <v>38.15</v>
      </c>
      <c r="H271" s="186"/>
      <c r="I271" s="146" t="n">
        <v>20.7999980926514</v>
      </c>
      <c r="J271" s="146" t="n">
        <v>21.9499980926514</v>
      </c>
      <c r="K271" s="146" t="n">
        <v>23.0999980926514</v>
      </c>
      <c r="L271" s="105"/>
      <c r="M271" s="106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06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  <c r="CH271" s="0"/>
      <c r="CI271" s="0"/>
      <c r="CJ271" s="0"/>
      <c r="CK271" s="0"/>
      <c r="CP271" s="0"/>
      <c r="CQ271" s="0"/>
      <c r="CR271" s="0"/>
      <c r="CS271" s="0"/>
      <c r="CT271" s="0"/>
      <c r="CY271" s="152" t="n">
        <f aca="false">EOMONTH(CY270,0)+1</f>
        <v>44228</v>
      </c>
      <c r="CZ271" s="153" t="n">
        <f aca="false">IF(AI271=0,CZ259,AH271+AI271)</f>
        <v>1.25</v>
      </c>
      <c r="DA271" s="153" t="n">
        <f aca="false">IF(AI271=0,DA259,AI271)</f>
        <v>2</v>
      </c>
      <c r="DB271" s="153" t="n">
        <f aca="false">IF(AI271=0,DB259,AI271+AJ271)</f>
        <v>2.75</v>
      </c>
      <c r="DD271" s="132" t="n">
        <f aca="false">IF(Z271=0,DD259,Z271)</f>
        <v>0.0572824859250273</v>
      </c>
      <c r="DE271" s="132" t="n">
        <f aca="false">IF(AA271=0,DE259,AA271)</f>
        <v>0.114564971850055</v>
      </c>
      <c r="DF271" s="132" t="n">
        <f aca="false">IF(AB271=0,DF259,AB271)</f>
        <v>0.171847457775082</v>
      </c>
      <c r="DH271" s="152" t="n">
        <f aca="false">IF(BH271=0,EOMONTH(DH270,0)+1,BH271)</f>
        <v>44228</v>
      </c>
      <c r="DI271" s="99" t="n">
        <v>0.9</v>
      </c>
    </row>
    <row r="272" customFormat="false" ht="12.75" hidden="false" customHeight="false" outlineLevel="0" collapsed="false">
      <c r="A272" s="110" t="n">
        <f aca="false">EOMONTH(A271,0)+1</f>
        <v>53813</v>
      </c>
      <c r="B272" s="99" t="n">
        <f aca="false">'Gas Curves'!C276</f>
        <v>0.073988804275602</v>
      </c>
      <c r="C272" s="99"/>
      <c r="D272" s="18"/>
      <c r="E272" s="18"/>
      <c r="F272" s="18"/>
      <c r="G272" s="18"/>
      <c r="H272" s="18"/>
      <c r="I272" s="18"/>
      <c r="J272" s="18"/>
      <c r="K272" s="18"/>
      <c r="L272" s="18"/>
      <c r="M272" s="106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06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  <c r="CH272" s="0"/>
      <c r="CI272" s="0"/>
      <c r="CJ272" s="0"/>
      <c r="CK272" s="0"/>
      <c r="CP272" s="0"/>
      <c r="CQ272" s="0"/>
      <c r="CR272" s="0"/>
      <c r="CS272" s="0"/>
      <c r="CT272" s="0"/>
      <c r="CY272" s="152" t="n">
        <f aca="false">EOMONTH(CY271,0)+1</f>
        <v>44256</v>
      </c>
      <c r="CZ272" s="153" t="n">
        <f aca="false">IF(AI272=0,CZ260,AH272+AI272)</f>
        <v>1</v>
      </c>
      <c r="DA272" s="153" t="n">
        <f aca="false">IF(AI272=0,DA260,AI272)</f>
        <v>1.25</v>
      </c>
      <c r="DB272" s="153" t="n">
        <f aca="false">IF(AI272=0,DB260,AI272+AJ272)</f>
        <v>1.55</v>
      </c>
      <c r="DD272" s="132" t="n">
        <f aca="false">IF(Z272=0,DD260,Z272)</f>
        <v>0.0558347442643309</v>
      </c>
      <c r="DE272" s="132" t="n">
        <f aca="false">IF(AA272=0,DE260,AA272)</f>
        <v>0.111669488528662</v>
      </c>
      <c r="DF272" s="132" t="n">
        <f aca="false">IF(AB272=0,DF260,AB272)</f>
        <v>0.167504232792993</v>
      </c>
      <c r="DH272" s="152" t="n">
        <f aca="false">IF(BH272=0,EOMONTH(DH271,0)+1,BH272)</f>
        <v>44256</v>
      </c>
      <c r="DI272" s="99" t="n">
        <v>0.9</v>
      </c>
    </row>
    <row r="273" customFormat="false" ht="12.75" hidden="false" customHeight="false" outlineLevel="0" collapsed="false">
      <c r="A273" s="110" t="n">
        <f aca="false">EOMONTH(A272,0)+1</f>
        <v>53844</v>
      </c>
      <c r="B273" s="99" t="n">
        <f aca="false">'Gas Curves'!C277</f>
        <v>0.073979866892738</v>
      </c>
      <c r="C273" s="99"/>
      <c r="D273" s="18"/>
      <c r="E273" s="18"/>
      <c r="F273" s="18"/>
      <c r="G273" s="18"/>
      <c r="H273" s="18"/>
      <c r="I273" s="18"/>
      <c r="J273" s="18"/>
      <c r="K273" s="18"/>
      <c r="L273" s="18"/>
      <c r="M273" s="106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06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0"/>
      <c r="CI273" s="0"/>
      <c r="CJ273" s="0"/>
      <c r="CK273" s="0"/>
      <c r="CP273" s="0"/>
      <c r="CQ273" s="0"/>
      <c r="CR273" s="0"/>
      <c r="CS273" s="0"/>
      <c r="CT273" s="0"/>
      <c r="CY273" s="152" t="n">
        <f aca="false">EOMONTH(CY272,0)+1</f>
        <v>44287</v>
      </c>
      <c r="CZ273" s="153" t="n">
        <f aca="false">IF(AI273=0,CZ261,AH273+AI273)</f>
        <v>1</v>
      </c>
      <c r="DA273" s="153" t="n">
        <f aca="false">IF(AI273=0,DA261,AI273)</f>
        <v>1.25</v>
      </c>
      <c r="DB273" s="153" t="n">
        <f aca="false">IF(AI273=0,DB261,AI273+AJ273)</f>
        <v>1.55</v>
      </c>
      <c r="DD273" s="132" t="n">
        <f aca="false">IF(Z273=0,DD261,Z273)</f>
        <v>0.0497667728994625</v>
      </c>
      <c r="DE273" s="132" t="n">
        <f aca="false">IF(AA273=0,DE261,AA273)</f>
        <v>0.0995335457989251</v>
      </c>
      <c r="DF273" s="132" t="n">
        <f aca="false">IF(AB273=0,DF261,AB273)</f>
        <v>0.149300318698388</v>
      </c>
      <c r="DH273" s="152" t="n">
        <f aca="false">IF(BH273=0,EOMONTH(DH272,0)+1,BH273)</f>
        <v>44287</v>
      </c>
      <c r="DI273" s="99" t="n">
        <v>0.9</v>
      </c>
    </row>
    <row r="274" customFormat="false" ht="12.75" hidden="false" customHeight="false" outlineLevel="0" collapsed="false">
      <c r="A274" s="110" t="n">
        <f aca="false">EOMONTH(A273,0)+1</f>
        <v>53874</v>
      </c>
      <c r="B274" s="99" t="n">
        <f aca="false">'Gas Curves'!C278</f>
        <v>0.073970631597141</v>
      </c>
      <c r="C274" s="99"/>
      <c r="D274" s="18"/>
      <c r="E274" s="18"/>
      <c r="F274" s="18"/>
      <c r="G274" s="18"/>
      <c r="H274" s="18"/>
      <c r="I274" s="18"/>
      <c r="J274" s="18"/>
      <c r="K274" s="18"/>
      <c r="L274" s="18"/>
      <c r="M274" s="106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06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0"/>
      <c r="CI274" s="0"/>
      <c r="CJ274" s="0"/>
      <c r="CK274" s="0"/>
      <c r="CP274" s="0"/>
      <c r="CQ274" s="0"/>
      <c r="CR274" s="0"/>
      <c r="CS274" s="0"/>
      <c r="CT274" s="0"/>
      <c r="CY274" s="152" t="n">
        <f aca="false">EOMONTH(CY273,0)+1</f>
        <v>44317</v>
      </c>
      <c r="CZ274" s="153" t="n">
        <f aca="false">IF(AI274=0,CZ262,AH274+AI274)</f>
        <v>1</v>
      </c>
      <c r="DA274" s="153" t="n">
        <f aca="false">IF(AI274=0,DA262,AI274)</f>
        <v>1.25</v>
      </c>
      <c r="DB274" s="153" t="n">
        <f aca="false">IF(AI274=0,DB262,AI274+AJ274)</f>
        <v>1.55</v>
      </c>
      <c r="DD274" s="132" t="n">
        <f aca="false">IF(Z274=0,DD262,Z274)</f>
        <v>0.0572929389334078</v>
      </c>
      <c r="DE274" s="132" t="n">
        <f aca="false">IF(AA274=0,DE262,AA274)</f>
        <v>0.114585877866816</v>
      </c>
      <c r="DF274" s="132" t="n">
        <f aca="false">IF(AB274=0,DF262,AB274)</f>
        <v>0.171878816800223</v>
      </c>
      <c r="DH274" s="152" t="n">
        <f aca="false">IF(BH274=0,EOMONTH(DH273,0)+1,BH274)</f>
        <v>44317</v>
      </c>
      <c r="DI274" s="99" t="n">
        <v>0.9</v>
      </c>
    </row>
    <row r="275" customFormat="false" ht="12.75" hidden="false" customHeight="false" outlineLevel="0" collapsed="false">
      <c r="A275" s="110" t="n">
        <f aca="false">EOMONTH(A274,0)+1</f>
        <v>53905</v>
      </c>
      <c r="B275" s="99" t="n">
        <f aca="false">'Gas Curves'!C279</f>
        <v>0.073961396301572</v>
      </c>
      <c r="C275" s="99"/>
      <c r="D275" s="18"/>
      <c r="E275" s="18"/>
      <c r="F275" s="18"/>
      <c r="G275" s="18"/>
      <c r="H275" s="18"/>
      <c r="I275" s="18"/>
      <c r="J275" s="18"/>
      <c r="K275" s="18"/>
      <c r="L275" s="18"/>
      <c r="M275" s="106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06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0"/>
      <c r="CI275" s="0"/>
      <c r="CJ275" s="0"/>
      <c r="CK275" s="0"/>
      <c r="CP275" s="0"/>
      <c r="CQ275" s="0"/>
      <c r="CR275" s="0"/>
      <c r="CS275" s="0"/>
      <c r="CT275" s="0"/>
      <c r="CY275" s="152" t="n">
        <f aca="false">EOMONTH(CY274,0)+1</f>
        <v>44348</v>
      </c>
      <c r="CZ275" s="153" t="n">
        <f aca="false">IF(AI275=0,CZ263,AH275+AI275)</f>
        <v>1</v>
      </c>
      <c r="DA275" s="153" t="n">
        <f aca="false">IF(AI275=0,DA263,AI275)</f>
        <v>1.25</v>
      </c>
      <c r="DB275" s="153" t="n">
        <f aca="false">IF(AI275=0,DB263,AI275+AJ275)</f>
        <v>1.55</v>
      </c>
      <c r="DD275" s="132" t="n">
        <f aca="false">IF(Z275=0,DD263,Z275)</f>
        <v>0.0718278470864644</v>
      </c>
      <c r="DE275" s="132" t="n">
        <f aca="false">IF(AA275=0,DE263,AA275)</f>
        <v>0.143655694172929</v>
      </c>
      <c r="DF275" s="132" t="n">
        <f aca="false">IF(AB275=0,DF263,AB275)</f>
        <v>0.215483541259393</v>
      </c>
      <c r="DH275" s="152" t="n">
        <f aca="false">IF(BH275=0,EOMONTH(DH274,0)+1,BH275)</f>
        <v>44348</v>
      </c>
      <c r="DI275" s="99" t="n">
        <v>0.9</v>
      </c>
    </row>
    <row r="276" customFormat="false" ht="12.75" hidden="false" customHeight="false" outlineLevel="0" collapsed="false">
      <c r="A276" s="110" t="n">
        <f aca="false">EOMONTH(A275,0)+1</f>
        <v>53936</v>
      </c>
      <c r="B276" s="99" t="n">
        <f aca="false">'Gas Curves'!C280</f>
        <v>0.073953054744308</v>
      </c>
      <c r="C276" s="99"/>
      <c r="D276" s="18"/>
      <c r="E276" s="18"/>
      <c r="F276" s="18"/>
      <c r="G276" s="18"/>
      <c r="H276" s="18"/>
      <c r="I276" s="18"/>
      <c r="J276" s="18"/>
      <c r="K276" s="18"/>
      <c r="L276" s="18"/>
      <c r="M276" s="106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06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0"/>
      <c r="CI276" s="0"/>
      <c r="CJ276" s="0"/>
      <c r="CK276" s="0"/>
      <c r="CP276" s="0"/>
      <c r="CQ276" s="0"/>
      <c r="CR276" s="0"/>
      <c r="CS276" s="0"/>
      <c r="CT276" s="0"/>
      <c r="CY276" s="152" t="n">
        <f aca="false">EOMONTH(CY275,0)+1</f>
        <v>44378</v>
      </c>
      <c r="CZ276" s="153" t="n">
        <f aca="false">IF(AI276=0,CZ264,AH276+AI276)</f>
        <v>1</v>
      </c>
      <c r="DA276" s="153" t="n">
        <f aca="false">IF(AI276=0,DA264,AI276)</f>
        <v>1.25</v>
      </c>
      <c r="DB276" s="153" t="n">
        <f aca="false">IF(AI276=0,DB264,AI276+AJ276)</f>
        <v>1.55</v>
      </c>
      <c r="DD276" s="132" t="n">
        <f aca="false">IF(Z276=0,DD264,Z276)</f>
        <v>0.0849986376458685</v>
      </c>
      <c r="DE276" s="132" t="n">
        <f aca="false">IF(AA276=0,DE264,AA276)</f>
        <v>0.169997275291737</v>
      </c>
      <c r="DF276" s="132" t="n">
        <f aca="false">IF(AB276=0,DF264,AB276)</f>
        <v>0.254995912937605</v>
      </c>
      <c r="DH276" s="152" t="n">
        <f aca="false">IF(BH276=0,EOMONTH(DH275,0)+1,BH276)</f>
        <v>44378</v>
      </c>
      <c r="DI276" s="99" t="n">
        <v>0.9</v>
      </c>
    </row>
    <row r="277" customFormat="false" ht="12.75" hidden="false" customHeight="false" outlineLevel="0" collapsed="false">
      <c r="A277" s="110" t="n">
        <f aca="false">EOMONTH(A276,0)+1</f>
        <v>53966</v>
      </c>
      <c r="B277" s="99" t="n">
        <f aca="false">'Gas Curves'!C281</f>
        <v>0.073943819448791</v>
      </c>
      <c r="C277" s="99"/>
      <c r="D277" s="18"/>
      <c r="E277" s="18"/>
      <c r="F277" s="18"/>
      <c r="G277" s="18"/>
      <c r="H277" s="18"/>
      <c r="I277" s="18"/>
      <c r="J277" s="18"/>
      <c r="K277" s="18"/>
      <c r="L277" s="18"/>
      <c r="M277" s="106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06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0"/>
      <c r="CI277" s="0"/>
      <c r="CJ277" s="0"/>
      <c r="CK277" s="0"/>
      <c r="CP277" s="0"/>
      <c r="CQ277" s="0"/>
      <c r="CR277" s="0"/>
      <c r="CS277" s="0"/>
      <c r="CT277" s="0"/>
      <c r="CY277" s="152" t="n">
        <f aca="false">EOMONTH(CY276,0)+1</f>
        <v>44409</v>
      </c>
      <c r="CZ277" s="153" t="n">
        <f aca="false">IF(AI277=0,CZ265,AH277+AI277)</f>
        <v>1</v>
      </c>
      <c r="DA277" s="153" t="n">
        <f aca="false">IF(AI277=0,DA265,AI277)</f>
        <v>1.25</v>
      </c>
      <c r="DB277" s="153" t="n">
        <f aca="false">IF(AI277=0,DB265,AI277+AJ277)</f>
        <v>1.55</v>
      </c>
      <c r="DD277" s="132" t="n">
        <f aca="false">IF(Z277=0,DD265,Z277)</f>
        <v>0.0836345200522159</v>
      </c>
      <c r="DE277" s="132" t="n">
        <f aca="false">IF(AA277=0,DE265,AA277)</f>
        <v>0.167269040104432</v>
      </c>
      <c r="DF277" s="132" t="n">
        <f aca="false">IF(AB277=0,DF265,AB277)</f>
        <v>0.250903560156648</v>
      </c>
      <c r="DH277" s="152" t="n">
        <f aca="false">IF(BH277=0,EOMONTH(DH276,0)+1,BH277)</f>
        <v>44409</v>
      </c>
      <c r="DI277" s="99" t="n">
        <v>0.9</v>
      </c>
    </row>
    <row r="278" customFormat="false" ht="12.75" hidden="false" customHeight="false" outlineLevel="0" collapsed="false">
      <c r="A278" s="110" t="n">
        <f aca="false">EOMONTH(A277,0)+1</f>
        <v>53997</v>
      </c>
      <c r="B278" s="99" t="n">
        <f aca="false">'Gas Curves'!C282</f>
        <v>0.073934882066061</v>
      </c>
      <c r="C278" s="99"/>
      <c r="D278" s="18"/>
      <c r="E278" s="18"/>
      <c r="F278" s="18"/>
      <c r="G278" s="18"/>
      <c r="H278" s="18"/>
      <c r="I278" s="18"/>
      <c r="J278" s="18"/>
      <c r="K278" s="18"/>
      <c r="L278" s="18"/>
      <c r="M278" s="106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06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0"/>
      <c r="CI278" s="0"/>
      <c r="CJ278" s="0"/>
      <c r="CK278" s="0"/>
      <c r="CP278" s="0"/>
      <c r="CQ278" s="0"/>
      <c r="CR278" s="0"/>
      <c r="CS278" s="0"/>
      <c r="CT278" s="0"/>
      <c r="CY278" s="152" t="n">
        <f aca="false">EOMONTH(CY277,0)+1</f>
        <v>44440</v>
      </c>
      <c r="CZ278" s="153" t="n">
        <f aca="false">IF(AI278=0,CZ266,AH278+AI278)</f>
        <v>1</v>
      </c>
      <c r="DA278" s="153" t="n">
        <f aca="false">IF(AI278=0,DA266,AI278)</f>
        <v>1.25</v>
      </c>
      <c r="DB278" s="153" t="n">
        <f aca="false">IF(AI278=0,DB266,AI278+AJ278)</f>
        <v>1.55</v>
      </c>
      <c r="DD278" s="132" t="n">
        <f aca="false">IF(Z278=0,DD266,Z278)</f>
        <v>0.0554113974249214</v>
      </c>
      <c r="DE278" s="132" t="n">
        <f aca="false">IF(AA278=0,DE266,AA278)</f>
        <v>0.110822794849843</v>
      </c>
      <c r="DF278" s="132" t="n">
        <f aca="false">IF(AB278=0,DF266,AB278)</f>
        <v>0.166234192274764</v>
      </c>
      <c r="DH278" s="152" t="n">
        <f aca="false">IF(BH278=0,EOMONTH(DH277,0)+1,BH278)</f>
        <v>44440</v>
      </c>
      <c r="DI278" s="99" t="n">
        <v>0.9</v>
      </c>
    </row>
    <row r="279" customFormat="false" ht="12.75" hidden="false" customHeight="false" outlineLevel="0" collapsed="false">
      <c r="A279" s="110" t="n">
        <f aca="false">EOMONTH(A278,0)+1</f>
        <v>54027</v>
      </c>
      <c r="B279" s="99" t="n">
        <f aca="false">'Gas Curves'!C283</f>
        <v>0.073925646770601</v>
      </c>
      <c r="C279" s="99"/>
      <c r="D279" s="18"/>
      <c r="E279" s="18"/>
      <c r="F279" s="18"/>
      <c r="G279" s="18"/>
      <c r="H279" s="18"/>
      <c r="I279" s="18"/>
      <c r="J279" s="18"/>
      <c r="K279" s="18"/>
      <c r="L279" s="18"/>
      <c r="M279" s="106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06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  <c r="CH279" s="0"/>
      <c r="CI279" s="0"/>
      <c r="CJ279" s="0"/>
      <c r="CK279" s="0"/>
      <c r="CP279" s="0"/>
      <c r="CQ279" s="0"/>
      <c r="CR279" s="0"/>
      <c r="CS279" s="0"/>
      <c r="CT279" s="0"/>
      <c r="CY279" s="152" t="n">
        <f aca="false">EOMONTH(CY278,0)+1</f>
        <v>44470</v>
      </c>
      <c r="CZ279" s="153" t="n">
        <f aca="false">IF(AI279=0,CZ267,AH279+AI279)</f>
        <v>0.85</v>
      </c>
      <c r="DA279" s="153" t="n">
        <f aca="false">IF(AI279=0,DA267,AI279)</f>
        <v>1.1</v>
      </c>
      <c r="DB279" s="153" t="n">
        <f aca="false">IF(AI279=0,DB267,AI279+AJ279)</f>
        <v>1.4</v>
      </c>
      <c r="DD279" s="132" t="n">
        <f aca="false">IF(Z279=0,DD267,Z279)</f>
        <v>0.0532773332402962</v>
      </c>
      <c r="DE279" s="132" t="n">
        <f aca="false">IF(AA279=0,DE267,AA279)</f>
        <v>0.106554666480592</v>
      </c>
      <c r="DF279" s="132" t="n">
        <f aca="false">IF(AB279=0,DF267,AB279)</f>
        <v>0.159831999720889</v>
      </c>
      <c r="DH279" s="152" t="n">
        <f aca="false">IF(BH279=0,EOMONTH(DH278,0)+1,BH279)</f>
        <v>44470</v>
      </c>
      <c r="DI279" s="99" t="n">
        <v>0.9</v>
      </c>
    </row>
    <row r="280" customFormat="false" ht="12.75" hidden="false" customHeight="false" outlineLevel="0" collapsed="false">
      <c r="A280" s="110" t="n">
        <f aca="false">EOMONTH(A279,0)+1</f>
        <v>54058</v>
      </c>
      <c r="B280" s="99" t="n">
        <f aca="false">'Gas Curves'!C284</f>
        <v>0.073916709387924</v>
      </c>
      <c r="C280" s="99"/>
      <c r="D280" s="18"/>
      <c r="E280" s="18"/>
      <c r="F280" s="18"/>
      <c r="G280" s="18"/>
      <c r="H280" s="18"/>
      <c r="I280" s="18"/>
      <c r="J280" s="18"/>
      <c r="K280" s="18"/>
      <c r="L280" s="18"/>
      <c r="M280" s="106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06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  <c r="CH280" s="0"/>
      <c r="CI280" s="0"/>
      <c r="CJ280" s="0"/>
      <c r="CK280" s="0"/>
      <c r="CP280" s="0"/>
      <c r="CQ280" s="0"/>
      <c r="CR280" s="0"/>
      <c r="CS280" s="0"/>
      <c r="CT280" s="0"/>
      <c r="CY280" s="152" t="n">
        <f aca="false">EOMONTH(CY279,0)+1</f>
        <v>44501</v>
      </c>
      <c r="CZ280" s="153" t="n">
        <f aca="false">IF(AI280=0,CZ268,AH280+AI280)</f>
        <v>1</v>
      </c>
      <c r="DA280" s="153" t="n">
        <f aca="false">IF(AI280=0,DA268,AI280)</f>
        <v>1.25</v>
      </c>
      <c r="DB280" s="153" t="n">
        <f aca="false">IF(AI280=0,DB268,AI280+AJ280)</f>
        <v>1.55</v>
      </c>
      <c r="DD280" s="132" t="n">
        <f aca="false">IF(Z280=0,DD268,Z280)</f>
        <v>0.0532773332402962</v>
      </c>
      <c r="DE280" s="132" t="n">
        <f aca="false">IF(AA280=0,DE268,AA280)</f>
        <v>0.106554666480592</v>
      </c>
      <c r="DF280" s="132" t="n">
        <f aca="false">IF(AB280=0,DF268,AB280)</f>
        <v>0.159831999720889</v>
      </c>
      <c r="DH280" s="152" t="n">
        <f aca="false">IF(BH280=0,EOMONTH(DH279,0)+1,BH280)</f>
        <v>44501</v>
      </c>
      <c r="DI280" s="99" t="n">
        <v>0.9</v>
      </c>
    </row>
    <row r="281" customFormat="false" ht="12.75" hidden="false" customHeight="false" outlineLevel="0" collapsed="false">
      <c r="A281" s="110" t="n">
        <f aca="false">EOMONTH(A280,0)+1</f>
        <v>54089</v>
      </c>
      <c r="B281" s="99" t="n">
        <f aca="false">'Gas Curves'!C285</f>
        <v>0.073907474092519</v>
      </c>
      <c r="C281" s="99"/>
      <c r="D281" s="18"/>
      <c r="E281" s="18"/>
      <c r="F281" s="18"/>
      <c r="G281" s="18"/>
      <c r="H281" s="18"/>
      <c r="I281" s="18"/>
      <c r="J281" s="18"/>
      <c r="K281" s="18"/>
      <c r="L281" s="18"/>
      <c r="M281" s="106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06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  <c r="CH281" s="0"/>
      <c r="CI281" s="0"/>
      <c r="CJ281" s="0"/>
      <c r="CK281" s="0"/>
      <c r="CP281" s="0"/>
      <c r="CQ281" s="0"/>
      <c r="CR281" s="0"/>
      <c r="CS281" s="0"/>
      <c r="CT281" s="0"/>
      <c r="CY281" s="152" t="n">
        <f aca="false">EOMONTH(CY280,0)+1</f>
        <v>44531</v>
      </c>
      <c r="CZ281" s="153" t="n">
        <f aca="false">IF(AI281=0,CZ269,AH281+AI281)</f>
        <v>1</v>
      </c>
      <c r="DA281" s="153" t="n">
        <f aca="false">IF(AI281=0,DA269,AI281)</f>
        <v>1.25</v>
      </c>
      <c r="DB281" s="153" t="n">
        <f aca="false">IF(AI281=0,DB269,AI281+AJ281)</f>
        <v>1.55</v>
      </c>
      <c r="DD281" s="132" t="n">
        <f aca="false">IF(Z281=0,DD269,Z281)</f>
        <v>0.0551786804488718</v>
      </c>
      <c r="DE281" s="132" t="n">
        <f aca="false">IF(AA281=0,DE269,AA281)</f>
        <v>0.110357360897744</v>
      </c>
      <c r="DF281" s="132" t="n">
        <f aca="false">IF(AB281=0,DF269,AB281)</f>
        <v>0.165536041346615</v>
      </c>
      <c r="DH281" s="152" t="n">
        <f aca="false">IF(BH281=0,EOMONTH(DH280,0)+1,BH281)</f>
        <v>44531</v>
      </c>
      <c r="DI281" s="99" t="n">
        <v>0.9</v>
      </c>
    </row>
    <row r="282" customFormat="false" ht="12.75" hidden="false" customHeight="false" outlineLevel="0" collapsed="false">
      <c r="A282" s="110" t="n">
        <f aca="false">EOMONTH(A281,0)+1</f>
        <v>54118</v>
      </c>
      <c r="B282" s="99" t="n">
        <f aca="false">'Gas Curves'!C286</f>
        <v>0.073898238797142</v>
      </c>
      <c r="C282" s="99"/>
      <c r="D282" s="18"/>
      <c r="E282" s="18"/>
      <c r="F282" s="18"/>
      <c r="G282" s="18"/>
      <c r="H282" s="18"/>
      <c r="I282" s="18"/>
      <c r="J282" s="18"/>
      <c r="K282" s="18"/>
      <c r="L282" s="18"/>
      <c r="M282" s="106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06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  <c r="CH282" s="0"/>
      <c r="CI282" s="0"/>
      <c r="CJ282" s="0"/>
      <c r="CK282" s="0"/>
      <c r="CP282" s="0"/>
      <c r="CQ282" s="0"/>
      <c r="CR282" s="0"/>
      <c r="CS282" s="0"/>
      <c r="CT282" s="0"/>
      <c r="CY282" s="152" t="n">
        <f aca="false">EOMONTH(CY281,0)+1</f>
        <v>44562</v>
      </c>
      <c r="CZ282" s="153" t="n">
        <f aca="false">IF(AI282=0,CZ270,AH282+AI282)</f>
        <v>1.25</v>
      </c>
      <c r="DA282" s="153" t="n">
        <f aca="false">IF(AI282=0,DA270,AI282)</f>
        <v>2</v>
      </c>
      <c r="DB282" s="153" t="n">
        <f aca="false">IF(AI282=0,DB270,AI282+AJ282)</f>
        <v>2.75</v>
      </c>
      <c r="DD282" s="132" t="n">
        <f aca="false">IF(Z282=0,DD270,Z282)</f>
        <v>0.0593730876011232</v>
      </c>
      <c r="DE282" s="132" t="n">
        <f aca="false">IF(AA282=0,DE270,AA282)</f>
        <v>0.118746175202246</v>
      </c>
      <c r="DF282" s="132" t="n">
        <f aca="false">IF(AB282=0,DF270,AB282)</f>
        <v>0.17811926280337</v>
      </c>
      <c r="DH282" s="152" t="n">
        <f aca="false">IF(BH282=0,EOMONTH(DH281,0)+1,BH282)</f>
        <v>44562</v>
      </c>
      <c r="DI282" s="99" t="n">
        <v>0.9</v>
      </c>
    </row>
    <row r="283" customFormat="false" ht="12.75" hidden="false" customHeight="false" outlineLevel="0" collapsed="false">
      <c r="A283" s="110" t="n">
        <f aca="false">EOMONTH(A282,0)+1</f>
        <v>54149</v>
      </c>
      <c r="B283" s="99" t="n">
        <f aca="false">'Gas Curves'!C287</f>
        <v>0.073889301414546</v>
      </c>
      <c r="C283" s="99"/>
      <c r="D283" s="18"/>
      <c r="E283" s="18"/>
      <c r="F283" s="18"/>
      <c r="G283" s="18"/>
      <c r="H283" s="18"/>
      <c r="I283" s="18"/>
      <c r="J283" s="18"/>
      <c r="K283" s="18"/>
      <c r="L283" s="18"/>
      <c r="M283" s="106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06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  <c r="CH283" s="0"/>
      <c r="CI283" s="0"/>
      <c r="CJ283" s="0"/>
      <c r="CK283" s="0"/>
      <c r="CP283" s="0"/>
      <c r="CQ283" s="0"/>
      <c r="CR283" s="0"/>
      <c r="CS283" s="0"/>
      <c r="CT283" s="0"/>
      <c r="CY283" s="152" t="n">
        <f aca="false">EOMONTH(CY282,0)+1</f>
        <v>44593</v>
      </c>
      <c r="CZ283" s="153" t="n">
        <f aca="false">IF(AI283=0,CZ271,AH283+AI283)</f>
        <v>1.25</v>
      </c>
      <c r="DA283" s="153" t="n">
        <f aca="false">IF(AI283=0,DA271,AI283)</f>
        <v>2</v>
      </c>
      <c r="DB283" s="153" t="n">
        <f aca="false">IF(AI283=0,DB271,AI283+AJ283)</f>
        <v>2.75</v>
      </c>
      <c r="DD283" s="132" t="n">
        <f aca="false">IF(Z283=0,DD271,Z283)</f>
        <v>0.0572824859250273</v>
      </c>
      <c r="DE283" s="132" t="n">
        <f aca="false">IF(AA283=0,DE271,AA283)</f>
        <v>0.114564971850055</v>
      </c>
      <c r="DF283" s="132" t="n">
        <f aca="false">IF(AB283=0,DF271,AB283)</f>
        <v>0.171847457775082</v>
      </c>
      <c r="DH283" s="152" t="n">
        <f aca="false">IF(BH283=0,EOMONTH(DH282,0)+1,BH283)</f>
        <v>44593</v>
      </c>
      <c r="DI283" s="99" t="n">
        <v>0.9</v>
      </c>
    </row>
    <row r="284" customFormat="false" ht="12.75" hidden="false" customHeight="false" outlineLevel="0" collapsed="false">
      <c r="A284" s="110" t="n">
        <f aca="false">EOMONTH(A283,0)+1</f>
        <v>54179</v>
      </c>
      <c r="B284" s="99" t="n">
        <f aca="false">'Gas Curves'!C288</f>
        <v>0.073880066119225</v>
      </c>
      <c r="C284" s="99"/>
      <c r="D284" s="18"/>
      <c r="E284" s="18"/>
      <c r="F284" s="18"/>
      <c r="G284" s="18"/>
      <c r="H284" s="18"/>
      <c r="I284" s="18"/>
      <c r="J284" s="18"/>
      <c r="K284" s="18"/>
      <c r="L284" s="18"/>
      <c r="M284" s="106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06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  <c r="CH284" s="0"/>
      <c r="CI284" s="0"/>
      <c r="CJ284" s="0"/>
      <c r="CK284" s="0"/>
      <c r="CP284" s="0"/>
      <c r="CQ284" s="0"/>
      <c r="CR284" s="0"/>
      <c r="CS284" s="0"/>
      <c r="CT284" s="0"/>
      <c r="CY284" s="152" t="n">
        <f aca="false">EOMONTH(CY283,0)+1</f>
        <v>44621</v>
      </c>
      <c r="CZ284" s="153" t="n">
        <f aca="false">IF(AI284=0,CZ272,AH284+AI284)</f>
        <v>1</v>
      </c>
      <c r="DA284" s="153" t="n">
        <f aca="false">IF(AI284=0,DA272,AI284)</f>
        <v>1.25</v>
      </c>
      <c r="DB284" s="153" t="n">
        <f aca="false">IF(AI284=0,DB272,AI284+AJ284)</f>
        <v>1.55</v>
      </c>
      <c r="DD284" s="132" t="n">
        <f aca="false">IF(Z284=0,DD272,Z284)</f>
        <v>0.0558347442643309</v>
      </c>
      <c r="DE284" s="132" t="n">
        <f aca="false">IF(AA284=0,DE272,AA284)</f>
        <v>0.111669488528662</v>
      </c>
      <c r="DF284" s="132" t="n">
        <f aca="false">IF(AB284=0,DF272,AB284)</f>
        <v>0.167504232792993</v>
      </c>
      <c r="DH284" s="152" t="n">
        <f aca="false">IF(BH284=0,EOMONTH(DH283,0)+1,BH284)</f>
        <v>44621</v>
      </c>
      <c r="DI284" s="99" t="n">
        <v>0.9</v>
      </c>
    </row>
    <row r="285" customFormat="false" ht="12.75" hidden="false" customHeight="false" outlineLevel="0" collapsed="false">
      <c r="A285" s="110" t="n">
        <f aca="false">EOMONTH(A284,0)+1</f>
        <v>54210</v>
      </c>
      <c r="B285" s="99" t="n">
        <f aca="false">'Gas Curves'!C289</f>
        <v>0.073871128736682</v>
      </c>
      <c r="C285" s="99"/>
      <c r="D285" s="18"/>
      <c r="E285" s="18"/>
      <c r="F285" s="18"/>
      <c r="G285" s="18"/>
      <c r="H285" s="18"/>
      <c r="I285" s="18"/>
      <c r="J285" s="18"/>
      <c r="K285" s="18"/>
      <c r="L285" s="18"/>
      <c r="M285" s="106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06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  <c r="CH285" s="0"/>
      <c r="CI285" s="0"/>
      <c r="CJ285" s="0"/>
      <c r="CK285" s="0"/>
      <c r="CP285" s="0"/>
      <c r="CQ285" s="0"/>
      <c r="CR285" s="0"/>
      <c r="CS285" s="0"/>
      <c r="CT285" s="0"/>
      <c r="CY285" s="152" t="n">
        <f aca="false">EOMONTH(CY284,0)+1</f>
        <v>44652</v>
      </c>
      <c r="CZ285" s="153" t="n">
        <f aca="false">IF(AI285=0,CZ273,AH285+AI285)</f>
        <v>1</v>
      </c>
      <c r="DA285" s="153" t="n">
        <f aca="false">IF(AI285=0,DA273,AI285)</f>
        <v>1.25</v>
      </c>
      <c r="DB285" s="153" t="n">
        <f aca="false">IF(AI285=0,DB273,AI285+AJ285)</f>
        <v>1.55</v>
      </c>
      <c r="DD285" s="132" t="n">
        <f aca="false">IF(Z285=0,DD273,Z285)</f>
        <v>0.0497667728994625</v>
      </c>
      <c r="DE285" s="132" t="n">
        <f aca="false">IF(AA285=0,DE273,AA285)</f>
        <v>0.0995335457989251</v>
      </c>
      <c r="DF285" s="132" t="n">
        <f aca="false">IF(AB285=0,DF273,AB285)</f>
        <v>0.149300318698388</v>
      </c>
      <c r="DH285" s="152" t="n">
        <f aca="false">IF(BH285=0,EOMONTH(DH284,0)+1,BH285)</f>
        <v>44652</v>
      </c>
      <c r="DI285" s="99" t="n">
        <v>0.9</v>
      </c>
    </row>
    <row r="286" customFormat="false" ht="12.75" hidden="false" customHeight="false" outlineLevel="0" collapsed="false">
      <c r="A286" s="110" t="n">
        <f aca="false">EOMONTH(A285,0)+1</f>
        <v>54240</v>
      </c>
      <c r="B286" s="99" t="n">
        <f aca="false">'Gas Curves'!C290</f>
        <v>0.073861893441416</v>
      </c>
      <c r="C286" s="99"/>
      <c r="D286" s="18"/>
      <c r="E286" s="18"/>
      <c r="F286" s="18"/>
      <c r="G286" s="18"/>
      <c r="H286" s="18"/>
      <c r="I286" s="18"/>
      <c r="J286" s="18"/>
      <c r="K286" s="18"/>
      <c r="L286" s="18"/>
      <c r="M286" s="106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06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0"/>
      <c r="CI286" s="0"/>
      <c r="CJ286" s="0"/>
      <c r="CK286" s="0"/>
      <c r="CP286" s="0"/>
      <c r="CQ286" s="0"/>
      <c r="CR286" s="0"/>
      <c r="CS286" s="0"/>
      <c r="CT286" s="0"/>
      <c r="CY286" s="152" t="n">
        <f aca="false">EOMONTH(CY285,0)+1</f>
        <v>44682</v>
      </c>
      <c r="CZ286" s="153" t="n">
        <f aca="false">IF(AI286=0,CZ274,AH286+AI286)</f>
        <v>1</v>
      </c>
      <c r="DA286" s="153" t="n">
        <f aca="false">IF(AI286=0,DA274,AI286)</f>
        <v>1.25</v>
      </c>
      <c r="DB286" s="153" t="n">
        <f aca="false">IF(AI286=0,DB274,AI286+AJ286)</f>
        <v>1.55</v>
      </c>
      <c r="DD286" s="132" t="n">
        <f aca="false">IF(Z286=0,DD274,Z286)</f>
        <v>0.0572929389334078</v>
      </c>
      <c r="DE286" s="132" t="n">
        <f aca="false">IF(AA286=0,DE274,AA286)</f>
        <v>0.114585877866816</v>
      </c>
      <c r="DF286" s="132" t="n">
        <f aca="false">IF(AB286=0,DF274,AB286)</f>
        <v>0.171878816800223</v>
      </c>
      <c r="DH286" s="152" t="n">
        <f aca="false">IF(BH286=0,EOMONTH(DH285,0)+1,BH286)</f>
        <v>44682</v>
      </c>
      <c r="DI286" s="99" t="n">
        <v>0.9</v>
      </c>
    </row>
    <row r="287" customFormat="false" ht="12.75" hidden="false" customHeight="false" outlineLevel="0" collapsed="false">
      <c r="A287" s="110" t="n">
        <f aca="false">EOMONTH(A286,0)+1</f>
        <v>54271</v>
      </c>
      <c r="B287" s="99" t="n">
        <f aca="false">'Gas Curves'!C291</f>
        <v>0.073852658146178</v>
      </c>
      <c r="C287" s="99"/>
      <c r="D287" s="18"/>
      <c r="E287" s="18"/>
      <c r="F287" s="18"/>
      <c r="G287" s="18"/>
      <c r="H287" s="18"/>
      <c r="I287" s="18"/>
      <c r="J287" s="18"/>
      <c r="K287" s="18"/>
      <c r="L287" s="18"/>
      <c r="M287" s="106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06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  <c r="CH287" s="0"/>
      <c r="CI287" s="0"/>
      <c r="CJ287" s="0"/>
      <c r="CK287" s="0"/>
      <c r="CP287" s="0"/>
      <c r="CQ287" s="0"/>
      <c r="CR287" s="0"/>
      <c r="CS287" s="0"/>
      <c r="CT287" s="0"/>
      <c r="CY287" s="152" t="n">
        <f aca="false">EOMONTH(CY286,0)+1</f>
        <v>44713</v>
      </c>
      <c r="CZ287" s="153" t="n">
        <f aca="false">IF(AI287=0,CZ275,AH287+AI287)</f>
        <v>1</v>
      </c>
      <c r="DA287" s="153" t="n">
        <f aca="false">IF(AI287=0,DA275,AI287)</f>
        <v>1.25</v>
      </c>
      <c r="DB287" s="153" t="n">
        <f aca="false">IF(AI287=0,DB275,AI287+AJ287)</f>
        <v>1.55</v>
      </c>
      <c r="DD287" s="132" t="n">
        <f aca="false">IF(Z287=0,DD275,Z287)</f>
        <v>0.0718278470864644</v>
      </c>
      <c r="DE287" s="132" t="n">
        <f aca="false">IF(AA287=0,DE275,AA287)</f>
        <v>0.143655694172929</v>
      </c>
      <c r="DF287" s="132" t="n">
        <f aca="false">IF(AB287=0,DF275,AB287)</f>
        <v>0.215483541259393</v>
      </c>
      <c r="DH287" s="152" t="n">
        <f aca="false">IF(BH287=0,EOMONTH(DH286,0)+1,BH287)</f>
        <v>44713</v>
      </c>
      <c r="DI287" s="99" t="n">
        <v>0.9</v>
      </c>
    </row>
    <row r="288" customFormat="false" ht="12.75" hidden="false" customHeight="false" outlineLevel="0" collapsed="false">
      <c r="A288" s="110" t="n">
        <f aca="false">EOMONTH(A287,0)+1</f>
        <v>54302</v>
      </c>
      <c r="B288" s="99" t="n">
        <f aca="false">'Gas Curves'!C292</f>
        <v>0.073844316589213</v>
      </c>
      <c r="C288" s="99"/>
      <c r="D288" s="18"/>
      <c r="E288" s="18"/>
      <c r="F288" s="18"/>
      <c r="G288" s="18"/>
      <c r="H288" s="18"/>
      <c r="I288" s="18"/>
      <c r="J288" s="18"/>
      <c r="K288" s="18"/>
      <c r="L288" s="18"/>
      <c r="M288" s="106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06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  <c r="CH288" s="0"/>
      <c r="CI288" s="0"/>
      <c r="CJ288" s="0"/>
      <c r="CK288" s="0"/>
      <c r="CP288" s="0"/>
      <c r="CQ288" s="0"/>
      <c r="CR288" s="0"/>
      <c r="CS288" s="0"/>
      <c r="CT288" s="0"/>
      <c r="CY288" s="152" t="n">
        <f aca="false">EOMONTH(CY287,0)+1</f>
        <v>44743</v>
      </c>
      <c r="CZ288" s="153" t="n">
        <f aca="false">IF(AI288=0,CZ276,AH288+AI288)</f>
        <v>1</v>
      </c>
      <c r="DA288" s="153" t="n">
        <f aca="false">IF(AI288=0,DA276,AI288)</f>
        <v>1.25</v>
      </c>
      <c r="DB288" s="153" t="n">
        <f aca="false">IF(AI288=0,DB276,AI288+AJ288)</f>
        <v>1.55</v>
      </c>
      <c r="DD288" s="132" t="n">
        <f aca="false">IF(Z288=0,DD276,Z288)</f>
        <v>0.0849986376458685</v>
      </c>
      <c r="DE288" s="132" t="n">
        <f aca="false">IF(AA288=0,DE276,AA288)</f>
        <v>0.169997275291737</v>
      </c>
      <c r="DF288" s="132" t="n">
        <f aca="false">IF(AB288=0,DF276,AB288)</f>
        <v>0.254995912937605</v>
      </c>
      <c r="DH288" s="152" t="n">
        <f aca="false">IF(BH288=0,EOMONTH(DH287,0)+1,BH288)</f>
        <v>44743</v>
      </c>
      <c r="DI288" s="99" t="n">
        <v>0.9</v>
      </c>
    </row>
    <row r="289" customFormat="false" ht="12.75" hidden="false" customHeight="false" outlineLevel="0" collapsed="false">
      <c r="A289" s="110" t="n">
        <f aca="false">EOMONTH(A288,0)+1</f>
        <v>54332</v>
      </c>
      <c r="B289" s="99" t="n">
        <f aca="false">'Gas Curves'!C293</f>
        <v>0.073835081294029</v>
      </c>
      <c r="C289" s="99"/>
      <c r="D289" s="18"/>
      <c r="E289" s="18"/>
      <c r="F289" s="18"/>
      <c r="G289" s="18"/>
      <c r="H289" s="18"/>
      <c r="I289" s="18"/>
      <c r="J289" s="18"/>
      <c r="K289" s="18"/>
      <c r="L289" s="18"/>
      <c r="M289" s="106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06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  <c r="CH289" s="0"/>
      <c r="CI289" s="0"/>
      <c r="CJ289" s="0"/>
      <c r="CK289" s="0"/>
      <c r="CP289" s="0"/>
      <c r="CQ289" s="0"/>
      <c r="CR289" s="0"/>
      <c r="CS289" s="0"/>
      <c r="CT289" s="0"/>
      <c r="CY289" s="152" t="n">
        <f aca="false">EOMONTH(CY288,0)+1</f>
        <v>44774</v>
      </c>
      <c r="CZ289" s="153" t="n">
        <f aca="false">IF(AI289=0,CZ277,AH289+AI289)</f>
        <v>1</v>
      </c>
      <c r="DA289" s="153" t="n">
        <f aca="false">IF(AI289=0,DA277,AI289)</f>
        <v>1.25</v>
      </c>
      <c r="DB289" s="153" t="n">
        <f aca="false">IF(AI289=0,DB277,AI289+AJ289)</f>
        <v>1.55</v>
      </c>
      <c r="DD289" s="132" t="n">
        <f aca="false">IF(Z289=0,DD277,Z289)</f>
        <v>0.0836345200522159</v>
      </c>
      <c r="DE289" s="132" t="n">
        <f aca="false">IF(AA289=0,DE277,AA289)</f>
        <v>0.167269040104432</v>
      </c>
      <c r="DF289" s="132" t="n">
        <f aca="false">IF(AB289=0,DF277,AB289)</f>
        <v>0.250903560156648</v>
      </c>
      <c r="DH289" s="152" t="n">
        <f aca="false">IF(BH289=0,EOMONTH(DH288,0)+1,BH289)</f>
        <v>44774</v>
      </c>
      <c r="DI289" s="99" t="n">
        <v>0.9</v>
      </c>
    </row>
    <row r="290" customFormat="false" ht="14.25" hidden="false" customHeight="false" outlineLevel="0" collapsed="false">
      <c r="A290" s="187" t="n">
        <f aca="false">EDATE(A289,1)</f>
        <v>54363</v>
      </c>
      <c r="B290" s="99" t="n">
        <f aca="false">'Gas Curves'!C294</f>
        <v>0.073826143911618</v>
      </c>
      <c r="C290" s="99"/>
      <c r="D290" s="18"/>
      <c r="E290" s="18"/>
      <c r="F290" s="18"/>
      <c r="G290" s="18"/>
      <c r="H290" s="18"/>
      <c r="I290" s="18"/>
      <c r="J290" s="18"/>
      <c r="K290" s="18"/>
      <c r="L290" s="18"/>
      <c r="M290" s="106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06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  <c r="CH290" s="0"/>
      <c r="CI290" s="0"/>
      <c r="CJ290" s="0"/>
      <c r="CK290" s="0"/>
      <c r="CP290" s="0"/>
      <c r="CQ290" s="0"/>
      <c r="CR290" s="0"/>
      <c r="CS290" s="0"/>
      <c r="CT290" s="0"/>
      <c r="CY290" s="152" t="n">
        <f aca="false">EOMONTH(CY289,0)+1</f>
        <v>44805</v>
      </c>
      <c r="CZ290" s="153" t="n">
        <f aca="false">IF(AI290=0,CZ278,AH290+AI290)</f>
        <v>1</v>
      </c>
      <c r="DA290" s="153" t="n">
        <f aca="false">IF(AI290=0,DA278,AI290)</f>
        <v>1.25</v>
      </c>
      <c r="DB290" s="153" t="n">
        <f aca="false">IF(AI290=0,DB278,AI290+AJ290)</f>
        <v>1.55</v>
      </c>
      <c r="DD290" s="132" t="n">
        <f aca="false">IF(Z290=0,DD278,Z290)</f>
        <v>0.0554113974249214</v>
      </c>
      <c r="DE290" s="132" t="n">
        <f aca="false">IF(AA290=0,DE278,AA290)</f>
        <v>0.110822794849843</v>
      </c>
      <c r="DF290" s="132" t="n">
        <f aca="false">IF(AB290=0,DF278,AB290)</f>
        <v>0.166234192274764</v>
      </c>
      <c r="DH290" s="152" t="n">
        <f aca="false">IF(BH290=0,EOMONTH(DH289,0)+1,BH290)</f>
        <v>44805</v>
      </c>
      <c r="DI290" s="99" t="n">
        <v>0.9</v>
      </c>
    </row>
    <row r="291" customFormat="false" ht="14.25" hidden="false" customHeight="false" outlineLevel="0" collapsed="false">
      <c r="A291" s="187" t="n">
        <f aca="false">EDATE(A290,1)</f>
        <v>54393</v>
      </c>
      <c r="B291" s="99" t="n">
        <f aca="false">'Gas Curves'!C295</f>
        <v>0.073816908616489</v>
      </c>
      <c r="C291" s="99"/>
      <c r="D291" s="18"/>
      <c r="E291" s="18"/>
      <c r="F291" s="18"/>
      <c r="G291" s="18"/>
      <c r="H291" s="18"/>
      <c r="I291" s="18"/>
      <c r="J291" s="18"/>
      <c r="K291" s="18"/>
      <c r="L291" s="18"/>
      <c r="M291" s="106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06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  <c r="CH291" s="0"/>
      <c r="CI291" s="0"/>
      <c r="CJ291" s="0"/>
      <c r="CK291" s="0"/>
      <c r="CP291" s="0"/>
      <c r="CQ291" s="0"/>
      <c r="CR291" s="0"/>
      <c r="CS291" s="0"/>
      <c r="CT291" s="0"/>
      <c r="CY291" s="152" t="n">
        <f aca="false">EOMONTH(CY290,0)+1</f>
        <v>44835</v>
      </c>
      <c r="CZ291" s="153" t="n">
        <f aca="false">IF(AI291=0,CZ279,AH291+AI291)</f>
        <v>0.85</v>
      </c>
      <c r="DA291" s="153" t="n">
        <f aca="false">IF(AI291=0,DA279,AI291)</f>
        <v>1.1</v>
      </c>
      <c r="DB291" s="153" t="n">
        <f aca="false">IF(AI291=0,DB279,AI291+AJ291)</f>
        <v>1.4</v>
      </c>
      <c r="DD291" s="132" t="n">
        <f aca="false">IF(Z291=0,DD279,Z291)</f>
        <v>0.0532773332402962</v>
      </c>
      <c r="DE291" s="132" t="n">
        <f aca="false">IF(AA291=0,DE279,AA291)</f>
        <v>0.106554666480592</v>
      </c>
      <c r="DF291" s="132" t="n">
        <f aca="false">IF(AB291=0,DF279,AB291)</f>
        <v>0.159831999720889</v>
      </c>
      <c r="DH291" s="152" t="n">
        <f aca="false">IF(BH291=0,EOMONTH(DH290,0)+1,BH291)</f>
        <v>44835</v>
      </c>
      <c r="DI291" s="99" t="n">
        <v>0.9</v>
      </c>
    </row>
    <row r="292" customFormat="false" ht="14.25" hidden="false" customHeight="false" outlineLevel="0" collapsed="false">
      <c r="A292" s="187" t="n">
        <f aca="false">EDATE(A291,1)</f>
        <v>54424</v>
      </c>
      <c r="B292" s="99" t="n">
        <f aca="false">'Gas Curves'!C296</f>
        <v>0.073807971234134</v>
      </c>
      <c r="C292" s="99"/>
      <c r="D292" s="18"/>
      <c r="E292" s="18"/>
      <c r="F292" s="18"/>
      <c r="G292" s="18"/>
      <c r="H292" s="18"/>
      <c r="I292" s="18"/>
      <c r="J292" s="18"/>
      <c r="K292" s="18"/>
      <c r="L292" s="18"/>
      <c r="M292" s="106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06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  <c r="CH292" s="0"/>
      <c r="CI292" s="0"/>
      <c r="CJ292" s="0"/>
      <c r="CK292" s="0"/>
      <c r="CP292" s="0"/>
      <c r="CQ292" s="0"/>
      <c r="CR292" s="0"/>
      <c r="CS292" s="0"/>
      <c r="CT292" s="0"/>
      <c r="CY292" s="152" t="n">
        <f aca="false">EOMONTH(CY291,0)+1</f>
        <v>44866</v>
      </c>
      <c r="CZ292" s="153" t="n">
        <f aca="false">IF(AI292=0,CZ280,AH292+AI292)</f>
        <v>1</v>
      </c>
      <c r="DA292" s="153" t="n">
        <f aca="false">IF(AI292=0,DA280,AI292)</f>
        <v>1.25</v>
      </c>
      <c r="DB292" s="153" t="n">
        <f aca="false">IF(AI292=0,DB280,AI292+AJ292)</f>
        <v>1.55</v>
      </c>
      <c r="DD292" s="132" t="n">
        <f aca="false">IF(Z292=0,DD280,Z292)</f>
        <v>0.0532773332402962</v>
      </c>
      <c r="DE292" s="132" t="n">
        <f aca="false">IF(AA292=0,DE280,AA292)</f>
        <v>0.106554666480592</v>
      </c>
      <c r="DF292" s="132" t="n">
        <f aca="false">IF(AB292=0,DF280,AB292)</f>
        <v>0.159831999720889</v>
      </c>
      <c r="DH292" s="152" t="n">
        <f aca="false">IF(BH292=0,EOMONTH(DH291,0)+1,BH292)</f>
        <v>44866</v>
      </c>
      <c r="DI292" s="99" t="n">
        <v>0.9</v>
      </c>
    </row>
    <row r="293" customFormat="false" ht="14.25" hidden="false" customHeight="false" outlineLevel="0" collapsed="false">
      <c r="A293" s="187" t="n">
        <f aca="false">EDATE(A292,1)</f>
        <v>54455</v>
      </c>
      <c r="B293" s="99" t="n">
        <f aca="false">'Gas Curves'!C297</f>
        <v>0.07379873593906</v>
      </c>
      <c r="C293" s="99"/>
      <c r="D293" s="18"/>
      <c r="E293" s="18"/>
      <c r="F293" s="18"/>
      <c r="G293" s="18"/>
      <c r="H293" s="18"/>
      <c r="I293" s="18"/>
      <c r="J293" s="18"/>
      <c r="K293" s="18"/>
      <c r="L293" s="18"/>
      <c r="M293" s="106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06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  <c r="CH293" s="0"/>
      <c r="CI293" s="0"/>
      <c r="CJ293" s="0"/>
      <c r="CK293" s="0"/>
      <c r="CP293" s="0"/>
      <c r="CQ293" s="0"/>
      <c r="CR293" s="0"/>
      <c r="CS293" s="0"/>
      <c r="CT293" s="0"/>
      <c r="CY293" s="152" t="n">
        <f aca="false">EOMONTH(CY292,0)+1</f>
        <v>44896</v>
      </c>
      <c r="CZ293" s="153" t="n">
        <f aca="false">IF(AI293=0,CZ281,AH293+AI293)</f>
        <v>1</v>
      </c>
      <c r="DA293" s="153" t="n">
        <f aca="false">IF(AI293=0,DA281,AI293)</f>
        <v>1.25</v>
      </c>
      <c r="DB293" s="153" t="n">
        <f aca="false">IF(AI293=0,DB281,AI293+AJ293)</f>
        <v>1.55</v>
      </c>
      <c r="DD293" s="132" t="n">
        <f aca="false">IF(Z293=0,DD281,Z293)</f>
        <v>0.0551786804488718</v>
      </c>
      <c r="DE293" s="132" t="n">
        <f aca="false">IF(AA293=0,DE281,AA293)</f>
        <v>0.110357360897744</v>
      </c>
      <c r="DF293" s="132" t="n">
        <f aca="false">IF(AB293=0,DF281,AB293)</f>
        <v>0.165536041346615</v>
      </c>
      <c r="DH293" s="152" t="n">
        <f aca="false">IF(BH293=0,EOMONTH(DH292,0)+1,BH293)</f>
        <v>44896</v>
      </c>
      <c r="DI293" s="99" t="n">
        <v>0.9</v>
      </c>
    </row>
    <row r="294" customFormat="false" ht="14.25" hidden="false" customHeight="false" outlineLevel="0" collapsed="false">
      <c r="A294" s="187" t="n">
        <f aca="false">EDATE(A293,1)</f>
        <v>54483</v>
      </c>
      <c r="B294" s="99" t="n">
        <f aca="false">'Gas Curves'!C298</f>
        <v>0.073789500644015</v>
      </c>
      <c r="C294" s="99"/>
      <c r="D294" s="18"/>
      <c r="E294" s="18"/>
      <c r="F294" s="18"/>
      <c r="G294" s="18"/>
      <c r="H294" s="18"/>
      <c r="I294" s="18"/>
      <c r="J294" s="18"/>
      <c r="K294" s="18"/>
      <c r="L294" s="18"/>
      <c r="M294" s="106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06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  <c r="CH294" s="0"/>
      <c r="CI294" s="0"/>
      <c r="CJ294" s="0"/>
      <c r="CK294" s="0"/>
      <c r="CP294" s="0"/>
      <c r="CQ294" s="0"/>
      <c r="CR294" s="0"/>
      <c r="CS294" s="0"/>
      <c r="CT294" s="0"/>
      <c r="CY294" s="152" t="n">
        <f aca="false">EOMONTH(CY293,0)+1</f>
        <v>44927</v>
      </c>
      <c r="CZ294" s="153" t="n">
        <f aca="false">IF(AI294=0,CZ282,AH294+AI294)</f>
        <v>1.25</v>
      </c>
      <c r="DA294" s="153" t="n">
        <f aca="false">IF(AI294=0,DA282,AI294)</f>
        <v>2</v>
      </c>
      <c r="DB294" s="153" t="n">
        <f aca="false">IF(AI294=0,DB282,AI294+AJ294)</f>
        <v>2.75</v>
      </c>
      <c r="DD294" s="132" t="n">
        <f aca="false">IF(Z294=0,DD282,Z294)</f>
        <v>0.0593730876011232</v>
      </c>
      <c r="DE294" s="132" t="n">
        <f aca="false">IF(AA294=0,DE282,AA294)</f>
        <v>0.118746175202246</v>
      </c>
      <c r="DF294" s="132" t="n">
        <f aca="false">IF(AB294=0,DF282,AB294)</f>
        <v>0.17811926280337</v>
      </c>
      <c r="DH294" s="152" t="n">
        <f aca="false">IF(BH294=0,EOMONTH(DH293,0)+1,BH294)</f>
        <v>44927</v>
      </c>
      <c r="DI294" s="99" t="n">
        <v>0.9</v>
      </c>
    </row>
    <row r="295" customFormat="false" ht="14.25" hidden="false" customHeight="false" outlineLevel="0" collapsed="false">
      <c r="A295" s="187" t="n">
        <f aca="false">EDATE(A294,1)</f>
        <v>54514</v>
      </c>
      <c r="B295" s="99" t="n">
        <f aca="false">'Gas Curves'!C299</f>
        <v>0.073780563261739</v>
      </c>
      <c r="C295" s="99"/>
      <c r="D295" s="18"/>
      <c r="E295" s="18"/>
      <c r="F295" s="18"/>
      <c r="G295" s="18"/>
      <c r="H295" s="18"/>
      <c r="I295" s="18"/>
      <c r="J295" s="18"/>
      <c r="K295" s="18"/>
      <c r="L295" s="18"/>
      <c r="M295" s="106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06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  <c r="CH295" s="0"/>
      <c r="CI295" s="0"/>
      <c r="CJ295" s="0"/>
      <c r="CK295" s="0"/>
      <c r="CP295" s="0"/>
      <c r="CQ295" s="0"/>
      <c r="CR295" s="0"/>
      <c r="CS295" s="0"/>
      <c r="CT295" s="0"/>
      <c r="CY295" s="152" t="n">
        <f aca="false">EOMONTH(CY294,0)+1</f>
        <v>44958</v>
      </c>
      <c r="CZ295" s="153" t="n">
        <f aca="false">IF(AI295=0,CZ283,AH295+AI295)</f>
        <v>1.25</v>
      </c>
      <c r="DA295" s="153" t="n">
        <f aca="false">IF(AI295=0,DA283,AI295)</f>
        <v>2</v>
      </c>
      <c r="DB295" s="153" t="n">
        <f aca="false">IF(AI295=0,DB283,AI295+AJ295)</f>
        <v>2.75</v>
      </c>
      <c r="DD295" s="132" t="n">
        <f aca="false">IF(Z295=0,DD283,Z295)</f>
        <v>0.0572824859250273</v>
      </c>
      <c r="DE295" s="132" t="n">
        <f aca="false">IF(AA295=0,DE283,AA295)</f>
        <v>0.114564971850055</v>
      </c>
      <c r="DF295" s="132" t="n">
        <f aca="false">IF(AB295=0,DF283,AB295)</f>
        <v>0.171847457775082</v>
      </c>
      <c r="DH295" s="152" t="n">
        <f aca="false">IF(BH295=0,EOMONTH(DH294,0)+1,BH295)</f>
        <v>44958</v>
      </c>
      <c r="DI295" s="99" t="n">
        <v>0.9</v>
      </c>
    </row>
    <row r="296" customFormat="false" ht="14.25" hidden="false" customHeight="false" outlineLevel="0" collapsed="false">
      <c r="A296" s="187" t="n">
        <f aca="false">EDATE(A295,1)</f>
        <v>54544</v>
      </c>
      <c r="B296" s="99" t="n">
        <f aca="false">'Gas Curves'!C300</f>
        <v>0.073771327966749</v>
      </c>
      <c r="C296" s="99"/>
      <c r="D296" s="18"/>
      <c r="E296" s="18"/>
      <c r="F296" s="18"/>
      <c r="G296" s="18"/>
      <c r="H296" s="18"/>
      <c r="I296" s="18"/>
      <c r="J296" s="18"/>
      <c r="K296" s="18"/>
      <c r="L296" s="18"/>
      <c r="M296" s="106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06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  <c r="CH296" s="0"/>
      <c r="CI296" s="0"/>
      <c r="CJ296" s="0"/>
      <c r="CK296" s="0"/>
      <c r="CP296" s="0"/>
      <c r="CQ296" s="0"/>
      <c r="CR296" s="0"/>
      <c r="CS296" s="0"/>
      <c r="CT296" s="0"/>
      <c r="CY296" s="152" t="n">
        <f aca="false">EOMONTH(CY295,0)+1</f>
        <v>44986</v>
      </c>
      <c r="CZ296" s="153" t="n">
        <f aca="false">IF(AI296=0,CZ284,AH296+AI296)</f>
        <v>1</v>
      </c>
      <c r="DA296" s="153" t="n">
        <f aca="false">IF(AI296=0,DA284,AI296)</f>
        <v>1.25</v>
      </c>
      <c r="DB296" s="153" t="n">
        <f aca="false">IF(AI296=0,DB284,AI296+AJ296)</f>
        <v>1.55</v>
      </c>
      <c r="DD296" s="132" t="n">
        <f aca="false">IF(Z296=0,DD284,Z296)</f>
        <v>0.0558347442643309</v>
      </c>
      <c r="DE296" s="132" t="n">
        <f aca="false">IF(AA296=0,DE284,AA296)</f>
        <v>0.111669488528662</v>
      </c>
      <c r="DF296" s="132" t="n">
        <f aca="false">IF(AB296=0,DF284,AB296)</f>
        <v>0.167504232792993</v>
      </c>
      <c r="DH296" s="152" t="n">
        <f aca="false">IF(BH296=0,EOMONTH(DH295,0)+1,BH296)</f>
        <v>44986</v>
      </c>
      <c r="DI296" s="99" t="n">
        <v>0.9</v>
      </c>
    </row>
    <row r="297" customFormat="false" ht="14.25" hidden="false" customHeight="false" outlineLevel="0" collapsed="false">
      <c r="A297" s="187" t="n">
        <f aca="false">EDATE(A296,1)</f>
        <v>54575</v>
      </c>
      <c r="B297" s="99" t="n">
        <f aca="false">'Gas Curves'!C301</f>
        <v>0.073762390584527</v>
      </c>
      <c r="C297" s="99"/>
      <c r="D297" s="18"/>
      <c r="E297" s="18"/>
      <c r="F297" s="18"/>
      <c r="G297" s="18"/>
      <c r="H297" s="18"/>
      <c r="I297" s="18"/>
      <c r="J297" s="18"/>
      <c r="K297" s="18"/>
      <c r="L297" s="18"/>
      <c r="M297" s="106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06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0"/>
      <c r="CI297" s="0"/>
      <c r="CJ297" s="0"/>
      <c r="CK297" s="0"/>
      <c r="CP297" s="0"/>
      <c r="CQ297" s="0"/>
      <c r="CR297" s="0"/>
      <c r="CS297" s="0"/>
      <c r="CT297" s="0"/>
      <c r="CY297" s="152" t="n">
        <f aca="false">EOMONTH(CY296,0)+1</f>
        <v>45017</v>
      </c>
      <c r="CZ297" s="153" t="n">
        <f aca="false">IF(AI297=0,CZ285,AH297+AI297)</f>
        <v>1</v>
      </c>
      <c r="DA297" s="153" t="n">
        <f aca="false">IF(AI297=0,DA285,AI297)</f>
        <v>1.25</v>
      </c>
      <c r="DB297" s="153" t="n">
        <f aca="false">IF(AI297=0,DB285,AI297+AJ297)</f>
        <v>1.55</v>
      </c>
      <c r="DD297" s="132" t="n">
        <f aca="false">IF(Z297=0,DD285,Z297)</f>
        <v>0.0497667728994625</v>
      </c>
      <c r="DE297" s="132" t="n">
        <f aca="false">IF(AA297=0,DE285,AA297)</f>
        <v>0.0995335457989251</v>
      </c>
      <c r="DF297" s="132" t="n">
        <f aca="false">IF(AB297=0,DF285,AB297)</f>
        <v>0.149300318698388</v>
      </c>
      <c r="DH297" s="152" t="n">
        <f aca="false">IF(BH297=0,EOMONTH(DH296,0)+1,BH297)</f>
        <v>45017</v>
      </c>
      <c r="DI297" s="99" t="n">
        <v>0.9</v>
      </c>
    </row>
    <row r="298" customFormat="false" ht="14.25" hidden="false" customHeight="false" outlineLevel="0" collapsed="false">
      <c r="A298" s="187" t="n">
        <f aca="false">EDATE(A297,1)</f>
        <v>54605</v>
      </c>
      <c r="B298" s="99" t="n">
        <f aca="false">'Gas Curves'!C302</f>
        <v>0.073753155289593</v>
      </c>
      <c r="C298" s="99"/>
      <c r="D298" s="18"/>
      <c r="E298" s="18"/>
      <c r="F298" s="18"/>
      <c r="G298" s="18"/>
      <c r="H298" s="18"/>
      <c r="I298" s="18"/>
      <c r="J298" s="18"/>
      <c r="K298" s="18"/>
      <c r="L298" s="18"/>
      <c r="M298" s="106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06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  <c r="CH298" s="0"/>
      <c r="CI298" s="0"/>
      <c r="CJ298" s="0"/>
      <c r="CK298" s="0"/>
      <c r="CP298" s="0"/>
      <c r="CQ298" s="0"/>
      <c r="CR298" s="0"/>
      <c r="CS298" s="0"/>
      <c r="CT298" s="0"/>
      <c r="CY298" s="152" t="n">
        <f aca="false">EOMONTH(CY297,0)+1</f>
        <v>45047</v>
      </c>
      <c r="CZ298" s="153" t="n">
        <f aca="false">IF(AI298=0,CZ286,AH298+AI298)</f>
        <v>1</v>
      </c>
      <c r="DA298" s="153" t="n">
        <f aca="false">IF(AI298=0,DA286,AI298)</f>
        <v>1.25</v>
      </c>
      <c r="DB298" s="153" t="n">
        <f aca="false">IF(AI298=0,DB286,AI298+AJ298)</f>
        <v>1.55</v>
      </c>
      <c r="DD298" s="132" t="n">
        <f aca="false">IF(Z298=0,DD286,Z298)</f>
        <v>0.0572929389334078</v>
      </c>
      <c r="DE298" s="132" t="n">
        <f aca="false">IF(AA298=0,DE286,AA298)</f>
        <v>0.114585877866816</v>
      </c>
      <c r="DF298" s="132" t="n">
        <f aca="false">IF(AB298=0,DF286,AB298)</f>
        <v>0.171878816800223</v>
      </c>
      <c r="DH298" s="152" t="n">
        <f aca="false">IF(BH298=0,EOMONTH(DH297,0)+1,BH298)</f>
        <v>45047</v>
      </c>
      <c r="DI298" s="99" t="n">
        <v>0.9</v>
      </c>
    </row>
    <row r="299" customFormat="false" ht="14.25" hidden="false" customHeight="false" outlineLevel="0" collapsed="false">
      <c r="A299" s="187" t="n">
        <f aca="false">EDATE(A298,1)</f>
        <v>54636</v>
      </c>
      <c r="B299" s="99" t="n">
        <f aca="false">'Gas Curves'!C303</f>
        <v>0.073743919994687</v>
      </c>
      <c r="C299" s="99"/>
      <c r="D299" s="18"/>
      <c r="E299" s="18"/>
      <c r="F299" s="18"/>
      <c r="G299" s="18"/>
      <c r="H299" s="18"/>
      <c r="I299" s="18"/>
      <c r="J299" s="18"/>
      <c r="K299" s="18"/>
      <c r="L299" s="18"/>
      <c r="M299" s="106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06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  <c r="CH299" s="0"/>
      <c r="CI299" s="0"/>
      <c r="CJ299" s="0"/>
      <c r="CK299" s="0"/>
      <c r="CP299" s="0"/>
      <c r="CQ299" s="0"/>
      <c r="CR299" s="0"/>
      <c r="CS299" s="0"/>
      <c r="CT299" s="0"/>
      <c r="CY299" s="152" t="n">
        <f aca="false">EOMONTH(CY298,0)+1</f>
        <v>45078</v>
      </c>
      <c r="CZ299" s="153" t="n">
        <f aca="false">IF(AI299=0,CZ287,AH299+AI299)</f>
        <v>1</v>
      </c>
      <c r="DA299" s="153" t="n">
        <f aca="false">IF(AI299=0,DA287,AI299)</f>
        <v>1.25</v>
      </c>
      <c r="DB299" s="153" t="n">
        <f aca="false">IF(AI299=0,DB287,AI299+AJ299)</f>
        <v>1.55</v>
      </c>
      <c r="DD299" s="132" t="n">
        <f aca="false">IF(Z299=0,DD287,Z299)</f>
        <v>0.0718278470864644</v>
      </c>
      <c r="DE299" s="132" t="n">
        <f aca="false">IF(AA299=0,DE287,AA299)</f>
        <v>0.143655694172929</v>
      </c>
      <c r="DF299" s="132" t="n">
        <f aca="false">IF(AB299=0,DF287,AB299)</f>
        <v>0.215483541259393</v>
      </c>
      <c r="DH299" s="152" t="n">
        <f aca="false">IF(BH299=0,EOMONTH(DH298,0)+1,BH299)</f>
        <v>45078</v>
      </c>
      <c r="DI299" s="99" t="n">
        <v>0.9</v>
      </c>
    </row>
    <row r="300" customFormat="false" ht="14.25" hidden="false" customHeight="false" outlineLevel="0" collapsed="false">
      <c r="A300" s="187" t="n">
        <f aca="false">EDATE(A299,1)</f>
        <v>54667</v>
      </c>
      <c r="B300" s="99" t="n">
        <f aca="false">'Gas Curves'!C304</f>
        <v>0.073735280525283</v>
      </c>
      <c r="C300" s="99"/>
      <c r="D300" s="18"/>
      <c r="E300" s="18"/>
      <c r="F300" s="18"/>
      <c r="G300" s="18"/>
      <c r="H300" s="18"/>
      <c r="I300" s="18"/>
      <c r="J300" s="18"/>
      <c r="K300" s="18"/>
      <c r="L300" s="18"/>
      <c r="M300" s="106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06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  <c r="CH300" s="0"/>
      <c r="CI300" s="0"/>
      <c r="CJ300" s="0"/>
      <c r="CK300" s="0"/>
      <c r="CP300" s="0"/>
      <c r="CQ300" s="0"/>
      <c r="CR300" s="0"/>
      <c r="CS300" s="0"/>
      <c r="CT300" s="0"/>
      <c r="CU300" s="0"/>
      <c r="CV300" s="110"/>
      <c r="CW300" s="188"/>
      <c r="CX300" s="188"/>
      <c r="CY300" s="152" t="n">
        <f aca="false">EOMONTH(CY299,0)+1</f>
        <v>45108</v>
      </c>
      <c r="CZ300" s="153" t="n">
        <f aca="false">IF(AI300=0,CZ288,AH300+AI300)</f>
        <v>1</v>
      </c>
      <c r="DA300" s="153" t="n">
        <f aca="false">IF(AI300=0,DA288,AI300)</f>
        <v>1.25</v>
      </c>
      <c r="DB300" s="153" t="n">
        <f aca="false">IF(AI300=0,DB288,AI300+AJ300)</f>
        <v>1.55</v>
      </c>
      <c r="DD300" s="132" t="n">
        <f aca="false">IF(Z300=0,DD288,Z300)</f>
        <v>0.0849986376458685</v>
      </c>
      <c r="DE300" s="132" t="n">
        <f aca="false">IF(AA300=0,DE288,AA300)</f>
        <v>0.169997275291737</v>
      </c>
      <c r="DF300" s="132" t="n">
        <f aca="false">IF(AB300=0,DF288,AB300)</f>
        <v>0.254995912937605</v>
      </c>
      <c r="DG300" s="189"/>
      <c r="DH300" s="152" t="n">
        <f aca="false">IF(BH300=0,EOMONTH(DH299,0)+1,BH300)</f>
        <v>45108</v>
      </c>
      <c r="DI300" s="99" t="n">
        <v>0.9</v>
      </c>
    </row>
    <row r="301" customFormat="false" ht="14.25" hidden="false" customHeight="false" outlineLevel="0" collapsed="false">
      <c r="A301" s="187" t="n">
        <f aca="false">EDATE(A300,1)</f>
        <v>54697</v>
      </c>
      <c r="B301" s="99" t="n">
        <f aca="false">'Gas Curves'!C305</f>
        <v>0.073726045230431</v>
      </c>
      <c r="C301" s="99"/>
      <c r="D301" s="18"/>
      <c r="E301" s="18"/>
      <c r="F301" s="18"/>
      <c r="G301" s="18"/>
      <c r="H301" s="18"/>
      <c r="I301" s="18"/>
      <c r="J301" s="18"/>
      <c r="K301" s="18"/>
      <c r="L301" s="18"/>
      <c r="M301" s="106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06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  <c r="CH301" s="0"/>
      <c r="CI301" s="0"/>
      <c r="CJ301" s="0"/>
      <c r="CK301" s="0"/>
      <c r="CP301" s="0"/>
      <c r="CQ301" s="0"/>
      <c r="CR301" s="0"/>
      <c r="CS301" s="0"/>
      <c r="CT301" s="0"/>
      <c r="CU301" s="0"/>
      <c r="CV301" s="110"/>
      <c r="CW301" s="188"/>
      <c r="CX301" s="188"/>
      <c r="CY301" s="152" t="n">
        <f aca="false">EOMONTH(CY300,0)+1</f>
        <v>45139</v>
      </c>
      <c r="CZ301" s="153" t="n">
        <f aca="false">IF(AI301=0,CZ289,AH301+AI301)</f>
        <v>1</v>
      </c>
      <c r="DA301" s="153" t="n">
        <f aca="false">IF(AI301=0,DA289,AI301)</f>
        <v>1.25</v>
      </c>
      <c r="DB301" s="153" t="n">
        <f aca="false">IF(AI301=0,DB289,AI301+AJ301)</f>
        <v>1.55</v>
      </c>
      <c r="DD301" s="132" t="n">
        <f aca="false">IF(Z301=0,DD289,Z301)</f>
        <v>0.0836345200522159</v>
      </c>
      <c r="DE301" s="132" t="n">
        <f aca="false">IF(AA301=0,DE289,AA301)</f>
        <v>0.167269040104432</v>
      </c>
      <c r="DF301" s="132" t="n">
        <f aca="false">IF(AB301=0,DF289,AB301)</f>
        <v>0.250903560156648</v>
      </c>
      <c r="DG301" s="189"/>
      <c r="DH301" s="152" t="n">
        <f aca="false">IF(BH301=0,EOMONTH(DH300,0)+1,BH301)</f>
        <v>45139</v>
      </c>
      <c r="DI301" s="99" t="n">
        <v>0.9</v>
      </c>
    </row>
    <row r="302" customFormat="false" ht="14.25" hidden="false" customHeight="false" outlineLevel="0" collapsed="false">
      <c r="A302" s="187" t="n">
        <f aca="false">EDATE(A301,1)</f>
        <v>54728</v>
      </c>
      <c r="B302" s="99" t="n">
        <f aca="false">'Gas Curves'!C306</f>
        <v>0.073717107848343</v>
      </c>
      <c r="C302" s="99"/>
      <c r="D302" s="18"/>
      <c r="E302" s="18"/>
      <c r="F302" s="18"/>
      <c r="G302" s="18"/>
      <c r="H302" s="18"/>
      <c r="I302" s="18"/>
      <c r="J302" s="18"/>
      <c r="K302" s="18"/>
      <c r="L302" s="18"/>
      <c r="M302" s="106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06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0"/>
      <c r="CI302" s="0"/>
      <c r="CJ302" s="0"/>
      <c r="CK302" s="0"/>
      <c r="CP302" s="0"/>
      <c r="CQ302" s="0"/>
      <c r="CR302" s="0"/>
      <c r="CS302" s="0"/>
      <c r="CT302" s="0"/>
      <c r="CU302" s="0"/>
      <c r="CV302" s="110"/>
      <c r="CW302" s="188"/>
      <c r="CX302" s="188"/>
      <c r="CY302" s="152" t="n">
        <f aca="false">EOMONTH(CY301,0)+1</f>
        <v>45170</v>
      </c>
      <c r="CZ302" s="153" t="n">
        <f aca="false">IF(AI302=0,CZ290,AH302+AI302)</f>
        <v>1</v>
      </c>
      <c r="DA302" s="153" t="n">
        <f aca="false">IF(AI302=0,DA290,AI302)</f>
        <v>1.25</v>
      </c>
      <c r="DB302" s="153" t="n">
        <f aca="false">IF(AI302=0,DB290,AI302+AJ302)</f>
        <v>1.55</v>
      </c>
      <c r="DD302" s="132" t="n">
        <f aca="false">IF(Z302=0,DD290,Z302)</f>
        <v>0.0554113974249214</v>
      </c>
      <c r="DE302" s="132" t="n">
        <f aca="false">IF(AA302=0,DE290,AA302)</f>
        <v>0.110822794849843</v>
      </c>
      <c r="DF302" s="132" t="n">
        <f aca="false">IF(AB302=0,DF290,AB302)</f>
        <v>0.166234192274764</v>
      </c>
      <c r="DG302" s="189"/>
      <c r="DH302" s="152" t="n">
        <f aca="false">IF(BH302=0,EOMONTH(DH301,0)+1,BH302)</f>
        <v>45170</v>
      </c>
      <c r="DI302" s="99" t="n">
        <v>0.9</v>
      </c>
    </row>
    <row r="303" customFormat="false" ht="14.25" hidden="false" customHeight="false" outlineLevel="0" collapsed="false">
      <c r="A303" s="187" t="n">
        <f aca="false">EDATE(A302,1)</f>
        <v>54758</v>
      </c>
      <c r="B303" s="99" t="n">
        <f aca="false">'Gas Curves'!C307</f>
        <v>0.073707872553546</v>
      </c>
      <c r="C303" s="99"/>
      <c r="D303" s="18"/>
      <c r="E303" s="18"/>
      <c r="F303" s="18"/>
      <c r="G303" s="18"/>
      <c r="H303" s="18"/>
      <c r="I303" s="18"/>
      <c r="J303" s="18"/>
      <c r="K303" s="18"/>
      <c r="L303" s="18"/>
      <c r="M303" s="106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06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  <c r="CH303" s="0"/>
      <c r="CI303" s="0"/>
      <c r="CJ303" s="0"/>
      <c r="CK303" s="0"/>
      <c r="CP303" s="0"/>
      <c r="CQ303" s="0"/>
      <c r="CR303" s="0"/>
      <c r="CS303" s="0"/>
      <c r="CT303" s="0"/>
      <c r="CU303" s="0"/>
      <c r="CV303" s="110"/>
      <c r="CW303" s="188"/>
      <c r="CX303" s="188"/>
      <c r="CY303" s="152" t="n">
        <f aca="false">EOMONTH(CY302,0)+1</f>
        <v>45200</v>
      </c>
      <c r="CZ303" s="153" t="n">
        <f aca="false">IF(AI303=0,CZ291,AH303+AI303)</f>
        <v>0.85</v>
      </c>
      <c r="DA303" s="153" t="n">
        <f aca="false">IF(AI303=0,DA291,AI303)</f>
        <v>1.1</v>
      </c>
      <c r="DB303" s="153" t="n">
        <f aca="false">IF(AI303=0,DB291,AI303+AJ303)</f>
        <v>1.4</v>
      </c>
      <c r="DD303" s="132" t="n">
        <f aca="false">IF(Z303=0,DD291,Z303)</f>
        <v>0.0532773332402962</v>
      </c>
      <c r="DE303" s="132" t="n">
        <f aca="false">IF(AA303=0,DE291,AA303)</f>
        <v>0.106554666480592</v>
      </c>
      <c r="DF303" s="132" t="n">
        <f aca="false">IF(AB303=0,DF291,AB303)</f>
        <v>0.159831999720889</v>
      </c>
      <c r="DG303" s="189"/>
      <c r="DH303" s="152" t="n">
        <f aca="false">IF(BH303=0,EOMONTH(DH302,0)+1,BH303)</f>
        <v>45200</v>
      </c>
      <c r="DI303" s="99" t="n">
        <v>0.9</v>
      </c>
    </row>
    <row r="304" customFormat="false" ht="14.25" hidden="false" customHeight="false" outlineLevel="0" collapsed="false">
      <c r="A304" s="187" t="n">
        <f aca="false">EDATE(A303,1)</f>
        <v>54789</v>
      </c>
      <c r="B304" s="99" t="n">
        <f aca="false">'Gas Curves'!C308</f>
        <v>0.073698935171512</v>
      </c>
      <c r="C304" s="99"/>
      <c r="D304" s="18"/>
      <c r="E304" s="18"/>
      <c r="F304" s="18"/>
      <c r="G304" s="18"/>
      <c r="H304" s="18"/>
      <c r="I304" s="18"/>
      <c r="J304" s="18"/>
      <c r="K304" s="18"/>
      <c r="L304" s="18"/>
      <c r="M304" s="106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06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  <c r="CH304" s="0"/>
      <c r="CI304" s="0"/>
      <c r="CJ304" s="0"/>
      <c r="CK304" s="0"/>
      <c r="CP304" s="0"/>
      <c r="CQ304" s="0"/>
      <c r="CR304" s="0"/>
      <c r="CS304" s="0"/>
      <c r="CT304" s="0"/>
      <c r="CU304" s="0"/>
      <c r="CV304" s="110"/>
      <c r="CW304" s="188"/>
      <c r="CX304" s="188"/>
      <c r="CY304" s="152" t="n">
        <f aca="false">EOMONTH(CY303,0)+1</f>
        <v>45231</v>
      </c>
      <c r="CZ304" s="153" t="n">
        <f aca="false">IF(AI304=0,CZ292,AH304+AI304)</f>
        <v>1</v>
      </c>
      <c r="DA304" s="153" t="n">
        <f aca="false">IF(AI304=0,DA292,AI304)</f>
        <v>1.25</v>
      </c>
      <c r="DB304" s="153" t="n">
        <f aca="false">IF(AI304=0,DB292,AI304+AJ304)</f>
        <v>1.55</v>
      </c>
      <c r="DD304" s="132" t="n">
        <f aca="false">IF(Z304=0,DD292,Z304)</f>
        <v>0.0532773332402962</v>
      </c>
      <c r="DE304" s="132" t="n">
        <f aca="false">IF(AA304=0,DE292,AA304)</f>
        <v>0.106554666480592</v>
      </c>
      <c r="DF304" s="132" t="n">
        <f aca="false">IF(AB304=0,DF292,AB304)</f>
        <v>0.159831999720889</v>
      </c>
      <c r="DG304" s="189"/>
      <c r="DH304" s="152" t="n">
        <f aca="false">IF(BH304=0,EOMONTH(DH303,0)+1,BH304)</f>
        <v>45231</v>
      </c>
      <c r="DI304" s="99" t="n">
        <v>0.9</v>
      </c>
    </row>
    <row r="305" customFormat="false" ht="14.25" hidden="false" customHeight="false" outlineLevel="0" collapsed="false">
      <c r="A305" s="187" t="n">
        <f aca="false">EDATE(A304,1)</f>
        <v>54820</v>
      </c>
      <c r="B305" s="99" t="n">
        <f aca="false">'Gas Curves'!C309</f>
        <v>0.073689699876771</v>
      </c>
      <c r="C305" s="99"/>
      <c r="D305" s="18"/>
      <c r="E305" s="18"/>
      <c r="F305" s="18"/>
      <c r="G305" s="18"/>
      <c r="H305" s="18"/>
      <c r="I305" s="18"/>
      <c r="J305" s="18"/>
      <c r="K305" s="18"/>
      <c r="L305" s="18"/>
      <c r="M305" s="106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06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  <c r="CH305" s="0"/>
      <c r="CI305" s="0"/>
      <c r="CJ305" s="0"/>
      <c r="CK305" s="0"/>
      <c r="CP305" s="0"/>
      <c r="CQ305" s="0"/>
      <c r="CR305" s="0"/>
      <c r="CS305" s="0"/>
      <c r="CT305" s="0"/>
      <c r="CU305" s="0"/>
      <c r="CV305" s="110"/>
      <c r="CW305" s="188"/>
      <c r="CX305" s="188"/>
      <c r="CY305" s="152" t="n">
        <f aca="false">EOMONTH(CY304,0)+1</f>
        <v>45261</v>
      </c>
      <c r="CZ305" s="153" t="n">
        <f aca="false">IF(AI305=0,CZ293,AH305+AI305)</f>
        <v>1</v>
      </c>
      <c r="DA305" s="153" t="n">
        <f aca="false">IF(AI305=0,DA293,AI305)</f>
        <v>1.25</v>
      </c>
      <c r="DB305" s="153" t="n">
        <f aca="false">IF(AI305=0,DB293,AI305+AJ305)</f>
        <v>1.55</v>
      </c>
      <c r="DD305" s="132" t="n">
        <f aca="false">IF(Z305=0,DD293,Z305)</f>
        <v>0.0551786804488718</v>
      </c>
      <c r="DE305" s="132" t="n">
        <f aca="false">IF(AA305=0,DE293,AA305)</f>
        <v>0.110357360897744</v>
      </c>
      <c r="DF305" s="132" t="n">
        <f aca="false">IF(AB305=0,DF293,AB305)</f>
        <v>0.165536041346615</v>
      </c>
      <c r="DG305" s="189"/>
      <c r="DH305" s="152" t="n">
        <f aca="false">IF(BH305=0,EOMONTH(DH304,0)+1,BH305)</f>
        <v>45261</v>
      </c>
      <c r="DI305" s="99" t="n">
        <v>0.9</v>
      </c>
    </row>
    <row r="306" customFormat="false" ht="14.25" hidden="false" customHeight="false" outlineLevel="0" collapsed="false">
      <c r="A306" s="187" t="n">
        <f aca="false">EDATE(A305,1)</f>
        <v>54848</v>
      </c>
      <c r="B306" s="99" t="n">
        <f aca="false">'Gas Curves'!C310</f>
        <v>0.073680464582057</v>
      </c>
      <c r="C306" s="99"/>
      <c r="D306" s="18"/>
      <c r="E306" s="18"/>
      <c r="F306" s="18"/>
      <c r="G306" s="18"/>
      <c r="H306" s="18"/>
      <c r="I306" s="18"/>
      <c r="J306" s="18"/>
      <c r="K306" s="18"/>
      <c r="L306" s="18"/>
      <c r="M306" s="106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06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0"/>
      <c r="CI306" s="0"/>
      <c r="CJ306" s="0"/>
      <c r="CK306" s="0"/>
      <c r="CP306" s="0"/>
      <c r="CQ306" s="0"/>
      <c r="CR306" s="0"/>
      <c r="CS306" s="0"/>
      <c r="CT306" s="0"/>
      <c r="CU306" s="0"/>
      <c r="CV306" s="110"/>
      <c r="CW306" s="188"/>
      <c r="CX306" s="188"/>
      <c r="CY306" s="152" t="n">
        <f aca="false">EOMONTH(CY305,0)+1</f>
        <v>45292</v>
      </c>
      <c r="CZ306" s="153" t="n">
        <f aca="false">IF(AI306=0,CZ294,AH306+AI306)</f>
        <v>1.25</v>
      </c>
      <c r="DA306" s="153" t="n">
        <f aca="false">IF(AI306=0,DA294,AI306)</f>
        <v>2</v>
      </c>
      <c r="DB306" s="153" t="n">
        <f aca="false">IF(AI306=0,DB294,AI306+AJ306)</f>
        <v>2.75</v>
      </c>
      <c r="DD306" s="132" t="n">
        <f aca="false">IF(Z306=0,DD294,Z306)</f>
        <v>0.0593730876011232</v>
      </c>
      <c r="DE306" s="132" t="n">
        <f aca="false">IF(AA306=0,DE294,AA306)</f>
        <v>0.118746175202246</v>
      </c>
      <c r="DF306" s="132" t="n">
        <f aca="false">IF(AB306=0,DF294,AB306)</f>
        <v>0.17811926280337</v>
      </c>
      <c r="DG306" s="189"/>
      <c r="DH306" s="152" t="n">
        <f aca="false">IF(BH306=0,EOMONTH(DH305,0)+1,BH306)</f>
        <v>45292</v>
      </c>
      <c r="DI306" s="99" t="n">
        <v>0.9</v>
      </c>
    </row>
    <row r="307" customFormat="false" ht="14.25" hidden="false" customHeight="false" outlineLevel="0" collapsed="false">
      <c r="A307" s="187" t="n">
        <f aca="false">EDATE(A306,1)</f>
        <v>54879</v>
      </c>
      <c r="B307" s="99" t="n">
        <f aca="false">'Gas Curves'!C311</f>
        <v>0.073671527200104</v>
      </c>
      <c r="C307" s="99"/>
      <c r="D307" s="18"/>
      <c r="E307" s="18"/>
      <c r="F307" s="18"/>
      <c r="G307" s="18"/>
      <c r="H307" s="18"/>
      <c r="I307" s="18"/>
      <c r="J307" s="18"/>
      <c r="K307" s="18"/>
      <c r="L307" s="18"/>
      <c r="M307" s="106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06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0"/>
      <c r="CI307" s="0"/>
      <c r="CJ307" s="0"/>
      <c r="CK307" s="0"/>
      <c r="CP307" s="0"/>
      <c r="CQ307" s="0"/>
      <c r="CR307" s="0"/>
      <c r="CS307" s="0"/>
      <c r="CT307" s="0"/>
      <c r="CU307" s="0"/>
      <c r="CV307" s="110"/>
      <c r="CW307" s="188"/>
      <c r="CX307" s="188"/>
      <c r="CY307" s="152" t="n">
        <f aca="false">EOMONTH(CY306,0)+1</f>
        <v>45323</v>
      </c>
      <c r="CZ307" s="153" t="n">
        <f aca="false">IF(AI307=0,CZ295,AH307+AI307)</f>
        <v>1.25</v>
      </c>
      <c r="DA307" s="153" t="n">
        <f aca="false">IF(AI307=0,DA295,AI307)</f>
        <v>2</v>
      </c>
      <c r="DB307" s="153" t="n">
        <f aca="false">IF(AI307=0,DB295,AI307+AJ307)</f>
        <v>2.75</v>
      </c>
      <c r="DD307" s="132" t="n">
        <f aca="false">IF(Z307=0,DD295,Z307)</f>
        <v>0.0572824859250273</v>
      </c>
      <c r="DE307" s="132" t="n">
        <f aca="false">IF(AA307=0,DE295,AA307)</f>
        <v>0.114564971850055</v>
      </c>
      <c r="DF307" s="132" t="n">
        <f aca="false">IF(AB307=0,DF295,AB307)</f>
        <v>0.171847457775082</v>
      </c>
      <c r="DG307" s="189"/>
      <c r="DH307" s="152" t="n">
        <f aca="false">IF(BH307=0,EOMONTH(DH306,0)+1,BH307)</f>
        <v>45323</v>
      </c>
      <c r="DI307" s="99" t="n">
        <v>0.9</v>
      </c>
    </row>
    <row r="308" customFormat="false" ht="14.25" hidden="false" customHeight="false" outlineLevel="0" collapsed="false">
      <c r="A308" s="187" t="n">
        <f aca="false">EDATE(A307,1)</f>
        <v>54909</v>
      </c>
      <c r="B308" s="99" t="n">
        <f aca="false">'Gas Curves'!C312</f>
        <v>0.073662291905446</v>
      </c>
      <c r="C308" s="99"/>
      <c r="D308" s="18"/>
      <c r="E308" s="18"/>
      <c r="F308" s="18"/>
      <c r="G308" s="18"/>
      <c r="H308" s="18"/>
      <c r="I308" s="18"/>
      <c r="J308" s="18"/>
      <c r="K308" s="18"/>
      <c r="L308" s="18"/>
      <c r="M308" s="106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06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0"/>
      <c r="CI308" s="0"/>
      <c r="CJ308" s="0"/>
      <c r="CK308" s="0"/>
      <c r="CP308" s="0"/>
      <c r="CQ308" s="0"/>
      <c r="CR308" s="0"/>
      <c r="CS308" s="0"/>
      <c r="CT308" s="0"/>
      <c r="CU308" s="0"/>
      <c r="CV308" s="110"/>
      <c r="CW308" s="188"/>
      <c r="CX308" s="188"/>
      <c r="CY308" s="152" t="n">
        <f aca="false">EOMONTH(CY307,0)+1</f>
        <v>45352</v>
      </c>
      <c r="CZ308" s="153" t="n">
        <f aca="false">IF(AI308=0,CZ296,AH308+AI308)</f>
        <v>1</v>
      </c>
      <c r="DA308" s="153" t="n">
        <f aca="false">IF(AI308=0,DA296,AI308)</f>
        <v>1.25</v>
      </c>
      <c r="DB308" s="153" t="n">
        <f aca="false">IF(AI308=0,DB296,AI308+AJ308)</f>
        <v>1.55</v>
      </c>
      <c r="DD308" s="132" t="n">
        <f aca="false">IF(Z308=0,DD296,Z308)</f>
        <v>0.0558347442643309</v>
      </c>
      <c r="DE308" s="132" t="n">
        <f aca="false">IF(AA308=0,DE296,AA308)</f>
        <v>0.111669488528662</v>
      </c>
      <c r="DF308" s="132" t="n">
        <f aca="false">IF(AB308=0,DF296,AB308)</f>
        <v>0.167504232792993</v>
      </c>
      <c r="DG308" s="189"/>
      <c r="DH308" s="152" t="n">
        <f aca="false">IF(BH308=0,EOMONTH(DH307,0)+1,BH308)</f>
        <v>45352</v>
      </c>
      <c r="DI308" s="99" t="n">
        <v>0.9</v>
      </c>
    </row>
    <row r="309" customFormat="false" ht="14.25" hidden="false" customHeight="false" outlineLevel="0" collapsed="false">
      <c r="A309" s="187" t="n">
        <f aca="false">EDATE(A308,1)</f>
        <v>54940</v>
      </c>
      <c r="B309" s="99" t="n">
        <f aca="false">'Gas Curves'!C313</f>
        <v>0.073653354523546</v>
      </c>
      <c r="C309" s="99"/>
      <c r="D309" s="18"/>
      <c r="E309" s="18"/>
      <c r="F309" s="18"/>
      <c r="G309" s="18"/>
      <c r="H309" s="18"/>
      <c r="I309" s="18"/>
      <c r="J309" s="18"/>
      <c r="K309" s="18"/>
      <c r="L309" s="18"/>
      <c r="M309" s="106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06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0"/>
      <c r="CI309" s="0"/>
      <c r="CJ309" s="0"/>
      <c r="CK309" s="0"/>
      <c r="CP309" s="0"/>
      <c r="CQ309" s="0"/>
      <c r="CR309" s="0"/>
      <c r="CS309" s="0"/>
      <c r="CT309" s="0"/>
      <c r="CU309" s="0"/>
      <c r="CV309" s="110"/>
      <c r="CW309" s="188"/>
      <c r="CX309" s="188"/>
      <c r="CY309" s="152" t="n">
        <f aca="false">EOMONTH(CY308,0)+1</f>
        <v>45383</v>
      </c>
      <c r="CZ309" s="153" t="n">
        <f aca="false">IF(AI309=0,CZ297,AH309+AI309)</f>
        <v>1</v>
      </c>
      <c r="DA309" s="153" t="n">
        <f aca="false">IF(AI309=0,DA297,AI309)</f>
        <v>1.25</v>
      </c>
      <c r="DB309" s="153" t="n">
        <f aca="false">IF(AI309=0,DB297,AI309+AJ309)</f>
        <v>1.55</v>
      </c>
      <c r="DD309" s="132" t="n">
        <f aca="false">IF(Z309=0,DD297,Z309)</f>
        <v>0.0497667728994625</v>
      </c>
      <c r="DE309" s="132" t="n">
        <f aca="false">IF(AA309=0,DE297,AA309)</f>
        <v>0.0995335457989251</v>
      </c>
      <c r="DF309" s="132" t="n">
        <f aca="false">IF(AB309=0,DF297,AB309)</f>
        <v>0.149300318698388</v>
      </c>
      <c r="DG309" s="189"/>
      <c r="DH309" s="152" t="n">
        <f aca="false">IF(BH309=0,EOMONTH(DH308,0)+1,BH309)</f>
        <v>45383</v>
      </c>
      <c r="DI309" s="99" t="n">
        <v>0.9</v>
      </c>
    </row>
    <row r="310" customFormat="false" ht="14.25" hidden="false" customHeight="false" outlineLevel="0" collapsed="false">
      <c r="A310" s="187" t="n">
        <f aca="false">EDATE(A309,1)</f>
        <v>54970</v>
      </c>
      <c r="B310" s="99" t="n">
        <f aca="false">'Gas Curves'!C314</f>
        <v>0.073644119228944</v>
      </c>
      <c r="C310" s="99"/>
      <c r="D310" s="18"/>
      <c r="E310" s="18"/>
      <c r="F310" s="18"/>
      <c r="G310" s="18"/>
      <c r="H310" s="18"/>
      <c r="I310" s="18"/>
      <c r="J310" s="18"/>
      <c r="K310" s="18"/>
      <c r="L310" s="18"/>
      <c r="M310" s="106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06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  <c r="CH310" s="0"/>
      <c r="CI310" s="0"/>
      <c r="CJ310" s="0"/>
      <c r="CK310" s="0"/>
      <c r="CP310" s="0"/>
      <c r="CQ310" s="0"/>
      <c r="CR310" s="0"/>
      <c r="CS310" s="0"/>
      <c r="CT310" s="0"/>
      <c r="CU310" s="0"/>
      <c r="CV310" s="110"/>
      <c r="CW310" s="188"/>
      <c r="CX310" s="188"/>
      <c r="CY310" s="152" t="n">
        <f aca="false">EOMONTH(CY309,0)+1</f>
        <v>45413</v>
      </c>
      <c r="CZ310" s="153" t="n">
        <f aca="false">IF(AI310=0,CZ298,AH310+AI310)</f>
        <v>1</v>
      </c>
      <c r="DA310" s="153" t="n">
        <f aca="false">IF(AI310=0,DA298,AI310)</f>
        <v>1.25</v>
      </c>
      <c r="DB310" s="153" t="n">
        <f aca="false">IF(AI310=0,DB298,AI310+AJ310)</f>
        <v>1.55</v>
      </c>
      <c r="DD310" s="132" t="n">
        <f aca="false">IF(Z310=0,DD298,Z310)</f>
        <v>0.0572929389334078</v>
      </c>
      <c r="DE310" s="132" t="n">
        <f aca="false">IF(AA310=0,DE298,AA310)</f>
        <v>0.114585877866816</v>
      </c>
      <c r="DF310" s="132" t="n">
        <f aca="false">IF(AB310=0,DF298,AB310)</f>
        <v>0.171878816800223</v>
      </c>
      <c r="DG310" s="188"/>
      <c r="DH310" s="152" t="n">
        <f aca="false">IF(BH310=0,EOMONTH(DH309,0)+1,BH310)</f>
        <v>45413</v>
      </c>
      <c r="DI310" s="99" t="n">
        <v>0.9</v>
      </c>
    </row>
    <row r="311" customFormat="false" ht="14.25" hidden="false" customHeight="false" outlineLevel="0" collapsed="false">
      <c r="A311" s="187" t="n">
        <f aca="false">EDATE(A310,1)</f>
        <v>55001</v>
      </c>
      <c r="B311" s="99" t="n">
        <f aca="false">'Gas Curves'!C315</f>
        <v>0.073634883934369</v>
      </c>
      <c r="C311" s="99"/>
      <c r="D311" s="18"/>
      <c r="E311" s="18"/>
      <c r="F311" s="18"/>
      <c r="G311" s="18"/>
      <c r="H311" s="18"/>
      <c r="I311" s="18"/>
      <c r="J311" s="18"/>
      <c r="K311" s="18"/>
      <c r="L311" s="18"/>
      <c r="M311" s="106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06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  <c r="CH311" s="0"/>
      <c r="CI311" s="0"/>
      <c r="CJ311" s="0"/>
      <c r="CK311" s="0"/>
      <c r="CP311" s="0"/>
      <c r="CQ311" s="0"/>
      <c r="CR311" s="0"/>
      <c r="CS311" s="0"/>
      <c r="CT311" s="0"/>
      <c r="CU311" s="0"/>
      <c r="CV311" s="110"/>
      <c r="CW311" s="188"/>
      <c r="CX311" s="188"/>
      <c r="CY311" s="152" t="n">
        <f aca="false">EOMONTH(CY310,0)+1</f>
        <v>45444</v>
      </c>
      <c r="CZ311" s="153" t="n">
        <f aca="false">IF(AI311=0,CZ299,AH311+AI311)</f>
        <v>1</v>
      </c>
      <c r="DA311" s="153" t="n">
        <f aca="false">IF(AI311=0,DA299,AI311)</f>
        <v>1.25</v>
      </c>
      <c r="DB311" s="153" t="n">
        <f aca="false">IF(AI311=0,DB299,AI311+AJ311)</f>
        <v>1.55</v>
      </c>
      <c r="DD311" s="132" t="n">
        <f aca="false">IF(Z311=0,DD299,Z311)</f>
        <v>0.0718278470864644</v>
      </c>
      <c r="DE311" s="132" t="n">
        <f aca="false">IF(AA311=0,DE299,AA311)</f>
        <v>0.143655694172929</v>
      </c>
      <c r="DF311" s="132" t="n">
        <f aca="false">IF(AB311=0,DF299,AB311)</f>
        <v>0.215483541259393</v>
      </c>
      <c r="DG311" s="188"/>
      <c r="DH311" s="152" t="n">
        <f aca="false">IF(BH311=0,EOMONTH(DH310,0)+1,BH311)</f>
        <v>45444</v>
      </c>
      <c r="DI311" s="99" t="n">
        <v>0.9</v>
      </c>
    </row>
    <row r="312" customFormat="false" ht="14.25" hidden="false" customHeight="false" outlineLevel="0" collapsed="false">
      <c r="A312" s="187" t="n">
        <f aca="false">EDATE(A311,1)</f>
        <v>55032</v>
      </c>
      <c r="B312" s="99" t="n">
        <f aca="false">'Gas Curves'!C316</f>
        <v>0.073626542378005</v>
      </c>
      <c r="C312" s="99"/>
      <c r="D312" s="18"/>
      <c r="E312" s="18"/>
      <c r="F312" s="18"/>
      <c r="G312" s="18"/>
      <c r="H312" s="18"/>
      <c r="I312" s="18"/>
      <c r="J312" s="18"/>
      <c r="K312" s="18"/>
      <c r="L312" s="18"/>
      <c r="M312" s="106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06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  <c r="CH312" s="0"/>
      <c r="CI312" s="0"/>
      <c r="CJ312" s="0"/>
      <c r="CK312" s="0"/>
      <c r="CP312" s="0"/>
      <c r="CQ312" s="0"/>
      <c r="CR312" s="0"/>
      <c r="CS312" s="0"/>
      <c r="CT312" s="0"/>
      <c r="CU312" s="0"/>
      <c r="CV312" s="110"/>
      <c r="CW312" s="188"/>
      <c r="CX312" s="188"/>
      <c r="CY312" s="152" t="n">
        <f aca="false">EOMONTH(CY311,0)+1</f>
        <v>45474</v>
      </c>
      <c r="CZ312" s="153" t="n">
        <f aca="false">IF(AI312=0,CZ300,AH312+AI312)</f>
        <v>1</v>
      </c>
      <c r="DA312" s="153" t="n">
        <f aca="false">IF(AI312=0,DA300,AI312)</f>
        <v>1.25</v>
      </c>
      <c r="DB312" s="153" t="n">
        <f aca="false">IF(AI312=0,DB300,AI312+AJ312)</f>
        <v>1.55</v>
      </c>
      <c r="DD312" s="132" t="n">
        <f aca="false">IF(Z312=0,DD300,Z312)</f>
        <v>0.0849986376458685</v>
      </c>
      <c r="DE312" s="132" t="n">
        <f aca="false">IF(AA312=0,DE300,AA312)</f>
        <v>0.169997275291737</v>
      </c>
      <c r="DF312" s="132" t="n">
        <f aca="false">IF(AB312=0,DF300,AB312)</f>
        <v>0.254995912937605</v>
      </c>
      <c r="DG312" s="188"/>
      <c r="DH312" s="152" t="n">
        <f aca="false">IF(BH312=0,EOMONTH(DH311,0)+1,BH312)</f>
        <v>45474</v>
      </c>
      <c r="DI312" s="99" t="n">
        <v>0.9</v>
      </c>
    </row>
    <row r="313" customFormat="false" ht="14.25" hidden="false" customHeight="false" outlineLevel="0" collapsed="false">
      <c r="A313" s="187" t="n">
        <f aca="false">EDATE(A312,1)</f>
        <v>55062</v>
      </c>
      <c r="B313" s="99" t="n">
        <f aca="false">'Gas Curves'!C317</f>
        <v>0.073617307083484</v>
      </c>
      <c r="C313" s="99"/>
      <c r="D313" s="18"/>
      <c r="E313" s="18"/>
      <c r="F313" s="18"/>
      <c r="G313" s="18"/>
      <c r="H313" s="18"/>
      <c r="I313" s="18"/>
      <c r="J313" s="18"/>
      <c r="K313" s="18"/>
      <c r="L313" s="18"/>
      <c r="M313" s="106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06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  <c r="CH313" s="0"/>
      <c r="CI313" s="0"/>
      <c r="CJ313" s="0"/>
      <c r="CK313" s="0"/>
      <c r="CP313" s="0"/>
      <c r="CQ313" s="0"/>
      <c r="CR313" s="0"/>
      <c r="CS313" s="0"/>
      <c r="CT313" s="0"/>
      <c r="CU313" s="0"/>
      <c r="CV313" s="110"/>
      <c r="CW313" s="188"/>
      <c r="CX313" s="188"/>
      <c r="CY313" s="152" t="n">
        <f aca="false">EOMONTH(CY312,0)+1</f>
        <v>45505</v>
      </c>
      <c r="CZ313" s="153" t="n">
        <f aca="false">IF(AI313=0,CZ301,AH313+AI313)</f>
        <v>1</v>
      </c>
      <c r="DA313" s="153" t="n">
        <f aca="false">IF(AI313=0,DA301,AI313)</f>
        <v>1.25</v>
      </c>
      <c r="DB313" s="153" t="n">
        <f aca="false">IF(AI313=0,DB301,AI313+AJ313)</f>
        <v>1.55</v>
      </c>
      <c r="DD313" s="132" t="n">
        <f aca="false">IF(Z313=0,DD301,Z313)</f>
        <v>0.0836345200522159</v>
      </c>
      <c r="DE313" s="132" t="n">
        <f aca="false">IF(AA313=0,DE301,AA313)</f>
        <v>0.167269040104432</v>
      </c>
      <c r="DF313" s="132" t="n">
        <f aca="false">IF(AB313=0,DF301,AB313)</f>
        <v>0.250903560156648</v>
      </c>
      <c r="DG313" s="188"/>
      <c r="DH313" s="152" t="n">
        <f aca="false">IF(BH313=0,EOMONTH(DH312,0)+1,BH313)</f>
        <v>45505</v>
      </c>
      <c r="DI313" s="99" t="n">
        <v>0.9</v>
      </c>
    </row>
    <row r="314" customFormat="false" ht="14.25" hidden="false" customHeight="false" outlineLevel="0" collapsed="false">
      <c r="A314" s="187" t="n">
        <f aca="false">EDATE(A313,1)</f>
        <v>55093</v>
      </c>
      <c r="B314" s="99" t="n">
        <f aca="false">'Gas Curves'!C318</f>
        <v>0.073608369701716</v>
      </c>
      <c r="C314" s="99"/>
      <c r="D314" s="18"/>
      <c r="E314" s="18"/>
      <c r="F314" s="18"/>
      <c r="G314" s="18"/>
      <c r="H314" s="18"/>
      <c r="I314" s="18"/>
      <c r="J314" s="18"/>
      <c r="K314" s="18"/>
      <c r="L314" s="18"/>
      <c r="M314" s="106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06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0"/>
      <c r="CI314" s="0"/>
      <c r="CJ314" s="0"/>
      <c r="CK314" s="0"/>
      <c r="CP314" s="0"/>
      <c r="CQ314" s="0"/>
      <c r="CR314" s="0"/>
      <c r="CS314" s="0"/>
      <c r="CT314" s="0"/>
      <c r="CU314" s="81"/>
      <c r="CV314" s="110"/>
      <c r="CW314" s="188"/>
      <c r="CX314" s="188"/>
      <c r="CY314" s="152" t="n">
        <f aca="false">EOMONTH(CY313,0)+1</f>
        <v>45536</v>
      </c>
      <c r="CZ314" s="153" t="n">
        <f aca="false">IF(AI314=0,CZ302,AH314+AI314)</f>
        <v>1</v>
      </c>
      <c r="DA314" s="153" t="n">
        <f aca="false">IF(AI314=0,DA302,AI314)</f>
        <v>1.25</v>
      </c>
      <c r="DB314" s="153" t="n">
        <f aca="false">IF(AI314=0,DB302,AI314+AJ314)</f>
        <v>1.55</v>
      </c>
      <c r="DD314" s="132" t="n">
        <f aca="false">IF(Z314=0,DD302,Z314)</f>
        <v>0.0554113974249214</v>
      </c>
      <c r="DE314" s="132" t="n">
        <f aca="false">IF(AA314=0,DE302,AA314)</f>
        <v>0.110822794849843</v>
      </c>
      <c r="DF314" s="132" t="n">
        <f aca="false">IF(AB314=0,DF302,AB314)</f>
        <v>0.166234192274764</v>
      </c>
      <c r="DG314" s="188"/>
      <c r="DH314" s="152" t="n">
        <f aca="false">IF(BH314=0,EOMONTH(DH313,0)+1,BH314)</f>
        <v>45536</v>
      </c>
      <c r="DI314" s="99" t="n">
        <v>0.9</v>
      </c>
    </row>
    <row r="315" customFormat="false" ht="14.25" hidden="false" customHeight="false" outlineLevel="0" collapsed="false">
      <c r="A315" s="187" t="n">
        <f aca="false">EDATE(A314,1)</f>
        <v>55123</v>
      </c>
      <c r="B315" s="99" t="n">
        <f aca="false">'Gas Curves'!C319</f>
        <v>0.073599134407251</v>
      </c>
      <c r="C315" s="99"/>
      <c r="D315" s="18"/>
      <c r="E315" s="18"/>
      <c r="F315" s="18"/>
      <c r="G315" s="18"/>
      <c r="H315" s="18"/>
      <c r="I315" s="18"/>
      <c r="J315" s="18"/>
      <c r="K315" s="18"/>
      <c r="L315" s="18"/>
      <c r="M315" s="106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06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  <c r="CH315" s="0"/>
      <c r="CI315" s="0"/>
      <c r="CJ315" s="0"/>
      <c r="CK315" s="0"/>
      <c r="CP315" s="0"/>
      <c r="CQ315" s="0"/>
      <c r="CR315" s="0"/>
      <c r="CS315" s="0"/>
      <c r="CT315" s="0"/>
      <c r="CU315" s="81"/>
      <c r="CV315" s="110"/>
      <c r="CW315" s="188"/>
      <c r="CX315" s="188"/>
      <c r="CY315" s="152" t="n">
        <f aca="false">EOMONTH(CY314,0)+1</f>
        <v>45566</v>
      </c>
      <c r="CZ315" s="153" t="n">
        <f aca="false">IF(AI315=0,CZ303,AH315+AI315)</f>
        <v>0.85</v>
      </c>
      <c r="DA315" s="153" t="n">
        <f aca="false">IF(AI315=0,DA303,AI315)</f>
        <v>1.1</v>
      </c>
      <c r="DB315" s="153" t="n">
        <f aca="false">IF(AI315=0,DB303,AI315+AJ315)</f>
        <v>1.4</v>
      </c>
      <c r="DD315" s="132" t="n">
        <f aca="false">IF(Z315=0,DD303,Z315)</f>
        <v>0.0532773332402962</v>
      </c>
      <c r="DE315" s="132" t="n">
        <f aca="false">IF(AA315=0,DE303,AA315)</f>
        <v>0.106554666480592</v>
      </c>
      <c r="DF315" s="132" t="n">
        <f aca="false">IF(AB315=0,DF303,AB315)</f>
        <v>0.159831999720889</v>
      </c>
      <c r="DG315" s="188"/>
      <c r="DH315" s="152" t="n">
        <f aca="false">IF(BH315=0,EOMONTH(DH314,0)+1,BH315)</f>
        <v>45566</v>
      </c>
      <c r="DI315" s="99" t="n">
        <v>0.9</v>
      </c>
    </row>
    <row r="316" customFormat="false" ht="14.25" hidden="false" customHeight="false" outlineLevel="0" collapsed="false">
      <c r="A316" s="187" t="n">
        <f aca="false">EDATE(A315,1)</f>
        <v>55154</v>
      </c>
      <c r="B316" s="99" t="n">
        <f aca="false">'Gas Curves'!C320</f>
        <v>0.073590197025537</v>
      </c>
      <c r="C316" s="99"/>
      <c r="D316" s="18"/>
      <c r="E316" s="18"/>
      <c r="F316" s="18"/>
      <c r="G316" s="18"/>
      <c r="H316" s="18"/>
      <c r="I316" s="18"/>
      <c r="J316" s="18"/>
      <c r="K316" s="18"/>
      <c r="L316" s="18"/>
      <c r="M316" s="106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06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  <c r="CH316" s="0"/>
      <c r="CP316" s="0"/>
      <c r="CQ316" s="0"/>
      <c r="CR316" s="0"/>
      <c r="CS316" s="0"/>
      <c r="CT316" s="0"/>
      <c r="CU316" s="81"/>
      <c r="CV316" s="110"/>
      <c r="CW316" s="188"/>
      <c r="CX316" s="188"/>
      <c r="CY316" s="152" t="n">
        <f aca="false">EOMONTH(CY315,0)+1</f>
        <v>45597</v>
      </c>
      <c r="CZ316" s="153" t="n">
        <f aca="false">IF(AI316=0,CZ304,AH316+AI316)</f>
        <v>1</v>
      </c>
      <c r="DA316" s="153" t="n">
        <f aca="false">IF(AI316=0,DA304,AI316)</f>
        <v>1.25</v>
      </c>
      <c r="DB316" s="153" t="n">
        <f aca="false">IF(AI316=0,DB304,AI316+AJ316)</f>
        <v>1.55</v>
      </c>
      <c r="DD316" s="132" t="n">
        <f aca="false">IF(Z316=0,DD304,Z316)</f>
        <v>0.0532773332402962</v>
      </c>
      <c r="DE316" s="132" t="n">
        <f aca="false">IF(AA316=0,DE304,AA316)</f>
        <v>0.106554666480592</v>
      </c>
      <c r="DF316" s="132" t="n">
        <f aca="false">IF(AB316=0,DF304,AB316)</f>
        <v>0.159831999720889</v>
      </c>
      <c r="DG316" s="188"/>
      <c r="DH316" s="152" t="n">
        <f aca="false">IF(BH316=0,EOMONTH(DH315,0)+1,BH316)</f>
        <v>45597</v>
      </c>
      <c r="DI316" s="99" t="n">
        <v>0.9</v>
      </c>
    </row>
    <row r="317" customFormat="false" ht="14.25" hidden="false" customHeight="false" outlineLevel="0" collapsed="false">
      <c r="A317" s="187" t="n">
        <f aca="false">EDATE(A316,1)</f>
        <v>55185</v>
      </c>
      <c r="B317" s="99" t="n">
        <f aca="false">'Gas Curves'!C321</f>
        <v>0.073580961731128</v>
      </c>
      <c r="C317" s="99"/>
      <c r="D317" s="18"/>
      <c r="E317" s="18"/>
      <c r="F317" s="18"/>
      <c r="G317" s="18"/>
      <c r="H317" s="18"/>
      <c r="I317" s="18"/>
      <c r="J317" s="18"/>
      <c r="K317" s="18"/>
      <c r="L317" s="18"/>
      <c r="M317" s="106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06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  <c r="CH317" s="0"/>
      <c r="CP317" s="0"/>
      <c r="CQ317" s="0"/>
      <c r="CR317" s="0"/>
      <c r="CS317" s="0"/>
      <c r="CT317" s="0"/>
      <c r="CU317" s="81"/>
      <c r="CV317" s="110"/>
      <c r="CW317" s="188"/>
      <c r="CX317" s="188"/>
      <c r="CY317" s="152" t="n">
        <f aca="false">EOMONTH(CY316,0)+1</f>
        <v>45627</v>
      </c>
      <c r="CZ317" s="153" t="n">
        <f aca="false">IF(AI317=0,CZ305,AH317+AI317)</f>
        <v>1</v>
      </c>
      <c r="DA317" s="153" t="n">
        <f aca="false">IF(AI317=0,DA305,AI317)</f>
        <v>1.25</v>
      </c>
      <c r="DB317" s="153" t="n">
        <f aca="false">IF(AI317=0,DB305,AI317+AJ317)</f>
        <v>1.55</v>
      </c>
      <c r="DD317" s="132" t="n">
        <f aca="false">IF(Z317=0,DD305,Z317)</f>
        <v>0.0551786804488718</v>
      </c>
      <c r="DE317" s="132" t="n">
        <f aca="false">IF(AA317=0,DE305,AA317)</f>
        <v>0.110357360897744</v>
      </c>
      <c r="DF317" s="132" t="n">
        <f aca="false">IF(AB317=0,DF305,AB317)</f>
        <v>0.165536041346615</v>
      </c>
      <c r="DG317" s="188"/>
      <c r="DH317" s="152" t="n">
        <f aca="false">IF(BH317=0,EOMONTH(DH316,0)+1,BH317)</f>
        <v>45627</v>
      </c>
      <c r="DI317" s="99" t="n">
        <v>0.9</v>
      </c>
    </row>
    <row r="318" customFormat="false" ht="14.25" hidden="false" customHeight="false" outlineLevel="0" collapsed="false">
      <c r="A318" s="187" t="n">
        <f aca="false">EDATE(A317,1)</f>
        <v>55213</v>
      </c>
      <c r="B318" s="99" t="n">
        <f aca="false">'Gas Curves'!C322</f>
        <v>0.073571726436746</v>
      </c>
      <c r="C318" s="99"/>
      <c r="D318" s="18"/>
      <c r="E318" s="18"/>
      <c r="F318" s="18"/>
      <c r="G318" s="18"/>
      <c r="H318" s="18"/>
      <c r="I318" s="18"/>
      <c r="J318" s="18"/>
      <c r="K318" s="18"/>
      <c r="L318" s="18"/>
      <c r="M318" s="106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06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0"/>
      <c r="CP318" s="0"/>
      <c r="CQ318" s="0"/>
      <c r="CR318" s="0"/>
      <c r="CS318" s="0"/>
      <c r="CT318" s="0"/>
      <c r="CU318" s="81"/>
      <c r="CV318" s="110"/>
      <c r="CW318" s="188"/>
      <c r="CX318" s="188"/>
      <c r="CY318" s="152" t="n">
        <f aca="false">EOMONTH(CY317,0)+1</f>
        <v>45658</v>
      </c>
      <c r="CZ318" s="153" t="n">
        <f aca="false">IF(AI318=0,CZ306,AH318+AI318)</f>
        <v>1.25</v>
      </c>
      <c r="DA318" s="153" t="n">
        <f aca="false">IF(AI318=0,DA306,AI318)</f>
        <v>2</v>
      </c>
      <c r="DB318" s="153" t="n">
        <f aca="false">IF(AI318=0,DB306,AI318+AJ318)</f>
        <v>2.75</v>
      </c>
      <c r="DD318" s="132" t="n">
        <f aca="false">IF(Z318=0,DD306,Z318)</f>
        <v>0.0593730876011232</v>
      </c>
      <c r="DE318" s="132" t="n">
        <f aca="false">IF(AA318=0,DE306,AA318)</f>
        <v>0.118746175202246</v>
      </c>
      <c r="DF318" s="132" t="n">
        <f aca="false">IF(AB318=0,DF306,AB318)</f>
        <v>0.17811926280337</v>
      </c>
      <c r="DG318" s="188"/>
      <c r="DH318" s="152" t="n">
        <f aca="false">IF(BH318=0,EOMONTH(DH317,0)+1,BH318)</f>
        <v>45658</v>
      </c>
      <c r="DI318" s="99" t="n">
        <v>0.9</v>
      </c>
    </row>
    <row r="319" customFormat="false" ht="14.25" hidden="false" customHeight="false" outlineLevel="0" collapsed="false">
      <c r="A319" s="187" t="n">
        <f aca="false">EDATE(A318,1)</f>
        <v>55244</v>
      </c>
      <c r="B319" s="99" t="n">
        <f aca="false">'Gas Curves'!C323</f>
        <v>0.073562789055113</v>
      </c>
      <c r="C319" s="99"/>
      <c r="D319" s="18"/>
      <c r="E319" s="18"/>
      <c r="F319" s="18"/>
      <c r="G319" s="18"/>
      <c r="H319" s="18"/>
      <c r="I319" s="18"/>
      <c r="J319" s="18"/>
      <c r="K319" s="18"/>
      <c r="L319" s="18"/>
      <c r="M319" s="106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06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  <c r="CH319" s="0"/>
      <c r="CP319" s="0"/>
      <c r="CQ319" s="0"/>
      <c r="CR319" s="0"/>
      <c r="CS319" s="0"/>
      <c r="CT319" s="0"/>
      <c r="CU319" s="81"/>
      <c r="CV319" s="110"/>
      <c r="CW319" s="188"/>
      <c r="CX319" s="188"/>
      <c r="CY319" s="152" t="n">
        <f aca="false">EOMONTH(CY318,0)+1</f>
        <v>45689</v>
      </c>
      <c r="CZ319" s="153" t="n">
        <f aca="false">IF(AI319=0,CZ307,AH319+AI319)</f>
        <v>1.25</v>
      </c>
      <c r="DA319" s="153" t="n">
        <f aca="false">IF(AI319=0,DA307,AI319)</f>
        <v>2</v>
      </c>
      <c r="DB319" s="153" t="n">
        <f aca="false">IF(AI319=0,DB307,AI319+AJ319)</f>
        <v>2.75</v>
      </c>
      <c r="DD319" s="132" t="n">
        <f aca="false">IF(Z319=0,DD307,Z319)</f>
        <v>0.0572824859250273</v>
      </c>
      <c r="DE319" s="132" t="n">
        <f aca="false">IF(AA319=0,DE307,AA319)</f>
        <v>0.114564971850055</v>
      </c>
      <c r="DF319" s="132" t="n">
        <f aca="false">IF(AB319=0,DF307,AB319)</f>
        <v>0.171847457775082</v>
      </c>
      <c r="DG319" s="188"/>
      <c r="DH319" s="152" t="n">
        <f aca="false">IF(BH319=0,EOMONTH(DH318,0)+1,BH319)</f>
        <v>45689</v>
      </c>
      <c r="DI319" s="99" t="n">
        <v>0.9</v>
      </c>
    </row>
    <row r="320" customFormat="false" ht="14.25" hidden="false" customHeight="false" outlineLevel="0" collapsed="false">
      <c r="A320" s="187" t="n">
        <f aca="false">EDATE(A319,1)</f>
        <v>55274</v>
      </c>
      <c r="B320" s="99" t="n">
        <f aca="false">'Gas Curves'!C324</f>
        <v>0.073553553760787</v>
      </c>
      <c r="C320" s="99"/>
      <c r="D320" s="18"/>
      <c r="E320" s="18"/>
      <c r="F320" s="18"/>
      <c r="G320" s="18"/>
      <c r="H320" s="18"/>
      <c r="I320" s="18"/>
      <c r="J320" s="18"/>
      <c r="K320" s="18"/>
      <c r="L320" s="18"/>
      <c r="M320" s="106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06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  <c r="CH320" s="0"/>
      <c r="CP320" s="0"/>
      <c r="CQ320" s="0"/>
      <c r="CR320" s="0"/>
      <c r="CS320" s="0"/>
      <c r="CT320" s="0"/>
      <c r="CU320" s="81"/>
      <c r="CV320" s="110"/>
      <c r="CW320" s="188"/>
      <c r="CX320" s="188"/>
      <c r="CY320" s="152" t="n">
        <f aca="false">EOMONTH(CY319,0)+1</f>
        <v>45717</v>
      </c>
      <c r="CZ320" s="153" t="n">
        <f aca="false">IF(AI320=0,CZ308,AH320+AI320)</f>
        <v>1</v>
      </c>
      <c r="DA320" s="153" t="n">
        <f aca="false">IF(AI320=0,DA308,AI320)</f>
        <v>1.25</v>
      </c>
      <c r="DB320" s="153" t="n">
        <f aca="false">IF(AI320=0,DB308,AI320+AJ320)</f>
        <v>1.55</v>
      </c>
      <c r="DD320" s="132" t="n">
        <f aca="false">IF(Z320=0,DD308,Z320)</f>
        <v>0.0558347442643309</v>
      </c>
      <c r="DE320" s="132" t="n">
        <f aca="false">IF(AA320=0,DE308,AA320)</f>
        <v>0.111669488528662</v>
      </c>
      <c r="DF320" s="132" t="n">
        <f aca="false">IF(AB320=0,DF308,AB320)</f>
        <v>0.167504232792993</v>
      </c>
      <c r="DG320" s="188"/>
      <c r="DH320" s="152" t="n">
        <f aca="false">IF(BH320=0,EOMONTH(DH319,0)+1,BH320)</f>
        <v>45717</v>
      </c>
      <c r="DI320" s="99" t="n">
        <v>0.9</v>
      </c>
    </row>
    <row r="321" customFormat="false" ht="14.25" hidden="false" customHeight="false" outlineLevel="0" collapsed="false">
      <c r="A321" s="187" t="n">
        <f aca="false">EDATE(A320,1)</f>
        <v>55305</v>
      </c>
      <c r="B321" s="99" t="n">
        <f aca="false">'Gas Curves'!C325</f>
        <v>0.073544616379208</v>
      </c>
      <c r="C321" s="99"/>
      <c r="D321" s="18"/>
      <c r="E321" s="18"/>
      <c r="F321" s="18"/>
      <c r="G321" s="18"/>
      <c r="H321" s="18"/>
      <c r="I321" s="18"/>
      <c r="J321" s="18"/>
      <c r="K321" s="18"/>
      <c r="L321" s="18"/>
      <c r="M321" s="106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06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  <c r="CH321" s="0"/>
      <c r="CP321" s="0"/>
      <c r="CQ321" s="0"/>
      <c r="CR321" s="0"/>
      <c r="CS321" s="0"/>
      <c r="CT321" s="0"/>
      <c r="CU321" s="81"/>
      <c r="CV321" s="110"/>
      <c r="CW321" s="188"/>
      <c r="CX321" s="188"/>
      <c r="CY321" s="152" t="n">
        <f aca="false">EOMONTH(CY320,0)+1</f>
        <v>45748</v>
      </c>
      <c r="CZ321" s="153" t="n">
        <f aca="false">IF(AI321=0,CZ309,AH321+AI321)</f>
        <v>1</v>
      </c>
      <c r="DA321" s="153" t="n">
        <f aca="false">IF(AI321=0,DA309,AI321)</f>
        <v>1.25</v>
      </c>
      <c r="DB321" s="153" t="n">
        <f aca="false">IF(AI321=0,DB309,AI321+AJ321)</f>
        <v>1.55</v>
      </c>
      <c r="DD321" s="132" t="n">
        <f aca="false">IF(Z321=0,DD309,Z321)</f>
        <v>0.0497667728994625</v>
      </c>
      <c r="DE321" s="132" t="n">
        <f aca="false">IF(AA321=0,DE309,AA321)</f>
        <v>0.0995335457989251</v>
      </c>
      <c r="DF321" s="132" t="n">
        <f aca="false">IF(AB321=0,DF309,AB321)</f>
        <v>0.149300318698388</v>
      </c>
      <c r="DG321" s="188"/>
      <c r="DH321" s="152" t="n">
        <f aca="false">IF(BH321=0,EOMONTH(DH320,0)+1,BH321)</f>
        <v>45748</v>
      </c>
      <c r="DI321" s="99" t="n">
        <v>0.9</v>
      </c>
    </row>
    <row r="322" customFormat="false" ht="14.25" hidden="false" customHeight="false" outlineLevel="0" collapsed="false">
      <c r="A322" s="187" t="n">
        <f aca="false">EDATE(A321,1)</f>
        <v>55335</v>
      </c>
      <c r="B322" s="99" t="n">
        <f aca="false">'Gas Curves'!C326</f>
        <v>0.073535381084937</v>
      </c>
      <c r="C322" s="99"/>
      <c r="D322" s="18"/>
      <c r="E322" s="18"/>
      <c r="F322" s="18"/>
      <c r="G322" s="18"/>
      <c r="H322" s="18"/>
      <c r="I322" s="18"/>
      <c r="J322" s="18"/>
      <c r="K322" s="18"/>
      <c r="L322" s="18"/>
      <c r="M322" s="106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06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  <c r="CH322" s="0"/>
      <c r="CP322" s="0"/>
      <c r="CQ322" s="0"/>
      <c r="CR322" s="0"/>
      <c r="CS322" s="0"/>
      <c r="CT322" s="0"/>
      <c r="CU322" s="81"/>
      <c r="CV322" s="110"/>
      <c r="CW322" s="188"/>
      <c r="CX322" s="188"/>
      <c r="CY322" s="152" t="n">
        <f aca="false">EOMONTH(CY321,0)+1</f>
        <v>45778</v>
      </c>
      <c r="CZ322" s="153" t="n">
        <f aca="false">IF(AI322=0,CZ310,AH322+AI322)</f>
        <v>1</v>
      </c>
      <c r="DA322" s="153" t="n">
        <f aca="false">IF(AI322=0,DA310,AI322)</f>
        <v>1.25</v>
      </c>
      <c r="DB322" s="153" t="n">
        <f aca="false">IF(AI322=0,DB310,AI322+AJ322)</f>
        <v>1.55</v>
      </c>
      <c r="DD322" s="132" t="n">
        <f aca="false">IF(Z322=0,DD310,Z322)</f>
        <v>0.0572929389334078</v>
      </c>
      <c r="DE322" s="132" t="n">
        <f aca="false">IF(AA322=0,DE310,AA322)</f>
        <v>0.114585877866816</v>
      </c>
      <c r="DF322" s="132" t="n">
        <f aca="false">IF(AB322=0,DF310,AB322)</f>
        <v>0.171878816800223</v>
      </c>
      <c r="DG322" s="188"/>
      <c r="DH322" s="152" t="n">
        <f aca="false">IF(BH322=0,EOMONTH(DH321,0)+1,BH322)</f>
        <v>45778</v>
      </c>
      <c r="DI322" s="99" t="n">
        <v>0.9</v>
      </c>
    </row>
    <row r="323" customFormat="false" ht="14.25" hidden="false" customHeight="false" outlineLevel="0" collapsed="false">
      <c r="A323" s="187" t="n">
        <f aca="false">EDATE(A322,1)</f>
        <v>55366</v>
      </c>
      <c r="B323" s="99" t="n">
        <f aca="false">'Gas Curves'!C327</f>
        <v>0.073526145790694</v>
      </c>
      <c r="C323" s="99"/>
      <c r="D323" s="18"/>
      <c r="E323" s="18"/>
      <c r="F323" s="18"/>
      <c r="G323" s="18"/>
      <c r="H323" s="18"/>
      <c r="I323" s="18"/>
      <c r="J323" s="18"/>
      <c r="K323" s="18"/>
      <c r="L323" s="18"/>
      <c r="M323" s="106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06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  <c r="CH323" s="0"/>
      <c r="CP323" s="0"/>
      <c r="CQ323" s="0"/>
      <c r="CR323" s="0"/>
      <c r="CS323" s="0"/>
      <c r="CT323" s="0"/>
      <c r="CU323" s="81"/>
      <c r="CV323" s="110"/>
      <c r="CW323" s="188"/>
      <c r="CX323" s="188"/>
      <c r="CY323" s="152" t="n">
        <f aca="false">EOMONTH(CY322,0)+1</f>
        <v>45809</v>
      </c>
      <c r="CZ323" s="153" t="n">
        <f aca="false">IF(AI323=0,CZ311,AH323+AI323)</f>
        <v>1</v>
      </c>
      <c r="DA323" s="153" t="n">
        <f aca="false">IF(AI323=0,DA311,AI323)</f>
        <v>1.25</v>
      </c>
      <c r="DB323" s="153" t="n">
        <f aca="false">IF(AI323=0,DB311,AI323+AJ323)</f>
        <v>1.55</v>
      </c>
      <c r="DD323" s="132" t="n">
        <f aca="false">IF(Z323=0,DD311,Z323)</f>
        <v>0.0718278470864644</v>
      </c>
      <c r="DE323" s="132" t="n">
        <f aca="false">IF(AA323=0,DE311,AA323)</f>
        <v>0.143655694172929</v>
      </c>
      <c r="DF323" s="132" t="n">
        <f aca="false">IF(AB323=0,DF311,AB323)</f>
        <v>0.215483541259393</v>
      </c>
      <c r="DG323" s="188"/>
      <c r="DH323" s="152" t="n">
        <f aca="false">IF(BH323=0,EOMONTH(DH322,0)+1,BH323)</f>
        <v>45809</v>
      </c>
      <c r="DI323" s="99" t="n">
        <v>0.9</v>
      </c>
    </row>
    <row r="324" customFormat="false" ht="14.25" hidden="false" customHeight="false" outlineLevel="0" collapsed="false">
      <c r="A324" s="187" t="n">
        <f aca="false">EDATE(A323,1)</f>
        <v>55397</v>
      </c>
      <c r="B324" s="99" t="n">
        <f aca="false">'Gas Curves'!C328</f>
        <v>0.073517804234629</v>
      </c>
      <c r="C324" s="99"/>
      <c r="D324" s="18"/>
      <c r="E324" s="18"/>
      <c r="F324" s="18"/>
      <c r="G324" s="18"/>
      <c r="H324" s="18"/>
      <c r="I324" s="18"/>
      <c r="J324" s="18"/>
      <c r="K324" s="18"/>
      <c r="L324" s="18"/>
      <c r="M324" s="106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06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  <c r="CH324" s="0"/>
      <c r="CP324" s="0"/>
      <c r="CQ324" s="0"/>
      <c r="CR324" s="0"/>
      <c r="CS324" s="0"/>
      <c r="CT324" s="0"/>
      <c r="CU324" s="81"/>
      <c r="CV324" s="110"/>
      <c r="CW324" s="188"/>
      <c r="CX324" s="188"/>
      <c r="CY324" s="152" t="n">
        <f aca="false">EOMONTH(CY323,0)+1</f>
        <v>45839</v>
      </c>
      <c r="CZ324" s="153" t="n">
        <f aca="false">IF(AI324=0,CZ312,AH324+AI324)</f>
        <v>1</v>
      </c>
      <c r="DA324" s="153" t="n">
        <f aca="false">IF(AI324=0,DA312,AI324)</f>
        <v>1.25</v>
      </c>
      <c r="DB324" s="153" t="n">
        <f aca="false">IF(AI324=0,DB312,AI324+AJ324)</f>
        <v>1.55</v>
      </c>
      <c r="DD324" s="132" t="n">
        <f aca="false">IF(Z324=0,DD312,Z324)</f>
        <v>0.0849986376458685</v>
      </c>
      <c r="DE324" s="132" t="n">
        <f aca="false">IF(AA324=0,DE312,AA324)</f>
        <v>0.169997275291737</v>
      </c>
      <c r="DF324" s="132" t="n">
        <f aca="false">IF(AB324=0,DF312,AB324)</f>
        <v>0.254995912937605</v>
      </c>
      <c r="DG324" s="188"/>
      <c r="DH324" s="152" t="n">
        <f aca="false">IF(BH324=0,EOMONTH(DH323,0)+1,BH324)</f>
        <v>45839</v>
      </c>
      <c r="DI324" s="99" t="n">
        <v>0.9</v>
      </c>
    </row>
    <row r="325" customFormat="false" ht="14.25" hidden="false" customHeight="false" outlineLevel="0" collapsed="false">
      <c r="A325" s="187" t="n">
        <f aca="false">EDATE(A324,1)</f>
        <v>55427</v>
      </c>
      <c r="B325" s="99" t="n">
        <f aca="false">'Gas Curves'!C329</f>
        <v>0.073508568940439</v>
      </c>
      <c r="C325" s="99"/>
      <c r="D325" s="18"/>
      <c r="E325" s="18"/>
      <c r="F325" s="18"/>
      <c r="G325" s="18"/>
      <c r="H325" s="18"/>
      <c r="I325" s="18"/>
      <c r="J325" s="18"/>
      <c r="K325" s="18"/>
      <c r="L325" s="18"/>
      <c r="M325" s="106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06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  <c r="CH325" s="0"/>
      <c r="CP325" s="0"/>
      <c r="CQ325" s="0"/>
      <c r="CR325" s="0"/>
      <c r="CS325" s="0"/>
      <c r="CT325" s="0"/>
      <c r="CU325" s="81"/>
      <c r="CV325" s="110"/>
      <c r="CW325" s="188"/>
      <c r="CX325" s="188"/>
      <c r="CY325" s="152" t="n">
        <f aca="false">EOMONTH(CY324,0)+1</f>
        <v>45870</v>
      </c>
      <c r="CZ325" s="153" t="n">
        <f aca="false">IF(AI325=0,CZ313,AH325+AI325)</f>
        <v>1</v>
      </c>
      <c r="DA325" s="153" t="n">
        <f aca="false">IF(AI325=0,DA313,AI325)</f>
        <v>1.25</v>
      </c>
      <c r="DB325" s="153" t="n">
        <f aca="false">IF(AI325=0,DB313,AI325+AJ325)</f>
        <v>1.55</v>
      </c>
      <c r="DD325" s="132" t="n">
        <f aca="false">IF(Z325=0,DD313,Z325)</f>
        <v>0.0836345200522159</v>
      </c>
      <c r="DE325" s="132" t="n">
        <f aca="false">IF(AA325=0,DE313,AA325)</f>
        <v>0.167269040104432</v>
      </c>
      <c r="DF325" s="132" t="n">
        <f aca="false">IF(AB325=0,DF313,AB325)</f>
        <v>0.250903560156648</v>
      </c>
      <c r="DG325" s="188"/>
      <c r="DH325" s="152" t="n">
        <f aca="false">IF(BH325=0,EOMONTH(DH324,0)+1,BH325)</f>
        <v>45870</v>
      </c>
      <c r="DI325" s="99" t="n">
        <v>0.9</v>
      </c>
    </row>
    <row r="326" customFormat="false" ht="14.25" hidden="false" customHeight="false" outlineLevel="0" collapsed="false">
      <c r="A326" s="187" t="n">
        <f aca="false">EDATE(A325,1)</f>
        <v>55458</v>
      </c>
      <c r="B326" s="99" t="n">
        <f aca="false">'Gas Curves'!C330</f>
        <v>0.073499631559</v>
      </c>
      <c r="C326" s="99"/>
      <c r="D326" s="18"/>
      <c r="E326" s="18"/>
      <c r="F326" s="18"/>
      <c r="G326" s="18"/>
      <c r="H326" s="18"/>
      <c r="I326" s="18"/>
      <c r="J326" s="18"/>
      <c r="K326" s="18"/>
      <c r="L326" s="18"/>
      <c r="M326" s="106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06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  <c r="CH326" s="0"/>
      <c r="CP326" s="0"/>
      <c r="CQ326" s="0"/>
      <c r="CR326" s="0"/>
      <c r="CS326" s="0"/>
      <c r="CT326" s="0"/>
      <c r="CU326" s="81"/>
      <c r="CV326" s="110"/>
      <c r="CW326" s="188"/>
      <c r="CX326" s="188"/>
      <c r="CY326" s="152" t="n">
        <f aca="false">EOMONTH(CY325,0)+1</f>
        <v>45901</v>
      </c>
      <c r="CZ326" s="153" t="n">
        <f aca="false">IF(AI326=0,CZ314,AH326+AI326)</f>
        <v>1</v>
      </c>
      <c r="DA326" s="153" t="n">
        <f aca="false">IF(AI326=0,DA314,AI326)</f>
        <v>1.25</v>
      </c>
      <c r="DB326" s="153" t="n">
        <f aca="false">IF(AI326=0,DB314,AI326+AJ326)</f>
        <v>1.55</v>
      </c>
      <c r="DD326" s="132" t="n">
        <f aca="false">IF(Z326=0,DD314,Z326)</f>
        <v>0.0554113974249214</v>
      </c>
      <c r="DE326" s="132" t="n">
        <f aca="false">IF(AA326=0,DE314,AA326)</f>
        <v>0.110822794849843</v>
      </c>
      <c r="DF326" s="132" t="n">
        <f aca="false">IF(AB326=0,DF314,AB326)</f>
        <v>0.166234192274764</v>
      </c>
      <c r="DG326" s="188"/>
      <c r="DH326" s="152" t="n">
        <f aca="false">IF(BH326=0,EOMONTH(DH325,0)+1,BH326)</f>
        <v>45901</v>
      </c>
      <c r="DI326" s="99" t="n">
        <v>0.9</v>
      </c>
    </row>
    <row r="327" customFormat="false" ht="14.25" hidden="false" customHeight="false" outlineLevel="0" collapsed="false">
      <c r="A327" s="187" t="n">
        <f aca="false">EDATE(A326,1)</f>
        <v>55488</v>
      </c>
      <c r="B327" s="99" t="n">
        <f aca="false">'Gas Curves'!C331</f>
        <v>0.073490396264859</v>
      </c>
      <c r="C327" s="99"/>
      <c r="D327" s="18"/>
      <c r="E327" s="18"/>
      <c r="F327" s="18"/>
      <c r="G327" s="18"/>
      <c r="H327" s="18"/>
      <c r="I327" s="18"/>
      <c r="J327" s="18"/>
      <c r="K327" s="18"/>
      <c r="L327" s="18"/>
      <c r="M327" s="106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06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  <c r="CH327" s="0"/>
      <c r="CP327" s="0"/>
      <c r="CQ327" s="0"/>
      <c r="CR327" s="0"/>
      <c r="CS327" s="0"/>
      <c r="CT327" s="0"/>
      <c r="CU327" s="81"/>
      <c r="CV327" s="110"/>
      <c r="CW327" s="188"/>
      <c r="CX327" s="188"/>
      <c r="CY327" s="152" t="n">
        <f aca="false">EOMONTH(CY326,0)+1</f>
        <v>45931</v>
      </c>
      <c r="CZ327" s="153" t="n">
        <f aca="false">IF(AI327=0,CZ315,AH327+AI327)</f>
        <v>0.85</v>
      </c>
      <c r="DA327" s="153" t="n">
        <f aca="false">IF(AI327=0,DA315,AI327)</f>
        <v>1.1</v>
      </c>
      <c r="DB327" s="153" t="n">
        <f aca="false">IF(AI327=0,DB315,AI327+AJ327)</f>
        <v>1.4</v>
      </c>
      <c r="DD327" s="132" t="n">
        <f aca="false">IF(Z327=0,DD315,Z327)</f>
        <v>0.0532773332402962</v>
      </c>
      <c r="DE327" s="132" t="n">
        <f aca="false">IF(AA327=0,DE315,AA327)</f>
        <v>0.106554666480592</v>
      </c>
      <c r="DF327" s="132" t="n">
        <f aca="false">IF(AB327=0,DF315,AB327)</f>
        <v>0.159831999720889</v>
      </c>
      <c r="DG327" s="188"/>
      <c r="DH327" s="152" t="n">
        <f aca="false">IF(BH327=0,EOMONTH(DH326,0)+1,BH327)</f>
        <v>45931</v>
      </c>
      <c r="DI327" s="99" t="n">
        <v>0.9</v>
      </c>
    </row>
    <row r="328" customFormat="false" ht="14.25" hidden="false" customHeight="false" outlineLevel="0" collapsed="false">
      <c r="A328" s="187" t="n">
        <f aca="false">EDATE(A327,1)</f>
        <v>55519</v>
      </c>
      <c r="B328" s="99" t="n">
        <f aca="false">'Gas Curves'!C332</f>
        <v>0.073481458883466</v>
      </c>
      <c r="C328" s="99"/>
      <c r="D328" s="18"/>
      <c r="E328" s="18"/>
      <c r="F328" s="18"/>
      <c r="G328" s="18"/>
      <c r="H328" s="18"/>
      <c r="I328" s="18"/>
      <c r="J328" s="18"/>
      <c r="K328" s="18"/>
      <c r="L328" s="18"/>
      <c r="M328" s="106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06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0"/>
      <c r="CP328" s="0"/>
      <c r="CQ328" s="0"/>
      <c r="CR328" s="0"/>
      <c r="CS328" s="0"/>
      <c r="CT328" s="0"/>
      <c r="CU328" s="81"/>
      <c r="CV328" s="110"/>
      <c r="CW328" s="188"/>
      <c r="CX328" s="188"/>
      <c r="CY328" s="152" t="n">
        <f aca="false">EOMONTH(CY327,0)+1</f>
        <v>45962</v>
      </c>
      <c r="CZ328" s="153" t="n">
        <f aca="false">IF(AI328=0,CZ316,AH328+AI328)</f>
        <v>1</v>
      </c>
      <c r="DA328" s="153" t="n">
        <f aca="false">IF(AI328=0,DA316,AI328)</f>
        <v>1.25</v>
      </c>
      <c r="DB328" s="153" t="n">
        <f aca="false">IF(AI328=0,DB316,AI328+AJ328)</f>
        <v>1.55</v>
      </c>
      <c r="DD328" s="132" t="n">
        <f aca="false">IF(Z328=0,DD316,Z328)</f>
        <v>0.0532773332402962</v>
      </c>
      <c r="DE328" s="132" t="n">
        <f aca="false">IF(AA328=0,DE316,AA328)</f>
        <v>0.106554666480592</v>
      </c>
      <c r="DF328" s="132" t="n">
        <f aca="false">IF(AB328=0,DF316,AB328)</f>
        <v>0.159831999720889</v>
      </c>
      <c r="DG328" s="188"/>
      <c r="DH328" s="152" t="n">
        <f aca="false">IF(BH328=0,EOMONTH(DH327,0)+1,BH328)</f>
        <v>45962</v>
      </c>
      <c r="DI328" s="99" t="n">
        <v>0.9</v>
      </c>
    </row>
    <row r="329" customFormat="false" ht="14.25" hidden="false" customHeight="false" outlineLevel="0" collapsed="false">
      <c r="A329" s="187" t="n">
        <f aca="false">EDATE(A328,1)</f>
        <v>55550</v>
      </c>
      <c r="B329" s="99" t="n">
        <f aca="false">'Gas Curves'!C333</f>
        <v>0.073472223589388</v>
      </c>
      <c r="C329" s="99"/>
      <c r="D329" s="18"/>
      <c r="E329" s="18"/>
      <c r="F329" s="18"/>
      <c r="G329" s="18"/>
      <c r="H329" s="18"/>
      <c r="I329" s="18"/>
      <c r="J329" s="18"/>
      <c r="K329" s="18"/>
      <c r="L329" s="18"/>
      <c r="M329" s="106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06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  <c r="CH329" s="0"/>
      <c r="CP329" s="0"/>
      <c r="CQ329" s="0"/>
      <c r="CR329" s="0"/>
      <c r="CS329" s="0"/>
      <c r="CT329" s="0"/>
      <c r="CU329" s="81"/>
      <c r="CV329" s="110"/>
      <c r="CW329" s="188"/>
      <c r="CX329" s="188"/>
      <c r="CY329" s="152" t="n">
        <f aca="false">EOMONTH(CY328,0)+1</f>
        <v>45992</v>
      </c>
      <c r="CZ329" s="153" t="n">
        <f aca="false">IF(AI329=0,CZ317,AH329+AI329)</f>
        <v>1</v>
      </c>
      <c r="DA329" s="153" t="n">
        <f aca="false">IF(AI329=0,DA317,AI329)</f>
        <v>1.25</v>
      </c>
      <c r="DB329" s="153" t="n">
        <f aca="false">IF(AI329=0,DB317,AI329+AJ329)</f>
        <v>1.55</v>
      </c>
      <c r="DD329" s="132" t="n">
        <f aca="false">IF(Z329=0,DD317,Z329)</f>
        <v>0.0551786804488718</v>
      </c>
      <c r="DE329" s="132" t="n">
        <f aca="false">IF(AA329=0,DE317,AA329)</f>
        <v>0.110357360897744</v>
      </c>
      <c r="DF329" s="132" t="n">
        <f aca="false">IF(AB329=0,DF317,AB329)</f>
        <v>0.165536041346615</v>
      </c>
      <c r="DG329" s="188"/>
      <c r="DH329" s="152" t="n">
        <f aca="false">IF(BH329=0,EOMONTH(DH328,0)+1,BH329)</f>
        <v>45992</v>
      </c>
      <c r="DI329" s="99" t="n">
        <v>0.9</v>
      </c>
    </row>
    <row r="330" customFormat="false" ht="14.25" hidden="false" customHeight="false" outlineLevel="0" collapsed="false">
      <c r="A330" s="187" t="n">
        <f aca="false">EDATE(A329,1)</f>
        <v>55579</v>
      </c>
      <c r="B330" s="99" t="n">
        <f aca="false">'Gas Curves'!C334</f>
        <v>0.073462988295338</v>
      </c>
      <c r="C330" s="99"/>
      <c r="D330" s="18"/>
      <c r="E330" s="18"/>
      <c r="F330" s="18"/>
      <c r="G330" s="18"/>
      <c r="H330" s="18"/>
      <c r="I330" s="18"/>
      <c r="J330" s="18"/>
      <c r="K330" s="18"/>
      <c r="L330" s="18"/>
      <c r="M330" s="106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06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  <c r="CH330" s="0"/>
      <c r="CP330" s="0"/>
      <c r="CQ330" s="0"/>
      <c r="CR330" s="0"/>
      <c r="CS330" s="0"/>
      <c r="CT330" s="0"/>
      <c r="CU330" s="81"/>
      <c r="CV330" s="110"/>
      <c r="CW330" s="188"/>
      <c r="CX330" s="188"/>
      <c r="CY330" s="152" t="n">
        <f aca="false">EOMONTH(CY329,0)+1</f>
        <v>46023</v>
      </c>
      <c r="CZ330" s="153" t="n">
        <f aca="false">IF(AI330=0,CZ318,AH330+AI330)</f>
        <v>1.25</v>
      </c>
      <c r="DA330" s="153" t="n">
        <f aca="false">IF(AI330=0,DA318,AI330)</f>
        <v>2</v>
      </c>
      <c r="DB330" s="153" t="n">
        <f aca="false">IF(AI330=0,DB318,AI330+AJ330)</f>
        <v>2.75</v>
      </c>
      <c r="DD330" s="132" t="n">
        <f aca="false">IF(Z330=0,DD318,Z330)</f>
        <v>0.0593730876011232</v>
      </c>
      <c r="DE330" s="132" t="n">
        <f aca="false">IF(AA330=0,DE318,AA330)</f>
        <v>0.118746175202246</v>
      </c>
      <c r="DF330" s="132" t="n">
        <f aca="false">IF(AB330=0,DF318,AB330)</f>
        <v>0.17811926280337</v>
      </c>
      <c r="DG330" s="188"/>
      <c r="DH330" s="152" t="n">
        <f aca="false">IF(BH330=0,EOMONTH(DH329,0)+1,BH330)</f>
        <v>46023</v>
      </c>
      <c r="DI330" s="99" t="n">
        <v>0.9</v>
      </c>
    </row>
    <row r="331" customFormat="false" ht="14.25" hidden="false" customHeight="false" outlineLevel="0" collapsed="false">
      <c r="A331" s="187" t="n">
        <f aca="false">EDATE(A330,1)</f>
        <v>55610</v>
      </c>
      <c r="B331" s="99" t="n">
        <f aca="false">'Gas Curves'!C335</f>
        <v>0.073454050914026</v>
      </c>
      <c r="C331" s="99"/>
      <c r="D331" s="18"/>
      <c r="E331" s="18"/>
      <c r="F331" s="18"/>
      <c r="G331" s="18"/>
      <c r="H331" s="18"/>
      <c r="I331" s="18"/>
      <c r="J331" s="18"/>
      <c r="K331" s="18"/>
      <c r="L331" s="18"/>
      <c r="M331" s="106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06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  <c r="CH331" s="0"/>
      <c r="CP331" s="0"/>
      <c r="CQ331" s="0"/>
      <c r="CR331" s="0"/>
      <c r="CS331" s="0"/>
      <c r="CT331" s="0"/>
      <c r="CU331" s="81"/>
      <c r="CV331" s="110"/>
      <c r="CW331" s="188"/>
      <c r="CX331" s="188"/>
      <c r="CY331" s="152" t="n">
        <f aca="false">EOMONTH(CY330,0)+1</f>
        <v>46054</v>
      </c>
      <c r="CZ331" s="153" t="n">
        <f aca="false">IF(AI331=0,CZ319,AH331+AI331)</f>
        <v>1.25</v>
      </c>
      <c r="DA331" s="153" t="n">
        <f aca="false">IF(AI331=0,DA319,AI331)</f>
        <v>2</v>
      </c>
      <c r="DB331" s="153" t="n">
        <f aca="false">IF(AI331=0,DB319,AI331+AJ331)</f>
        <v>2.75</v>
      </c>
      <c r="DD331" s="132" t="n">
        <f aca="false">IF(Z331=0,DD319,Z331)</f>
        <v>0.0572824859250273</v>
      </c>
      <c r="DE331" s="132" t="n">
        <f aca="false">IF(AA331=0,DE319,AA331)</f>
        <v>0.114564971850055</v>
      </c>
      <c r="DF331" s="132" t="n">
        <f aca="false">IF(AB331=0,DF319,AB331)</f>
        <v>0.171847457775082</v>
      </c>
      <c r="DG331" s="188"/>
      <c r="DH331" s="152" t="n">
        <f aca="false">IF(BH331=0,EOMONTH(DH330,0)+1,BH331)</f>
        <v>46054</v>
      </c>
      <c r="DI331" s="99" t="n">
        <v>0.9</v>
      </c>
    </row>
    <row r="332" customFormat="false" ht="14.25" hidden="false" customHeight="false" outlineLevel="0" collapsed="false">
      <c r="A332" s="187" t="n">
        <f aca="false">EDATE(A331,1)</f>
        <v>55640</v>
      </c>
      <c r="B332" s="99" t="n">
        <f aca="false">'Gas Curves'!C336</f>
        <v>0.073444815620031</v>
      </c>
      <c r="C332" s="99"/>
      <c r="D332" s="18"/>
      <c r="E332" s="18"/>
      <c r="F332" s="18"/>
      <c r="G332" s="18"/>
      <c r="H332" s="18"/>
      <c r="I332" s="18"/>
      <c r="J332" s="18"/>
      <c r="K332" s="18"/>
      <c r="L332" s="18"/>
      <c r="M332" s="106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06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  <c r="CH332" s="0"/>
      <c r="CP332" s="0"/>
      <c r="CQ332" s="0"/>
      <c r="CR332" s="0"/>
      <c r="CS332" s="0"/>
      <c r="CT332" s="0"/>
      <c r="CU332" s="81"/>
      <c r="CV332" s="110"/>
      <c r="CW332" s="188"/>
      <c r="CX332" s="188"/>
      <c r="CY332" s="152" t="n">
        <f aca="false">EOMONTH(CY331,0)+1</f>
        <v>46082</v>
      </c>
      <c r="CZ332" s="153" t="n">
        <f aca="false">IF(AI332=0,CZ320,AH332+AI332)</f>
        <v>1</v>
      </c>
      <c r="DA332" s="153" t="n">
        <f aca="false">IF(AI332=0,DA320,AI332)</f>
        <v>1.25</v>
      </c>
      <c r="DB332" s="153" t="n">
        <f aca="false">IF(AI332=0,DB320,AI332+AJ332)</f>
        <v>1.55</v>
      </c>
      <c r="DD332" s="132" t="n">
        <f aca="false">IF(Z332=0,DD320,Z332)</f>
        <v>0.0558347442643309</v>
      </c>
      <c r="DE332" s="132" t="n">
        <f aca="false">IF(AA332=0,DE320,AA332)</f>
        <v>0.111669488528662</v>
      </c>
      <c r="DF332" s="132" t="n">
        <f aca="false">IF(AB332=0,DF320,AB332)</f>
        <v>0.167504232792993</v>
      </c>
      <c r="DG332" s="188"/>
      <c r="DH332" s="152" t="n">
        <f aca="false">IF(BH332=0,EOMONTH(DH331,0)+1,BH332)</f>
        <v>46082</v>
      </c>
      <c r="DI332" s="99" t="n">
        <v>0.9</v>
      </c>
    </row>
    <row r="333" customFormat="false" ht="14.25" hidden="false" customHeight="false" outlineLevel="0" collapsed="false">
      <c r="A333" s="187" t="n">
        <f aca="false">EDATE(A332,1)</f>
        <v>55671</v>
      </c>
      <c r="B333" s="99" t="n">
        <f aca="false">'Gas Curves'!C337</f>
        <v>0.073435878238773</v>
      </c>
      <c r="C333" s="99"/>
      <c r="D333" s="18"/>
      <c r="E333" s="18"/>
      <c r="F333" s="18"/>
      <c r="G333" s="18"/>
      <c r="H333" s="18"/>
      <c r="I333" s="18"/>
      <c r="J333" s="18"/>
      <c r="K333" s="18"/>
      <c r="L333" s="18"/>
      <c r="M333" s="106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06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  <c r="CH333" s="0"/>
      <c r="CP333" s="0"/>
      <c r="CQ333" s="0"/>
      <c r="CR333" s="0"/>
      <c r="CS333" s="0"/>
      <c r="CT333" s="0"/>
      <c r="CU333" s="81"/>
      <c r="CV333" s="110"/>
      <c r="CW333" s="188"/>
      <c r="CX333" s="188"/>
      <c r="CY333" s="152" t="n">
        <f aca="false">EOMONTH(CY332,0)+1</f>
        <v>46113</v>
      </c>
      <c r="CZ333" s="153" t="n">
        <f aca="false">IF(AI333=0,CZ321,AH333+AI333)</f>
        <v>1</v>
      </c>
      <c r="DA333" s="153" t="n">
        <f aca="false">IF(AI333=0,DA321,AI333)</f>
        <v>1.25</v>
      </c>
      <c r="DB333" s="153" t="n">
        <f aca="false">IF(AI333=0,DB321,AI333+AJ333)</f>
        <v>1.55</v>
      </c>
      <c r="DD333" s="132" t="n">
        <f aca="false">IF(Z333=0,DD321,Z333)</f>
        <v>0.0497667728994625</v>
      </c>
      <c r="DE333" s="132" t="n">
        <f aca="false">IF(AA333=0,DE321,AA333)</f>
        <v>0.0995335457989251</v>
      </c>
      <c r="DF333" s="132" t="n">
        <f aca="false">IF(AB333=0,DF321,AB333)</f>
        <v>0.149300318698388</v>
      </c>
      <c r="DG333" s="188"/>
      <c r="DH333" s="152" t="n">
        <f aca="false">IF(BH333=0,EOMONTH(DH332,0)+1,BH333)</f>
        <v>46113</v>
      </c>
      <c r="DI333" s="99" t="n">
        <v>0.9</v>
      </c>
    </row>
    <row r="334" customFormat="false" ht="14.25" hidden="false" customHeight="false" outlineLevel="0" collapsed="false">
      <c r="A334" s="187" t="n">
        <f aca="false">EDATE(A333,1)</f>
        <v>55701</v>
      </c>
      <c r="B334" s="99" t="n">
        <f aca="false">'Gas Curves'!C338</f>
        <v>0.073426642944833</v>
      </c>
      <c r="C334" s="99"/>
      <c r="D334" s="18"/>
      <c r="E334" s="18"/>
      <c r="F334" s="18"/>
      <c r="G334" s="18"/>
      <c r="H334" s="18"/>
      <c r="I334" s="18"/>
      <c r="J334" s="18"/>
      <c r="K334" s="18"/>
      <c r="L334" s="18"/>
      <c r="M334" s="106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06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  <c r="CH334" s="0"/>
      <c r="CP334" s="0"/>
      <c r="CQ334" s="0"/>
      <c r="CR334" s="0"/>
      <c r="CS334" s="0"/>
      <c r="CT334" s="0"/>
      <c r="CU334" s="81"/>
      <c r="CV334" s="110"/>
      <c r="CW334" s="188"/>
      <c r="CX334" s="188"/>
      <c r="CY334" s="152" t="n">
        <f aca="false">EOMONTH(CY333,0)+1</f>
        <v>46143</v>
      </c>
      <c r="CZ334" s="153" t="n">
        <f aca="false">IF(AI334=0,CZ322,AH334+AI334)</f>
        <v>1</v>
      </c>
      <c r="DA334" s="153" t="n">
        <f aca="false">IF(AI334=0,DA322,AI334)</f>
        <v>1.25</v>
      </c>
      <c r="DB334" s="153" t="n">
        <f aca="false">IF(AI334=0,DB322,AI334+AJ334)</f>
        <v>1.55</v>
      </c>
      <c r="DD334" s="132" t="n">
        <f aca="false">IF(Z334=0,DD322,Z334)</f>
        <v>0.0572929389334078</v>
      </c>
      <c r="DE334" s="132" t="n">
        <f aca="false">IF(AA334=0,DE322,AA334)</f>
        <v>0.114585877866816</v>
      </c>
      <c r="DF334" s="132" t="n">
        <f aca="false">IF(AB334=0,DF322,AB334)</f>
        <v>0.171878816800223</v>
      </c>
      <c r="DG334" s="188"/>
      <c r="DH334" s="152" t="n">
        <f aca="false">IF(BH334=0,EOMONTH(DH333,0)+1,BH334)</f>
        <v>46143</v>
      </c>
      <c r="DI334" s="99" t="n">
        <v>0.9</v>
      </c>
    </row>
    <row r="335" customFormat="false" ht="14.25" hidden="false" customHeight="false" outlineLevel="0" collapsed="false">
      <c r="A335" s="187" t="n">
        <f aca="false">EDATE(A334,1)</f>
        <v>55732</v>
      </c>
      <c r="B335" s="99" t="n">
        <f aca="false">'Gas Curves'!C339</f>
        <v>0.073417407650922</v>
      </c>
      <c r="C335" s="99"/>
      <c r="D335" s="18"/>
      <c r="E335" s="18"/>
      <c r="F335" s="18"/>
      <c r="G335" s="18"/>
      <c r="H335" s="18"/>
      <c r="I335" s="18"/>
      <c r="J335" s="18"/>
      <c r="K335" s="18"/>
      <c r="L335" s="18"/>
      <c r="M335" s="106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06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  <c r="CH335" s="0"/>
      <c r="CP335" s="0"/>
      <c r="CQ335" s="0"/>
      <c r="CR335" s="0"/>
      <c r="CS335" s="0"/>
      <c r="CT335" s="0"/>
      <c r="CU335" s="81"/>
      <c r="CV335" s="110"/>
      <c r="CW335" s="188"/>
      <c r="CX335" s="188"/>
      <c r="CY335" s="152" t="n">
        <f aca="false">EOMONTH(CY334,0)+1</f>
        <v>46174</v>
      </c>
      <c r="CZ335" s="153" t="n">
        <f aca="false">IF(AI335=0,CZ323,AH335+AI335)</f>
        <v>1</v>
      </c>
      <c r="DA335" s="153" t="n">
        <f aca="false">IF(AI335=0,DA323,AI335)</f>
        <v>1.25</v>
      </c>
      <c r="DB335" s="153" t="n">
        <f aca="false">IF(AI335=0,DB323,AI335+AJ335)</f>
        <v>1.55</v>
      </c>
      <c r="DD335" s="132" t="n">
        <f aca="false">IF(Z335=0,DD323,Z335)</f>
        <v>0.0718278470864644</v>
      </c>
      <c r="DE335" s="132" t="n">
        <f aca="false">IF(AA335=0,DE323,AA335)</f>
        <v>0.143655694172929</v>
      </c>
      <c r="DF335" s="132" t="n">
        <f aca="false">IF(AB335=0,DF323,AB335)</f>
        <v>0.215483541259393</v>
      </c>
      <c r="DG335" s="188"/>
      <c r="DH335" s="152" t="n">
        <f aca="false">IF(BH335=0,EOMONTH(DH334,0)+1,BH335)</f>
        <v>46174</v>
      </c>
      <c r="DI335" s="99" t="n">
        <v>0.9</v>
      </c>
    </row>
    <row r="336" customFormat="false" ht="14.25" hidden="false" customHeight="false" outlineLevel="0" collapsed="false">
      <c r="A336" s="187" t="n">
        <f aca="false">EDATE(A335,1)</f>
        <v>55763</v>
      </c>
      <c r="B336" s="99" t="n">
        <f aca="false">'Gas Curves'!C340</f>
        <v>0.073409066095156</v>
      </c>
      <c r="C336" s="99"/>
      <c r="D336" s="18"/>
      <c r="E336" s="18"/>
      <c r="F336" s="18"/>
      <c r="G336" s="18"/>
      <c r="H336" s="18"/>
      <c r="I336" s="18"/>
      <c r="J336" s="18"/>
      <c r="K336" s="18"/>
      <c r="L336" s="18"/>
      <c r="M336" s="106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06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  <c r="CH336" s="0"/>
      <c r="CP336" s="0"/>
      <c r="CQ336" s="0"/>
      <c r="CR336" s="0"/>
      <c r="CS336" s="0"/>
      <c r="CT336" s="0"/>
      <c r="CU336" s="81"/>
      <c r="CV336" s="110"/>
      <c r="CW336" s="188"/>
      <c r="CX336" s="188"/>
      <c r="CY336" s="152" t="n">
        <f aca="false">EOMONTH(CY335,0)+1</f>
        <v>46204</v>
      </c>
      <c r="CZ336" s="153" t="n">
        <f aca="false">IF(AI336=0,CZ324,AH336+AI336)</f>
        <v>1</v>
      </c>
      <c r="DA336" s="153" t="n">
        <f aca="false">IF(AI336=0,DA324,AI336)</f>
        <v>1.25</v>
      </c>
      <c r="DB336" s="153" t="n">
        <f aca="false">IF(AI336=0,DB324,AI336+AJ336)</f>
        <v>1.55</v>
      </c>
      <c r="DD336" s="132" t="n">
        <f aca="false">IF(Z336=0,DD324,Z336)</f>
        <v>0.0849986376458685</v>
      </c>
      <c r="DE336" s="132" t="n">
        <f aca="false">IF(AA336=0,DE324,AA336)</f>
        <v>0.169997275291737</v>
      </c>
      <c r="DF336" s="132" t="n">
        <f aca="false">IF(AB336=0,DF324,AB336)</f>
        <v>0.254995912937605</v>
      </c>
      <c r="DG336" s="188"/>
      <c r="DH336" s="152" t="n">
        <f aca="false">IF(BH336=0,EOMONTH(DH335,0)+1,BH336)</f>
        <v>46204</v>
      </c>
      <c r="DI336" s="99" t="n">
        <v>0.9</v>
      </c>
    </row>
    <row r="337" customFormat="false" ht="14.25" hidden="false" customHeight="false" outlineLevel="0" collapsed="false">
      <c r="A337" s="187" t="n">
        <f aca="false">EDATE(A336,1)</f>
        <v>55793</v>
      </c>
      <c r="B337" s="99" t="n">
        <f aca="false">'Gas Curves'!C341</f>
        <v>0.073399830801298</v>
      </c>
      <c r="C337" s="99"/>
      <c r="D337" s="18"/>
      <c r="E337" s="18"/>
      <c r="F337" s="18"/>
      <c r="G337" s="18"/>
      <c r="H337" s="18"/>
      <c r="I337" s="18"/>
      <c r="J337" s="18"/>
      <c r="K337" s="18"/>
      <c r="L337" s="18"/>
      <c r="M337" s="106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06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  <c r="CH337" s="0"/>
      <c r="CP337" s="0"/>
      <c r="CQ337" s="0"/>
      <c r="CR337" s="0"/>
      <c r="CS337" s="0"/>
      <c r="CT337" s="0"/>
      <c r="CU337" s="81"/>
      <c r="CV337" s="110"/>
      <c r="CW337" s="188"/>
      <c r="CX337" s="188"/>
      <c r="CY337" s="152" t="n">
        <f aca="false">EOMONTH(CY336,0)+1</f>
        <v>46235</v>
      </c>
      <c r="CZ337" s="153" t="n">
        <f aca="false">IF(AI337=0,CZ325,AH337+AI337)</f>
        <v>1</v>
      </c>
      <c r="DA337" s="153" t="n">
        <f aca="false">IF(AI337=0,DA325,AI337)</f>
        <v>1.25</v>
      </c>
      <c r="DB337" s="153" t="n">
        <f aca="false">IF(AI337=0,DB325,AI337+AJ337)</f>
        <v>1.55</v>
      </c>
      <c r="DD337" s="132" t="n">
        <f aca="false">IF(Z337=0,DD325,Z337)</f>
        <v>0.0836345200522159</v>
      </c>
      <c r="DE337" s="132" t="n">
        <f aca="false">IF(AA337=0,DE325,AA337)</f>
        <v>0.167269040104432</v>
      </c>
      <c r="DF337" s="132" t="n">
        <f aca="false">IF(AB337=0,DF325,AB337)</f>
        <v>0.250903560156648</v>
      </c>
      <c r="DG337" s="188"/>
      <c r="DH337" s="152" t="n">
        <f aca="false">IF(BH337=0,EOMONTH(DH336,0)+1,BH337)</f>
        <v>46235</v>
      </c>
      <c r="DI337" s="99" t="n">
        <v>0.9</v>
      </c>
    </row>
    <row r="338" customFormat="false" ht="14.25" hidden="false" customHeight="false" outlineLevel="0" collapsed="false">
      <c r="A338" s="187" t="n">
        <f aca="false">EDATE(A337,1)</f>
        <v>55824</v>
      </c>
      <c r="B338" s="99" t="n">
        <f aca="false">'Gas Curves'!C342</f>
        <v>0.073390893420172</v>
      </c>
      <c r="C338" s="99"/>
      <c r="D338" s="18"/>
      <c r="E338" s="18"/>
      <c r="F338" s="18"/>
      <c r="G338" s="18"/>
      <c r="H338" s="18"/>
      <c r="I338" s="18"/>
      <c r="J338" s="18"/>
      <c r="K338" s="18"/>
      <c r="L338" s="18"/>
      <c r="M338" s="106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06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  <c r="CH338" s="0"/>
      <c r="CP338" s="0"/>
      <c r="CQ338" s="0"/>
      <c r="CR338" s="0"/>
      <c r="CS338" s="0"/>
      <c r="CT338" s="0"/>
      <c r="CU338" s="81"/>
      <c r="CV338" s="110"/>
      <c r="CW338" s="188"/>
      <c r="CX338" s="188"/>
      <c r="CY338" s="152" t="n">
        <f aca="false">EOMONTH(CY337,0)+1</f>
        <v>46266</v>
      </c>
      <c r="CZ338" s="153" t="n">
        <f aca="false">IF(AI338=0,CZ326,AH338+AI338)</f>
        <v>1</v>
      </c>
      <c r="DA338" s="153" t="n">
        <f aca="false">IF(AI338=0,DA326,AI338)</f>
        <v>1.25</v>
      </c>
      <c r="DB338" s="153" t="n">
        <f aca="false">IF(AI338=0,DB326,AI338+AJ338)</f>
        <v>1.55</v>
      </c>
      <c r="DD338" s="132" t="n">
        <f aca="false">IF(Z338=0,DD326,Z338)</f>
        <v>0.0554113974249214</v>
      </c>
      <c r="DE338" s="132" t="n">
        <f aca="false">IF(AA338=0,DE326,AA338)</f>
        <v>0.110822794849843</v>
      </c>
      <c r="DF338" s="132" t="n">
        <f aca="false">IF(AB338=0,DF326,AB338)</f>
        <v>0.166234192274764</v>
      </c>
      <c r="DG338" s="188"/>
      <c r="DH338" s="152" t="n">
        <f aca="false">IF(BH338=0,EOMONTH(DH337,0)+1,BH338)</f>
        <v>46266</v>
      </c>
      <c r="DI338" s="99" t="n">
        <v>0.9</v>
      </c>
    </row>
    <row r="339" customFormat="false" ht="14.25" hidden="false" customHeight="false" outlineLevel="0" collapsed="false">
      <c r="A339" s="187" t="n">
        <f aca="false">EDATE(A338,1)</f>
        <v>55854</v>
      </c>
      <c r="B339" s="99" t="n">
        <f aca="false">'Gas Curves'!C343</f>
        <v>0.07338165812637</v>
      </c>
      <c r="C339" s="99"/>
      <c r="D339" s="18"/>
      <c r="E339" s="18"/>
      <c r="F339" s="18"/>
      <c r="G339" s="18"/>
      <c r="H339" s="18"/>
      <c r="I339" s="18"/>
      <c r="J339" s="18"/>
      <c r="K339" s="18"/>
      <c r="L339" s="18"/>
      <c r="M339" s="106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06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  <c r="CH339" s="0"/>
      <c r="CP339" s="0"/>
      <c r="CQ339" s="0"/>
      <c r="CR339" s="0"/>
      <c r="CS339" s="0"/>
      <c r="CT339" s="0"/>
      <c r="CU339" s="81"/>
      <c r="CV339" s="110"/>
      <c r="CW339" s="188"/>
      <c r="CX339" s="188"/>
      <c r="CY339" s="152" t="n">
        <f aca="false">EOMONTH(CY338,0)+1</f>
        <v>46296</v>
      </c>
      <c r="CZ339" s="153" t="n">
        <f aca="false">IF(AI339=0,CZ327,AH339+AI339)</f>
        <v>0.85</v>
      </c>
      <c r="DA339" s="153" t="n">
        <f aca="false">IF(AI339=0,DA327,AI339)</f>
        <v>1.1</v>
      </c>
      <c r="DB339" s="153" t="n">
        <f aca="false">IF(AI339=0,DB327,AI339+AJ339)</f>
        <v>1.4</v>
      </c>
      <c r="DD339" s="132" t="n">
        <f aca="false">IF(Z339=0,DD327,Z339)</f>
        <v>0.0532773332402962</v>
      </c>
      <c r="DE339" s="132" t="n">
        <f aca="false">IF(AA339=0,DE327,AA339)</f>
        <v>0.106554666480592</v>
      </c>
      <c r="DF339" s="132" t="n">
        <f aca="false">IF(AB339=0,DF327,AB339)</f>
        <v>0.159831999720889</v>
      </c>
      <c r="DG339" s="188"/>
      <c r="DH339" s="152" t="n">
        <f aca="false">IF(BH339=0,EOMONTH(DH338,0)+1,BH339)</f>
        <v>46296</v>
      </c>
      <c r="DI339" s="99" t="n">
        <v>0.9</v>
      </c>
    </row>
    <row r="340" customFormat="false" ht="14.25" hidden="false" customHeight="false" outlineLevel="0" collapsed="false">
      <c r="A340" s="187" t="n">
        <f aca="false">EDATE(A339,1)</f>
        <v>55885</v>
      </c>
      <c r="B340" s="99" t="n">
        <f aca="false">'Gas Curves'!C344</f>
        <v>0.073372720745298</v>
      </c>
      <c r="C340" s="99"/>
      <c r="D340" s="18"/>
      <c r="E340" s="18"/>
      <c r="F340" s="18"/>
      <c r="G340" s="18"/>
      <c r="H340" s="18"/>
      <c r="I340" s="18"/>
      <c r="J340" s="18"/>
      <c r="K340" s="18"/>
      <c r="L340" s="18"/>
      <c r="M340" s="106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06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  <c r="CH340" s="0"/>
      <c r="CP340" s="0"/>
      <c r="CQ340" s="0"/>
      <c r="CR340" s="0"/>
      <c r="CS340" s="0"/>
      <c r="CT340" s="0"/>
      <c r="CU340" s="81"/>
      <c r="CV340" s="110"/>
      <c r="CW340" s="188"/>
      <c r="CX340" s="188"/>
      <c r="CY340" s="152" t="n">
        <f aca="false">EOMONTH(CY339,0)+1</f>
        <v>46327</v>
      </c>
      <c r="CZ340" s="153" t="n">
        <f aca="false">IF(AI340=0,CZ328,AH340+AI340)</f>
        <v>1</v>
      </c>
      <c r="DA340" s="153" t="n">
        <f aca="false">IF(AI340=0,DA328,AI340)</f>
        <v>1.25</v>
      </c>
      <c r="DB340" s="153" t="n">
        <f aca="false">IF(AI340=0,DB328,AI340+AJ340)</f>
        <v>1.55</v>
      </c>
      <c r="DD340" s="132" t="n">
        <f aca="false">IF(Z340=0,DD328,Z340)</f>
        <v>0.0532773332402962</v>
      </c>
      <c r="DE340" s="132" t="n">
        <f aca="false">IF(AA340=0,DE328,AA340)</f>
        <v>0.106554666480592</v>
      </c>
      <c r="DF340" s="132" t="n">
        <f aca="false">IF(AB340=0,DF328,AB340)</f>
        <v>0.159831999720889</v>
      </c>
      <c r="DG340" s="188"/>
      <c r="DH340" s="152" t="n">
        <f aca="false">IF(BH340=0,EOMONTH(DH339,0)+1,BH340)</f>
        <v>46327</v>
      </c>
      <c r="DI340" s="99" t="n">
        <v>0.9</v>
      </c>
    </row>
    <row r="341" customFormat="false" ht="14.25" hidden="false" customHeight="false" outlineLevel="0" collapsed="false">
      <c r="A341" s="187" t="n">
        <f aca="false">EDATE(A340,1)</f>
        <v>55916</v>
      </c>
      <c r="B341" s="99" t="n">
        <f aca="false">'Gas Curves'!C345</f>
        <v>0.073363485451551</v>
      </c>
      <c r="C341" s="99"/>
      <c r="D341" s="18"/>
      <c r="E341" s="18"/>
      <c r="F341" s="18"/>
      <c r="G341" s="18"/>
      <c r="H341" s="18"/>
      <c r="I341" s="18"/>
      <c r="J341" s="18"/>
      <c r="K341" s="18"/>
      <c r="L341" s="18"/>
      <c r="M341" s="106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06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  <c r="CH341" s="0"/>
      <c r="CP341" s="0"/>
      <c r="CQ341" s="0"/>
      <c r="CR341" s="0"/>
      <c r="CS341" s="0"/>
      <c r="CT341" s="0"/>
      <c r="CU341" s="81"/>
      <c r="CV341" s="110"/>
      <c r="CW341" s="188"/>
      <c r="CX341" s="188"/>
      <c r="CY341" s="152" t="n">
        <f aca="false">EOMONTH(CY340,0)+1</f>
        <v>46357</v>
      </c>
      <c r="CZ341" s="153" t="n">
        <f aca="false">IF(AI341=0,CZ329,AH341+AI341)</f>
        <v>1</v>
      </c>
      <c r="DA341" s="153" t="n">
        <f aca="false">IF(AI341=0,DA329,AI341)</f>
        <v>1.25</v>
      </c>
      <c r="DB341" s="153" t="n">
        <f aca="false">IF(AI341=0,DB329,AI341+AJ341)</f>
        <v>1.55</v>
      </c>
      <c r="DD341" s="132" t="n">
        <f aca="false">IF(Z341=0,DD329,Z341)</f>
        <v>0.0551786804488718</v>
      </c>
      <c r="DE341" s="132" t="n">
        <f aca="false">IF(AA341=0,DE329,AA341)</f>
        <v>0.110357360897744</v>
      </c>
      <c r="DF341" s="132" t="n">
        <f aca="false">IF(AB341=0,DF329,AB341)</f>
        <v>0.165536041346615</v>
      </c>
      <c r="DG341" s="188"/>
      <c r="DH341" s="152" t="n">
        <f aca="false">IF(BH341=0,EOMONTH(DH340,0)+1,BH341)</f>
        <v>46357</v>
      </c>
      <c r="DI341" s="99" t="n">
        <v>0.9</v>
      </c>
    </row>
    <row r="342" customFormat="false" ht="14.25" hidden="false" customHeight="false" outlineLevel="0" collapsed="false">
      <c r="A342" s="187" t="n">
        <f aca="false">EDATE(A341,1)</f>
        <v>55944</v>
      </c>
      <c r="B342" s="99" t="n">
        <f aca="false">'Gas Curves'!C346</f>
        <v>0.073354250157833</v>
      </c>
      <c r="C342" s="99"/>
      <c r="D342" s="18"/>
      <c r="E342" s="18"/>
      <c r="F342" s="18"/>
      <c r="G342" s="18"/>
      <c r="H342" s="18"/>
      <c r="I342" s="18"/>
      <c r="J342" s="18"/>
      <c r="K342" s="18"/>
      <c r="L342" s="18"/>
      <c r="M342" s="106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06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  <c r="CH342" s="0"/>
      <c r="CP342" s="0"/>
      <c r="CQ342" s="0"/>
      <c r="CR342" s="0"/>
      <c r="CS342" s="0"/>
      <c r="CT342" s="0"/>
      <c r="CU342" s="81"/>
      <c r="CV342" s="110"/>
      <c r="CW342" s="188"/>
      <c r="CX342" s="188"/>
      <c r="CY342" s="152" t="n">
        <f aca="false">EOMONTH(CY341,0)+1</f>
        <v>46388</v>
      </c>
      <c r="CZ342" s="153" t="n">
        <f aca="false">IF(AI342=0,CZ330,AH342+AI342)</f>
        <v>1.25</v>
      </c>
      <c r="DA342" s="153" t="n">
        <f aca="false">IF(AI342=0,DA330,AI342)</f>
        <v>2</v>
      </c>
      <c r="DB342" s="153" t="n">
        <f aca="false">IF(AI342=0,DB330,AI342+AJ342)</f>
        <v>2.75</v>
      </c>
      <c r="DD342" s="132" t="n">
        <f aca="false">IF(Z342=0,DD330,Z342)</f>
        <v>0.0593730876011232</v>
      </c>
      <c r="DE342" s="132" t="n">
        <f aca="false">IF(AA342=0,DE330,AA342)</f>
        <v>0.118746175202246</v>
      </c>
      <c r="DF342" s="132" t="n">
        <f aca="false">IF(AB342=0,DF330,AB342)</f>
        <v>0.17811926280337</v>
      </c>
      <c r="DG342" s="188"/>
      <c r="DH342" s="152" t="n">
        <f aca="false">IF(BH342=0,EOMONTH(DH341,0)+1,BH342)</f>
        <v>46388</v>
      </c>
      <c r="DI342" s="99" t="n">
        <v>0.9</v>
      </c>
    </row>
    <row r="343" customFormat="false" ht="14.25" hidden="false" customHeight="false" outlineLevel="0" collapsed="false">
      <c r="A343" s="187" t="n">
        <f aca="false">EDATE(A342,1)</f>
        <v>55975</v>
      </c>
      <c r="B343" s="99" t="n">
        <f aca="false">'Gas Curves'!C347</f>
        <v>0.073345312776841</v>
      </c>
      <c r="C343" s="99"/>
      <c r="D343" s="18"/>
      <c r="E343" s="18"/>
      <c r="F343" s="18"/>
      <c r="G343" s="18"/>
      <c r="H343" s="18"/>
      <c r="I343" s="18"/>
      <c r="J343" s="18"/>
      <c r="K343" s="18"/>
      <c r="L343" s="18"/>
      <c r="M343" s="106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06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  <c r="CH343" s="0"/>
      <c r="CP343" s="0"/>
      <c r="CQ343" s="0"/>
      <c r="CR343" s="0"/>
      <c r="CS343" s="0"/>
      <c r="CT343" s="0"/>
      <c r="CU343" s="81"/>
      <c r="CV343" s="110"/>
      <c r="CW343" s="188"/>
      <c r="CX343" s="188"/>
      <c r="CY343" s="152" t="n">
        <f aca="false">EOMONTH(CY342,0)+1</f>
        <v>46419</v>
      </c>
      <c r="CZ343" s="153" t="n">
        <f aca="false">IF(AI343=0,CZ331,AH343+AI343)</f>
        <v>1.25</v>
      </c>
      <c r="DA343" s="153" t="n">
        <f aca="false">IF(AI343=0,DA331,AI343)</f>
        <v>2</v>
      </c>
      <c r="DB343" s="153" t="n">
        <f aca="false">IF(AI343=0,DB331,AI343+AJ343)</f>
        <v>2.75</v>
      </c>
      <c r="DD343" s="132" t="n">
        <f aca="false">IF(Z343=0,DD331,Z343)</f>
        <v>0.0572824859250273</v>
      </c>
      <c r="DE343" s="132" t="n">
        <f aca="false">IF(AA343=0,DE331,AA343)</f>
        <v>0.114564971850055</v>
      </c>
      <c r="DF343" s="132" t="n">
        <f aca="false">IF(AB343=0,DF331,AB343)</f>
        <v>0.171847457775082</v>
      </c>
      <c r="DG343" s="188"/>
      <c r="DH343" s="152" t="n">
        <f aca="false">IF(BH343=0,EOMONTH(DH342,0)+1,BH343)</f>
        <v>46419</v>
      </c>
      <c r="DI343" s="99" t="n">
        <v>0.9</v>
      </c>
    </row>
    <row r="344" customFormat="false" ht="14.25" hidden="false" customHeight="false" outlineLevel="0" collapsed="false">
      <c r="A344" s="187" t="n">
        <f aca="false">EDATE(A343,1)</f>
        <v>56005</v>
      </c>
      <c r="B344" s="99" t="n">
        <f aca="false">'Gas Curves'!C348</f>
        <v>0.073336077483178</v>
      </c>
      <c r="C344" s="99"/>
      <c r="D344" s="18"/>
      <c r="E344" s="18"/>
      <c r="F344" s="18"/>
      <c r="G344" s="18"/>
      <c r="H344" s="18"/>
      <c r="I344" s="18"/>
      <c r="J344" s="18"/>
      <c r="K344" s="18"/>
      <c r="L344" s="18"/>
      <c r="M344" s="106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06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  <c r="CH344" s="0"/>
      <c r="CP344" s="0"/>
      <c r="CQ344" s="0"/>
      <c r="CR344" s="0"/>
      <c r="CS344" s="0"/>
      <c r="CT344" s="0"/>
      <c r="CU344" s="81"/>
      <c r="CV344" s="110"/>
      <c r="CW344" s="188"/>
      <c r="CX344" s="188"/>
      <c r="CY344" s="152" t="n">
        <f aca="false">EOMONTH(CY343,0)+1</f>
        <v>46447</v>
      </c>
      <c r="CZ344" s="153" t="n">
        <f aca="false">IF(AI344=0,CZ332,AH344+AI344)</f>
        <v>1</v>
      </c>
      <c r="DA344" s="153" t="n">
        <f aca="false">IF(AI344=0,DA332,AI344)</f>
        <v>1.25</v>
      </c>
      <c r="DB344" s="153" t="n">
        <f aca="false">IF(AI344=0,DB332,AI344+AJ344)</f>
        <v>1.55</v>
      </c>
      <c r="DD344" s="132" t="n">
        <f aca="false">IF(Z344=0,DD332,Z344)</f>
        <v>0.0558347442643309</v>
      </c>
      <c r="DE344" s="132" t="n">
        <f aca="false">IF(AA344=0,DE332,AA344)</f>
        <v>0.111669488528662</v>
      </c>
      <c r="DF344" s="132" t="n">
        <f aca="false">IF(AB344=0,DF332,AB344)</f>
        <v>0.167504232792993</v>
      </c>
      <c r="DG344" s="188"/>
      <c r="DH344" s="152" t="n">
        <f aca="false">IF(BH344=0,EOMONTH(DH343,0)+1,BH344)</f>
        <v>46447</v>
      </c>
      <c r="DI344" s="99" t="n">
        <v>0.9</v>
      </c>
    </row>
    <row r="345" customFormat="false" ht="14.25" hidden="false" customHeight="false" outlineLevel="0" collapsed="false">
      <c r="A345" s="187" t="n">
        <f aca="false">EDATE(A344,1)</f>
        <v>56036</v>
      </c>
      <c r="B345" s="99" t="n">
        <f aca="false">'Gas Curves'!C349</f>
        <v>0.07332714010224</v>
      </c>
      <c r="C345" s="99"/>
      <c r="D345" s="18"/>
      <c r="E345" s="18"/>
      <c r="F345" s="18"/>
      <c r="G345" s="18"/>
      <c r="H345" s="18"/>
      <c r="I345" s="18"/>
      <c r="J345" s="18"/>
      <c r="K345" s="18"/>
      <c r="L345" s="18"/>
      <c r="M345" s="106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06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  <c r="CH345" s="0"/>
      <c r="CP345" s="0"/>
      <c r="CQ345" s="0"/>
      <c r="CR345" s="0"/>
      <c r="CS345" s="0"/>
      <c r="CT345" s="0"/>
      <c r="CU345" s="81"/>
      <c r="CV345" s="110"/>
      <c r="CW345" s="188"/>
      <c r="CX345" s="188"/>
      <c r="CY345" s="152" t="n">
        <f aca="false">EOMONTH(CY344,0)+1</f>
        <v>46478</v>
      </c>
      <c r="CZ345" s="153" t="n">
        <f aca="false">IF(AI345=0,CZ333,AH345+AI345)</f>
        <v>1</v>
      </c>
      <c r="DA345" s="153" t="n">
        <f aca="false">IF(AI345=0,DA333,AI345)</f>
        <v>1.25</v>
      </c>
      <c r="DB345" s="153" t="n">
        <f aca="false">IF(AI345=0,DB333,AI345+AJ345)</f>
        <v>1.55</v>
      </c>
      <c r="DD345" s="132" t="n">
        <f aca="false">IF(Z345=0,DD333,Z345)</f>
        <v>0.0497667728994625</v>
      </c>
      <c r="DE345" s="132" t="n">
        <f aca="false">IF(AA345=0,DE333,AA345)</f>
        <v>0.0995335457989251</v>
      </c>
      <c r="DF345" s="132" t="n">
        <f aca="false">IF(AB345=0,DF333,AB345)</f>
        <v>0.149300318698388</v>
      </c>
      <c r="DG345" s="188"/>
      <c r="DH345" s="152" t="n">
        <f aca="false">IF(BH345=0,EOMONTH(DH344,0)+1,BH345)</f>
        <v>46478</v>
      </c>
      <c r="DI345" s="99" t="n">
        <v>0.9</v>
      </c>
    </row>
    <row r="346" customFormat="false" ht="14.25" hidden="false" customHeight="false" outlineLevel="0" collapsed="false">
      <c r="A346" s="187" t="n">
        <f aca="false">EDATE(A345,1)</f>
        <v>56066</v>
      </c>
      <c r="B346" s="99" t="n">
        <f aca="false">'Gas Curves'!C350</f>
        <v>0.073317904808633</v>
      </c>
      <c r="C346" s="99"/>
      <c r="D346" s="18"/>
      <c r="E346" s="18"/>
      <c r="F346" s="18"/>
      <c r="G346" s="18"/>
      <c r="H346" s="18"/>
      <c r="I346" s="18"/>
      <c r="J346" s="18"/>
      <c r="K346" s="18"/>
      <c r="L346" s="18"/>
      <c r="M346" s="106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06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0"/>
      <c r="CP346" s="0"/>
      <c r="CQ346" s="0"/>
      <c r="CR346" s="0"/>
      <c r="CS346" s="0"/>
      <c r="CT346" s="0"/>
      <c r="CU346" s="81"/>
      <c r="CV346" s="110"/>
      <c r="CW346" s="188"/>
      <c r="CX346" s="188"/>
      <c r="CY346" s="152" t="n">
        <f aca="false">EOMONTH(CY345,0)+1</f>
        <v>46508</v>
      </c>
      <c r="CZ346" s="153" t="n">
        <f aca="false">IF(AI346=0,CZ334,AH346+AI346)</f>
        <v>1</v>
      </c>
      <c r="DA346" s="153" t="n">
        <f aca="false">IF(AI346=0,DA334,AI346)</f>
        <v>1.25</v>
      </c>
      <c r="DB346" s="153" t="n">
        <f aca="false">IF(AI346=0,DB334,AI346+AJ346)</f>
        <v>1.55</v>
      </c>
      <c r="DD346" s="132" t="n">
        <f aca="false">IF(Z346=0,DD334,Z346)</f>
        <v>0.0572929389334078</v>
      </c>
      <c r="DE346" s="132" t="n">
        <f aca="false">IF(AA346=0,DE334,AA346)</f>
        <v>0.114585877866816</v>
      </c>
      <c r="DF346" s="132" t="n">
        <f aca="false">IF(AB346=0,DF334,AB346)</f>
        <v>0.171878816800223</v>
      </c>
      <c r="DG346" s="188"/>
      <c r="DH346" s="152" t="n">
        <f aca="false">IF(BH346=0,EOMONTH(DH345,0)+1,BH346)</f>
        <v>46508</v>
      </c>
      <c r="DI346" s="99" t="n">
        <v>0.9</v>
      </c>
    </row>
    <row r="347" customFormat="false" ht="14.25" hidden="false" customHeight="false" outlineLevel="0" collapsed="false">
      <c r="A347" s="187" t="n">
        <f aca="false">EDATE(A346,1)</f>
        <v>56097</v>
      </c>
      <c r="B347" s="99" t="n">
        <f aca="false">'Gas Curves'!C351</f>
        <v>0.073308669515053</v>
      </c>
      <c r="C347" s="99"/>
      <c r="D347" s="18"/>
      <c r="E347" s="18"/>
      <c r="F347" s="18"/>
      <c r="G347" s="18"/>
      <c r="H347" s="18"/>
      <c r="I347" s="18"/>
      <c r="J347" s="18"/>
      <c r="K347" s="18"/>
      <c r="L347" s="18"/>
      <c r="M347" s="106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06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0"/>
      <c r="CP347" s="0"/>
      <c r="CQ347" s="0"/>
      <c r="CR347" s="0"/>
      <c r="CS347" s="0"/>
      <c r="CT347" s="0"/>
      <c r="CU347" s="81"/>
      <c r="CV347" s="110"/>
      <c r="CW347" s="188"/>
      <c r="CX347" s="188"/>
      <c r="CY347" s="152" t="n">
        <f aca="false">EOMONTH(CY346,0)+1</f>
        <v>46539</v>
      </c>
      <c r="CZ347" s="153" t="n">
        <f aca="false">IF(AI347=0,CZ335,AH347+AI347)</f>
        <v>1</v>
      </c>
      <c r="DA347" s="153" t="n">
        <f aca="false">IF(AI347=0,DA335,AI347)</f>
        <v>1.25</v>
      </c>
      <c r="DB347" s="153" t="n">
        <f aca="false">IF(AI347=0,DB335,AI347+AJ347)</f>
        <v>1.55</v>
      </c>
      <c r="DD347" s="132" t="n">
        <f aca="false">IF(Z347=0,DD335,Z347)</f>
        <v>0.0718278470864644</v>
      </c>
      <c r="DE347" s="132" t="n">
        <f aca="false">IF(AA347=0,DE335,AA347)</f>
        <v>0.143655694172929</v>
      </c>
      <c r="DF347" s="132" t="n">
        <f aca="false">IF(AB347=0,DF335,AB347)</f>
        <v>0.215483541259393</v>
      </c>
      <c r="DG347" s="188"/>
      <c r="DH347" s="152" t="n">
        <f aca="false">IF(BH347=0,EOMONTH(DH346,0)+1,BH347)</f>
        <v>46539</v>
      </c>
      <c r="DI347" s="99" t="n">
        <v>0.9</v>
      </c>
    </row>
    <row r="348" customFormat="false" ht="14.25" hidden="false" customHeight="false" outlineLevel="0" collapsed="false">
      <c r="A348" s="187" t="n">
        <f aca="false">EDATE(A347,1)</f>
        <v>56128</v>
      </c>
      <c r="B348" s="99" t="n">
        <f aca="false">'Gas Curves'!C352</f>
        <v>0.073300030046891</v>
      </c>
      <c r="C348" s="99"/>
      <c r="D348" s="18"/>
      <c r="E348" s="18"/>
      <c r="F348" s="18"/>
      <c r="G348" s="18"/>
      <c r="H348" s="18"/>
      <c r="I348" s="18"/>
      <c r="J348" s="18"/>
      <c r="K348" s="18"/>
      <c r="L348" s="18"/>
      <c r="M348" s="106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06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0"/>
      <c r="CP348" s="0"/>
      <c r="CQ348" s="0"/>
      <c r="CR348" s="0"/>
      <c r="CS348" s="0"/>
      <c r="CT348" s="0"/>
      <c r="CU348" s="81"/>
      <c r="CV348" s="110"/>
      <c r="CW348" s="188"/>
      <c r="CX348" s="188"/>
      <c r="CY348" s="152" t="n">
        <f aca="false">EOMONTH(CY347,0)+1</f>
        <v>46569</v>
      </c>
      <c r="CZ348" s="153" t="n">
        <f aca="false">IF(AI348=0,CZ336,AH348+AI348)</f>
        <v>1</v>
      </c>
      <c r="DA348" s="153" t="n">
        <f aca="false">IF(AI348=0,DA336,AI348)</f>
        <v>1.25</v>
      </c>
      <c r="DB348" s="153" t="n">
        <f aca="false">IF(AI348=0,DB336,AI348+AJ348)</f>
        <v>1.55</v>
      </c>
      <c r="DD348" s="132" t="n">
        <f aca="false">IF(Z348=0,DD336,Z348)</f>
        <v>0.0849986376458685</v>
      </c>
      <c r="DE348" s="132" t="n">
        <f aca="false">IF(AA348=0,DE336,AA348)</f>
        <v>0.169997275291737</v>
      </c>
      <c r="DF348" s="132" t="n">
        <f aca="false">IF(AB348=0,DF336,AB348)</f>
        <v>0.254995912937605</v>
      </c>
      <c r="DG348" s="188"/>
      <c r="DH348" s="152" t="n">
        <f aca="false">IF(BH348=0,EOMONTH(DH347,0)+1,BH348)</f>
        <v>46569</v>
      </c>
      <c r="DI348" s="99" t="n">
        <v>0.9</v>
      </c>
    </row>
    <row r="349" customFormat="false" ht="14.25" hidden="false" customHeight="false" outlineLevel="0" collapsed="false">
      <c r="A349" s="187" t="n">
        <f aca="false">EDATE(A348,1)</f>
        <v>56158</v>
      </c>
      <c r="B349" s="99" t="n">
        <f aca="false">'Gas Curves'!C353</f>
        <v>0.073290794753366</v>
      </c>
      <c r="C349" s="99"/>
      <c r="D349" s="18"/>
      <c r="E349" s="18"/>
      <c r="F349" s="18"/>
      <c r="G349" s="18"/>
      <c r="H349" s="18"/>
      <c r="I349" s="18"/>
      <c r="J349" s="18"/>
      <c r="K349" s="18"/>
      <c r="L349" s="18"/>
      <c r="M349" s="106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06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0"/>
      <c r="CP349" s="0"/>
      <c r="CQ349" s="0"/>
      <c r="CR349" s="0"/>
      <c r="CS349" s="0"/>
      <c r="CT349" s="0"/>
      <c r="CU349" s="81"/>
      <c r="CV349" s="110"/>
      <c r="CW349" s="188"/>
      <c r="CX349" s="188"/>
      <c r="CY349" s="152" t="n">
        <f aca="false">EOMONTH(CY348,0)+1</f>
        <v>46600</v>
      </c>
      <c r="CZ349" s="153" t="n">
        <f aca="false">IF(AI349=0,CZ337,AH349+AI349)</f>
        <v>1</v>
      </c>
      <c r="DA349" s="153" t="n">
        <f aca="false">IF(AI349=0,DA337,AI349)</f>
        <v>1.25</v>
      </c>
      <c r="DB349" s="153" t="n">
        <f aca="false">IF(AI349=0,DB337,AI349+AJ349)</f>
        <v>1.55</v>
      </c>
      <c r="DD349" s="132" t="n">
        <f aca="false">IF(Z349=0,DD337,Z349)</f>
        <v>0.0836345200522159</v>
      </c>
      <c r="DE349" s="132" t="n">
        <f aca="false">IF(AA349=0,DE337,AA349)</f>
        <v>0.167269040104432</v>
      </c>
      <c r="DF349" s="132" t="n">
        <f aca="false">IF(AB349=0,DF337,AB349)</f>
        <v>0.250903560156648</v>
      </c>
      <c r="DG349" s="188"/>
      <c r="DH349" s="152" t="n">
        <f aca="false">IF(BH349=0,EOMONTH(DH348,0)+1,BH349)</f>
        <v>46600</v>
      </c>
      <c r="DI349" s="99" t="n">
        <v>0.9</v>
      </c>
    </row>
    <row r="350" customFormat="false" ht="14.25" hidden="false" customHeight="false" outlineLevel="0" collapsed="false">
      <c r="A350" s="187" t="n">
        <f aca="false">EDATE(A349,1)</f>
        <v>56189</v>
      </c>
      <c r="B350" s="99" t="n">
        <f aca="false">'Gas Curves'!C354</f>
        <v>0.073281857372562</v>
      </c>
      <c r="C350" s="99"/>
      <c r="D350" s="18"/>
      <c r="E350" s="18"/>
      <c r="F350" s="18"/>
      <c r="G350" s="18"/>
      <c r="H350" s="18"/>
      <c r="I350" s="18"/>
      <c r="J350" s="18"/>
      <c r="K350" s="18"/>
      <c r="L350" s="18"/>
      <c r="M350" s="106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06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0"/>
      <c r="CP350" s="0"/>
      <c r="CQ350" s="0"/>
      <c r="CR350" s="0"/>
      <c r="CS350" s="0"/>
      <c r="CT350" s="0"/>
      <c r="CU350" s="81"/>
      <c r="CV350" s="110"/>
      <c r="CW350" s="188"/>
      <c r="CX350" s="188"/>
      <c r="CY350" s="152" t="n">
        <f aca="false">EOMONTH(CY349,0)+1</f>
        <v>46631</v>
      </c>
      <c r="CZ350" s="153" t="n">
        <f aca="false">IF(AI350=0,CZ338,AH350+AI350)</f>
        <v>1</v>
      </c>
      <c r="DA350" s="153" t="n">
        <f aca="false">IF(AI350=0,DA338,AI350)</f>
        <v>1.25</v>
      </c>
      <c r="DB350" s="153" t="n">
        <f aca="false">IF(AI350=0,DB338,AI350+AJ350)</f>
        <v>1.55</v>
      </c>
      <c r="DD350" s="132" t="n">
        <f aca="false">IF(Z350=0,DD338,Z350)</f>
        <v>0.0554113974249214</v>
      </c>
      <c r="DE350" s="132" t="n">
        <f aca="false">IF(AA350=0,DE338,AA350)</f>
        <v>0.110822794849843</v>
      </c>
      <c r="DF350" s="132" t="n">
        <f aca="false">IF(AB350=0,DF338,AB350)</f>
        <v>0.166234192274764</v>
      </c>
      <c r="DG350" s="188"/>
      <c r="DH350" s="152" t="n">
        <f aca="false">IF(BH350=0,EOMONTH(DH349,0)+1,BH350)</f>
        <v>46631</v>
      </c>
      <c r="DI350" s="99" t="n">
        <v>0.9</v>
      </c>
    </row>
    <row r="351" customFormat="false" ht="14.25" hidden="false" customHeight="false" outlineLevel="0" collapsed="false">
      <c r="A351" s="187" t="n">
        <f aca="false">EDATE(A350,1)</f>
        <v>56219</v>
      </c>
      <c r="B351" s="99" t="n">
        <f aca="false">'Gas Curves'!C355</f>
        <v>0.073272622079092</v>
      </c>
      <c r="C351" s="99"/>
      <c r="D351" s="18"/>
      <c r="E351" s="18"/>
      <c r="F351" s="18"/>
      <c r="G351" s="18"/>
      <c r="H351" s="18"/>
      <c r="I351" s="18"/>
      <c r="J351" s="18"/>
      <c r="K351" s="18"/>
      <c r="L351" s="18"/>
      <c r="M351" s="106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06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0"/>
      <c r="CP351" s="0"/>
      <c r="CQ351" s="0"/>
      <c r="CR351" s="0"/>
      <c r="CS351" s="0"/>
      <c r="CT351" s="0"/>
      <c r="CU351" s="81"/>
      <c r="CV351" s="110"/>
      <c r="CW351" s="188"/>
      <c r="CX351" s="188"/>
      <c r="CY351" s="152" t="n">
        <f aca="false">EOMONTH(CY350,0)+1</f>
        <v>46661</v>
      </c>
      <c r="CZ351" s="153" t="n">
        <f aca="false">IF(AI351=0,CZ339,AH351+AI351)</f>
        <v>0.85</v>
      </c>
      <c r="DA351" s="153" t="n">
        <f aca="false">IF(AI351=0,DA339,AI351)</f>
        <v>1.1</v>
      </c>
      <c r="DB351" s="153" t="n">
        <f aca="false">IF(AI351=0,DB339,AI351+AJ351)</f>
        <v>1.4</v>
      </c>
      <c r="DD351" s="132" t="n">
        <f aca="false">IF(Z351=0,DD339,Z351)</f>
        <v>0.0532773332402962</v>
      </c>
      <c r="DE351" s="132" t="n">
        <f aca="false">IF(AA351=0,DE339,AA351)</f>
        <v>0.106554666480592</v>
      </c>
      <c r="DF351" s="132" t="n">
        <f aca="false">IF(AB351=0,DF339,AB351)</f>
        <v>0.159831999720889</v>
      </c>
      <c r="DG351" s="188"/>
      <c r="DH351" s="152" t="n">
        <f aca="false">IF(BH351=0,EOMONTH(DH350,0)+1,BH351)</f>
        <v>46661</v>
      </c>
      <c r="DI351" s="99" t="n">
        <v>0.9</v>
      </c>
    </row>
    <row r="352" customFormat="false" ht="14.25" hidden="false" customHeight="false" outlineLevel="0" collapsed="false">
      <c r="A352" s="187" t="n">
        <f aca="false">EDATE(A351,1)</f>
        <v>56250</v>
      </c>
      <c r="B352" s="99" t="n">
        <f aca="false">'Gas Curves'!C356</f>
        <v>0.073263684698342</v>
      </c>
      <c r="C352" s="99"/>
      <c r="D352" s="18"/>
      <c r="E352" s="18"/>
      <c r="F352" s="18"/>
      <c r="G352" s="18"/>
      <c r="H352" s="18"/>
      <c r="I352" s="18"/>
      <c r="J352" s="18"/>
      <c r="K352" s="18"/>
      <c r="L352" s="18"/>
      <c r="M352" s="106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06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  <c r="CH352" s="0"/>
      <c r="CP352" s="0"/>
      <c r="CQ352" s="0"/>
      <c r="CR352" s="0"/>
      <c r="CS352" s="0"/>
      <c r="CT352" s="0"/>
      <c r="CU352" s="81"/>
      <c r="CV352" s="110"/>
      <c r="CW352" s="188"/>
      <c r="CX352" s="188"/>
      <c r="CY352" s="152" t="n">
        <f aca="false">EOMONTH(CY351,0)+1</f>
        <v>46692</v>
      </c>
      <c r="CZ352" s="153" t="n">
        <f aca="false">IF(AI352=0,CZ340,AH352+AI352)</f>
        <v>1</v>
      </c>
      <c r="DA352" s="153" t="n">
        <f aca="false">IF(AI352=0,DA340,AI352)</f>
        <v>1.25</v>
      </c>
      <c r="DB352" s="153" t="n">
        <f aca="false">IF(AI352=0,DB340,AI352+AJ352)</f>
        <v>1.55</v>
      </c>
      <c r="DD352" s="132" t="n">
        <f aca="false">IF(Z352=0,DD340,Z352)</f>
        <v>0.0532773332402962</v>
      </c>
      <c r="DE352" s="132" t="n">
        <f aca="false">IF(AA352=0,DE340,AA352)</f>
        <v>0.106554666480592</v>
      </c>
      <c r="DF352" s="132" t="n">
        <f aca="false">IF(AB352=0,DF340,AB352)</f>
        <v>0.159831999720889</v>
      </c>
      <c r="DG352" s="188"/>
      <c r="DH352" s="152" t="n">
        <f aca="false">IF(BH352=0,EOMONTH(DH351,0)+1,BH352)</f>
        <v>46692</v>
      </c>
      <c r="DI352" s="99" t="n">
        <v>0.9</v>
      </c>
    </row>
    <row r="353" customFormat="false" ht="14.25" hidden="false" customHeight="false" outlineLevel="0" collapsed="false">
      <c r="A353" s="187" t="n">
        <f aca="false">EDATE(A352,1)</f>
        <v>56281</v>
      </c>
      <c r="B353" s="99" t="n">
        <f aca="false">'Gas Curves'!C357</f>
        <v>0.073254449404927</v>
      </c>
      <c r="C353" s="99"/>
      <c r="D353" s="18"/>
      <c r="E353" s="18"/>
      <c r="F353" s="18"/>
      <c r="G353" s="18"/>
      <c r="H353" s="18"/>
      <c r="I353" s="18"/>
      <c r="J353" s="18"/>
      <c r="K353" s="18"/>
      <c r="L353" s="18"/>
      <c r="M353" s="106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06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  <c r="CH353" s="0"/>
      <c r="CP353" s="0"/>
      <c r="CQ353" s="0"/>
      <c r="CR353" s="0"/>
      <c r="CS353" s="0"/>
      <c r="CT353" s="0"/>
      <c r="CU353" s="81"/>
      <c r="CV353" s="110"/>
      <c r="CW353" s="188"/>
      <c r="CX353" s="188"/>
      <c r="CY353" s="152" t="n">
        <f aca="false">EOMONTH(CY352,0)+1</f>
        <v>46722</v>
      </c>
      <c r="CZ353" s="153" t="n">
        <f aca="false">IF(AI353=0,CZ341,AH353+AI353)</f>
        <v>1</v>
      </c>
      <c r="DA353" s="153" t="n">
        <f aca="false">IF(AI353=0,DA341,AI353)</f>
        <v>1.25</v>
      </c>
      <c r="DB353" s="153" t="n">
        <f aca="false">IF(AI353=0,DB341,AI353+AJ353)</f>
        <v>1.55</v>
      </c>
      <c r="DD353" s="132" t="n">
        <f aca="false">IF(Z353=0,DD341,Z353)</f>
        <v>0.0551786804488718</v>
      </c>
      <c r="DE353" s="132" t="n">
        <f aca="false">IF(AA353=0,DE341,AA353)</f>
        <v>0.110357360897744</v>
      </c>
      <c r="DF353" s="132" t="n">
        <f aca="false">IF(AB353=0,DF341,AB353)</f>
        <v>0.165536041346615</v>
      </c>
      <c r="DG353" s="188"/>
      <c r="DH353" s="152" t="n">
        <f aca="false">IF(BH353=0,EOMONTH(DH352,0)+1,BH353)</f>
        <v>46722</v>
      </c>
      <c r="DI353" s="99" t="n">
        <v>0.9</v>
      </c>
    </row>
    <row r="354" customFormat="false" ht="14.25" hidden="false" customHeight="false" outlineLevel="0" collapsed="false">
      <c r="A354" s="187" t="n">
        <f aca="false">EDATE(A353,1)</f>
        <v>56309</v>
      </c>
      <c r="B354" s="99" t="n">
        <f aca="false">'Gas Curves'!C358</f>
        <v>0.073245214111541</v>
      </c>
      <c r="C354" s="99"/>
      <c r="D354" s="18"/>
      <c r="E354" s="18"/>
      <c r="F354" s="18"/>
      <c r="G354" s="18"/>
      <c r="H354" s="18"/>
      <c r="I354" s="18"/>
      <c r="J354" s="18"/>
      <c r="K354" s="18"/>
      <c r="L354" s="18"/>
      <c r="M354" s="106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06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  <c r="CH354" s="0"/>
      <c r="CP354" s="0"/>
      <c r="CQ354" s="0"/>
      <c r="CR354" s="0"/>
      <c r="CS354" s="0"/>
      <c r="CT354" s="0"/>
      <c r="CU354" s="81"/>
      <c r="CV354" s="110"/>
      <c r="CW354" s="188"/>
      <c r="CX354" s="188"/>
      <c r="CY354" s="152" t="n">
        <f aca="false">EOMONTH(CY353,0)+1</f>
        <v>46753</v>
      </c>
      <c r="CZ354" s="153" t="n">
        <f aca="false">IF(AI354=0,CZ342,AH354+AI354)</f>
        <v>1.25</v>
      </c>
      <c r="DA354" s="153" t="n">
        <f aca="false">IF(AI354=0,DA342,AI354)</f>
        <v>2</v>
      </c>
      <c r="DB354" s="153" t="n">
        <f aca="false">IF(AI354=0,DB342,AI354+AJ354)</f>
        <v>2.75</v>
      </c>
      <c r="DD354" s="132" t="n">
        <f aca="false">IF(Z354=0,DD342,Z354)</f>
        <v>0.0593730876011232</v>
      </c>
      <c r="DE354" s="132" t="n">
        <f aca="false">IF(AA354=0,DE342,AA354)</f>
        <v>0.118746175202246</v>
      </c>
      <c r="DF354" s="132" t="n">
        <f aca="false">IF(AB354=0,DF342,AB354)</f>
        <v>0.17811926280337</v>
      </c>
      <c r="DG354" s="188"/>
      <c r="DH354" s="152" t="n">
        <f aca="false">IF(BH354=0,EOMONTH(DH353,0)+1,BH354)</f>
        <v>46753</v>
      </c>
      <c r="DI354" s="99" t="n">
        <v>0.9</v>
      </c>
    </row>
    <row r="355" customFormat="false" ht="14.25" hidden="false" customHeight="false" outlineLevel="0" collapsed="false">
      <c r="A355" s="187" t="n">
        <f aca="false">EDATE(A354,1)</f>
        <v>56340</v>
      </c>
      <c r="B355" s="99" t="n">
        <f aca="false">'Gas Curves'!C359</f>
        <v>0.073236276730872</v>
      </c>
      <c r="C355" s="99"/>
      <c r="D355" s="18"/>
      <c r="E355" s="18"/>
      <c r="F355" s="18"/>
      <c r="G355" s="18"/>
      <c r="H355" s="18"/>
      <c r="I355" s="18"/>
      <c r="J355" s="18"/>
      <c r="K355" s="18"/>
      <c r="L355" s="18"/>
      <c r="M355" s="106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06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  <c r="CH355" s="0"/>
      <c r="CP355" s="0"/>
      <c r="CQ355" s="0"/>
      <c r="CR355" s="0"/>
      <c r="CS355" s="0"/>
      <c r="CT355" s="0"/>
      <c r="CU355" s="81"/>
      <c r="CV355" s="110"/>
      <c r="CW355" s="188"/>
      <c r="CX355" s="188"/>
      <c r="CY355" s="152" t="n">
        <f aca="false">EOMONTH(CY354,0)+1</f>
        <v>46784</v>
      </c>
      <c r="CZ355" s="153" t="n">
        <f aca="false">IF(AI355=0,CZ343,AH355+AI355)</f>
        <v>1.25</v>
      </c>
      <c r="DA355" s="153" t="n">
        <f aca="false">IF(AI355=0,DA343,AI355)</f>
        <v>2</v>
      </c>
      <c r="DB355" s="153" t="n">
        <f aca="false">IF(AI355=0,DB343,AI355+AJ355)</f>
        <v>2.75</v>
      </c>
      <c r="DD355" s="132" t="n">
        <f aca="false">IF(Z355=0,DD343,Z355)</f>
        <v>0.0572824859250273</v>
      </c>
      <c r="DE355" s="132" t="n">
        <f aca="false">IF(AA355=0,DE343,AA355)</f>
        <v>0.114564971850055</v>
      </c>
      <c r="DF355" s="132" t="n">
        <f aca="false">IF(AB355=0,DF343,AB355)</f>
        <v>0.171847457775082</v>
      </c>
      <c r="DG355" s="188"/>
      <c r="DH355" s="152" t="n">
        <f aca="false">IF(BH355=0,EOMONTH(DH354,0)+1,BH355)</f>
        <v>46784</v>
      </c>
      <c r="DI355" s="99" t="n">
        <v>0.9</v>
      </c>
    </row>
    <row r="356" customFormat="false" ht="14.25" hidden="false" customHeight="false" outlineLevel="0" collapsed="false">
      <c r="A356" s="187" t="n">
        <f aca="false">EDATE(A355,1)</f>
        <v>56370</v>
      </c>
      <c r="B356" s="99" t="n">
        <f aca="false">'Gas Curves'!C360</f>
        <v>0.073227041437541</v>
      </c>
      <c r="C356" s="99"/>
      <c r="D356" s="18"/>
      <c r="E356" s="18"/>
      <c r="F356" s="18"/>
      <c r="G356" s="18"/>
      <c r="H356" s="18"/>
      <c r="I356" s="18"/>
      <c r="J356" s="18"/>
      <c r="K356" s="18"/>
      <c r="L356" s="18"/>
      <c r="M356" s="106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06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  <c r="CH356" s="0"/>
      <c r="CP356" s="0"/>
      <c r="CQ356" s="0"/>
      <c r="CR356" s="0"/>
      <c r="CS356" s="0"/>
      <c r="CT356" s="0"/>
      <c r="CU356" s="81"/>
      <c r="CV356" s="110"/>
      <c r="CW356" s="188"/>
      <c r="CX356" s="188"/>
      <c r="CY356" s="152" t="n">
        <f aca="false">EOMONTH(CY355,0)+1</f>
        <v>46813</v>
      </c>
      <c r="CZ356" s="153" t="n">
        <f aca="false">IF(AI356=0,CZ344,AH356+AI356)</f>
        <v>1</v>
      </c>
      <c r="DA356" s="153" t="n">
        <f aca="false">IF(AI356=0,DA344,AI356)</f>
        <v>1.25</v>
      </c>
      <c r="DB356" s="153" t="n">
        <f aca="false">IF(AI356=0,DB344,AI356+AJ356)</f>
        <v>1.55</v>
      </c>
      <c r="DD356" s="132" t="n">
        <f aca="false">IF(Z356=0,DD344,Z356)</f>
        <v>0.0558347442643309</v>
      </c>
      <c r="DE356" s="132" t="n">
        <f aca="false">IF(AA356=0,DE344,AA356)</f>
        <v>0.111669488528662</v>
      </c>
      <c r="DF356" s="132" t="n">
        <f aca="false">IF(AB356=0,DF344,AB356)</f>
        <v>0.167504232792993</v>
      </c>
      <c r="DG356" s="188"/>
      <c r="DH356" s="152" t="n">
        <f aca="false">IF(BH356=0,EOMONTH(DH355,0)+1,BH356)</f>
        <v>46813</v>
      </c>
      <c r="DI356" s="99" t="n">
        <v>0.9</v>
      </c>
    </row>
    <row r="357" customFormat="false" ht="14.25" hidden="false" customHeight="false" outlineLevel="0" collapsed="false">
      <c r="A357" s="187" t="n">
        <f aca="false">EDATE(A356,1)</f>
        <v>56401</v>
      </c>
      <c r="B357" s="99" t="n">
        <f aca="false">'Gas Curves'!C361</f>
        <v>0.073218104056925</v>
      </c>
      <c r="C357" s="99"/>
      <c r="D357" s="18"/>
      <c r="E357" s="18"/>
      <c r="F357" s="18"/>
      <c r="G357" s="18"/>
      <c r="H357" s="18"/>
      <c r="I357" s="18"/>
      <c r="J357" s="18"/>
      <c r="K357" s="18"/>
      <c r="L357" s="18"/>
      <c r="M357" s="106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06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  <c r="CH357" s="0"/>
      <c r="CP357" s="0"/>
      <c r="CQ357" s="0"/>
      <c r="CR357" s="0"/>
      <c r="CS357" s="0"/>
      <c r="CT357" s="0"/>
      <c r="CU357" s="81"/>
      <c r="CV357" s="110"/>
      <c r="CW357" s="188"/>
      <c r="CX357" s="188"/>
      <c r="CY357" s="152" t="n">
        <f aca="false">EOMONTH(CY356,0)+1</f>
        <v>46844</v>
      </c>
      <c r="CZ357" s="153" t="n">
        <f aca="false">IF(AI357=0,CZ345,AH357+AI357)</f>
        <v>1</v>
      </c>
      <c r="DA357" s="153" t="n">
        <f aca="false">IF(AI357=0,DA345,AI357)</f>
        <v>1.25</v>
      </c>
      <c r="DB357" s="153" t="n">
        <f aca="false">IF(AI357=0,DB345,AI357+AJ357)</f>
        <v>1.55</v>
      </c>
      <c r="DD357" s="132" t="n">
        <f aca="false">IF(Z357=0,DD345,Z357)</f>
        <v>0.0497667728994625</v>
      </c>
      <c r="DE357" s="132" t="n">
        <f aca="false">IF(AA357=0,DE345,AA357)</f>
        <v>0.0995335457989251</v>
      </c>
      <c r="DF357" s="132" t="n">
        <f aca="false">IF(AB357=0,DF345,AB357)</f>
        <v>0.149300318698388</v>
      </c>
      <c r="DG357" s="188"/>
      <c r="DH357" s="152" t="n">
        <f aca="false">IF(BH357=0,EOMONTH(DH356,0)+1,BH357)</f>
        <v>46844</v>
      </c>
      <c r="DI357" s="99" t="n">
        <v>0.9</v>
      </c>
    </row>
    <row r="358" customFormat="false" ht="14.25" hidden="false" customHeight="false" outlineLevel="0" collapsed="false">
      <c r="A358" s="187" t="n">
        <f aca="false">EDATE(A357,1)</f>
        <v>56431</v>
      </c>
      <c r="B358" s="99" t="n">
        <f aca="false">'Gas Curves'!C362</f>
        <v>0.07320886876365</v>
      </c>
      <c r="C358" s="99"/>
      <c r="D358" s="18"/>
      <c r="E358" s="18"/>
      <c r="F358" s="18"/>
      <c r="G358" s="18"/>
      <c r="H358" s="18"/>
      <c r="I358" s="18"/>
      <c r="J358" s="18"/>
      <c r="K358" s="18"/>
      <c r="L358" s="18"/>
      <c r="M358" s="106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06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  <c r="CH358" s="0"/>
      <c r="CP358" s="0"/>
      <c r="CQ358" s="0"/>
      <c r="CR358" s="0"/>
      <c r="CS358" s="0"/>
      <c r="CT358" s="0"/>
      <c r="CU358" s="81"/>
      <c r="CV358" s="110"/>
      <c r="CW358" s="188"/>
      <c r="CX358" s="188"/>
      <c r="CY358" s="152" t="n">
        <f aca="false">EOMONTH(CY357,0)+1</f>
        <v>46874</v>
      </c>
      <c r="CZ358" s="153" t="n">
        <f aca="false">IF(AI358=0,CZ346,AH358+AI358)</f>
        <v>1</v>
      </c>
      <c r="DA358" s="153" t="n">
        <f aca="false">IF(AI358=0,DA346,AI358)</f>
        <v>1.25</v>
      </c>
      <c r="DB358" s="153" t="n">
        <f aca="false">IF(AI358=0,DB346,AI358+AJ358)</f>
        <v>1.55</v>
      </c>
      <c r="DD358" s="132" t="n">
        <f aca="false">IF(Z358=0,DD346,Z358)</f>
        <v>0.0572929389334078</v>
      </c>
      <c r="DE358" s="132" t="n">
        <f aca="false">IF(AA358=0,DE346,AA358)</f>
        <v>0.114585877866816</v>
      </c>
      <c r="DF358" s="132" t="n">
        <f aca="false">IF(AB358=0,DF346,AB358)</f>
        <v>0.171878816800223</v>
      </c>
      <c r="DG358" s="188"/>
      <c r="DH358" s="152" t="n">
        <f aca="false">IF(BH358=0,EOMONTH(DH357,0)+1,BH358)</f>
        <v>46874</v>
      </c>
      <c r="DI358" s="99" t="n">
        <v>0.9</v>
      </c>
    </row>
    <row r="359" customFormat="false" ht="14.25" hidden="false" customHeight="false" outlineLevel="0" collapsed="false">
      <c r="A359" s="187" t="n">
        <f aca="false">EDATE(A358,1)</f>
        <v>56462</v>
      </c>
      <c r="B359" s="99" t="n">
        <f aca="false">'Gas Curves'!C363</f>
        <v>0.073199633470402</v>
      </c>
      <c r="C359" s="99"/>
      <c r="D359" s="18"/>
      <c r="E359" s="18"/>
      <c r="F359" s="18"/>
      <c r="G359" s="18"/>
      <c r="H359" s="18"/>
      <c r="I359" s="18"/>
      <c r="J359" s="18"/>
      <c r="K359" s="18"/>
      <c r="L359" s="18"/>
      <c r="M359" s="106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06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0"/>
      <c r="CP359" s="0"/>
      <c r="CQ359" s="0"/>
      <c r="CR359" s="0"/>
      <c r="CS359" s="0"/>
      <c r="CT359" s="0"/>
      <c r="CU359" s="81"/>
      <c r="CV359" s="110"/>
      <c r="CW359" s="188"/>
      <c r="CX359" s="188"/>
      <c r="CY359" s="152" t="n">
        <f aca="false">EOMONTH(CY358,0)+1</f>
        <v>46905</v>
      </c>
      <c r="CZ359" s="153" t="n">
        <f aca="false">IF(AI359=0,CZ347,AH359+AI359)</f>
        <v>1</v>
      </c>
      <c r="DA359" s="153" t="n">
        <f aca="false">IF(AI359=0,DA347,AI359)</f>
        <v>1.25</v>
      </c>
      <c r="DB359" s="153" t="n">
        <f aca="false">IF(AI359=0,DB347,AI359+AJ359)</f>
        <v>1.55</v>
      </c>
      <c r="DD359" s="132" t="n">
        <f aca="false">IF(Z359=0,DD347,Z359)</f>
        <v>0.0718278470864644</v>
      </c>
      <c r="DE359" s="132" t="n">
        <f aca="false">IF(AA359=0,DE347,AA359)</f>
        <v>0.143655694172929</v>
      </c>
      <c r="DF359" s="132" t="n">
        <f aca="false">IF(AB359=0,DF347,AB359)</f>
        <v>0.215483541259393</v>
      </c>
      <c r="DG359" s="188"/>
      <c r="DH359" s="152" t="n">
        <f aca="false">IF(BH359=0,EOMONTH(DH358,0)+1,BH359)</f>
        <v>46905</v>
      </c>
      <c r="DI359" s="99" t="n">
        <v>0.9</v>
      </c>
    </row>
    <row r="360" customFormat="false" ht="14.25" hidden="false" customHeight="false" outlineLevel="0" collapsed="false">
      <c r="A360" s="187" t="n">
        <f aca="false">EDATE(A359,1)</f>
        <v>56493</v>
      </c>
      <c r="B360" s="99" t="n">
        <f aca="false">'Gas Curves'!C364</f>
        <v>0.073191291915236</v>
      </c>
      <c r="C360" s="99"/>
      <c r="D360" s="18"/>
      <c r="E360" s="18"/>
      <c r="F360" s="18"/>
      <c r="G360" s="18"/>
      <c r="H360" s="18"/>
      <c r="I360" s="18"/>
      <c r="J360" s="18"/>
      <c r="K360" s="18"/>
      <c r="L360" s="18"/>
      <c r="M360" s="106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06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0"/>
      <c r="CP360" s="0"/>
      <c r="CQ360" s="0"/>
      <c r="CR360" s="0"/>
      <c r="CS360" s="0"/>
      <c r="CT360" s="0"/>
      <c r="CU360" s="81"/>
      <c r="CV360" s="110"/>
      <c r="CW360" s="188"/>
      <c r="CX360" s="188"/>
      <c r="CY360" s="152" t="n">
        <f aca="false">EOMONTH(CY359,0)+1</f>
        <v>46935</v>
      </c>
      <c r="CZ360" s="153" t="n">
        <f aca="false">IF(AI360=0,CZ348,AH360+AI360)</f>
        <v>1</v>
      </c>
      <c r="DA360" s="153" t="n">
        <f aca="false">IF(AI360=0,DA348,AI360)</f>
        <v>1.25</v>
      </c>
      <c r="DB360" s="153" t="n">
        <f aca="false">IF(AI360=0,DB348,AI360+AJ360)</f>
        <v>1.55</v>
      </c>
      <c r="DD360" s="132" t="n">
        <f aca="false">IF(Z360=0,DD348,Z360)</f>
        <v>0.0849986376458685</v>
      </c>
      <c r="DE360" s="132" t="n">
        <f aca="false">IF(AA360=0,DE348,AA360)</f>
        <v>0.169997275291737</v>
      </c>
      <c r="DF360" s="132" t="n">
        <f aca="false">IF(AB360=0,DF348,AB360)</f>
        <v>0.254995912937605</v>
      </c>
      <c r="DG360" s="188"/>
      <c r="DH360" s="152" t="n">
        <f aca="false">IF(BH360=0,EOMONTH(DH359,0)+1,BH360)</f>
        <v>46935</v>
      </c>
      <c r="DI360" s="99" t="n">
        <v>0.9</v>
      </c>
    </row>
    <row r="361" customFormat="false" ht="14.25" hidden="false" customHeight="false" outlineLevel="0" collapsed="false">
      <c r="A361" s="187" t="n">
        <f aca="false">EDATE(A360,1)</f>
        <v>56523</v>
      </c>
      <c r="B361" s="99" t="n">
        <f aca="false">'Gas Curves'!C365</f>
        <v>0.073182056622042</v>
      </c>
      <c r="C361" s="99"/>
      <c r="D361" s="18"/>
      <c r="E361" s="18"/>
      <c r="F361" s="18"/>
      <c r="G361" s="18"/>
      <c r="H361" s="18"/>
      <c r="I361" s="18"/>
      <c r="J361" s="18"/>
      <c r="K361" s="18"/>
      <c r="L361" s="18"/>
      <c r="M361" s="106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06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  <c r="CH361" s="0"/>
      <c r="CP361" s="0"/>
      <c r="CQ361" s="0"/>
      <c r="CR361" s="0"/>
      <c r="CS361" s="0"/>
      <c r="CT361" s="0"/>
      <c r="CU361" s="81"/>
      <c r="CV361" s="110"/>
      <c r="CW361" s="188"/>
      <c r="CX361" s="188"/>
      <c r="CY361" s="152" t="n">
        <f aca="false">EOMONTH(CY360,0)+1</f>
        <v>46966</v>
      </c>
      <c r="CZ361" s="153" t="n">
        <f aca="false">IF(AI361=0,CZ349,AH361+AI361)</f>
        <v>1</v>
      </c>
      <c r="DA361" s="153" t="n">
        <f aca="false">IF(AI361=0,DA349,AI361)</f>
        <v>1.25</v>
      </c>
      <c r="DB361" s="153" t="n">
        <f aca="false">IF(AI361=0,DB349,AI361+AJ361)</f>
        <v>1.55</v>
      </c>
      <c r="DD361" s="132" t="n">
        <f aca="false">IF(Z361=0,DD349,Z361)</f>
        <v>0.0836345200522159</v>
      </c>
      <c r="DE361" s="132" t="n">
        <f aca="false">IF(AA361=0,DE349,AA361)</f>
        <v>0.167269040104432</v>
      </c>
      <c r="DF361" s="132" t="n">
        <f aca="false">IF(AB361=0,DF349,AB361)</f>
        <v>0.250903560156648</v>
      </c>
      <c r="DG361" s="188"/>
      <c r="DH361" s="152" t="n">
        <f aca="false">IF(BH361=0,EOMONTH(DH360,0)+1,BH361)</f>
        <v>46966</v>
      </c>
      <c r="DI361" s="99" t="n">
        <v>0.9</v>
      </c>
    </row>
    <row r="362" customFormat="false" ht="14.25" hidden="false" customHeight="false" outlineLevel="0" collapsed="false">
      <c r="A362" s="187" t="n">
        <f aca="false">EDATE(A361,1)</f>
        <v>56554</v>
      </c>
      <c r="B362" s="99" t="n">
        <f aca="false">'Gas Curves'!C366</f>
        <v>0.073173119241559</v>
      </c>
      <c r="C362" s="99"/>
      <c r="D362" s="18"/>
      <c r="E362" s="18"/>
      <c r="F362" s="18"/>
      <c r="G362" s="18"/>
      <c r="H362" s="18"/>
      <c r="I362" s="18"/>
      <c r="J362" s="18"/>
      <c r="K362" s="18"/>
      <c r="L362" s="18"/>
      <c r="M362" s="106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06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0"/>
      <c r="CP362" s="0"/>
      <c r="CQ362" s="0"/>
      <c r="CR362" s="0"/>
      <c r="CS362" s="0"/>
      <c r="CT362" s="0"/>
      <c r="CU362" s="81"/>
      <c r="CV362" s="110"/>
      <c r="CW362" s="188"/>
      <c r="CX362" s="188"/>
      <c r="CY362" s="152" t="n">
        <f aca="false">EOMONTH(CY361,0)+1</f>
        <v>46997</v>
      </c>
      <c r="CZ362" s="153" t="n">
        <f aca="false">IF(AI362=0,CZ350,AH362+AI362)</f>
        <v>1</v>
      </c>
      <c r="DA362" s="153" t="n">
        <f aca="false">IF(AI362=0,DA350,AI362)</f>
        <v>1.25</v>
      </c>
      <c r="DB362" s="153" t="n">
        <f aca="false">IF(AI362=0,DB350,AI362+AJ362)</f>
        <v>1.55</v>
      </c>
      <c r="DD362" s="132" t="n">
        <f aca="false">IF(Z362=0,DD350,Z362)</f>
        <v>0.0554113974249214</v>
      </c>
      <c r="DE362" s="132" t="n">
        <f aca="false">IF(AA362=0,DE350,AA362)</f>
        <v>0.110822794849843</v>
      </c>
      <c r="DF362" s="132" t="n">
        <f aca="false">IF(AB362=0,DF350,AB362)</f>
        <v>0.166234192274764</v>
      </c>
      <c r="DG362" s="188"/>
      <c r="DH362" s="152" t="n">
        <f aca="false">IF(BH362=0,EOMONTH(DH361,0)+1,BH362)</f>
        <v>46997</v>
      </c>
      <c r="DI362" s="99" t="n">
        <v>0.9</v>
      </c>
    </row>
    <row r="363" customFormat="false" ht="14.25" hidden="false" customHeight="false" outlineLevel="0" collapsed="false">
      <c r="A363" s="187" t="n">
        <f aca="false">EDATE(A362,1)</f>
        <v>56584</v>
      </c>
      <c r="B363" s="99" t="n">
        <f aca="false">'Gas Curves'!C367</f>
        <v>0.073163883948421</v>
      </c>
      <c r="C363" s="99"/>
      <c r="D363" s="18"/>
      <c r="E363" s="18"/>
      <c r="F363" s="18"/>
      <c r="G363" s="18"/>
      <c r="H363" s="18"/>
      <c r="I363" s="18"/>
      <c r="J363" s="18"/>
      <c r="K363" s="18"/>
      <c r="L363" s="18"/>
      <c r="M363" s="106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06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0"/>
      <c r="CP363" s="0"/>
      <c r="CQ363" s="0"/>
      <c r="CR363" s="0"/>
      <c r="CS363" s="0"/>
      <c r="CT363" s="0"/>
      <c r="CU363" s="81"/>
      <c r="CV363" s="110"/>
      <c r="CW363" s="188"/>
      <c r="CX363" s="188"/>
      <c r="CY363" s="152" t="n">
        <f aca="false">EOMONTH(CY362,0)+1</f>
        <v>47027</v>
      </c>
      <c r="CZ363" s="153" t="n">
        <f aca="false">IF(AI363=0,CZ351,AH363+AI363)</f>
        <v>0.85</v>
      </c>
      <c r="DA363" s="153" t="n">
        <f aca="false">IF(AI363=0,DA351,AI363)</f>
        <v>1.1</v>
      </c>
      <c r="DB363" s="153" t="n">
        <f aca="false">IF(AI363=0,DB351,AI363+AJ363)</f>
        <v>1.4</v>
      </c>
      <c r="DD363" s="132" t="n">
        <f aca="false">IF(Z363=0,DD351,Z363)</f>
        <v>0.0532773332402962</v>
      </c>
      <c r="DE363" s="132" t="n">
        <f aca="false">IF(AA363=0,DE351,AA363)</f>
        <v>0.106554666480592</v>
      </c>
      <c r="DF363" s="132" t="n">
        <f aca="false">IF(AB363=0,DF351,AB363)</f>
        <v>0.159831999720889</v>
      </c>
      <c r="DG363" s="188"/>
      <c r="DH363" s="152" t="n">
        <f aca="false">IF(BH363=0,EOMONTH(DH362,0)+1,BH363)</f>
        <v>47027</v>
      </c>
      <c r="DI363" s="99" t="n">
        <v>0.9</v>
      </c>
    </row>
    <row r="364" customFormat="false" ht="14.25" hidden="false" customHeight="false" outlineLevel="0" collapsed="false">
      <c r="A364" s="187" t="n">
        <f aca="false">EDATE(A363,1)</f>
        <v>56615</v>
      </c>
      <c r="B364" s="99" t="n">
        <f aca="false">'Gas Curves'!C368</f>
        <v>0.073154946568</v>
      </c>
      <c r="C364" s="99"/>
      <c r="D364" s="18"/>
      <c r="E364" s="18"/>
      <c r="F364" s="18"/>
      <c r="G364" s="18"/>
      <c r="H364" s="18"/>
      <c r="I364" s="18"/>
      <c r="J364" s="18"/>
      <c r="K364" s="18"/>
      <c r="L364" s="18"/>
      <c r="M364" s="106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06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0"/>
      <c r="CP364" s="0"/>
      <c r="CQ364" s="0"/>
      <c r="CR364" s="0"/>
      <c r="CS364" s="0"/>
      <c r="CT364" s="0"/>
      <c r="CU364" s="81"/>
      <c r="CV364" s="110"/>
      <c r="CW364" s="188"/>
      <c r="CX364" s="188"/>
      <c r="CY364" s="152" t="n">
        <f aca="false">EOMONTH(CY363,0)+1</f>
        <v>47058</v>
      </c>
      <c r="CZ364" s="153" t="n">
        <f aca="false">IF(AI364=0,CZ352,AH364+AI364)</f>
        <v>1</v>
      </c>
      <c r="DA364" s="153" t="n">
        <f aca="false">IF(AI364=0,DA352,AI364)</f>
        <v>1.25</v>
      </c>
      <c r="DB364" s="153" t="n">
        <f aca="false">IF(AI364=0,DB352,AI364+AJ364)</f>
        <v>1.55</v>
      </c>
      <c r="DD364" s="132" t="n">
        <f aca="false">IF(Z364=0,DD352,Z364)</f>
        <v>0.0532773332402962</v>
      </c>
      <c r="DE364" s="132" t="n">
        <f aca="false">IF(AA364=0,DE352,AA364)</f>
        <v>0.106554666480592</v>
      </c>
      <c r="DF364" s="132" t="n">
        <f aca="false">IF(AB364=0,DF352,AB364)</f>
        <v>0.159831999720889</v>
      </c>
      <c r="DG364" s="188"/>
      <c r="DH364" s="152" t="n">
        <f aca="false">IF(BH364=0,EOMONTH(DH363,0)+1,BH364)</f>
        <v>47058</v>
      </c>
      <c r="DI364" s="99" t="n">
        <v>0.9</v>
      </c>
    </row>
    <row r="365" customFormat="false" ht="14.25" hidden="false" customHeight="false" outlineLevel="0" collapsed="false">
      <c r="A365" s="187" t="n">
        <f aca="false">EDATE(A364,1)</f>
        <v>56646</v>
      </c>
      <c r="B365" s="99" t="n">
        <f aca="false">'Gas Curves'!C369</f>
        <v>0.073145711274909</v>
      </c>
      <c r="C365" s="99"/>
      <c r="D365" s="18"/>
      <c r="E365" s="18"/>
      <c r="F365" s="18"/>
      <c r="G365" s="18"/>
      <c r="H365" s="18"/>
      <c r="I365" s="18"/>
      <c r="J365" s="18"/>
      <c r="K365" s="18"/>
      <c r="L365" s="18"/>
      <c r="M365" s="106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06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0"/>
      <c r="CP365" s="0"/>
      <c r="CQ365" s="0"/>
      <c r="CR365" s="0"/>
      <c r="CS365" s="0"/>
      <c r="CT365" s="0"/>
      <c r="CU365" s="81"/>
      <c r="CV365" s="110"/>
      <c r="CW365" s="188"/>
      <c r="CX365" s="188"/>
      <c r="CY365" s="152" t="n">
        <f aca="false">EOMONTH(CY364,0)+1</f>
        <v>47088</v>
      </c>
      <c r="CZ365" s="153" t="n">
        <f aca="false">IF(AI365=0,CZ353,AH365+AI365)</f>
        <v>1</v>
      </c>
      <c r="DA365" s="153" t="n">
        <f aca="false">IF(AI365=0,DA353,AI365)</f>
        <v>1.25</v>
      </c>
      <c r="DB365" s="153" t="n">
        <f aca="false">IF(AI365=0,DB353,AI365+AJ365)</f>
        <v>1.55</v>
      </c>
      <c r="DD365" s="132" t="n">
        <f aca="false">IF(Z365=0,DD353,Z365)</f>
        <v>0.0551786804488718</v>
      </c>
      <c r="DE365" s="132" t="n">
        <f aca="false">IF(AA365=0,DE353,AA365)</f>
        <v>0.110357360897744</v>
      </c>
      <c r="DF365" s="132" t="n">
        <f aca="false">IF(AB365=0,DF353,AB365)</f>
        <v>0.165536041346615</v>
      </c>
      <c r="DG365" s="188"/>
      <c r="DH365" s="152" t="n">
        <f aca="false">IF(BH365=0,EOMONTH(DH364,0)+1,BH365)</f>
        <v>47088</v>
      </c>
      <c r="DI365" s="99" t="n">
        <v>0.9</v>
      </c>
    </row>
    <row r="366" customFormat="false" ht="14.25" hidden="false" customHeight="false" outlineLevel="0" collapsed="false">
      <c r="A366" s="187" t="n">
        <f aca="false">EDATE(A365,1)</f>
        <v>56674</v>
      </c>
      <c r="B366" s="99" t="n">
        <f aca="false">'Gas Curves'!C370</f>
        <v>0.073136475981854</v>
      </c>
      <c r="C366" s="99"/>
      <c r="D366" s="18"/>
      <c r="E366" s="18"/>
      <c r="F366" s="18"/>
      <c r="G366" s="18"/>
      <c r="H366" s="18"/>
      <c r="I366" s="18"/>
      <c r="J366" s="18"/>
      <c r="K366" s="18"/>
      <c r="L366" s="18"/>
      <c r="M366" s="106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06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0"/>
      <c r="CP366" s="0"/>
      <c r="CQ366" s="0"/>
      <c r="CR366" s="0"/>
      <c r="CS366" s="0"/>
      <c r="CT366" s="0"/>
      <c r="CU366" s="81"/>
      <c r="CV366" s="110"/>
      <c r="CW366" s="188"/>
      <c r="CX366" s="188"/>
      <c r="CY366" s="152" t="n">
        <f aca="false">EOMONTH(CY365,0)+1</f>
        <v>47119</v>
      </c>
      <c r="CZ366" s="153" t="n">
        <f aca="false">IF(AI366=0,CZ354,AH366+AI366)</f>
        <v>1.25</v>
      </c>
      <c r="DA366" s="153" t="n">
        <f aca="false">IF(AI366=0,DA354,AI366)</f>
        <v>2</v>
      </c>
      <c r="DB366" s="153" t="n">
        <f aca="false">IF(AI366=0,DB354,AI366+AJ366)</f>
        <v>2.75</v>
      </c>
      <c r="DD366" s="132" t="n">
        <f aca="false">IF(Z366=0,DD354,Z366)</f>
        <v>0.0593730876011232</v>
      </c>
      <c r="DE366" s="132" t="n">
        <f aca="false">IF(AA366=0,DE354,AA366)</f>
        <v>0.118746175202246</v>
      </c>
      <c r="DF366" s="132" t="n">
        <f aca="false">IF(AB366=0,DF354,AB366)</f>
        <v>0.17811926280337</v>
      </c>
      <c r="DG366" s="188"/>
      <c r="DH366" s="152" t="n">
        <f aca="false">IF(BH366=0,EOMONTH(DH365,0)+1,BH366)</f>
        <v>47119</v>
      </c>
      <c r="DI366" s="99" t="n">
        <v>0.9</v>
      </c>
    </row>
    <row r="367" customFormat="false" ht="14.25" hidden="false" customHeight="false" outlineLevel="0" collapsed="false">
      <c r="A367" s="187" t="n">
        <f aca="false">EDATE(A366,1)</f>
        <v>56705</v>
      </c>
      <c r="B367" s="99" t="n">
        <f aca="false">'Gas Curves'!C371</f>
        <v>0.073127538601505</v>
      </c>
      <c r="C367" s="99"/>
      <c r="D367" s="18"/>
      <c r="E367" s="18"/>
      <c r="F367" s="18"/>
      <c r="G367" s="18"/>
      <c r="H367" s="18"/>
      <c r="I367" s="18"/>
      <c r="J367" s="18"/>
      <c r="K367" s="18"/>
      <c r="L367" s="18"/>
      <c r="M367" s="106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06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  <c r="BS367" s="18"/>
      <c r="BT367" s="18"/>
      <c r="BU367" s="18"/>
      <c r="BV367" s="18"/>
      <c r="BW367" s="18"/>
      <c r="BX367" s="18"/>
      <c r="BY367" s="18"/>
      <c r="BZ367" s="18"/>
      <c r="CA367" s="18"/>
      <c r="CB367" s="18"/>
      <c r="CC367" s="18"/>
      <c r="CD367" s="18"/>
      <c r="CE367" s="18"/>
      <c r="CF367" s="18"/>
      <c r="CG367" s="18"/>
      <c r="CH367" s="0"/>
      <c r="CP367" s="0"/>
      <c r="CQ367" s="0"/>
      <c r="CR367" s="0"/>
      <c r="CS367" s="0"/>
      <c r="CT367" s="0"/>
      <c r="CU367" s="81"/>
      <c r="CV367" s="110"/>
      <c r="CW367" s="188"/>
      <c r="CX367" s="188"/>
      <c r="CY367" s="152" t="n">
        <f aca="false">EOMONTH(CY366,0)+1</f>
        <v>47150</v>
      </c>
      <c r="CZ367" s="153" t="n">
        <f aca="false">IF(AI367=0,CZ355,AH367+AI367)</f>
        <v>1.25</v>
      </c>
      <c r="DA367" s="153" t="n">
        <f aca="false">IF(AI367=0,DA355,AI367)</f>
        <v>2</v>
      </c>
      <c r="DB367" s="153" t="n">
        <f aca="false">IF(AI367=0,DB355,AI367+AJ367)</f>
        <v>2.75</v>
      </c>
      <c r="DD367" s="132" t="n">
        <f aca="false">IF(Z367=0,DD355,Z367)</f>
        <v>0.0572824859250273</v>
      </c>
      <c r="DE367" s="132" t="n">
        <f aca="false">IF(AA367=0,DE355,AA367)</f>
        <v>0.114564971850055</v>
      </c>
      <c r="DF367" s="132" t="n">
        <f aca="false">IF(AB367=0,DF355,AB367)</f>
        <v>0.171847457775082</v>
      </c>
      <c r="DG367" s="188"/>
      <c r="DH367" s="152" t="n">
        <f aca="false">IF(BH367=0,EOMONTH(DH366,0)+1,BH367)</f>
        <v>47150</v>
      </c>
      <c r="DI367" s="99" t="n">
        <v>0.9</v>
      </c>
    </row>
    <row r="368" customFormat="false" ht="14.25" hidden="false" customHeight="false" outlineLevel="0" collapsed="false">
      <c r="A368" s="187" t="n">
        <f aca="false">EDATE(A367,1)</f>
        <v>56735</v>
      </c>
      <c r="B368" s="99" t="n">
        <f aca="false">'Gas Curves'!C372</f>
        <v>0.073118303308506</v>
      </c>
      <c r="C368" s="99"/>
      <c r="D368" s="18"/>
      <c r="E368" s="18"/>
      <c r="F368" s="18"/>
      <c r="G368" s="18"/>
      <c r="H368" s="18"/>
      <c r="I368" s="18"/>
      <c r="J368" s="18"/>
      <c r="K368" s="18"/>
      <c r="L368" s="18"/>
      <c r="M368" s="106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06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0"/>
      <c r="CP368" s="0"/>
      <c r="CQ368" s="0"/>
      <c r="CR368" s="0"/>
      <c r="CS368" s="0"/>
      <c r="CT368" s="0"/>
      <c r="CU368" s="81"/>
      <c r="CV368" s="110"/>
      <c r="CW368" s="188"/>
      <c r="CX368" s="188"/>
      <c r="CY368" s="152" t="n">
        <f aca="false">EOMONTH(CY367,0)+1</f>
        <v>47178</v>
      </c>
      <c r="CZ368" s="153" t="n">
        <f aca="false">IF(AI368=0,CZ356,AH368+AI368)</f>
        <v>1</v>
      </c>
      <c r="DA368" s="153" t="n">
        <f aca="false">IF(AI368=0,DA356,AI368)</f>
        <v>1.25</v>
      </c>
      <c r="DB368" s="153" t="n">
        <f aca="false">IF(AI368=0,DB356,AI368+AJ368)</f>
        <v>1.55</v>
      </c>
      <c r="DD368" s="132" t="n">
        <f aca="false">IF(Z368=0,DD356,Z368)</f>
        <v>0.0558347442643309</v>
      </c>
      <c r="DE368" s="132" t="n">
        <f aca="false">IF(AA368=0,DE356,AA368)</f>
        <v>0.111669488528662</v>
      </c>
      <c r="DF368" s="132" t="n">
        <f aca="false">IF(AB368=0,DF356,AB368)</f>
        <v>0.167504232792993</v>
      </c>
      <c r="DG368" s="188"/>
      <c r="DH368" s="152" t="n">
        <f aca="false">IF(BH368=0,EOMONTH(DH367,0)+1,BH368)</f>
        <v>47178</v>
      </c>
      <c r="DI368" s="99" t="n">
        <v>0.9</v>
      </c>
    </row>
    <row r="369" customFormat="false" ht="14.25" hidden="false" customHeight="false" outlineLevel="0" collapsed="false">
      <c r="A369" s="187" t="n">
        <f aca="false">EDATE(A368,1)</f>
        <v>56766</v>
      </c>
      <c r="B369" s="99" t="n">
        <f aca="false">'Gas Curves'!C373</f>
        <v>0.07310936592821</v>
      </c>
      <c r="C369" s="99"/>
      <c r="D369" s="18"/>
      <c r="E369" s="18"/>
      <c r="F369" s="18"/>
      <c r="G369" s="18"/>
      <c r="H369" s="18"/>
      <c r="I369" s="18"/>
      <c r="J369" s="18"/>
      <c r="K369" s="18"/>
      <c r="L369" s="18"/>
      <c r="M369" s="106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06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0"/>
      <c r="CP369" s="0"/>
      <c r="CQ369" s="0"/>
      <c r="CR369" s="0"/>
      <c r="CS369" s="0"/>
      <c r="CT369" s="0"/>
      <c r="CU369" s="81"/>
      <c r="CV369" s="110"/>
      <c r="CW369" s="188"/>
      <c r="CX369" s="188"/>
      <c r="CY369" s="152" t="n">
        <f aca="false">EOMONTH(CY368,0)+1</f>
        <v>47209</v>
      </c>
      <c r="CZ369" s="153" t="n">
        <f aca="false">IF(AI369=0,CZ357,AH369+AI369)</f>
        <v>1</v>
      </c>
      <c r="DA369" s="153" t="n">
        <f aca="false">IF(AI369=0,DA357,AI369)</f>
        <v>1.25</v>
      </c>
      <c r="DB369" s="153" t="n">
        <f aca="false">IF(AI369=0,DB357,AI369+AJ369)</f>
        <v>1.55</v>
      </c>
      <c r="DD369" s="132" t="n">
        <f aca="false">IF(Z369=0,DD357,Z369)</f>
        <v>0.0497667728994625</v>
      </c>
      <c r="DE369" s="132" t="n">
        <f aca="false">IF(AA369=0,DE357,AA369)</f>
        <v>0.0995335457989251</v>
      </c>
      <c r="DF369" s="132" t="n">
        <f aca="false">IF(AB369=0,DF357,AB369)</f>
        <v>0.149300318698388</v>
      </c>
      <c r="DG369" s="188"/>
      <c r="DH369" s="152" t="n">
        <f aca="false">IF(BH369=0,EOMONTH(DH368,0)+1,BH369)</f>
        <v>47209</v>
      </c>
      <c r="DI369" s="99" t="n">
        <v>0.9</v>
      </c>
    </row>
    <row r="370" customFormat="false" ht="14.25" hidden="false" customHeight="false" outlineLevel="0" collapsed="false">
      <c r="A370" s="187" t="n">
        <f aca="false">EDATE(A369,1)</f>
        <v>56796</v>
      </c>
      <c r="B370" s="99" t="n">
        <f aca="false">'Gas Curves'!C374</f>
        <v>0.073100130635267</v>
      </c>
      <c r="C370" s="99"/>
      <c r="D370" s="18"/>
      <c r="E370" s="18"/>
      <c r="F370" s="18"/>
      <c r="G370" s="18"/>
      <c r="H370" s="18"/>
      <c r="I370" s="18"/>
      <c r="J370" s="18"/>
      <c r="K370" s="18"/>
      <c r="L370" s="18"/>
      <c r="M370" s="106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06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  <c r="BS370" s="18"/>
      <c r="BT370" s="18"/>
      <c r="BU370" s="18"/>
      <c r="BV370" s="18"/>
      <c r="BW370" s="18"/>
      <c r="BX370" s="18"/>
      <c r="BY370" s="18"/>
      <c r="BZ370" s="18"/>
      <c r="CA370" s="18"/>
      <c r="CB370" s="18"/>
      <c r="CC370" s="18"/>
      <c r="CD370" s="18"/>
      <c r="CE370" s="18"/>
      <c r="CF370" s="18"/>
      <c r="CG370" s="18"/>
      <c r="CH370" s="0"/>
      <c r="CP370" s="0"/>
      <c r="CQ370" s="0"/>
      <c r="CR370" s="0"/>
      <c r="CS370" s="0"/>
      <c r="CT370" s="0"/>
      <c r="CU370" s="81"/>
      <c r="CV370" s="110"/>
      <c r="CW370" s="188"/>
      <c r="CX370" s="188"/>
      <c r="CY370" s="152" t="n">
        <f aca="false">EOMONTH(CY369,0)+1</f>
        <v>47239</v>
      </c>
      <c r="CZ370" s="153" t="n">
        <f aca="false">IF(AI370=0,CZ358,AH370+AI370)</f>
        <v>1</v>
      </c>
      <c r="DA370" s="153" t="n">
        <f aca="false">IF(AI370=0,DA358,AI370)</f>
        <v>1.25</v>
      </c>
      <c r="DB370" s="153" t="n">
        <f aca="false">IF(AI370=0,DB358,AI370+AJ370)</f>
        <v>1.55</v>
      </c>
      <c r="DD370" s="132" t="n">
        <f aca="false">IF(Z370=0,DD358,Z370)</f>
        <v>0.0572929389334078</v>
      </c>
      <c r="DE370" s="132" t="n">
        <f aca="false">IF(AA370=0,DE358,AA370)</f>
        <v>0.114585877866816</v>
      </c>
      <c r="DF370" s="132" t="n">
        <f aca="false">IF(AB370=0,DF358,AB370)</f>
        <v>0.171878816800223</v>
      </c>
      <c r="DG370" s="188"/>
      <c r="DH370" s="152" t="n">
        <f aca="false">IF(BH370=0,EOMONTH(DH369,0)+1,BH370)</f>
        <v>47239</v>
      </c>
      <c r="DI370" s="99" t="n">
        <v>0.9</v>
      </c>
    </row>
    <row r="371" customFormat="false" ht="14.25" hidden="false" customHeight="false" outlineLevel="0" collapsed="false">
      <c r="A371" s="187" t="n">
        <f aca="false">EDATE(A370,1)</f>
        <v>56827</v>
      </c>
      <c r="B371" s="99" t="n">
        <f aca="false">'Gas Curves'!C375</f>
        <v>0.073090895342351</v>
      </c>
      <c r="C371" s="99"/>
      <c r="D371" s="18"/>
      <c r="E371" s="18"/>
      <c r="F371" s="18"/>
      <c r="G371" s="18"/>
      <c r="H371" s="18"/>
      <c r="I371" s="18"/>
      <c r="J371" s="18"/>
      <c r="K371" s="18"/>
      <c r="L371" s="18"/>
      <c r="M371" s="106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06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0"/>
      <c r="CP371" s="0"/>
      <c r="CQ371" s="0"/>
      <c r="CR371" s="0"/>
      <c r="CS371" s="0"/>
      <c r="CT371" s="0"/>
      <c r="CU371" s="81"/>
      <c r="CV371" s="110"/>
      <c r="CW371" s="188"/>
      <c r="CX371" s="188"/>
      <c r="CY371" s="152" t="n">
        <f aca="false">EOMONTH(CY370,0)+1</f>
        <v>47270</v>
      </c>
      <c r="CZ371" s="153" t="n">
        <f aca="false">IF(AI371=0,CZ359,AH371+AI371)</f>
        <v>1</v>
      </c>
      <c r="DA371" s="153" t="n">
        <f aca="false">IF(AI371=0,DA359,AI371)</f>
        <v>1.25</v>
      </c>
      <c r="DB371" s="153" t="n">
        <f aca="false">IF(AI371=0,DB359,AI371+AJ371)</f>
        <v>1.55</v>
      </c>
      <c r="DD371" s="132" t="n">
        <f aca="false">IF(Z371=0,DD359,Z371)</f>
        <v>0.0718278470864644</v>
      </c>
      <c r="DE371" s="132" t="n">
        <f aca="false">IF(AA371=0,DE359,AA371)</f>
        <v>0.143655694172929</v>
      </c>
      <c r="DF371" s="132" t="n">
        <f aca="false">IF(AB371=0,DF359,AB371)</f>
        <v>0.215483541259393</v>
      </c>
      <c r="DG371" s="188"/>
      <c r="DH371" s="152" t="n">
        <f aca="false">IF(BH371=0,EOMONTH(DH370,0)+1,BH371)</f>
        <v>47270</v>
      </c>
      <c r="DI371" s="99" t="n">
        <v>0.9</v>
      </c>
    </row>
    <row r="372" customFormat="false" ht="14.25" hidden="false" customHeight="false" outlineLevel="0" collapsed="false">
      <c r="A372" s="187" t="n">
        <f aca="false">EDATE(A371,1)</f>
        <v>56858</v>
      </c>
      <c r="B372" s="99" t="n">
        <f aca="false">'Gas Curves'!C376</f>
        <v>0.073082553787484</v>
      </c>
      <c r="C372" s="99"/>
      <c r="D372" s="18"/>
      <c r="E372" s="18"/>
      <c r="F372" s="18"/>
      <c r="G372" s="18"/>
      <c r="H372" s="18"/>
      <c r="I372" s="18"/>
      <c r="J372" s="18"/>
      <c r="K372" s="18"/>
      <c r="L372" s="18"/>
      <c r="M372" s="106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06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0"/>
      <c r="CP372" s="0"/>
      <c r="CQ372" s="0"/>
      <c r="CR372" s="0"/>
      <c r="CS372" s="0"/>
      <c r="CT372" s="0"/>
      <c r="CU372" s="81"/>
      <c r="CV372" s="110"/>
      <c r="CW372" s="188"/>
      <c r="CX372" s="188"/>
      <c r="CY372" s="152" t="n">
        <f aca="false">EOMONTH(CY371,0)+1</f>
        <v>47300</v>
      </c>
      <c r="CZ372" s="153" t="n">
        <f aca="false">IF(AI372=0,CZ360,AH372+AI372)</f>
        <v>1</v>
      </c>
      <c r="DA372" s="153" t="n">
        <f aca="false">IF(AI372=0,DA360,AI372)</f>
        <v>1.25</v>
      </c>
      <c r="DB372" s="153" t="n">
        <f aca="false">IF(AI372=0,DB360,AI372+AJ372)</f>
        <v>1.55</v>
      </c>
      <c r="DD372" s="132" t="n">
        <f aca="false">IF(Z372=0,DD360,Z372)</f>
        <v>0.0849986376458685</v>
      </c>
      <c r="DE372" s="132" t="n">
        <f aca="false">IF(AA372=0,DE360,AA372)</f>
        <v>0.169997275291737</v>
      </c>
      <c r="DF372" s="132" t="n">
        <f aca="false">IF(AB372=0,DF360,AB372)</f>
        <v>0.254995912937605</v>
      </c>
      <c r="DG372" s="188"/>
      <c r="DH372" s="152" t="n">
        <f aca="false">IF(BH372=0,EOMONTH(DH371,0)+1,BH372)</f>
        <v>47300</v>
      </c>
      <c r="DI372" s="99" t="n">
        <v>0.9</v>
      </c>
    </row>
    <row r="373" customFormat="false" ht="12.75" hidden="false" customHeight="false" outlineLevel="0" collapsed="false">
      <c r="B373" s="99"/>
      <c r="C373" s="96"/>
      <c r="D373" s="18"/>
      <c r="E373" s="18"/>
      <c r="F373" s="18"/>
      <c r="G373" s="18"/>
      <c r="H373" s="18"/>
      <c r="I373" s="18"/>
      <c r="J373" s="18"/>
      <c r="K373" s="18"/>
      <c r="L373" s="18"/>
      <c r="M373" s="106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06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8"/>
      <c r="CC373" s="18"/>
      <c r="CD373" s="18"/>
      <c r="CE373" s="18"/>
      <c r="CF373" s="18"/>
      <c r="CG373" s="18"/>
      <c r="CH373" s="0"/>
      <c r="CP373" s="0"/>
      <c r="CQ373" s="0"/>
      <c r="CR373" s="0"/>
      <c r="CS373" s="0"/>
      <c r="CT373" s="0"/>
      <c r="CU373" s="81"/>
      <c r="CV373" s="110"/>
      <c r="CW373" s="188"/>
      <c r="CX373" s="188"/>
      <c r="CY373" s="152" t="n">
        <f aca="false">EOMONTH(CY372,0)+1</f>
        <v>47331</v>
      </c>
      <c r="CZ373" s="153" t="n">
        <f aca="false">IF(AI373=0,CZ361,AH373+AI373)</f>
        <v>1</v>
      </c>
      <c r="DA373" s="153" t="n">
        <f aca="false">IF(AI373=0,DA361,AI373)</f>
        <v>1.25</v>
      </c>
      <c r="DB373" s="153" t="n">
        <f aca="false">IF(AI373=0,DB361,AI373+AJ373)</f>
        <v>1.55</v>
      </c>
      <c r="DD373" s="132" t="n">
        <f aca="false">IF(Z373=0,DD361,Z373)</f>
        <v>0.0836345200522159</v>
      </c>
      <c r="DE373" s="132" t="n">
        <f aca="false">IF(AA373=0,DE361,AA373)</f>
        <v>0.167269040104432</v>
      </c>
      <c r="DF373" s="132" t="n">
        <f aca="false">IF(AB373=0,DF361,AB373)</f>
        <v>0.250903560156648</v>
      </c>
      <c r="DG373" s="188"/>
      <c r="DH373" s="152" t="n">
        <f aca="false">IF(BH373=0,EOMONTH(DH372,0)+1,BH373)</f>
        <v>47331</v>
      </c>
      <c r="DI373" s="99" t="n">
        <v>0.9</v>
      </c>
    </row>
    <row r="374" customFormat="false" ht="12.75" hidden="false" customHeight="false" outlineLevel="0" collapsed="false">
      <c r="B374" s="99"/>
      <c r="C374" s="96"/>
      <c r="D374" s="18"/>
      <c r="E374" s="18"/>
      <c r="F374" s="18"/>
      <c r="G374" s="18"/>
      <c r="H374" s="18"/>
      <c r="I374" s="18"/>
      <c r="J374" s="18"/>
      <c r="K374" s="18"/>
      <c r="L374" s="18"/>
      <c r="M374" s="106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06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8"/>
      <c r="CC374" s="18"/>
      <c r="CD374" s="18"/>
      <c r="CE374" s="18"/>
      <c r="CF374" s="18"/>
      <c r="CG374" s="18"/>
      <c r="CH374" s="0"/>
      <c r="CP374" s="0"/>
      <c r="CQ374" s="0"/>
      <c r="CR374" s="0"/>
      <c r="CS374" s="0"/>
      <c r="CT374" s="0"/>
      <c r="CU374" s="81"/>
      <c r="CV374" s="110"/>
      <c r="CW374" s="188"/>
      <c r="CX374" s="188"/>
      <c r="CY374" s="152" t="n">
        <f aca="false">EOMONTH(CY373,0)+1</f>
        <v>47362</v>
      </c>
      <c r="CZ374" s="153" t="n">
        <f aca="false">IF(AI374=0,CZ362,AH374+AI374)</f>
        <v>1</v>
      </c>
      <c r="DA374" s="153" t="n">
        <f aca="false">IF(AI374=0,DA362,AI374)</f>
        <v>1.25</v>
      </c>
      <c r="DB374" s="153" t="n">
        <f aca="false">IF(AI374=0,DB362,AI374+AJ374)</f>
        <v>1.55</v>
      </c>
      <c r="DD374" s="132" t="n">
        <f aca="false">IF(Z374=0,DD362,Z374)</f>
        <v>0.0554113974249214</v>
      </c>
      <c r="DE374" s="132" t="n">
        <f aca="false">IF(AA374=0,DE362,AA374)</f>
        <v>0.110822794849843</v>
      </c>
      <c r="DF374" s="132" t="n">
        <f aca="false">IF(AB374=0,DF362,AB374)</f>
        <v>0.166234192274764</v>
      </c>
      <c r="DG374" s="188"/>
      <c r="DH374" s="152" t="n">
        <f aca="false">IF(BH374=0,EOMONTH(DH373,0)+1,BH374)</f>
        <v>47362</v>
      </c>
      <c r="DI374" s="99" t="n">
        <v>0.9</v>
      </c>
    </row>
    <row r="375" customFormat="false" ht="12.75" hidden="false" customHeight="false" outlineLevel="0" collapsed="false">
      <c r="B375" s="99"/>
      <c r="C375" s="96"/>
      <c r="D375" s="18"/>
      <c r="E375" s="18"/>
      <c r="F375" s="18"/>
      <c r="G375" s="18"/>
      <c r="H375" s="18"/>
      <c r="I375" s="18"/>
      <c r="J375" s="18"/>
      <c r="K375" s="18"/>
      <c r="L375" s="18"/>
      <c r="M375" s="106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06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  <c r="BS375" s="18"/>
      <c r="BT375" s="18"/>
      <c r="BU375" s="18"/>
      <c r="BV375" s="18"/>
      <c r="BW375" s="18"/>
      <c r="BX375" s="18"/>
      <c r="BY375" s="18"/>
      <c r="BZ375" s="18"/>
      <c r="CA375" s="18"/>
      <c r="CB375" s="18"/>
      <c r="CC375" s="18"/>
      <c r="CD375" s="18"/>
      <c r="CE375" s="18"/>
      <c r="CF375" s="18"/>
      <c r="CG375" s="18"/>
      <c r="CH375" s="0"/>
      <c r="CP375" s="0"/>
      <c r="CQ375" s="0"/>
      <c r="CR375" s="0"/>
      <c r="CS375" s="0"/>
      <c r="CT375" s="0"/>
      <c r="CU375" s="81"/>
      <c r="CV375" s="110"/>
      <c r="CW375" s="188"/>
      <c r="CX375" s="188"/>
      <c r="CY375" s="152" t="n">
        <f aca="false">EOMONTH(CY374,0)+1</f>
        <v>47392</v>
      </c>
      <c r="CZ375" s="153" t="n">
        <f aca="false">IF(AI375=0,CZ363,AH375+AI375)</f>
        <v>0.85</v>
      </c>
      <c r="DA375" s="153" t="n">
        <f aca="false">IF(AI375=0,DA363,AI375)</f>
        <v>1.1</v>
      </c>
      <c r="DB375" s="153" t="n">
        <f aca="false">IF(AI375=0,DB363,AI375+AJ375)</f>
        <v>1.4</v>
      </c>
      <c r="DD375" s="132" t="n">
        <f aca="false">IF(Z375=0,DD363,Z375)</f>
        <v>0.0532773332402962</v>
      </c>
      <c r="DE375" s="132" t="n">
        <f aca="false">IF(AA375=0,DE363,AA375)</f>
        <v>0.106554666480592</v>
      </c>
      <c r="DF375" s="132" t="n">
        <f aca="false">IF(AB375=0,DF363,AB375)</f>
        <v>0.159831999720889</v>
      </c>
      <c r="DG375" s="188"/>
      <c r="DH375" s="152" t="n">
        <f aca="false">IF(BH375=0,EOMONTH(DH374,0)+1,BH375)</f>
        <v>47392</v>
      </c>
      <c r="DI375" s="99" t="n">
        <v>0.9</v>
      </c>
    </row>
    <row r="376" customFormat="false" ht="12.75" hidden="false" customHeight="false" outlineLevel="0" collapsed="false">
      <c r="B376" s="99"/>
      <c r="C376" s="96"/>
      <c r="D376" s="18"/>
      <c r="E376" s="18"/>
      <c r="F376" s="18"/>
      <c r="G376" s="18"/>
      <c r="H376" s="18"/>
      <c r="I376" s="18"/>
      <c r="J376" s="18"/>
      <c r="K376" s="18"/>
      <c r="L376" s="18"/>
      <c r="M376" s="106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06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8"/>
      <c r="CC376" s="18"/>
      <c r="CD376" s="18"/>
      <c r="CE376" s="18"/>
      <c r="CF376" s="18"/>
      <c r="CG376" s="18"/>
      <c r="CH376" s="0"/>
      <c r="CP376" s="0"/>
      <c r="CQ376" s="0"/>
      <c r="CR376" s="0"/>
      <c r="CS376" s="0"/>
      <c r="CT376" s="0"/>
      <c r="CU376" s="81"/>
      <c r="CV376" s="110"/>
      <c r="CW376" s="188"/>
      <c r="CX376" s="188"/>
      <c r="CY376" s="152" t="n">
        <f aca="false">EOMONTH(CY375,0)+1</f>
        <v>47423</v>
      </c>
      <c r="CZ376" s="153" t="n">
        <f aca="false">IF(AI376=0,CZ364,AH376+AI376)</f>
        <v>1</v>
      </c>
      <c r="DA376" s="153" t="n">
        <f aca="false">IF(AI376=0,DA364,AI376)</f>
        <v>1.25</v>
      </c>
      <c r="DB376" s="153" t="n">
        <f aca="false">IF(AI376=0,DB364,AI376+AJ376)</f>
        <v>1.55</v>
      </c>
      <c r="DD376" s="132" t="n">
        <f aca="false">IF(Z376=0,DD364,Z376)</f>
        <v>0.0532773332402962</v>
      </c>
      <c r="DE376" s="132" t="n">
        <f aca="false">IF(AA376=0,DE364,AA376)</f>
        <v>0.106554666480592</v>
      </c>
      <c r="DF376" s="132" t="n">
        <f aca="false">IF(AB376=0,DF364,AB376)</f>
        <v>0.159831999720889</v>
      </c>
      <c r="DG376" s="188"/>
      <c r="DH376" s="152" t="n">
        <f aca="false">IF(BH376=0,EOMONTH(DH375,0)+1,BH376)</f>
        <v>47423</v>
      </c>
      <c r="DI376" s="99" t="n">
        <v>0.9</v>
      </c>
    </row>
    <row r="377" customFormat="false" ht="12.75" hidden="false" customHeight="false" outlineLevel="0" collapsed="false">
      <c r="B377" s="99"/>
      <c r="C377" s="96"/>
      <c r="D377" s="18"/>
      <c r="E377" s="18"/>
      <c r="F377" s="18"/>
      <c r="G377" s="18"/>
      <c r="H377" s="18"/>
      <c r="I377" s="18"/>
      <c r="J377" s="18"/>
      <c r="K377" s="18"/>
      <c r="L377" s="18"/>
      <c r="M377" s="106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06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8"/>
      <c r="CC377" s="18"/>
      <c r="CD377" s="18"/>
      <c r="CE377" s="18"/>
      <c r="CF377" s="18"/>
      <c r="CG377" s="18"/>
      <c r="CH377" s="0"/>
      <c r="CP377" s="0"/>
      <c r="CQ377" s="0"/>
      <c r="CR377" s="0"/>
      <c r="CS377" s="0"/>
      <c r="CT377" s="0"/>
      <c r="CU377" s="81"/>
      <c r="CV377" s="110"/>
      <c r="CW377" s="188"/>
      <c r="CX377" s="188"/>
      <c r="CY377" s="152" t="n">
        <f aca="false">EOMONTH(CY376,0)+1</f>
        <v>47453</v>
      </c>
      <c r="CZ377" s="153" t="n">
        <f aca="false">IF(AI377=0,CZ365,AH377+AI377)</f>
        <v>1</v>
      </c>
      <c r="DA377" s="153" t="n">
        <f aca="false">IF(AI377=0,DA365,AI377)</f>
        <v>1.25</v>
      </c>
      <c r="DB377" s="153" t="n">
        <f aca="false">IF(AI377=0,DB365,AI377+AJ377)</f>
        <v>1.55</v>
      </c>
      <c r="DD377" s="132" t="n">
        <f aca="false">IF(Z377=0,DD365,Z377)</f>
        <v>0.0551786804488718</v>
      </c>
      <c r="DE377" s="132" t="n">
        <f aca="false">IF(AA377=0,DE365,AA377)</f>
        <v>0.110357360897744</v>
      </c>
      <c r="DF377" s="132" t="n">
        <f aca="false">IF(AB377=0,DF365,AB377)</f>
        <v>0.165536041346615</v>
      </c>
      <c r="DG377" s="188"/>
      <c r="DH377" s="152" t="n">
        <f aca="false">IF(BH377=0,EOMONTH(DH376,0)+1,BH377)</f>
        <v>47453</v>
      </c>
      <c r="DI377" s="99" t="n">
        <v>0.9</v>
      </c>
    </row>
    <row r="378" customFormat="false" ht="12.75" hidden="false" customHeight="false" outlineLevel="0" collapsed="false">
      <c r="B378" s="99"/>
      <c r="C378" s="96"/>
      <c r="D378" s="18"/>
      <c r="E378" s="18"/>
      <c r="F378" s="18"/>
      <c r="G378" s="18"/>
      <c r="H378" s="18"/>
      <c r="I378" s="18"/>
      <c r="J378" s="18"/>
      <c r="K378" s="18"/>
      <c r="L378" s="18"/>
      <c r="M378" s="106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06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  <c r="CH378" s="0"/>
      <c r="CP378" s="0"/>
      <c r="CQ378" s="0"/>
      <c r="CR378" s="0"/>
      <c r="CS378" s="0"/>
      <c r="CT378" s="0"/>
      <c r="CU378" s="81"/>
      <c r="CV378" s="110"/>
      <c r="CW378" s="188"/>
      <c r="CX378" s="188"/>
      <c r="CY378" s="152" t="n">
        <f aca="false">EOMONTH(CY377,0)+1</f>
        <v>47484</v>
      </c>
      <c r="CZ378" s="153" t="n">
        <f aca="false">IF(AI378=0,CZ366,AH378+AI378)</f>
        <v>1.25</v>
      </c>
      <c r="DA378" s="153" t="n">
        <f aca="false">IF(AI378=0,DA366,AI378)</f>
        <v>2</v>
      </c>
      <c r="DB378" s="153" t="n">
        <f aca="false">IF(AI378=0,DB366,AI378+AJ378)</f>
        <v>2.75</v>
      </c>
      <c r="DD378" s="132" t="n">
        <f aca="false">IF(Z378=0,DD366,Z378)</f>
        <v>0.0593730876011232</v>
      </c>
      <c r="DE378" s="132" t="n">
        <f aca="false">IF(AA378=0,DE366,AA378)</f>
        <v>0.118746175202246</v>
      </c>
      <c r="DF378" s="132" t="n">
        <f aca="false">IF(AB378=0,DF366,AB378)</f>
        <v>0.17811926280337</v>
      </c>
      <c r="DG378" s="188"/>
      <c r="DH378" s="152" t="n">
        <f aca="false">IF(BH378=0,EOMONTH(DH377,0)+1,BH378)</f>
        <v>47484</v>
      </c>
      <c r="DI378" s="99" t="n">
        <v>0.9</v>
      </c>
    </row>
    <row r="379" customFormat="false" ht="12.75" hidden="false" customHeight="false" outlineLevel="0" collapsed="false">
      <c r="B379" s="99"/>
      <c r="C379" s="96"/>
      <c r="D379" s="18"/>
      <c r="E379" s="18"/>
      <c r="F379" s="18"/>
      <c r="G379" s="18"/>
      <c r="H379" s="18"/>
      <c r="I379" s="18"/>
      <c r="J379" s="18"/>
      <c r="K379" s="18"/>
      <c r="L379" s="18"/>
      <c r="M379" s="106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06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  <c r="BS379" s="18"/>
      <c r="BT379" s="18"/>
      <c r="BU379" s="18"/>
      <c r="BV379" s="18"/>
      <c r="BW379" s="18"/>
      <c r="BX379" s="18"/>
      <c r="BY379" s="18"/>
      <c r="BZ379" s="18"/>
      <c r="CA379" s="18"/>
      <c r="CB379" s="18"/>
      <c r="CC379" s="18"/>
      <c r="CD379" s="18"/>
      <c r="CE379" s="18"/>
      <c r="CF379" s="18"/>
      <c r="CG379" s="18"/>
      <c r="CH379" s="0"/>
      <c r="CP379" s="0"/>
      <c r="CQ379" s="0"/>
      <c r="CR379" s="0"/>
      <c r="CS379" s="0"/>
      <c r="CT379" s="0"/>
      <c r="CU379" s="81"/>
      <c r="CV379" s="110"/>
      <c r="CW379" s="188"/>
      <c r="CX379" s="188"/>
      <c r="CY379" s="152" t="n">
        <f aca="false">EOMONTH(CY378,0)+1</f>
        <v>47515</v>
      </c>
      <c r="CZ379" s="153" t="n">
        <f aca="false">IF(AI379=0,CZ367,AH379+AI379)</f>
        <v>1.25</v>
      </c>
      <c r="DA379" s="153" t="n">
        <f aca="false">IF(AI379=0,DA367,AI379)</f>
        <v>2</v>
      </c>
      <c r="DB379" s="153" t="n">
        <f aca="false">IF(AI379=0,DB367,AI379+AJ379)</f>
        <v>2.75</v>
      </c>
      <c r="DD379" s="132" t="n">
        <f aca="false">IF(Z379=0,DD367,Z379)</f>
        <v>0.0572824859250273</v>
      </c>
      <c r="DE379" s="132" t="n">
        <f aca="false">IF(AA379=0,DE367,AA379)</f>
        <v>0.114564971850055</v>
      </c>
      <c r="DF379" s="132" t="n">
        <f aca="false">IF(AB379=0,DF367,AB379)</f>
        <v>0.171847457775082</v>
      </c>
      <c r="DG379" s="188"/>
      <c r="DH379" s="152" t="n">
        <f aca="false">IF(BH379=0,EOMONTH(DH378,0)+1,BH379)</f>
        <v>47515</v>
      </c>
      <c r="DI379" s="99" t="n">
        <v>0.9</v>
      </c>
    </row>
    <row r="380" customFormat="false" ht="12.75" hidden="false" customHeight="false" outlineLevel="0" collapsed="false">
      <c r="B380" s="99"/>
      <c r="C380" s="96"/>
      <c r="D380" s="18"/>
      <c r="E380" s="18"/>
      <c r="F380" s="18"/>
      <c r="G380" s="18"/>
      <c r="H380" s="18"/>
      <c r="I380" s="18"/>
      <c r="J380" s="18"/>
      <c r="K380" s="18"/>
      <c r="L380" s="18"/>
      <c r="M380" s="106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06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8"/>
      <c r="CC380" s="18"/>
      <c r="CD380" s="18"/>
      <c r="CE380" s="18"/>
      <c r="CF380" s="18"/>
      <c r="CG380" s="18"/>
      <c r="CH380" s="0"/>
      <c r="CP380" s="0"/>
      <c r="CQ380" s="0"/>
      <c r="CR380" s="0"/>
      <c r="CS380" s="0"/>
      <c r="CT380" s="0"/>
      <c r="CU380" s="81"/>
      <c r="CV380" s="110"/>
      <c r="CW380" s="188"/>
      <c r="CX380" s="188"/>
      <c r="CY380" s="152" t="n">
        <f aca="false">EOMONTH(CY379,0)+1</f>
        <v>47543</v>
      </c>
      <c r="CZ380" s="153" t="n">
        <f aca="false">IF(AI380=0,CZ368,AH380+AI380)</f>
        <v>1</v>
      </c>
      <c r="DA380" s="153" t="n">
        <f aca="false">IF(AI380=0,DA368,AI380)</f>
        <v>1.25</v>
      </c>
      <c r="DB380" s="153" t="n">
        <f aca="false">IF(AI380=0,DB368,AI380+AJ380)</f>
        <v>1.55</v>
      </c>
      <c r="DD380" s="132" t="n">
        <f aca="false">IF(Z380=0,DD368,Z380)</f>
        <v>0.0558347442643309</v>
      </c>
      <c r="DE380" s="132" t="n">
        <f aca="false">IF(AA380=0,DE368,AA380)</f>
        <v>0.111669488528662</v>
      </c>
      <c r="DF380" s="132" t="n">
        <f aca="false">IF(AB380=0,DF368,AB380)</f>
        <v>0.167504232792993</v>
      </c>
      <c r="DG380" s="188"/>
      <c r="DH380" s="152" t="n">
        <f aca="false">IF(BH380=0,EOMONTH(DH379,0)+1,BH380)</f>
        <v>47543</v>
      </c>
      <c r="DI380" s="99" t="n">
        <v>0.9</v>
      </c>
    </row>
    <row r="381" customFormat="false" ht="12.75" hidden="false" customHeight="false" outlineLevel="0" collapsed="false">
      <c r="B381" s="99"/>
      <c r="C381" s="96"/>
      <c r="D381" s="18"/>
      <c r="E381" s="18"/>
      <c r="F381" s="18"/>
      <c r="G381" s="18"/>
      <c r="H381" s="18"/>
      <c r="I381" s="18"/>
      <c r="J381" s="18"/>
      <c r="K381" s="18"/>
      <c r="L381" s="18"/>
      <c r="M381" s="106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06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8"/>
      <c r="CC381" s="18"/>
      <c r="CD381" s="18"/>
      <c r="CE381" s="18"/>
      <c r="CF381" s="18"/>
      <c r="CG381" s="18"/>
      <c r="CH381" s="0"/>
      <c r="CP381" s="0"/>
      <c r="CQ381" s="0"/>
      <c r="CR381" s="0"/>
      <c r="CS381" s="0"/>
      <c r="CT381" s="0"/>
      <c r="CU381" s="81"/>
      <c r="CV381" s="110"/>
      <c r="CW381" s="188"/>
      <c r="CX381" s="188"/>
      <c r="CY381" s="152" t="n">
        <f aca="false">EOMONTH(CY380,0)+1</f>
        <v>47574</v>
      </c>
      <c r="CZ381" s="153" t="n">
        <f aca="false">IF(AI381=0,CZ369,AH381+AI381)</f>
        <v>1</v>
      </c>
      <c r="DA381" s="153" t="n">
        <f aca="false">IF(AI381=0,DA369,AI381)</f>
        <v>1.25</v>
      </c>
      <c r="DB381" s="153" t="n">
        <f aca="false">IF(AI381=0,DB369,AI381+AJ381)</f>
        <v>1.55</v>
      </c>
      <c r="DD381" s="132" t="n">
        <f aca="false">IF(Z381=0,DD369,Z381)</f>
        <v>0.0497667728994625</v>
      </c>
      <c r="DE381" s="132" t="n">
        <f aca="false">IF(AA381=0,DE369,AA381)</f>
        <v>0.0995335457989251</v>
      </c>
      <c r="DF381" s="132" t="n">
        <f aca="false">IF(AB381=0,DF369,AB381)</f>
        <v>0.149300318698388</v>
      </c>
      <c r="DG381" s="188"/>
      <c r="DH381" s="152" t="n">
        <f aca="false">IF(BH381=0,EOMONTH(DH380,0)+1,BH381)</f>
        <v>47574</v>
      </c>
      <c r="DI381" s="99" t="n">
        <v>0.9</v>
      </c>
    </row>
    <row r="382" customFormat="false" ht="12.75" hidden="false" customHeight="false" outlineLevel="0" collapsed="false">
      <c r="B382" s="99"/>
      <c r="C382" s="96"/>
      <c r="D382" s="18"/>
      <c r="E382" s="18"/>
      <c r="F382" s="18"/>
      <c r="G382" s="18"/>
      <c r="H382" s="18"/>
      <c r="I382" s="18"/>
      <c r="J382" s="18"/>
      <c r="K382" s="18"/>
      <c r="L382" s="18"/>
      <c r="M382" s="106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06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8"/>
      <c r="CC382" s="18"/>
      <c r="CD382" s="18"/>
      <c r="CE382" s="18"/>
      <c r="CF382" s="18"/>
      <c r="CG382" s="18"/>
      <c r="CH382" s="0"/>
      <c r="CP382" s="0"/>
      <c r="CQ382" s="0"/>
      <c r="CR382" s="0"/>
      <c r="CS382" s="0"/>
      <c r="CT382" s="0"/>
      <c r="CU382" s="81"/>
      <c r="CV382" s="110"/>
      <c r="CW382" s="188"/>
      <c r="CX382" s="188"/>
      <c r="CY382" s="152" t="n">
        <f aca="false">EOMONTH(CY381,0)+1</f>
        <v>47604</v>
      </c>
      <c r="CZ382" s="153" t="n">
        <f aca="false">IF(AI382=0,CZ370,AH382+AI382)</f>
        <v>1</v>
      </c>
      <c r="DA382" s="153" t="n">
        <f aca="false">IF(AI382=0,DA370,AI382)</f>
        <v>1.25</v>
      </c>
      <c r="DB382" s="153" t="n">
        <f aca="false">IF(AI382=0,DB370,AI382+AJ382)</f>
        <v>1.55</v>
      </c>
      <c r="DD382" s="132" t="n">
        <f aca="false">IF(Z382=0,DD370,Z382)</f>
        <v>0.0572929389334078</v>
      </c>
      <c r="DE382" s="132" t="n">
        <f aca="false">IF(AA382=0,DE370,AA382)</f>
        <v>0.114585877866816</v>
      </c>
      <c r="DF382" s="132" t="n">
        <f aca="false">IF(AB382=0,DF370,AB382)</f>
        <v>0.171878816800223</v>
      </c>
      <c r="DG382" s="188"/>
      <c r="DH382" s="152" t="n">
        <f aca="false">IF(BH382=0,EOMONTH(DH381,0)+1,BH382)</f>
        <v>47604</v>
      </c>
      <c r="DI382" s="99" t="n">
        <v>0.9</v>
      </c>
    </row>
    <row r="383" customFormat="false" ht="12.75" hidden="false" customHeight="false" outlineLevel="0" collapsed="false">
      <c r="B383" s="99"/>
      <c r="C383" s="96"/>
      <c r="D383" s="18"/>
      <c r="E383" s="18"/>
      <c r="F383" s="18"/>
      <c r="G383" s="18"/>
      <c r="H383" s="18"/>
      <c r="I383" s="18"/>
      <c r="J383" s="18"/>
      <c r="K383" s="18"/>
      <c r="L383" s="18"/>
      <c r="M383" s="106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06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  <c r="BS383" s="18"/>
      <c r="BT383" s="18"/>
      <c r="BU383" s="18"/>
      <c r="BV383" s="18"/>
      <c r="BW383" s="18"/>
      <c r="BX383" s="18"/>
      <c r="BY383" s="18"/>
      <c r="BZ383" s="18"/>
      <c r="CA383" s="18"/>
      <c r="CB383" s="18"/>
      <c r="CC383" s="18"/>
      <c r="CD383" s="18"/>
      <c r="CE383" s="18"/>
      <c r="CF383" s="18"/>
      <c r="CG383" s="18"/>
      <c r="CH383" s="0"/>
      <c r="CP383" s="0"/>
      <c r="CQ383" s="0"/>
      <c r="CR383" s="0"/>
      <c r="CS383" s="0"/>
      <c r="CT383" s="0"/>
      <c r="CU383" s="81"/>
      <c r="CV383" s="110"/>
      <c r="CW383" s="188"/>
      <c r="CX383" s="188"/>
      <c r="CY383" s="152" t="n">
        <f aca="false">EOMONTH(CY382,0)+1</f>
        <v>47635</v>
      </c>
      <c r="CZ383" s="153" t="n">
        <f aca="false">IF(AI383=0,CZ371,AH383+AI383)</f>
        <v>1</v>
      </c>
      <c r="DA383" s="153" t="n">
        <f aca="false">IF(AI383=0,DA371,AI383)</f>
        <v>1.25</v>
      </c>
      <c r="DB383" s="153" t="n">
        <f aca="false">IF(AI383=0,DB371,AI383+AJ383)</f>
        <v>1.55</v>
      </c>
      <c r="DD383" s="132" t="n">
        <f aca="false">IF(Z383=0,DD371,Z383)</f>
        <v>0.0718278470864644</v>
      </c>
      <c r="DE383" s="132" t="n">
        <f aca="false">IF(AA383=0,DE371,AA383)</f>
        <v>0.143655694172929</v>
      </c>
      <c r="DF383" s="132" t="n">
        <f aca="false">IF(AB383=0,DF371,AB383)</f>
        <v>0.215483541259393</v>
      </c>
      <c r="DG383" s="188"/>
      <c r="DH383" s="152" t="n">
        <f aca="false">IF(BH383=0,EOMONTH(DH382,0)+1,BH383)</f>
        <v>47635</v>
      </c>
      <c r="DI383" s="99" t="n">
        <v>0.9</v>
      </c>
    </row>
    <row r="384" customFormat="false" ht="12.75" hidden="false" customHeight="false" outlineLevel="0" collapsed="false">
      <c r="B384" s="99"/>
      <c r="C384" s="96"/>
      <c r="D384" s="18"/>
      <c r="E384" s="18"/>
      <c r="F384" s="18"/>
      <c r="G384" s="18"/>
      <c r="H384" s="18"/>
      <c r="I384" s="18"/>
      <c r="J384" s="18"/>
      <c r="K384" s="18"/>
      <c r="L384" s="18"/>
      <c r="M384" s="106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06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8"/>
      <c r="CC384" s="18"/>
      <c r="CD384" s="18"/>
      <c r="CE384" s="18"/>
      <c r="CF384" s="18"/>
      <c r="CG384" s="18"/>
      <c r="CH384" s="0"/>
      <c r="CP384" s="0"/>
      <c r="CQ384" s="0"/>
      <c r="CR384" s="0"/>
      <c r="CS384" s="0"/>
      <c r="CT384" s="0"/>
      <c r="CU384" s="81"/>
      <c r="CV384" s="110"/>
      <c r="CW384" s="188"/>
      <c r="CX384" s="188"/>
      <c r="CY384" s="152" t="n">
        <f aca="false">EOMONTH(CY383,0)+1</f>
        <v>47665</v>
      </c>
      <c r="CZ384" s="153" t="n">
        <f aca="false">IF(AI384=0,CZ372,AH384+AI384)</f>
        <v>1</v>
      </c>
      <c r="DA384" s="153" t="n">
        <f aca="false">IF(AI384=0,DA372,AI384)</f>
        <v>1.25</v>
      </c>
      <c r="DB384" s="153" t="n">
        <f aca="false">IF(AI384=0,DB372,AI384+AJ384)</f>
        <v>1.55</v>
      </c>
      <c r="DD384" s="132" t="n">
        <f aca="false">IF(Z384=0,DD372,Z384)</f>
        <v>0.0849986376458685</v>
      </c>
      <c r="DE384" s="132" t="n">
        <f aca="false">IF(AA384=0,DE372,AA384)</f>
        <v>0.169997275291737</v>
      </c>
      <c r="DF384" s="132" t="n">
        <f aca="false">IF(AB384=0,DF372,AB384)</f>
        <v>0.254995912937605</v>
      </c>
      <c r="DG384" s="188"/>
      <c r="DH384" s="152" t="n">
        <f aca="false">IF(BH384=0,EOMONTH(DH383,0)+1,BH384)</f>
        <v>47665</v>
      </c>
      <c r="DI384" s="99" t="n">
        <v>0.9</v>
      </c>
    </row>
    <row r="385" customFormat="false" ht="12.75" hidden="false" customHeight="false" outlineLevel="0" collapsed="false">
      <c r="B385" s="99"/>
      <c r="C385" s="96"/>
      <c r="D385" s="18"/>
      <c r="E385" s="18"/>
      <c r="F385" s="18"/>
      <c r="G385" s="18"/>
      <c r="H385" s="18"/>
      <c r="I385" s="18"/>
      <c r="J385" s="18"/>
      <c r="K385" s="18"/>
      <c r="L385" s="18"/>
      <c r="M385" s="106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06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8"/>
      <c r="CC385" s="18"/>
      <c r="CD385" s="18"/>
      <c r="CE385" s="18"/>
      <c r="CF385" s="18"/>
      <c r="CG385" s="18"/>
      <c r="CH385" s="0"/>
      <c r="CP385" s="0"/>
      <c r="CQ385" s="0"/>
      <c r="CR385" s="0"/>
      <c r="CS385" s="0"/>
      <c r="CT385" s="0"/>
      <c r="CU385" s="81"/>
      <c r="CV385" s="110"/>
      <c r="CW385" s="188"/>
      <c r="CX385" s="188"/>
      <c r="CY385" s="152" t="n">
        <f aca="false">EOMONTH(CY384,0)+1</f>
        <v>47696</v>
      </c>
      <c r="CZ385" s="153" t="n">
        <f aca="false">IF(AI385=0,CZ373,AH385+AI385)</f>
        <v>1</v>
      </c>
      <c r="DA385" s="153" t="n">
        <f aca="false">IF(AI385=0,DA373,AI385)</f>
        <v>1.25</v>
      </c>
      <c r="DB385" s="153" t="n">
        <f aca="false">IF(AI385=0,DB373,AI385+AJ385)</f>
        <v>1.55</v>
      </c>
      <c r="DD385" s="132" t="n">
        <f aca="false">IF(Z385=0,DD373,Z385)</f>
        <v>0.0836345200522159</v>
      </c>
      <c r="DE385" s="132" t="n">
        <f aca="false">IF(AA385=0,DE373,AA385)</f>
        <v>0.167269040104432</v>
      </c>
      <c r="DF385" s="132" t="n">
        <f aca="false">IF(AB385=0,DF373,AB385)</f>
        <v>0.250903560156648</v>
      </c>
      <c r="DG385" s="188"/>
      <c r="DH385" s="152" t="n">
        <f aca="false">IF(BH385=0,EOMONTH(DH384,0)+1,BH385)</f>
        <v>47696</v>
      </c>
      <c r="DI385" s="99" t="n">
        <v>0.9</v>
      </c>
    </row>
    <row r="386" customFormat="false" ht="12.75" hidden="false" customHeight="false" outlineLevel="0" collapsed="false">
      <c r="B386" s="99"/>
      <c r="C386" s="96"/>
      <c r="D386" s="18"/>
      <c r="E386" s="18"/>
      <c r="F386" s="18"/>
      <c r="G386" s="18"/>
      <c r="H386" s="18"/>
      <c r="I386" s="18"/>
      <c r="J386" s="18"/>
      <c r="K386" s="18"/>
      <c r="L386" s="18"/>
      <c r="M386" s="106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06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  <c r="BS386" s="18"/>
      <c r="BT386" s="18"/>
      <c r="BU386" s="18"/>
      <c r="BV386" s="18"/>
      <c r="BW386" s="18"/>
      <c r="BX386" s="18"/>
      <c r="BY386" s="18"/>
      <c r="BZ386" s="18"/>
      <c r="CA386" s="18"/>
      <c r="CB386" s="18"/>
      <c r="CC386" s="18"/>
      <c r="CD386" s="18"/>
      <c r="CE386" s="18"/>
      <c r="CF386" s="18"/>
      <c r="CG386" s="18"/>
      <c r="CH386" s="0"/>
      <c r="CP386" s="0"/>
      <c r="CQ386" s="0"/>
      <c r="CR386" s="0"/>
      <c r="CS386" s="0"/>
      <c r="CT386" s="0"/>
      <c r="CU386" s="81"/>
      <c r="CV386" s="110"/>
      <c r="CW386" s="188"/>
      <c r="CX386" s="188"/>
      <c r="CY386" s="152" t="n">
        <f aca="false">EOMONTH(CY385,0)+1</f>
        <v>47727</v>
      </c>
      <c r="CZ386" s="153" t="n">
        <f aca="false">IF(AI386=0,CZ374,AH386+AI386)</f>
        <v>1</v>
      </c>
      <c r="DA386" s="153" t="n">
        <f aca="false">IF(AI386=0,DA374,AI386)</f>
        <v>1.25</v>
      </c>
      <c r="DB386" s="153" t="n">
        <f aca="false">IF(AI386=0,DB374,AI386+AJ386)</f>
        <v>1.55</v>
      </c>
      <c r="DD386" s="132" t="n">
        <f aca="false">IF(Z386=0,DD374,Z386)</f>
        <v>0.0554113974249214</v>
      </c>
      <c r="DE386" s="132" t="n">
        <f aca="false">IF(AA386=0,DE374,AA386)</f>
        <v>0.110822794849843</v>
      </c>
      <c r="DF386" s="132" t="n">
        <f aca="false">IF(AB386=0,DF374,AB386)</f>
        <v>0.166234192274764</v>
      </c>
      <c r="DG386" s="188"/>
      <c r="DH386" s="152" t="n">
        <f aca="false">IF(BH386=0,EOMONTH(DH385,0)+1,BH386)</f>
        <v>47727</v>
      </c>
      <c r="DI386" s="99" t="n">
        <v>0.9</v>
      </c>
    </row>
    <row r="387" customFormat="false" ht="12.75" hidden="false" customHeight="false" outlineLevel="0" collapsed="false">
      <c r="B387" s="99"/>
      <c r="C387" s="96"/>
      <c r="D387" s="18"/>
      <c r="E387" s="18"/>
      <c r="F387" s="18"/>
      <c r="G387" s="18"/>
      <c r="H387" s="18"/>
      <c r="I387" s="18"/>
      <c r="J387" s="18"/>
      <c r="K387" s="18"/>
      <c r="L387" s="18"/>
      <c r="M387" s="106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06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  <c r="BS387" s="18"/>
      <c r="BT387" s="18"/>
      <c r="BU387" s="18"/>
      <c r="BV387" s="18"/>
      <c r="BW387" s="18"/>
      <c r="BX387" s="18"/>
      <c r="BY387" s="18"/>
      <c r="BZ387" s="18"/>
      <c r="CA387" s="18"/>
      <c r="CB387" s="18"/>
      <c r="CC387" s="18"/>
      <c r="CD387" s="18"/>
      <c r="CE387" s="18"/>
      <c r="CF387" s="18"/>
      <c r="CG387" s="18"/>
      <c r="CH387" s="0"/>
      <c r="CP387" s="0"/>
      <c r="CQ387" s="0"/>
      <c r="CR387" s="0"/>
      <c r="CS387" s="0"/>
      <c r="CT387" s="0"/>
      <c r="CU387" s="81"/>
      <c r="CV387" s="110"/>
      <c r="CW387" s="188"/>
      <c r="CX387" s="188"/>
      <c r="CY387" s="152" t="n">
        <f aca="false">EOMONTH(CY386,0)+1</f>
        <v>47757</v>
      </c>
      <c r="CZ387" s="153" t="n">
        <f aca="false">IF(AI387=0,CZ375,AH387+AI387)</f>
        <v>0.85</v>
      </c>
      <c r="DA387" s="153" t="n">
        <f aca="false">IF(AI387=0,DA375,AI387)</f>
        <v>1.1</v>
      </c>
      <c r="DB387" s="153" t="n">
        <f aca="false">IF(AI387=0,DB375,AI387+AJ387)</f>
        <v>1.4</v>
      </c>
      <c r="DD387" s="132" t="n">
        <f aca="false">IF(Z387=0,DD375,Z387)</f>
        <v>0.0532773332402962</v>
      </c>
      <c r="DE387" s="132" t="n">
        <f aca="false">IF(AA387=0,DE375,AA387)</f>
        <v>0.106554666480592</v>
      </c>
      <c r="DF387" s="132" t="n">
        <f aca="false">IF(AB387=0,DF375,AB387)</f>
        <v>0.159831999720889</v>
      </c>
      <c r="DG387" s="188"/>
      <c r="DH387" s="152" t="n">
        <f aca="false">IF(BH387=0,EOMONTH(DH386,0)+1,BH387)</f>
        <v>47757</v>
      </c>
      <c r="DI387" s="99" t="n">
        <v>0.9</v>
      </c>
    </row>
    <row r="388" customFormat="false" ht="12.75" hidden="false" customHeight="false" outlineLevel="0" collapsed="false">
      <c r="B388" s="99"/>
      <c r="C388" s="96"/>
      <c r="D388" s="18"/>
      <c r="E388" s="18"/>
      <c r="F388" s="18"/>
      <c r="G388" s="18"/>
      <c r="H388" s="18"/>
      <c r="I388" s="18"/>
      <c r="J388" s="18"/>
      <c r="K388" s="18"/>
      <c r="L388" s="18"/>
      <c r="M388" s="106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06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8"/>
      <c r="CC388" s="18"/>
      <c r="CD388" s="18"/>
      <c r="CE388" s="18"/>
      <c r="CF388" s="18"/>
      <c r="CG388" s="18"/>
      <c r="CH388" s="0"/>
      <c r="CP388" s="0"/>
      <c r="CQ388" s="0"/>
      <c r="CR388" s="0"/>
      <c r="CS388" s="0"/>
      <c r="CT388" s="0"/>
      <c r="CU388" s="81"/>
      <c r="CV388" s="110"/>
      <c r="CW388" s="188"/>
      <c r="CX388" s="188"/>
      <c r="CY388" s="152" t="n">
        <f aca="false">EOMONTH(CY387,0)+1</f>
        <v>47788</v>
      </c>
      <c r="CZ388" s="153" t="n">
        <f aca="false">IF(AI388=0,CZ376,AH388+AI388)</f>
        <v>1</v>
      </c>
      <c r="DA388" s="153" t="n">
        <f aca="false">IF(AI388=0,DA376,AI388)</f>
        <v>1.25</v>
      </c>
      <c r="DB388" s="153" t="n">
        <f aca="false">IF(AI388=0,DB376,AI388+AJ388)</f>
        <v>1.55</v>
      </c>
      <c r="DD388" s="132" t="n">
        <f aca="false">IF(Z388=0,DD376,Z388)</f>
        <v>0.0532773332402962</v>
      </c>
      <c r="DE388" s="132" t="n">
        <f aca="false">IF(AA388=0,DE376,AA388)</f>
        <v>0.106554666480592</v>
      </c>
      <c r="DF388" s="132" t="n">
        <f aca="false">IF(AB388=0,DF376,AB388)</f>
        <v>0.159831999720889</v>
      </c>
      <c r="DG388" s="188"/>
      <c r="DH388" s="152" t="n">
        <f aca="false">IF(BH388=0,EOMONTH(DH387,0)+1,BH388)</f>
        <v>47788</v>
      </c>
      <c r="DI388" s="99" t="n">
        <v>0.9</v>
      </c>
    </row>
    <row r="389" customFormat="false" ht="12.75" hidden="false" customHeight="false" outlineLevel="0" collapsed="false">
      <c r="B389" s="99"/>
      <c r="C389" s="96"/>
      <c r="D389" s="18"/>
      <c r="E389" s="18"/>
      <c r="F389" s="18"/>
      <c r="G389" s="18"/>
      <c r="H389" s="18"/>
      <c r="I389" s="18"/>
      <c r="J389" s="18"/>
      <c r="K389" s="18"/>
      <c r="L389" s="18"/>
      <c r="M389" s="106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06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8"/>
      <c r="CC389" s="18"/>
      <c r="CD389" s="18"/>
      <c r="CE389" s="18"/>
      <c r="CF389" s="18"/>
      <c r="CG389" s="18"/>
      <c r="CH389" s="0"/>
      <c r="CP389" s="0"/>
      <c r="CQ389" s="0"/>
      <c r="CR389" s="0"/>
      <c r="CS389" s="0"/>
      <c r="CT389" s="0"/>
      <c r="CU389" s="81"/>
      <c r="CV389" s="110"/>
      <c r="CW389" s="188"/>
      <c r="CX389" s="188"/>
      <c r="CY389" s="152" t="n">
        <f aca="false">EOMONTH(CY388,0)+1</f>
        <v>47818</v>
      </c>
      <c r="CZ389" s="153" t="n">
        <f aca="false">IF(AI389=0,CZ377,AH389+AI389)</f>
        <v>1</v>
      </c>
      <c r="DA389" s="153" t="n">
        <f aca="false">IF(AI389=0,DA377,AI389)</f>
        <v>1.25</v>
      </c>
      <c r="DB389" s="153" t="n">
        <f aca="false">IF(AI389=0,DB377,AI389+AJ389)</f>
        <v>1.55</v>
      </c>
      <c r="DD389" s="132" t="n">
        <f aca="false">IF(Z389=0,DD377,Z389)</f>
        <v>0.0551786804488718</v>
      </c>
      <c r="DE389" s="132" t="n">
        <f aca="false">IF(AA389=0,DE377,AA389)</f>
        <v>0.110357360897744</v>
      </c>
      <c r="DF389" s="132" t="n">
        <f aca="false">IF(AB389=0,DF377,AB389)</f>
        <v>0.165536041346615</v>
      </c>
      <c r="DG389" s="188"/>
      <c r="DH389" s="152" t="n">
        <f aca="false">IF(BH389=0,EOMONTH(DH388,0)+1,BH389)</f>
        <v>47818</v>
      </c>
      <c r="DI389" s="99" t="n">
        <v>0.9</v>
      </c>
    </row>
    <row r="390" customFormat="false" ht="12.75" hidden="false" customHeight="false" outlineLevel="0" collapsed="false">
      <c r="B390" s="99"/>
      <c r="C390" s="96"/>
      <c r="D390" s="18"/>
      <c r="E390" s="18"/>
      <c r="F390" s="18"/>
      <c r="G390" s="18"/>
      <c r="H390" s="18"/>
      <c r="I390" s="18"/>
      <c r="J390" s="18"/>
      <c r="K390" s="18"/>
      <c r="L390" s="18"/>
      <c r="M390" s="106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06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8"/>
      <c r="CC390" s="18"/>
      <c r="CD390" s="18"/>
      <c r="CE390" s="18"/>
      <c r="CF390" s="18"/>
      <c r="CG390" s="18"/>
      <c r="CH390" s="0"/>
      <c r="CP390" s="0"/>
      <c r="CQ390" s="0"/>
      <c r="CR390" s="0"/>
      <c r="CS390" s="0"/>
      <c r="CT390" s="0"/>
      <c r="CU390" s="81"/>
      <c r="CV390" s="110"/>
      <c r="CW390" s="188"/>
      <c r="CX390" s="188"/>
      <c r="CY390" s="152" t="n">
        <f aca="false">EOMONTH(CY389,0)+1</f>
        <v>47849</v>
      </c>
      <c r="CZ390" s="153" t="n">
        <f aca="false">IF(AI390=0,CZ378,AH390+AI390)</f>
        <v>1.25</v>
      </c>
      <c r="DA390" s="153" t="n">
        <f aca="false">IF(AI390=0,DA378,AI390)</f>
        <v>2</v>
      </c>
      <c r="DB390" s="153" t="n">
        <f aca="false">IF(AI390=0,DB378,AI390+AJ390)</f>
        <v>2.75</v>
      </c>
      <c r="DD390" s="132" t="n">
        <f aca="false">IF(Z390=0,DD378,Z390)</f>
        <v>0.0593730876011232</v>
      </c>
      <c r="DE390" s="132" t="n">
        <f aca="false">IF(AA390=0,DE378,AA390)</f>
        <v>0.118746175202246</v>
      </c>
      <c r="DF390" s="132" t="n">
        <f aca="false">IF(AB390=0,DF378,AB390)</f>
        <v>0.17811926280337</v>
      </c>
      <c r="DG390" s="188"/>
      <c r="DH390" s="152" t="n">
        <f aca="false">IF(BH390=0,EOMONTH(DH389,0)+1,BH390)</f>
        <v>47849</v>
      </c>
      <c r="DI390" s="99" t="n">
        <v>0.9</v>
      </c>
    </row>
    <row r="391" customFormat="false" ht="12.75" hidden="false" customHeight="false" outlineLevel="0" collapsed="false">
      <c r="B391" s="99"/>
      <c r="C391" s="96"/>
      <c r="D391" s="18"/>
      <c r="E391" s="18"/>
      <c r="F391" s="18"/>
      <c r="G391" s="18"/>
      <c r="H391" s="18"/>
      <c r="I391" s="18"/>
      <c r="J391" s="18"/>
      <c r="K391" s="18"/>
      <c r="L391" s="18"/>
      <c r="M391" s="106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06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  <c r="BS391" s="18"/>
      <c r="BT391" s="18"/>
      <c r="BU391" s="18"/>
      <c r="BV391" s="18"/>
      <c r="BW391" s="18"/>
      <c r="BX391" s="18"/>
      <c r="BY391" s="18"/>
      <c r="BZ391" s="18"/>
      <c r="CA391" s="18"/>
      <c r="CB391" s="18"/>
      <c r="CC391" s="18"/>
      <c r="CD391" s="18"/>
      <c r="CE391" s="18"/>
      <c r="CF391" s="18"/>
      <c r="CG391" s="18"/>
      <c r="CH391" s="0"/>
      <c r="CP391" s="0"/>
      <c r="CQ391" s="0"/>
      <c r="CR391" s="0"/>
      <c r="CS391" s="0"/>
      <c r="CT391" s="0"/>
      <c r="CU391" s="81"/>
      <c r="CV391" s="110"/>
      <c r="CW391" s="188"/>
      <c r="CX391" s="188"/>
      <c r="CY391" s="152" t="n">
        <f aca="false">EOMONTH(CY390,0)+1</f>
        <v>47880</v>
      </c>
      <c r="CZ391" s="153" t="n">
        <f aca="false">IF(AI391=0,CZ379,AH391+AI391)</f>
        <v>1.25</v>
      </c>
      <c r="DA391" s="153" t="n">
        <f aca="false">IF(AI391=0,DA379,AI391)</f>
        <v>2</v>
      </c>
      <c r="DB391" s="153" t="n">
        <f aca="false">IF(AI391=0,DB379,AI391+AJ391)</f>
        <v>2.75</v>
      </c>
      <c r="DD391" s="132" t="n">
        <f aca="false">IF(Z391=0,DD379,Z391)</f>
        <v>0.0572824859250273</v>
      </c>
      <c r="DE391" s="132" t="n">
        <f aca="false">IF(AA391=0,DE379,AA391)</f>
        <v>0.114564971850055</v>
      </c>
      <c r="DF391" s="132" t="n">
        <f aca="false">IF(AB391=0,DF379,AB391)</f>
        <v>0.171847457775082</v>
      </c>
      <c r="DG391" s="188"/>
      <c r="DH391" s="152" t="n">
        <f aca="false">IF(BH391=0,EOMONTH(DH390,0)+1,BH391)</f>
        <v>47880</v>
      </c>
      <c r="DI391" s="99" t="n">
        <v>0.9</v>
      </c>
    </row>
    <row r="392" customFormat="false" ht="12.75" hidden="false" customHeight="false" outlineLevel="0" collapsed="false">
      <c r="B392" s="99"/>
      <c r="C392" s="96"/>
      <c r="D392" s="18"/>
      <c r="E392" s="18"/>
      <c r="F392" s="18"/>
      <c r="G392" s="18"/>
      <c r="H392" s="18"/>
      <c r="I392" s="18"/>
      <c r="J392" s="18"/>
      <c r="K392" s="18"/>
      <c r="L392" s="18"/>
      <c r="M392" s="106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06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8"/>
      <c r="CC392" s="18"/>
      <c r="CD392" s="18"/>
      <c r="CE392" s="18"/>
      <c r="CF392" s="18"/>
      <c r="CG392" s="18"/>
      <c r="CH392" s="0"/>
      <c r="CP392" s="0"/>
      <c r="CQ392" s="0"/>
      <c r="CR392" s="0"/>
      <c r="CS392" s="0"/>
      <c r="CT392" s="0"/>
      <c r="CU392" s="81"/>
      <c r="CV392" s="110"/>
      <c r="CW392" s="188"/>
      <c r="CX392" s="188"/>
      <c r="CY392" s="152" t="n">
        <f aca="false">EOMONTH(CY391,0)+1</f>
        <v>47908</v>
      </c>
      <c r="CZ392" s="153" t="n">
        <f aca="false">IF(AI392=0,CZ380,AH392+AI392)</f>
        <v>1</v>
      </c>
      <c r="DA392" s="153" t="n">
        <f aca="false">IF(AI392=0,DA380,AI392)</f>
        <v>1.25</v>
      </c>
      <c r="DB392" s="153" t="n">
        <f aca="false">IF(AI392=0,DB380,AI392+AJ392)</f>
        <v>1.55</v>
      </c>
      <c r="DD392" s="132" t="n">
        <f aca="false">IF(Z392=0,DD380,Z392)</f>
        <v>0.0558347442643309</v>
      </c>
      <c r="DE392" s="132" t="n">
        <f aca="false">IF(AA392=0,DE380,AA392)</f>
        <v>0.111669488528662</v>
      </c>
      <c r="DF392" s="132" t="n">
        <f aca="false">IF(AB392=0,DF380,AB392)</f>
        <v>0.167504232792993</v>
      </c>
      <c r="DG392" s="188"/>
      <c r="DH392" s="152" t="n">
        <f aca="false">IF(BH392=0,EOMONTH(DH391,0)+1,BH392)</f>
        <v>47908</v>
      </c>
      <c r="DI392" s="99" t="n">
        <v>0.9</v>
      </c>
    </row>
    <row r="393" customFormat="false" ht="12.75" hidden="false" customHeight="false" outlineLevel="0" collapsed="false">
      <c r="B393" s="99"/>
      <c r="C393" s="96"/>
      <c r="D393" s="18"/>
      <c r="E393" s="18"/>
      <c r="F393" s="18"/>
      <c r="G393" s="18"/>
      <c r="H393" s="18"/>
      <c r="I393" s="18"/>
      <c r="J393" s="18"/>
      <c r="K393" s="18"/>
      <c r="L393" s="18"/>
      <c r="M393" s="106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06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8"/>
      <c r="CC393" s="18"/>
      <c r="CD393" s="18"/>
      <c r="CE393" s="18"/>
      <c r="CF393" s="18"/>
      <c r="CG393" s="18"/>
      <c r="CH393" s="0"/>
      <c r="CP393" s="0"/>
      <c r="CQ393" s="0"/>
      <c r="CR393" s="0"/>
      <c r="CS393" s="0"/>
      <c r="CT393" s="0"/>
      <c r="CU393" s="81"/>
      <c r="CV393" s="110"/>
      <c r="CW393" s="188"/>
      <c r="CX393" s="188"/>
      <c r="CY393" s="152" t="n">
        <f aca="false">EOMONTH(CY392,0)+1</f>
        <v>47939</v>
      </c>
      <c r="CZ393" s="153" t="n">
        <f aca="false">IF(AI393=0,CZ381,AH393+AI393)</f>
        <v>1</v>
      </c>
      <c r="DA393" s="153" t="n">
        <f aca="false">IF(AI393=0,DA381,AI393)</f>
        <v>1.25</v>
      </c>
      <c r="DB393" s="153" t="n">
        <f aca="false">IF(AI393=0,DB381,AI393+AJ393)</f>
        <v>1.55</v>
      </c>
      <c r="DD393" s="132" t="n">
        <f aca="false">IF(Z393=0,DD381,Z393)</f>
        <v>0.0497667728994625</v>
      </c>
      <c r="DE393" s="132" t="n">
        <f aca="false">IF(AA393=0,DE381,AA393)</f>
        <v>0.0995335457989251</v>
      </c>
      <c r="DF393" s="132" t="n">
        <f aca="false">IF(AB393=0,DF381,AB393)</f>
        <v>0.149300318698388</v>
      </c>
      <c r="DG393" s="188"/>
      <c r="DH393" s="152" t="n">
        <f aca="false">IF(BH393=0,EOMONTH(DH392,0)+1,BH393)</f>
        <v>47939</v>
      </c>
      <c r="DI393" s="99" t="n">
        <v>0.9</v>
      </c>
    </row>
    <row r="394" customFormat="false" ht="12.75" hidden="false" customHeight="false" outlineLevel="0" collapsed="false">
      <c r="B394" s="99"/>
      <c r="C394" s="96"/>
      <c r="D394" s="18"/>
      <c r="E394" s="18"/>
      <c r="F394" s="18"/>
      <c r="G394" s="18"/>
      <c r="H394" s="18"/>
      <c r="I394" s="18"/>
      <c r="J394" s="18"/>
      <c r="K394" s="18"/>
      <c r="L394" s="18"/>
      <c r="M394" s="106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06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  <c r="BS394" s="18"/>
      <c r="BT394" s="18"/>
      <c r="BU394" s="18"/>
      <c r="BV394" s="18"/>
      <c r="BW394" s="18"/>
      <c r="BX394" s="18"/>
      <c r="BY394" s="18"/>
      <c r="BZ394" s="18"/>
      <c r="CA394" s="18"/>
      <c r="CB394" s="18"/>
      <c r="CC394" s="18"/>
      <c r="CD394" s="18"/>
      <c r="CE394" s="18"/>
      <c r="CF394" s="18"/>
      <c r="CG394" s="18"/>
      <c r="CH394" s="0"/>
      <c r="CP394" s="0"/>
      <c r="CQ394" s="0"/>
      <c r="CR394" s="0"/>
      <c r="CS394" s="0"/>
      <c r="CT394" s="0"/>
      <c r="CU394" s="81"/>
      <c r="CV394" s="110"/>
      <c r="CW394" s="188"/>
      <c r="CX394" s="188"/>
      <c r="CY394" s="152" t="n">
        <f aca="false">EOMONTH(CY393,0)+1</f>
        <v>47969</v>
      </c>
      <c r="CZ394" s="153" t="n">
        <f aca="false">IF(AI394=0,CZ382,AH394+AI394)</f>
        <v>1</v>
      </c>
      <c r="DA394" s="153" t="n">
        <f aca="false">IF(AI394=0,DA382,AI394)</f>
        <v>1.25</v>
      </c>
      <c r="DB394" s="153" t="n">
        <f aca="false">IF(AI394=0,DB382,AI394+AJ394)</f>
        <v>1.55</v>
      </c>
      <c r="DD394" s="132" t="n">
        <f aca="false">IF(Z394=0,DD382,Z394)</f>
        <v>0.0572929389334078</v>
      </c>
      <c r="DE394" s="132" t="n">
        <f aca="false">IF(AA394=0,DE382,AA394)</f>
        <v>0.114585877866816</v>
      </c>
      <c r="DF394" s="132" t="n">
        <f aca="false">IF(AB394=0,DF382,AB394)</f>
        <v>0.171878816800223</v>
      </c>
      <c r="DG394" s="188"/>
      <c r="DH394" s="152" t="n">
        <f aca="false">IF(BH394=0,EOMONTH(DH393,0)+1,BH394)</f>
        <v>47969</v>
      </c>
      <c r="DI394" s="99" t="n">
        <v>0.9</v>
      </c>
    </row>
    <row r="395" customFormat="false" ht="12.75" hidden="false" customHeight="false" outlineLevel="0" collapsed="false">
      <c r="B395" s="99"/>
      <c r="C395" s="96"/>
      <c r="D395" s="18"/>
      <c r="E395" s="18"/>
      <c r="F395" s="18"/>
      <c r="G395" s="18"/>
      <c r="H395" s="18"/>
      <c r="I395" s="18"/>
      <c r="J395" s="18"/>
      <c r="K395" s="18"/>
      <c r="L395" s="18"/>
      <c r="M395" s="106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06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  <c r="BS395" s="18"/>
      <c r="BT395" s="18"/>
      <c r="BU395" s="18"/>
      <c r="BV395" s="18"/>
      <c r="BW395" s="18"/>
      <c r="BX395" s="18"/>
      <c r="BY395" s="18"/>
      <c r="BZ395" s="18"/>
      <c r="CA395" s="18"/>
      <c r="CB395" s="18"/>
      <c r="CC395" s="18"/>
      <c r="CD395" s="18"/>
      <c r="CE395" s="18"/>
      <c r="CF395" s="18"/>
      <c r="CG395" s="18"/>
      <c r="CH395" s="0"/>
      <c r="CP395" s="0"/>
      <c r="CQ395" s="0"/>
      <c r="CR395" s="0"/>
      <c r="CS395" s="0"/>
      <c r="CT395" s="0"/>
      <c r="CU395" s="81"/>
      <c r="CV395" s="110"/>
      <c r="CW395" s="188"/>
      <c r="CX395" s="188"/>
      <c r="CY395" s="152" t="n">
        <f aca="false">EOMONTH(CY394,0)+1</f>
        <v>48000</v>
      </c>
      <c r="CZ395" s="153" t="n">
        <f aca="false">IF(AI395=0,CZ383,AH395+AI395)</f>
        <v>1</v>
      </c>
      <c r="DA395" s="153" t="n">
        <f aca="false">IF(AI395=0,DA383,AI395)</f>
        <v>1.25</v>
      </c>
      <c r="DB395" s="153" t="n">
        <f aca="false">IF(AI395=0,DB383,AI395+AJ395)</f>
        <v>1.55</v>
      </c>
      <c r="DD395" s="132" t="n">
        <f aca="false">IF(Z395=0,DD383,Z395)</f>
        <v>0.0718278470864644</v>
      </c>
      <c r="DE395" s="132" t="n">
        <f aca="false">IF(AA395=0,DE383,AA395)</f>
        <v>0.143655694172929</v>
      </c>
      <c r="DF395" s="132" t="n">
        <f aca="false">IF(AB395=0,DF383,AB395)</f>
        <v>0.215483541259393</v>
      </c>
      <c r="DG395" s="188"/>
      <c r="DH395" s="152" t="n">
        <f aca="false">IF(BH395=0,EOMONTH(DH394,0)+1,BH395)</f>
        <v>48000</v>
      </c>
      <c r="DI395" s="99" t="n">
        <v>0.9</v>
      </c>
    </row>
    <row r="396" customFormat="false" ht="12.75" hidden="false" customHeight="false" outlineLevel="0" collapsed="false">
      <c r="B396" s="99"/>
      <c r="C396" s="96"/>
      <c r="D396" s="18"/>
      <c r="E396" s="18"/>
      <c r="F396" s="18"/>
      <c r="G396" s="18"/>
      <c r="H396" s="18"/>
      <c r="I396" s="18"/>
      <c r="J396" s="18"/>
      <c r="K396" s="18"/>
      <c r="L396" s="18"/>
      <c r="M396" s="106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06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8"/>
      <c r="CC396" s="18"/>
      <c r="CD396" s="18"/>
      <c r="CE396" s="18"/>
      <c r="CF396" s="18"/>
      <c r="CG396" s="18"/>
      <c r="CH396" s="0"/>
      <c r="CP396" s="0"/>
      <c r="CQ396" s="0"/>
      <c r="CR396" s="0"/>
      <c r="CS396" s="0"/>
      <c r="CT396" s="0"/>
      <c r="CU396" s="81"/>
      <c r="CV396" s="110"/>
      <c r="CW396" s="188"/>
      <c r="CX396" s="188"/>
      <c r="CY396" s="152" t="n">
        <f aca="false">EOMONTH(CY395,0)+1</f>
        <v>48030</v>
      </c>
      <c r="CZ396" s="153" t="n">
        <f aca="false">IF(AI396=0,CZ384,AH396+AI396)</f>
        <v>1</v>
      </c>
      <c r="DA396" s="153" t="n">
        <f aca="false">IF(AI396=0,DA384,AI396)</f>
        <v>1.25</v>
      </c>
      <c r="DB396" s="153" t="n">
        <f aca="false">IF(AI396=0,DB384,AI396+AJ396)</f>
        <v>1.55</v>
      </c>
      <c r="DD396" s="132" t="n">
        <f aca="false">IF(Z396=0,DD384,Z396)</f>
        <v>0.0849986376458685</v>
      </c>
      <c r="DE396" s="132" t="n">
        <f aca="false">IF(AA396=0,DE384,AA396)</f>
        <v>0.169997275291737</v>
      </c>
      <c r="DF396" s="132" t="n">
        <f aca="false">IF(AB396=0,DF384,AB396)</f>
        <v>0.254995912937605</v>
      </c>
      <c r="DG396" s="188"/>
      <c r="DH396" s="152" t="n">
        <f aca="false">IF(BH396=0,EOMONTH(DH395,0)+1,BH396)</f>
        <v>48030</v>
      </c>
      <c r="DI396" s="99" t="n">
        <v>0.9</v>
      </c>
    </row>
    <row r="397" customFormat="false" ht="12.75" hidden="false" customHeight="false" outlineLevel="0" collapsed="false">
      <c r="B397" s="99"/>
      <c r="C397" s="96"/>
      <c r="D397" s="18"/>
      <c r="E397" s="18"/>
      <c r="F397" s="18"/>
      <c r="G397" s="18"/>
      <c r="H397" s="18"/>
      <c r="I397" s="18"/>
      <c r="J397" s="18"/>
      <c r="K397" s="18"/>
      <c r="L397" s="18"/>
      <c r="M397" s="106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06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8"/>
      <c r="CC397" s="18"/>
      <c r="CD397" s="18"/>
      <c r="CE397" s="18"/>
      <c r="CF397" s="18"/>
      <c r="CG397" s="18"/>
      <c r="CH397" s="0"/>
      <c r="CP397" s="0"/>
      <c r="CQ397" s="0"/>
      <c r="CR397" s="0"/>
      <c r="CS397" s="0"/>
      <c r="CT397" s="0"/>
      <c r="CU397" s="81"/>
      <c r="CV397" s="110"/>
      <c r="CW397" s="188"/>
      <c r="CX397" s="188"/>
      <c r="CY397" s="152" t="n">
        <f aca="false">EOMONTH(CY396,0)+1</f>
        <v>48061</v>
      </c>
      <c r="CZ397" s="153" t="n">
        <f aca="false">IF(AI397=0,CZ385,AH397+AI397)</f>
        <v>1</v>
      </c>
      <c r="DA397" s="153" t="n">
        <f aca="false">IF(AI397=0,DA385,AI397)</f>
        <v>1.25</v>
      </c>
      <c r="DB397" s="153" t="n">
        <f aca="false">IF(AI397=0,DB385,AI397+AJ397)</f>
        <v>1.55</v>
      </c>
      <c r="DD397" s="132" t="n">
        <f aca="false">IF(Z397=0,DD385,Z397)</f>
        <v>0.0836345200522159</v>
      </c>
      <c r="DE397" s="132" t="n">
        <f aca="false">IF(AA397=0,DE385,AA397)</f>
        <v>0.167269040104432</v>
      </c>
      <c r="DF397" s="132" t="n">
        <f aca="false">IF(AB397=0,DF385,AB397)</f>
        <v>0.250903560156648</v>
      </c>
      <c r="DG397" s="188"/>
      <c r="DH397" s="152" t="n">
        <f aca="false">IF(BH397=0,EOMONTH(DH396,0)+1,BH397)</f>
        <v>48061</v>
      </c>
      <c r="DI397" s="99" t="n">
        <v>0.9</v>
      </c>
    </row>
    <row r="398" customFormat="false" ht="12.75" hidden="false" customHeight="false" outlineLevel="0" collapsed="false">
      <c r="B398" s="99"/>
      <c r="C398" s="96"/>
      <c r="D398" s="18"/>
      <c r="E398" s="18"/>
      <c r="F398" s="18"/>
      <c r="G398" s="18"/>
      <c r="H398" s="18"/>
      <c r="I398" s="18"/>
      <c r="J398" s="18"/>
      <c r="K398" s="18"/>
      <c r="L398" s="18"/>
      <c r="M398" s="106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06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8"/>
      <c r="CC398" s="18"/>
      <c r="CD398" s="18"/>
      <c r="CE398" s="18"/>
      <c r="CF398" s="18"/>
      <c r="CG398" s="18"/>
      <c r="CH398" s="0"/>
      <c r="CP398" s="0"/>
      <c r="CQ398" s="0"/>
      <c r="CR398" s="0"/>
      <c r="CS398" s="0"/>
      <c r="CT398" s="0"/>
      <c r="CU398" s="81"/>
      <c r="CV398" s="110"/>
      <c r="CW398" s="188"/>
      <c r="CX398" s="188"/>
      <c r="CY398" s="152" t="n">
        <f aca="false">EOMONTH(CY397,0)+1</f>
        <v>48092</v>
      </c>
      <c r="CZ398" s="153" t="n">
        <f aca="false">IF(AI398=0,CZ386,AH398+AI398)</f>
        <v>1</v>
      </c>
      <c r="DA398" s="153" t="n">
        <f aca="false">IF(AI398=0,DA386,AI398)</f>
        <v>1.25</v>
      </c>
      <c r="DB398" s="153" t="n">
        <f aca="false">IF(AI398=0,DB386,AI398+AJ398)</f>
        <v>1.55</v>
      </c>
      <c r="DD398" s="132" t="n">
        <f aca="false">IF(Z398=0,DD386,Z398)</f>
        <v>0.0554113974249214</v>
      </c>
      <c r="DE398" s="132" t="n">
        <f aca="false">IF(AA398=0,DE386,AA398)</f>
        <v>0.110822794849843</v>
      </c>
      <c r="DF398" s="132" t="n">
        <f aca="false">IF(AB398=0,DF386,AB398)</f>
        <v>0.166234192274764</v>
      </c>
      <c r="DG398" s="188"/>
      <c r="DH398" s="152" t="n">
        <f aca="false">IF(BH398=0,EOMONTH(DH397,0)+1,BH398)</f>
        <v>48092</v>
      </c>
      <c r="DI398" s="99" t="n">
        <v>0.9</v>
      </c>
    </row>
    <row r="399" customFormat="false" ht="12.75" hidden="false" customHeight="false" outlineLevel="0" collapsed="false">
      <c r="B399" s="99"/>
      <c r="C399" s="96"/>
      <c r="D399" s="18"/>
      <c r="E399" s="18"/>
      <c r="F399" s="18"/>
      <c r="G399" s="18"/>
      <c r="H399" s="18"/>
      <c r="I399" s="18"/>
      <c r="J399" s="18"/>
      <c r="K399" s="18"/>
      <c r="L399" s="18"/>
      <c r="M399" s="106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06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  <c r="BS399" s="18"/>
      <c r="BT399" s="18"/>
      <c r="BU399" s="18"/>
      <c r="BV399" s="18"/>
      <c r="BW399" s="18"/>
      <c r="BX399" s="18"/>
      <c r="BY399" s="18"/>
      <c r="BZ399" s="18"/>
      <c r="CA399" s="18"/>
      <c r="CB399" s="18"/>
      <c r="CC399" s="18"/>
      <c r="CD399" s="18"/>
      <c r="CE399" s="18"/>
      <c r="CF399" s="18"/>
      <c r="CG399" s="18"/>
      <c r="CH399" s="0"/>
      <c r="CP399" s="0"/>
      <c r="CQ399" s="0"/>
      <c r="CR399" s="0"/>
      <c r="CS399" s="0"/>
      <c r="CT399" s="0"/>
      <c r="CU399" s="81"/>
      <c r="CV399" s="110"/>
      <c r="CW399" s="188"/>
      <c r="CX399" s="188"/>
      <c r="CY399" s="152" t="n">
        <f aca="false">EOMONTH(CY398,0)+1</f>
        <v>48122</v>
      </c>
      <c r="CZ399" s="153" t="n">
        <f aca="false">IF(AI399=0,CZ387,AH399+AI399)</f>
        <v>0.85</v>
      </c>
      <c r="DA399" s="153" t="n">
        <f aca="false">IF(AI399=0,DA387,AI399)</f>
        <v>1.1</v>
      </c>
      <c r="DB399" s="153" t="n">
        <f aca="false">IF(AI399=0,DB387,AI399+AJ399)</f>
        <v>1.4</v>
      </c>
      <c r="DD399" s="132" t="n">
        <f aca="false">IF(Z399=0,DD387,Z399)</f>
        <v>0.0532773332402962</v>
      </c>
      <c r="DE399" s="132" t="n">
        <f aca="false">IF(AA399=0,DE387,AA399)</f>
        <v>0.106554666480592</v>
      </c>
      <c r="DF399" s="132" t="n">
        <f aca="false">IF(AB399=0,DF387,AB399)</f>
        <v>0.159831999720889</v>
      </c>
      <c r="DG399" s="188"/>
      <c r="DH399" s="152" t="n">
        <f aca="false">IF(BH399=0,EOMONTH(DH398,0)+1,BH399)</f>
        <v>48122</v>
      </c>
      <c r="DI399" s="99" t="n">
        <v>0.9</v>
      </c>
    </row>
    <row r="400" customFormat="false" ht="12.75" hidden="false" customHeight="false" outlineLevel="0" collapsed="false">
      <c r="B400" s="99"/>
      <c r="C400" s="96"/>
      <c r="D400" s="18"/>
      <c r="E400" s="18"/>
      <c r="F400" s="18"/>
      <c r="G400" s="18"/>
      <c r="H400" s="18"/>
      <c r="I400" s="18"/>
      <c r="J400" s="18"/>
      <c r="K400" s="18"/>
      <c r="L400" s="18"/>
      <c r="M400" s="106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06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  <c r="CH400" s="0"/>
      <c r="CP400" s="0"/>
      <c r="CQ400" s="0"/>
      <c r="CR400" s="0"/>
      <c r="CS400" s="0"/>
      <c r="CT400" s="0"/>
      <c r="CU400" s="81"/>
      <c r="CV400" s="110"/>
      <c r="CW400" s="188"/>
      <c r="CX400" s="188"/>
      <c r="CY400" s="152" t="n">
        <f aca="false">EOMONTH(CY399,0)+1</f>
        <v>48153</v>
      </c>
      <c r="CZ400" s="153" t="n">
        <f aca="false">IF(AI400=0,CZ388,AH400+AI400)</f>
        <v>1</v>
      </c>
      <c r="DA400" s="153" t="n">
        <f aca="false">IF(AI400=0,DA388,AI400)</f>
        <v>1.25</v>
      </c>
      <c r="DB400" s="153" t="n">
        <f aca="false">IF(AI400=0,DB388,AI400+AJ400)</f>
        <v>1.55</v>
      </c>
      <c r="DD400" s="132" t="n">
        <f aca="false">IF(Z400=0,DD388,Z400)</f>
        <v>0.0532773332402962</v>
      </c>
      <c r="DE400" s="132" t="n">
        <f aca="false">IF(AA400=0,DE388,AA400)</f>
        <v>0.106554666480592</v>
      </c>
      <c r="DF400" s="132" t="n">
        <f aca="false">IF(AB400=0,DF388,AB400)</f>
        <v>0.159831999720889</v>
      </c>
      <c r="DG400" s="188"/>
      <c r="DH400" s="152" t="n">
        <f aca="false">IF(BH400=0,EOMONTH(DH399,0)+1,BH400)</f>
        <v>48153</v>
      </c>
      <c r="DI400" s="99" t="n">
        <v>0.9</v>
      </c>
    </row>
    <row r="401" customFormat="false" ht="12.75" hidden="false" customHeight="false" outlineLevel="0" collapsed="false">
      <c r="B401" s="99"/>
      <c r="C401" s="96"/>
      <c r="D401" s="18"/>
      <c r="E401" s="18"/>
      <c r="F401" s="18"/>
      <c r="G401" s="18"/>
      <c r="H401" s="18"/>
      <c r="I401" s="18"/>
      <c r="J401" s="18"/>
      <c r="K401" s="18"/>
      <c r="L401" s="18"/>
      <c r="M401" s="106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06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  <c r="CH401" s="0"/>
      <c r="CP401" s="0"/>
      <c r="CQ401" s="0"/>
      <c r="CR401" s="0"/>
      <c r="CS401" s="0"/>
      <c r="CT401" s="0"/>
      <c r="CU401" s="81"/>
      <c r="CV401" s="110"/>
      <c r="CW401" s="188"/>
      <c r="CX401" s="188"/>
      <c r="CY401" s="152" t="n">
        <f aca="false">EOMONTH(CY400,0)+1</f>
        <v>48183</v>
      </c>
      <c r="CZ401" s="153" t="n">
        <f aca="false">IF(AI401=0,CZ389,AH401+AI401)</f>
        <v>1</v>
      </c>
      <c r="DA401" s="153" t="n">
        <f aca="false">IF(AI401=0,DA389,AI401)</f>
        <v>1.25</v>
      </c>
      <c r="DB401" s="153" t="n">
        <f aca="false">IF(AI401=0,DB389,AI401+AJ401)</f>
        <v>1.55</v>
      </c>
      <c r="DD401" s="132" t="n">
        <f aca="false">IF(Z401=0,DD389,Z401)</f>
        <v>0.0551786804488718</v>
      </c>
      <c r="DE401" s="132" t="n">
        <f aca="false">IF(AA401=0,DE389,AA401)</f>
        <v>0.110357360897744</v>
      </c>
      <c r="DF401" s="132" t="n">
        <f aca="false">IF(AB401=0,DF389,AB401)</f>
        <v>0.165536041346615</v>
      </c>
      <c r="DG401" s="188"/>
      <c r="DH401" s="152" t="n">
        <f aca="false">IF(BH401=0,EOMONTH(DH400,0)+1,BH401)</f>
        <v>48183</v>
      </c>
      <c r="DI401" s="99" t="n">
        <v>0.9</v>
      </c>
    </row>
    <row r="402" customFormat="false" ht="12.75" hidden="false" customHeight="false" outlineLevel="0" collapsed="false">
      <c r="B402" s="99"/>
      <c r="C402" s="96"/>
      <c r="D402" s="18"/>
      <c r="E402" s="18"/>
      <c r="F402" s="18"/>
      <c r="G402" s="18"/>
      <c r="H402" s="18"/>
      <c r="I402" s="18"/>
      <c r="J402" s="18"/>
      <c r="K402" s="18"/>
      <c r="L402" s="18"/>
      <c r="M402" s="106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06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  <c r="CH402" s="0"/>
      <c r="CP402" s="0"/>
      <c r="CQ402" s="0"/>
      <c r="CR402" s="0"/>
      <c r="CS402" s="0"/>
      <c r="CT402" s="0"/>
      <c r="CU402" s="81"/>
      <c r="CV402" s="110"/>
      <c r="CW402" s="188"/>
      <c r="CX402" s="188"/>
      <c r="CY402" s="152" t="n">
        <f aca="false">EOMONTH(CY401,0)+1</f>
        <v>48214</v>
      </c>
      <c r="CZ402" s="153" t="n">
        <f aca="false">IF(AI402=0,CZ390,AH402+AI402)</f>
        <v>1.25</v>
      </c>
      <c r="DA402" s="153" t="n">
        <f aca="false">IF(AI402=0,DA390,AI402)</f>
        <v>2</v>
      </c>
      <c r="DB402" s="153" t="n">
        <f aca="false">IF(AI402=0,DB390,AI402+AJ402)</f>
        <v>2.75</v>
      </c>
      <c r="DD402" s="132" t="n">
        <f aca="false">IF(Z402=0,DD390,Z402)</f>
        <v>0.0593730876011232</v>
      </c>
      <c r="DE402" s="132" t="n">
        <f aca="false">IF(AA402=0,DE390,AA402)</f>
        <v>0.118746175202246</v>
      </c>
      <c r="DF402" s="132" t="n">
        <f aca="false">IF(AB402=0,DF390,AB402)</f>
        <v>0.17811926280337</v>
      </c>
      <c r="DG402" s="188"/>
      <c r="DH402" s="152" t="n">
        <f aca="false">IF(BH402=0,EOMONTH(DH401,0)+1,BH402)</f>
        <v>48214</v>
      </c>
      <c r="DI402" s="99" t="n">
        <v>0.9</v>
      </c>
    </row>
    <row r="403" customFormat="false" ht="12.75" hidden="false" customHeight="false" outlineLevel="0" collapsed="false">
      <c r="B403" s="99"/>
      <c r="C403" s="96"/>
      <c r="D403" s="18"/>
      <c r="E403" s="18"/>
      <c r="F403" s="18"/>
      <c r="G403" s="18"/>
      <c r="H403" s="18"/>
      <c r="I403" s="18"/>
      <c r="J403" s="18"/>
      <c r="K403" s="18"/>
      <c r="L403" s="18"/>
      <c r="M403" s="106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06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  <c r="CH403" s="0"/>
      <c r="CP403" s="0"/>
      <c r="CQ403" s="0"/>
      <c r="CR403" s="0"/>
      <c r="CS403" s="0"/>
      <c r="CT403" s="0"/>
      <c r="CU403" s="81"/>
      <c r="CV403" s="110"/>
      <c r="CW403" s="188"/>
      <c r="CX403" s="188"/>
      <c r="CY403" s="188"/>
      <c r="CZ403" s="99"/>
      <c r="DA403" s="99"/>
      <c r="DB403" s="99"/>
      <c r="DD403" s="99"/>
      <c r="DF403" s="190"/>
      <c r="DG403" s="188"/>
      <c r="DH403" s="191"/>
      <c r="DI403" s="99"/>
    </row>
    <row r="404" customFormat="false" ht="12.75" hidden="false" customHeight="false" outlineLevel="0" collapsed="false">
      <c r="B404" s="99"/>
      <c r="C404" s="96"/>
      <c r="D404" s="18"/>
      <c r="E404" s="18"/>
      <c r="F404" s="18"/>
      <c r="G404" s="18"/>
      <c r="H404" s="18"/>
      <c r="I404" s="18"/>
      <c r="J404" s="18"/>
      <c r="K404" s="18"/>
      <c r="L404" s="18"/>
      <c r="M404" s="106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06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  <c r="CH404" s="0"/>
      <c r="CP404" s="0"/>
      <c r="CQ404" s="0"/>
      <c r="CR404" s="0"/>
      <c r="CS404" s="0"/>
      <c r="CT404" s="0"/>
      <c r="CU404" s="81"/>
      <c r="CV404" s="110"/>
      <c r="CW404" s="188"/>
      <c r="CX404" s="188"/>
      <c r="CY404" s="188"/>
      <c r="CZ404" s="99"/>
      <c r="DA404" s="99"/>
      <c r="DB404" s="99"/>
      <c r="DD404" s="99"/>
      <c r="DF404" s="190"/>
      <c r="DG404" s="188"/>
      <c r="DH404" s="191"/>
      <c r="DI404" s="99"/>
    </row>
    <row r="405" customFormat="false" ht="12.75" hidden="false" customHeight="false" outlineLevel="0" collapsed="false">
      <c r="B405" s="99"/>
      <c r="C405" s="96"/>
      <c r="D405" s="18"/>
      <c r="E405" s="18"/>
      <c r="F405" s="18"/>
      <c r="G405" s="18"/>
      <c r="H405" s="18"/>
      <c r="I405" s="18"/>
      <c r="J405" s="18"/>
      <c r="K405" s="18"/>
      <c r="L405" s="18"/>
      <c r="M405" s="106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06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  <c r="CH405" s="0"/>
      <c r="CP405" s="0"/>
      <c r="CQ405" s="0"/>
      <c r="CR405" s="0"/>
      <c r="CS405" s="0"/>
      <c r="CT405" s="0"/>
      <c r="CU405" s="81"/>
      <c r="CV405" s="110"/>
      <c r="CW405" s="188"/>
      <c r="CX405" s="188"/>
      <c r="CY405" s="188"/>
      <c r="CZ405" s="99"/>
      <c r="DA405" s="99"/>
      <c r="DB405" s="99"/>
      <c r="DD405" s="99"/>
      <c r="DF405" s="190"/>
      <c r="DG405" s="188"/>
      <c r="DH405" s="191"/>
      <c r="DI405" s="99"/>
    </row>
    <row r="406" customFormat="false" ht="12.75" hidden="false" customHeight="false" outlineLevel="0" collapsed="false">
      <c r="B406" s="99"/>
      <c r="C406" s="96"/>
      <c r="D406" s="18"/>
      <c r="E406" s="18"/>
      <c r="F406" s="18"/>
      <c r="G406" s="18"/>
      <c r="H406" s="18"/>
      <c r="I406" s="18"/>
      <c r="J406" s="18"/>
      <c r="K406" s="18"/>
      <c r="L406" s="18"/>
      <c r="M406" s="106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06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  <c r="CH406" s="0"/>
      <c r="CP406" s="0"/>
      <c r="CQ406" s="0"/>
      <c r="CR406" s="0"/>
      <c r="CS406" s="0"/>
      <c r="CT406" s="0"/>
      <c r="CU406" s="81"/>
      <c r="CV406" s="110"/>
      <c r="CW406" s="188"/>
      <c r="CX406" s="188"/>
      <c r="CY406" s="188"/>
      <c r="CZ406" s="99"/>
      <c r="DA406" s="99"/>
      <c r="DB406" s="99"/>
      <c r="DD406" s="99"/>
      <c r="DF406" s="190"/>
      <c r="DG406" s="188"/>
      <c r="DH406" s="191"/>
      <c r="DI406" s="99"/>
    </row>
    <row r="407" customFormat="false" ht="12.75" hidden="false" customHeight="false" outlineLevel="0" collapsed="false">
      <c r="B407" s="99"/>
      <c r="C407" s="96"/>
      <c r="D407" s="18"/>
      <c r="E407" s="18"/>
      <c r="F407" s="18"/>
      <c r="G407" s="18"/>
      <c r="H407" s="18"/>
      <c r="I407" s="18"/>
      <c r="J407" s="18"/>
      <c r="K407" s="18"/>
      <c r="L407" s="18"/>
      <c r="M407" s="106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06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  <c r="CH407" s="0"/>
      <c r="CP407" s="0"/>
      <c r="CQ407" s="0"/>
      <c r="CR407" s="0"/>
      <c r="CS407" s="0"/>
      <c r="CT407" s="0"/>
      <c r="CU407" s="81"/>
      <c r="CV407" s="110"/>
      <c r="CW407" s="188"/>
      <c r="CX407" s="188"/>
      <c r="CY407" s="188"/>
      <c r="CZ407" s="99"/>
      <c r="DA407" s="99"/>
      <c r="DB407" s="99"/>
      <c r="DD407" s="99"/>
      <c r="DF407" s="190"/>
      <c r="DG407" s="188"/>
      <c r="DH407" s="191"/>
      <c r="DI407" s="99"/>
    </row>
    <row r="408" customFormat="false" ht="12.75" hidden="false" customHeight="false" outlineLevel="0" collapsed="false">
      <c r="B408" s="99"/>
      <c r="C408" s="96"/>
      <c r="D408" s="18"/>
      <c r="E408" s="18"/>
      <c r="F408" s="18"/>
      <c r="G408" s="18"/>
      <c r="H408" s="18"/>
      <c r="I408" s="18"/>
      <c r="J408" s="18"/>
      <c r="K408" s="18"/>
      <c r="L408" s="18"/>
      <c r="M408" s="106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06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  <c r="CH408" s="0"/>
      <c r="CP408" s="0"/>
      <c r="CQ408" s="0"/>
      <c r="CR408" s="0"/>
      <c r="CS408" s="0"/>
      <c r="CT408" s="0"/>
      <c r="CU408" s="81"/>
      <c r="CV408" s="110"/>
      <c r="CW408" s="188"/>
      <c r="CX408" s="188"/>
      <c r="CY408" s="188"/>
      <c r="CZ408" s="99"/>
      <c r="DA408" s="99"/>
      <c r="DB408" s="99"/>
      <c r="DD408" s="99"/>
      <c r="DF408" s="190"/>
      <c r="DG408" s="188"/>
      <c r="DH408" s="191"/>
      <c r="DI408" s="99"/>
    </row>
    <row r="409" customFormat="false" ht="12.75" hidden="false" customHeight="false" outlineLevel="0" collapsed="false">
      <c r="B409" s="99"/>
      <c r="C409" s="96"/>
      <c r="D409" s="18"/>
      <c r="E409" s="18"/>
      <c r="F409" s="18"/>
      <c r="G409" s="18"/>
      <c r="H409" s="18"/>
      <c r="I409" s="18"/>
      <c r="J409" s="18"/>
      <c r="K409" s="18"/>
      <c r="L409" s="18"/>
      <c r="M409" s="106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06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  <c r="CH409" s="0"/>
      <c r="CP409" s="0"/>
      <c r="CQ409" s="0"/>
      <c r="CR409" s="0"/>
      <c r="CS409" s="0"/>
      <c r="CT409" s="0"/>
      <c r="CU409" s="81"/>
      <c r="CV409" s="110"/>
      <c r="CW409" s="188"/>
      <c r="CX409" s="188"/>
      <c r="CY409" s="188"/>
      <c r="CZ409" s="99"/>
      <c r="DA409" s="99"/>
      <c r="DB409" s="99"/>
      <c r="DD409" s="99"/>
      <c r="DF409" s="190"/>
      <c r="DG409" s="188"/>
      <c r="DH409" s="191"/>
      <c r="DI409" s="99"/>
    </row>
    <row r="410" customFormat="false" ht="12.75" hidden="false" customHeight="false" outlineLevel="0" collapsed="false">
      <c r="B410" s="99"/>
      <c r="C410" s="96"/>
      <c r="D410" s="18"/>
      <c r="E410" s="18"/>
      <c r="F410" s="18"/>
      <c r="G410" s="18"/>
      <c r="H410" s="18"/>
      <c r="I410" s="18"/>
      <c r="J410" s="18"/>
      <c r="K410" s="18"/>
      <c r="L410" s="18"/>
      <c r="M410" s="106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06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  <c r="CH410" s="0"/>
      <c r="CP410" s="0"/>
      <c r="CQ410" s="0"/>
      <c r="CR410" s="0"/>
      <c r="CS410" s="0"/>
      <c r="CT410" s="0"/>
      <c r="CU410" s="81"/>
      <c r="CV410" s="110"/>
      <c r="CW410" s="188"/>
      <c r="CX410" s="188"/>
      <c r="CY410" s="188"/>
      <c r="CZ410" s="99"/>
      <c r="DA410" s="99"/>
      <c r="DB410" s="99"/>
      <c r="DD410" s="99"/>
      <c r="DF410" s="190"/>
      <c r="DG410" s="188"/>
      <c r="DH410" s="191"/>
      <c r="DI410" s="99"/>
    </row>
    <row r="411" customFormat="false" ht="12.75" hidden="false" customHeight="false" outlineLevel="0" collapsed="false">
      <c r="B411" s="99"/>
      <c r="D411" s="18"/>
      <c r="E411" s="18"/>
      <c r="F411" s="18"/>
      <c r="G411" s="18"/>
      <c r="H411" s="18"/>
      <c r="I411" s="18"/>
      <c r="J411" s="18"/>
      <c r="K411" s="18"/>
      <c r="L411" s="18"/>
      <c r="M411" s="106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06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  <c r="CH411" s="0"/>
      <c r="CP411" s="0"/>
      <c r="CQ411" s="0"/>
      <c r="CR411" s="0"/>
      <c r="CS411" s="0"/>
      <c r="CT411" s="0"/>
      <c r="CU411" s="81"/>
      <c r="CV411" s="110"/>
      <c r="CW411" s="188"/>
      <c r="CX411" s="188"/>
      <c r="CY411" s="188"/>
      <c r="CZ411" s="99"/>
      <c r="DA411" s="99"/>
      <c r="DB411" s="99"/>
      <c r="DD411" s="99"/>
      <c r="DF411" s="190"/>
      <c r="DG411" s="188"/>
      <c r="DH411" s="191"/>
      <c r="DI411" s="99"/>
    </row>
    <row r="412" customFormat="false" ht="12.75" hidden="false" customHeight="false" outlineLevel="0" collapsed="false">
      <c r="B412" s="99"/>
      <c r="D412" s="18"/>
      <c r="E412" s="18"/>
      <c r="F412" s="18"/>
      <c r="G412" s="18"/>
      <c r="H412" s="18"/>
      <c r="I412" s="18"/>
      <c r="J412" s="18"/>
      <c r="K412" s="18"/>
      <c r="L412" s="18"/>
      <c r="M412" s="106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06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  <c r="CH412" s="0"/>
      <c r="CP412" s="0"/>
      <c r="CQ412" s="0"/>
      <c r="CR412" s="0"/>
      <c r="CS412" s="0"/>
      <c r="CT412" s="0"/>
      <c r="CU412" s="81"/>
      <c r="CV412" s="110"/>
      <c r="CW412" s="188"/>
      <c r="CX412" s="188"/>
      <c r="CY412" s="188"/>
      <c r="CZ412" s="99"/>
      <c r="DA412" s="99"/>
      <c r="DB412" s="99"/>
      <c r="DD412" s="99"/>
      <c r="DF412" s="190"/>
      <c r="DG412" s="188"/>
      <c r="DH412" s="191"/>
      <c r="DI412" s="99"/>
    </row>
    <row r="413" customFormat="false" ht="12.75" hidden="false" customHeight="false" outlineLevel="0" collapsed="false">
      <c r="B413" s="99"/>
      <c r="CP413" s="0"/>
      <c r="CQ413" s="0"/>
      <c r="CR413" s="0"/>
      <c r="CS413" s="0"/>
      <c r="CT413" s="0"/>
      <c r="CU413" s="81"/>
      <c r="CV413" s="110"/>
      <c r="CW413" s="188"/>
      <c r="CX413" s="188"/>
      <c r="CY413" s="188"/>
      <c r="CZ413" s="99"/>
      <c r="DA413" s="99"/>
      <c r="DB413" s="99"/>
      <c r="DD413" s="99"/>
      <c r="DF413" s="190"/>
      <c r="DG413" s="188"/>
      <c r="DH413" s="191"/>
      <c r="DI413" s="99"/>
    </row>
    <row r="414" customFormat="false" ht="12.75" hidden="false" customHeight="false" outlineLevel="0" collapsed="false">
      <c r="B414" s="99"/>
      <c r="CP414" s="81"/>
      <c r="CQ414" s="81"/>
      <c r="CR414" s="81"/>
      <c r="CS414" s="81"/>
      <c r="CT414" s="81"/>
      <c r="CU414" s="81"/>
      <c r="CV414" s="110"/>
      <c r="CW414" s="188"/>
      <c r="CX414" s="188"/>
      <c r="CY414" s="188"/>
      <c r="CZ414" s="99"/>
      <c r="DA414" s="99"/>
      <c r="DB414" s="99"/>
      <c r="DD414" s="99"/>
      <c r="DF414" s="190"/>
      <c r="DG414" s="188"/>
      <c r="DH414" s="191"/>
      <c r="DI414" s="99"/>
    </row>
    <row r="415" customFormat="false" ht="12.75" hidden="false" customHeight="false" outlineLevel="0" collapsed="false">
      <c r="B415" s="99"/>
      <c r="CP415" s="81"/>
      <c r="CQ415" s="81"/>
      <c r="CR415" s="81"/>
      <c r="CS415" s="81"/>
      <c r="CT415" s="81"/>
      <c r="CU415" s="81"/>
      <c r="CV415" s="110"/>
      <c r="CW415" s="188"/>
      <c r="CX415" s="188"/>
      <c r="CY415" s="188"/>
      <c r="CZ415" s="99"/>
      <c r="DA415" s="99"/>
      <c r="DB415" s="99"/>
      <c r="DD415" s="99"/>
      <c r="DF415" s="190"/>
      <c r="DG415" s="188"/>
      <c r="DH415" s="191"/>
      <c r="DI415" s="99"/>
    </row>
    <row r="416" customFormat="false" ht="12.75" hidden="false" customHeight="false" outlineLevel="0" collapsed="false">
      <c r="B416" s="99"/>
      <c r="CP416" s="81"/>
      <c r="CQ416" s="81"/>
      <c r="CR416" s="81"/>
      <c r="CS416" s="81"/>
      <c r="CT416" s="81"/>
      <c r="CU416" s="81"/>
      <c r="CV416" s="110"/>
      <c r="CW416" s="188"/>
      <c r="CX416" s="188"/>
      <c r="CY416" s="188"/>
      <c r="CZ416" s="99"/>
      <c r="DA416" s="99"/>
      <c r="DB416" s="99"/>
      <c r="DD416" s="99"/>
      <c r="DF416" s="190"/>
      <c r="DG416" s="188"/>
      <c r="DH416" s="191"/>
      <c r="DI416" s="99"/>
    </row>
    <row r="417" customFormat="false" ht="12.75" hidden="false" customHeight="false" outlineLevel="0" collapsed="false">
      <c r="B417" s="99"/>
      <c r="CP417" s="81"/>
      <c r="CQ417" s="81"/>
      <c r="CR417" s="81"/>
      <c r="CS417" s="81"/>
      <c r="CT417" s="81"/>
      <c r="CU417" s="81"/>
      <c r="CV417" s="110"/>
      <c r="CW417" s="188"/>
      <c r="CX417" s="188"/>
      <c r="CY417" s="188"/>
      <c r="CZ417" s="99"/>
      <c r="DA417" s="99"/>
      <c r="DB417" s="99"/>
      <c r="DD417" s="99"/>
      <c r="DF417" s="190"/>
      <c r="DG417" s="188"/>
      <c r="DH417" s="191"/>
      <c r="DI417" s="99"/>
    </row>
    <row r="418" customFormat="false" ht="12.75" hidden="false" customHeight="false" outlineLevel="0" collapsed="false">
      <c r="B418" s="99"/>
      <c r="CP418" s="81"/>
      <c r="CQ418" s="81"/>
      <c r="CR418" s="81"/>
      <c r="CS418" s="81"/>
      <c r="CT418" s="81"/>
      <c r="CU418" s="81"/>
      <c r="CV418" s="110"/>
      <c r="CW418" s="188"/>
      <c r="CX418" s="188"/>
      <c r="CY418" s="188"/>
      <c r="CZ418" s="99"/>
      <c r="DA418" s="99"/>
      <c r="DB418" s="99"/>
      <c r="DD418" s="99"/>
      <c r="DF418" s="190"/>
      <c r="DG418" s="188"/>
      <c r="DH418" s="191"/>
      <c r="DI418" s="99"/>
    </row>
    <row r="419" customFormat="false" ht="12.75" hidden="false" customHeight="false" outlineLevel="0" collapsed="false">
      <c r="A419" s="0"/>
      <c r="B419" s="99"/>
      <c r="CP419" s="81"/>
      <c r="CQ419" s="81"/>
      <c r="CR419" s="81"/>
      <c r="CS419" s="81"/>
      <c r="CT419" s="81"/>
      <c r="CU419" s="81"/>
      <c r="CV419" s="110"/>
      <c r="CW419" s="188"/>
      <c r="CX419" s="188"/>
      <c r="CY419" s="188"/>
      <c r="CZ419" s="99"/>
      <c r="DA419" s="99"/>
      <c r="DB419" s="99"/>
      <c r="DD419" s="99"/>
      <c r="DF419" s="190"/>
      <c r="DG419" s="188"/>
      <c r="DH419" s="191"/>
      <c r="DI419" s="99"/>
    </row>
    <row r="420" customFormat="false" ht="12.75" hidden="false" customHeight="false" outlineLevel="0" collapsed="false">
      <c r="A420" s="0"/>
      <c r="B420" s="99"/>
      <c r="CP420" s="81"/>
      <c r="CQ420" s="81"/>
      <c r="CR420" s="81"/>
      <c r="CS420" s="81"/>
      <c r="CT420" s="81"/>
      <c r="CU420" s="81"/>
      <c r="CV420" s="110"/>
      <c r="CW420" s="188"/>
      <c r="CX420" s="188"/>
      <c r="CY420" s="188"/>
      <c r="CZ420" s="99"/>
      <c r="DA420" s="99"/>
      <c r="DB420" s="99"/>
      <c r="DD420" s="99"/>
      <c r="DF420" s="190"/>
      <c r="DG420" s="188"/>
      <c r="DH420" s="191"/>
      <c r="DI420" s="99"/>
    </row>
    <row r="421" customFormat="false" ht="12.75" hidden="false" customHeight="false" outlineLevel="0" collapsed="false">
      <c r="A421" s="0"/>
      <c r="B421" s="99"/>
      <c r="CP421" s="81"/>
      <c r="CQ421" s="81"/>
      <c r="CR421" s="81"/>
      <c r="CS421" s="81"/>
      <c r="CT421" s="81"/>
      <c r="CU421" s="81"/>
      <c r="CV421" s="110"/>
      <c r="CW421" s="188"/>
      <c r="CX421" s="188"/>
      <c r="CY421" s="188"/>
      <c r="CZ421" s="99"/>
      <c r="DA421" s="99"/>
      <c r="DB421" s="99"/>
      <c r="DD421" s="99"/>
      <c r="DF421" s="190"/>
      <c r="DG421" s="188"/>
      <c r="DH421" s="191"/>
      <c r="DI421" s="99"/>
    </row>
    <row r="422" customFormat="false" ht="12.75" hidden="false" customHeight="false" outlineLevel="0" collapsed="false">
      <c r="A422" s="0"/>
      <c r="B422" s="99"/>
      <c r="CP422" s="81"/>
      <c r="CQ422" s="81"/>
      <c r="CR422" s="81"/>
      <c r="CS422" s="81"/>
      <c r="CT422" s="81"/>
      <c r="CU422" s="81"/>
      <c r="CV422" s="110"/>
      <c r="CW422" s="188"/>
      <c r="CX422" s="188"/>
      <c r="CY422" s="188"/>
      <c r="CZ422" s="99"/>
      <c r="DA422" s="99"/>
      <c r="DB422" s="99"/>
      <c r="DD422" s="99"/>
      <c r="DF422" s="190"/>
      <c r="DG422" s="188"/>
      <c r="DH422" s="191"/>
      <c r="DI422" s="99"/>
    </row>
    <row r="423" customFormat="false" ht="12.75" hidden="false" customHeight="false" outlineLevel="0" collapsed="false">
      <c r="A423" s="0"/>
      <c r="B423" s="99"/>
      <c r="CP423" s="81"/>
      <c r="CQ423" s="81"/>
      <c r="CR423" s="81"/>
      <c r="CS423" s="81"/>
      <c r="CT423" s="81"/>
      <c r="CU423" s="81"/>
      <c r="CV423" s="110"/>
      <c r="CW423" s="188"/>
      <c r="CX423" s="188"/>
      <c r="CY423" s="188"/>
      <c r="CZ423" s="99"/>
      <c r="DA423" s="99"/>
      <c r="DB423" s="99"/>
      <c r="DD423" s="99"/>
      <c r="DF423" s="190"/>
      <c r="DG423" s="188"/>
      <c r="DH423" s="191"/>
      <c r="DI423" s="99"/>
    </row>
    <row r="424" customFormat="false" ht="12.75" hidden="false" customHeight="false" outlineLevel="0" collapsed="false">
      <c r="A424" s="0"/>
      <c r="B424" s="99"/>
      <c r="CP424" s="81"/>
      <c r="CQ424" s="81"/>
      <c r="CR424" s="81"/>
      <c r="CS424" s="81"/>
      <c r="CT424" s="81"/>
      <c r="CU424" s="81"/>
      <c r="CV424" s="110"/>
      <c r="CW424" s="188"/>
      <c r="CX424" s="188"/>
      <c r="CY424" s="188"/>
      <c r="CZ424" s="99"/>
      <c r="DA424" s="99"/>
      <c r="DB424" s="99"/>
      <c r="DD424" s="99"/>
      <c r="DF424" s="190"/>
      <c r="DG424" s="188"/>
      <c r="DH424" s="191"/>
      <c r="DI424" s="99"/>
    </row>
    <row r="425" customFormat="false" ht="12.75" hidden="false" customHeight="false" outlineLevel="0" collapsed="false">
      <c r="A425" s="0"/>
      <c r="B425" s="99"/>
      <c r="CP425" s="81"/>
      <c r="CQ425" s="81"/>
      <c r="CR425" s="81"/>
      <c r="CS425" s="81"/>
      <c r="CT425" s="81"/>
      <c r="CU425" s="81"/>
      <c r="CV425" s="110"/>
      <c r="CW425" s="188"/>
      <c r="CX425" s="188"/>
      <c r="CY425" s="188"/>
      <c r="CZ425" s="99"/>
      <c r="DA425" s="99"/>
      <c r="DB425" s="99"/>
      <c r="DD425" s="99"/>
      <c r="DF425" s="190"/>
      <c r="DG425" s="188"/>
      <c r="DH425" s="191"/>
      <c r="DI425" s="99"/>
    </row>
    <row r="426" customFormat="false" ht="12.75" hidden="false" customHeight="false" outlineLevel="0" collapsed="false">
      <c r="B426" s="99"/>
      <c r="CP426" s="81"/>
      <c r="CQ426" s="81"/>
      <c r="CR426" s="81"/>
      <c r="CS426" s="81"/>
      <c r="CT426" s="81"/>
      <c r="CU426" s="81"/>
      <c r="CV426" s="110"/>
      <c r="CW426" s="188"/>
      <c r="CX426" s="188"/>
      <c r="CY426" s="188"/>
      <c r="CZ426" s="99"/>
      <c r="DA426" s="99"/>
      <c r="DB426" s="99"/>
      <c r="DD426" s="99"/>
      <c r="DF426" s="190"/>
      <c r="DG426" s="188"/>
      <c r="DH426" s="191"/>
      <c r="DI426" s="99"/>
    </row>
    <row r="427" customFormat="false" ht="12.75" hidden="false" customHeight="false" outlineLevel="0" collapsed="false">
      <c r="B427" s="99"/>
      <c r="CP427" s="81"/>
      <c r="CQ427" s="81"/>
      <c r="CR427" s="81"/>
      <c r="CS427" s="81"/>
      <c r="CT427" s="81"/>
      <c r="CU427" s="81"/>
      <c r="CV427" s="110"/>
      <c r="CW427" s="188"/>
      <c r="CX427" s="188"/>
      <c r="CY427" s="188"/>
      <c r="CZ427" s="99"/>
      <c r="DA427" s="99"/>
      <c r="DB427" s="99"/>
      <c r="DD427" s="99"/>
      <c r="DF427" s="190"/>
      <c r="DG427" s="188"/>
      <c r="DH427" s="191"/>
      <c r="DI427" s="99"/>
    </row>
    <row r="428" customFormat="false" ht="12.75" hidden="false" customHeight="false" outlineLevel="0" collapsed="false">
      <c r="B428" s="99"/>
      <c r="CP428" s="81"/>
      <c r="CQ428" s="81"/>
      <c r="CR428" s="81"/>
      <c r="CS428" s="81"/>
      <c r="CT428" s="81"/>
      <c r="CU428" s="81"/>
      <c r="CV428" s="110"/>
      <c r="CW428" s="188"/>
      <c r="CX428" s="188"/>
      <c r="CY428" s="188"/>
      <c r="CZ428" s="99"/>
      <c r="DA428" s="99"/>
      <c r="DB428" s="99"/>
      <c r="DD428" s="99"/>
      <c r="DF428" s="190"/>
      <c r="DG428" s="188"/>
      <c r="DH428" s="191"/>
      <c r="DI428" s="99"/>
    </row>
    <row r="429" customFormat="false" ht="12.75" hidden="false" customHeight="false" outlineLevel="0" collapsed="false">
      <c r="B429" s="99"/>
      <c r="CP429" s="81"/>
      <c r="CQ429" s="81"/>
      <c r="CR429" s="81"/>
      <c r="CS429" s="81"/>
      <c r="CT429" s="81"/>
      <c r="CU429" s="81"/>
      <c r="CV429" s="110"/>
      <c r="CW429" s="188"/>
      <c r="CX429" s="188"/>
      <c r="CY429" s="188"/>
      <c r="CZ429" s="99"/>
      <c r="DA429" s="99"/>
      <c r="DB429" s="99"/>
      <c r="DD429" s="99"/>
      <c r="DF429" s="190"/>
      <c r="DG429" s="188"/>
      <c r="DH429" s="191"/>
      <c r="DI429" s="99"/>
    </row>
    <row r="430" customFormat="false" ht="12.75" hidden="false" customHeight="false" outlineLevel="0" collapsed="false">
      <c r="B430" s="99"/>
      <c r="CP430" s="81"/>
      <c r="CQ430" s="81"/>
      <c r="CR430" s="81"/>
      <c r="CS430" s="81"/>
      <c r="CT430" s="81"/>
      <c r="CU430" s="81"/>
      <c r="CV430" s="110"/>
      <c r="CW430" s="188"/>
      <c r="CX430" s="188"/>
      <c r="CY430" s="188"/>
      <c r="CZ430" s="99"/>
      <c r="DA430" s="99"/>
      <c r="DB430" s="99"/>
      <c r="DD430" s="99"/>
      <c r="DF430" s="190"/>
      <c r="DG430" s="188"/>
      <c r="DH430" s="191"/>
      <c r="DI430" s="99"/>
    </row>
    <row r="431" customFormat="false" ht="12.75" hidden="false" customHeight="false" outlineLevel="0" collapsed="false">
      <c r="B431" s="99"/>
      <c r="CP431" s="81"/>
      <c r="CQ431" s="81"/>
      <c r="CR431" s="81"/>
      <c r="CS431" s="81"/>
      <c r="CT431" s="81"/>
      <c r="CU431" s="81"/>
      <c r="CV431" s="110"/>
      <c r="CW431" s="188"/>
      <c r="CX431" s="188"/>
      <c r="CY431" s="188"/>
      <c r="CZ431" s="99"/>
      <c r="DA431" s="99"/>
      <c r="DB431" s="99"/>
      <c r="DD431" s="99"/>
      <c r="DF431" s="190"/>
      <c r="DG431" s="188"/>
      <c r="DH431" s="191"/>
      <c r="DI431" s="99"/>
    </row>
    <row r="432" customFormat="false" ht="12.75" hidden="false" customHeight="false" outlineLevel="0" collapsed="false">
      <c r="B432" s="99"/>
      <c r="CP432" s="81"/>
      <c r="CQ432" s="81"/>
      <c r="CR432" s="81"/>
      <c r="CS432" s="81"/>
      <c r="CT432" s="81"/>
      <c r="CU432" s="81"/>
      <c r="CV432" s="110"/>
      <c r="CW432" s="188"/>
      <c r="CX432" s="188"/>
      <c r="CY432" s="188"/>
      <c r="CZ432" s="99"/>
      <c r="DA432" s="99"/>
      <c r="DB432" s="99"/>
      <c r="DD432" s="99"/>
      <c r="DF432" s="190"/>
      <c r="DG432" s="188"/>
      <c r="DH432" s="191"/>
      <c r="DI432" s="99"/>
    </row>
    <row r="433" customFormat="false" ht="12.75" hidden="false" customHeight="false" outlineLevel="0" collapsed="false">
      <c r="B433" s="99"/>
      <c r="CP433" s="81"/>
      <c r="CQ433" s="81"/>
      <c r="CR433" s="81"/>
      <c r="CS433" s="81"/>
      <c r="CT433" s="81"/>
      <c r="CU433" s="81"/>
      <c r="CV433" s="110"/>
      <c r="CW433" s="188"/>
      <c r="CX433" s="188"/>
      <c r="CY433" s="188"/>
      <c r="CZ433" s="99"/>
      <c r="DA433" s="99"/>
      <c r="DB433" s="99"/>
      <c r="DD433" s="99"/>
      <c r="DF433" s="190"/>
      <c r="DG433" s="188"/>
      <c r="DH433" s="191"/>
      <c r="DI433" s="99"/>
    </row>
    <row r="434" customFormat="false" ht="12.75" hidden="false" customHeight="false" outlineLevel="0" collapsed="false">
      <c r="B434" s="99"/>
      <c r="CP434" s="81"/>
      <c r="CQ434" s="81"/>
      <c r="CR434" s="81"/>
      <c r="CS434" s="81"/>
      <c r="CT434" s="81"/>
      <c r="CU434" s="81"/>
      <c r="CV434" s="110"/>
      <c r="CW434" s="188"/>
      <c r="CX434" s="188"/>
      <c r="CY434" s="188"/>
      <c r="CZ434" s="99"/>
      <c r="DA434" s="99"/>
      <c r="DB434" s="99"/>
      <c r="DD434" s="99"/>
      <c r="DF434" s="190"/>
      <c r="DG434" s="188"/>
      <c r="DH434" s="191"/>
      <c r="DI434" s="99"/>
    </row>
    <row r="435" customFormat="false" ht="12.75" hidden="false" customHeight="false" outlineLevel="0" collapsed="false">
      <c r="B435" s="99"/>
      <c r="CP435" s="81"/>
      <c r="CQ435" s="81"/>
      <c r="CR435" s="81"/>
      <c r="CS435" s="81"/>
      <c r="CT435" s="81"/>
      <c r="CU435" s="81"/>
      <c r="CV435" s="110"/>
      <c r="CW435" s="188"/>
      <c r="CX435" s="188"/>
      <c r="CY435" s="188"/>
      <c r="CZ435" s="99"/>
      <c r="DA435" s="99"/>
      <c r="DB435" s="99"/>
      <c r="DD435" s="99"/>
      <c r="DF435" s="190"/>
      <c r="DG435" s="188"/>
      <c r="DH435" s="191"/>
      <c r="DI435" s="99"/>
    </row>
    <row r="436" customFormat="false" ht="12.75" hidden="false" customHeight="false" outlineLevel="0" collapsed="false">
      <c r="B436" s="99"/>
      <c r="CP436" s="81"/>
      <c r="CQ436" s="81"/>
      <c r="CR436" s="81"/>
      <c r="CS436" s="81"/>
      <c r="CT436" s="81"/>
      <c r="CU436" s="81"/>
      <c r="CV436" s="110"/>
      <c r="CW436" s="188"/>
      <c r="CX436" s="188"/>
      <c r="CY436" s="188"/>
      <c r="CZ436" s="99"/>
      <c r="DA436" s="99"/>
      <c r="DB436" s="99"/>
      <c r="DD436" s="99"/>
      <c r="DF436" s="190"/>
      <c r="DG436" s="188"/>
      <c r="DH436" s="191"/>
      <c r="DI436" s="99"/>
    </row>
    <row r="437" customFormat="false" ht="12.75" hidden="false" customHeight="false" outlineLevel="0" collapsed="false">
      <c r="B437" s="99"/>
      <c r="CP437" s="81"/>
      <c r="CQ437" s="81"/>
      <c r="CR437" s="81"/>
      <c r="CS437" s="81"/>
      <c r="CT437" s="81"/>
      <c r="CU437" s="81"/>
      <c r="CV437" s="110"/>
      <c r="CW437" s="188"/>
      <c r="CX437" s="188"/>
      <c r="CY437" s="188"/>
      <c r="CZ437" s="99"/>
      <c r="DA437" s="99"/>
      <c r="DB437" s="99"/>
      <c r="DD437" s="99"/>
      <c r="DF437" s="190"/>
      <c r="DG437" s="188"/>
      <c r="DH437" s="191"/>
      <c r="DI437" s="99"/>
    </row>
    <row r="438" customFormat="false" ht="12.75" hidden="false" customHeight="false" outlineLevel="0" collapsed="false">
      <c r="B438" s="99"/>
      <c r="CP438" s="81"/>
      <c r="CQ438" s="81"/>
      <c r="CR438" s="81"/>
      <c r="CS438" s="81"/>
      <c r="CT438" s="81"/>
      <c r="CU438" s="81"/>
      <c r="CV438" s="110"/>
      <c r="CW438" s="188"/>
      <c r="CX438" s="188"/>
      <c r="CY438" s="188"/>
      <c r="CZ438" s="99"/>
      <c r="DA438" s="99"/>
      <c r="DB438" s="99"/>
      <c r="DD438" s="99"/>
      <c r="DF438" s="190"/>
      <c r="DG438" s="188"/>
      <c r="DH438" s="191"/>
      <c r="DI438" s="99"/>
    </row>
    <row r="439" customFormat="false" ht="12.75" hidden="false" customHeight="false" outlineLevel="0" collapsed="false">
      <c r="B439" s="99"/>
      <c r="CP439" s="81"/>
      <c r="CQ439" s="81"/>
      <c r="CR439" s="81"/>
      <c r="CS439" s="81"/>
      <c r="CT439" s="81"/>
      <c r="CU439" s="81"/>
      <c r="CV439" s="110"/>
      <c r="CW439" s="188"/>
      <c r="CX439" s="188"/>
      <c r="CY439" s="188"/>
      <c r="CZ439" s="99"/>
      <c r="DA439" s="99"/>
      <c r="DB439" s="99"/>
      <c r="DD439" s="99"/>
      <c r="DF439" s="190"/>
      <c r="DG439" s="188"/>
      <c r="DH439" s="191"/>
      <c r="DI439" s="99"/>
    </row>
    <row r="440" customFormat="false" ht="12.75" hidden="false" customHeight="false" outlineLevel="0" collapsed="false">
      <c r="B440" s="99"/>
      <c r="CP440" s="81"/>
      <c r="CQ440" s="81"/>
      <c r="CR440" s="81"/>
      <c r="CS440" s="81"/>
      <c r="CT440" s="81"/>
      <c r="CU440" s="81"/>
      <c r="CV440" s="110"/>
      <c r="CW440" s="188"/>
      <c r="CX440" s="188"/>
      <c r="CY440" s="188"/>
      <c r="CZ440" s="99"/>
      <c r="DA440" s="99"/>
      <c r="DB440" s="99"/>
      <c r="DD440" s="99"/>
      <c r="DF440" s="190"/>
      <c r="DG440" s="188"/>
      <c r="DH440" s="191"/>
      <c r="DI440" s="99"/>
    </row>
    <row r="441" customFormat="false" ht="12.75" hidden="false" customHeight="false" outlineLevel="0" collapsed="false">
      <c r="B441" s="99"/>
      <c r="CP441" s="81"/>
      <c r="CQ441" s="81"/>
      <c r="CR441" s="81"/>
      <c r="CS441" s="81"/>
      <c r="CT441" s="81"/>
      <c r="CU441" s="81"/>
      <c r="CV441" s="110"/>
      <c r="CW441" s="188"/>
      <c r="CX441" s="188"/>
      <c r="CY441" s="188"/>
      <c r="CZ441" s="99"/>
      <c r="DA441" s="99"/>
      <c r="DB441" s="99"/>
      <c r="DD441" s="99"/>
      <c r="DF441" s="190"/>
      <c r="DG441" s="188"/>
      <c r="DH441" s="191"/>
      <c r="DI441" s="99"/>
    </row>
    <row r="442" customFormat="false" ht="12.75" hidden="false" customHeight="false" outlineLevel="0" collapsed="false">
      <c r="B442" s="99"/>
      <c r="CP442" s="81"/>
      <c r="CQ442" s="81"/>
      <c r="CR442" s="81"/>
      <c r="CS442" s="81"/>
      <c r="CT442" s="81"/>
      <c r="CU442" s="81"/>
      <c r="CV442" s="110"/>
      <c r="CW442" s="188"/>
      <c r="CX442" s="188"/>
      <c r="CY442" s="188"/>
      <c r="CZ442" s="99"/>
      <c r="DA442" s="99"/>
      <c r="DB442" s="99"/>
      <c r="DD442" s="99"/>
      <c r="DF442" s="190"/>
      <c r="DG442" s="188"/>
      <c r="DH442" s="191"/>
      <c r="DI442" s="99"/>
    </row>
    <row r="443" customFormat="false" ht="12.75" hidden="false" customHeight="false" outlineLevel="0" collapsed="false">
      <c r="B443" s="99"/>
      <c r="CP443" s="81"/>
      <c r="CQ443" s="81"/>
      <c r="CR443" s="81"/>
      <c r="CS443" s="81"/>
      <c r="CT443" s="81"/>
      <c r="CU443" s="81"/>
      <c r="CV443" s="110"/>
      <c r="CW443" s="188"/>
      <c r="CX443" s="188"/>
      <c r="CY443" s="188"/>
      <c r="CZ443" s="99"/>
      <c r="DA443" s="99"/>
      <c r="DB443" s="99"/>
      <c r="DD443" s="99"/>
      <c r="DF443" s="190"/>
      <c r="DG443" s="188"/>
      <c r="DH443" s="191"/>
      <c r="DI443" s="99"/>
    </row>
    <row r="444" customFormat="false" ht="12.75" hidden="false" customHeight="false" outlineLevel="0" collapsed="false">
      <c r="B444" s="99"/>
      <c r="CP444" s="81"/>
      <c r="CQ444" s="81"/>
      <c r="CR444" s="81"/>
      <c r="CS444" s="81"/>
      <c r="CT444" s="81"/>
      <c r="CU444" s="81"/>
      <c r="CV444" s="110"/>
      <c r="CW444" s="188"/>
      <c r="CX444" s="188"/>
      <c r="CY444" s="188"/>
      <c r="CZ444" s="99"/>
      <c r="DA444" s="99"/>
      <c r="DB444" s="99"/>
      <c r="DD444" s="99"/>
      <c r="DF444" s="190"/>
      <c r="DG444" s="188"/>
      <c r="DH444" s="191"/>
      <c r="DI444" s="99"/>
    </row>
    <row r="445" customFormat="false" ht="12.75" hidden="false" customHeight="false" outlineLevel="0" collapsed="false">
      <c r="B445" s="99"/>
      <c r="CP445" s="81"/>
      <c r="CQ445" s="81"/>
      <c r="CR445" s="81"/>
      <c r="CS445" s="81"/>
      <c r="CT445" s="81"/>
      <c r="CU445" s="81"/>
      <c r="CV445" s="110"/>
      <c r="CW445" s="188"/>
      <c r="CX445" s="188"/>
      <c r="CY445" s="188"/>
      <c r="CZ445" s="99"/>
      <c r="DA445" s="99"/>
      <c r="DB445" s="99"/>
      <c r="DD445" s="99"/>
      <c r="DF445" s="190"/>
      <c r="DG445" s="188"/>
      <c r="DH445" s="191"/>
      <c r="DI445" s="99"/>
    </row>
    <row r="446" customFormat="false" ht="12.75" hidden="false" customHeight="false" outlineLevel="0" collapsed="false">
      <c r="B446" s="99"/>
      <c r="CP446" s="81"/>
      <c r="CQ446" s="81"/>
      <c r="CR446" s="81"/>
      <c r="CS446" s="81"/>
      <c r="CT446" s="81"/>
      <c r="CU446" s="81"/>
      <c r="CV446" s="110"/>
      <c r="CW446" s="188"/>
      <c r="CX446" s="188"/>
      <c r="CY446" s="188"/>
      <c r="CZ446" s="99"/>
      <c r="DA446" s="99"/>
      <c r="DB446" s="99"/>
      <c r="DD446" s="99"/>
      <c r="DF446" s="190"/>
      <c r="DG446" s="188"/>
      <c r="DH446" s="191"/>
      <c r="DI446" s="99"/>
    </row>
    <row r="447" customFormat="false" ht="12.75" hidden="false" customHeight="false" outlineLevel="0" collapsed="false">
      <c r="B447" s="99"/>
      <c r="CP447" s="81"/>
      <c r="CQ447" s="81"/>
      <c r="CR447" s="81"/>
      <c r="CS447" s="81"/>
      <c r="CT447" s="81"/>
      <c r="CU447" s="81"/>
      <c r="CV447" s="110"/>
      <c r="CW447" s="188"/>
      <c r="CX447" s="188"/>
      <c r="CY447" s="188"/>
      <c r="CZ447" s="99"/>
      <c r="DA447" s="99"/>
      <c r="DB447" s="99"/>
      <c r="DD447" s="99"/>
      <c r="DF447" s="190"/>
      <c r="DG447" s="188"/>
      <c r="DH447" s="191"/>
      <c r="DI447" s="99"/>
    </row>
    <row r="448" customFormat="false" ht="12.75" hidden="false" customHeight="false" outlineLevel="0" collapsed="false">
      <c r="B448" s="99"/>
      <c r="CP448" s="81"/>
      <c r="CQ448" s="81"/>
      <c r="CR448" s="81"/>
      <c r="CS448" s="81"/>
      <c r="CT448" s="81"/>
      <c r="CU448" s="81"/>
      <c r="CV448" s="110"/>
      <c r="CW448" s="188"/>
      <c r="CX448" s="188"/>
      <c r="CY448" s="188"/>
      <c r="CZ448" s="99"/>
      <c r="DA448" s="99"/>
      <c r="DB448" s="99"/>
      <c r="DD448" s="99"/>
      <c r="DF448" s="190"/>
      <c r="DG448" s="188"/>
      <c r="DH448" s="191"/>
      <c r="DI448" s="99"/>
    </row>
    <row r="449" customFormat="false" ht="12.75" hidden="false" customHeight="false" outlineLevel="0" collapsed="false">
      <c r="B449" s="99"/>
      <c r="CP449" s="81"/>
      <c r="CQ449" s="81"/>
      <c r="CR449" s="81"/>
      <c r="CS449" s="81"/>
      <c r="CT449" s="81"/>
      <c r="CU449" s="81"/>
      <c r="CV449" s="110"/>
      <c r="CW449" s="188"/>
      <c r="CX449" s="188"/>
      <c r="CY449" s="188"/>
      <c r="CZ449" s="99"/>
      <c r="DA449" s="99"/>
      <c r="DB449" s="99"/>
      <c r="DD449" s="99"/>
      <c r="DF449" s="190"/>
      <c r="DG449" s="188"/>
      <c r="DH449" s="191"/>
      <c r="DI449" s="99"/>
    </row>
    <row r="450" customFormat="false" ht="12.75" hidden="false" customHeight="false" outlineLevel="0" collapsed="false">
      <c r="B450" s="99"/>
      <c r="CP450" s="81"/>
      <c r="CQ450" s="81"/>
      <c r="CR450" s="81"/>
      <c r="CS450" s="81"/>
      <c r="CT450" s="81"/>
      <c r="CU450" s="81"/>
      <c r="CV450" s="110"/>
      <c r="CW450" s="188"/>
      <c r="CX450" s="188"/>
      <c r="CY450" s="188"/>
      <c r="CZ450" s="99"/>
      <c r="DA450" s="99"/>
      <c r="DB450" s="99"/>
      <c r="DD450" s="99"/>
      <c r="DF450" s="190"/>
      <c r="DG450" s="188"/>
      <c r="DH450" s="191"/>
      <c r="DI450" s="99"/>
    </row>
    <row r="451" customFormat="false" ht="12.75" hidden="false" customHeight="false" outlineLevel="0" collapsed="false">
      <c r="B451" s="99"/>
      <c r="CP451" s="81"/>
      <c r="CQ451" s="81"/>
      <c r="CR451" s="81"/>
      <c r="CS451" s="81"/>
      <c r="CT451" s="81"/>
      <c r="CU451" s="81"/>
      <c r="CV451" s="110"/>
      <c r="CW451" s="188"/>
      <c r="CX451" s="188"/>
      <c r="CY451" s="188"/>
      <c r="CZ451" s="99"/>
      <c r="DA451" s="99"/>
      <c r="DB451" s="99"/>
      <c r="DD451" s="99"/>
      <c r="DF451" s="190"/>
      <c r="DG451" s="188"/>
      <c r="DH451" s="191"/>
      <c r="DI451" s="99"/>
    </row>
    <row r="452" customFormat="false" ht="12.75" hidden="false" customHeight="false" outlineLevel="0" collapsed="false">
      <c r="B452" s="99"/>
      <c r="CP452" s="81"/>
      <c r="CQ452" s="81"/>
      <c r="CR452" s="81"/>
      <c r="CS452" s="81"/>
      <c r="CT452" s="81"/>
      <c r="CU452" s="81"/>
      <c r="CV452" s="110"/>
      <c r="CW452" s="188"/>
      <c r="CX452" s="188"/>
      <c r="CY452" s="188"/>
      <c r="CZ452" s="99"/>
      <c r="DA452" s="99"/>
      <c r="DB452" s="99"/>
      <c r="DD452" s="99"/>
      <c r="DF452" s="190"/>
      <c r="DG452" s="188"/>
      <c r="DH452" s="191"/>
      <c r="DI452" s="99"/>
    </row>
    <row r="453" customFormat="false" ht="12.75" hidden="false" customHeight="false" outlineLevel="0" collapsed="false">
      <c r="B453" s="99"/>
      <c r="CP453" s="81"/>
      <c r="CQ453" s="81"/>
      <c r="CR453" s="81"/>
      <c r="CS453" s="81"/>
      <c r="CT453" s="81"/>
      <c r="CU453" s="81"/>
      <c r="CV453" s="110"/>
      <c r="CW453" s="188"/>
      <c r="CX453" s="188"/>
      <c r="CY453" s="188"/>
      <c r="CZ453" s="99"/>
      <c r="DA453" s="99"/>
      <c r="DB453" s="99"/>
      <c r="DD453" s="99"/>
      <c r="DF453" s="190"/>
      <c r="DG453" s="188"/>
      <c r="DH453" s="191"/>
      <c r="DI453" s="99"/>
    </row>
    <row r="454" customFormat="false" ht="12.75" hidden="false" customHeight="false" outlineLevel="0" collapsed="false">
      <c r="B454" s="99"/>
      <c r="CP454" s="81"/>
      <c r="CQ454" s="81"/>
      <c r="CR454" s="81"/>
      <c r="CS454" s="81"/>
      <c r="CT454" s="81"/>
      <c r="CU454" s="81"/>
      <c r="CV454" s="110"/>
      <c r="CW454" s="188"/>
      <c r="CX454" s="188"/>
      <c r="CY454" s="188"/>
      <c r="CZ454" s="99"/>
      <c r="DA454" s="99"/>
      <c r="DB454" s="99"/>
      <c r="DD454" s="99"/>
      <c r="DF454" s="190"/>
      <c r="DG454" s="188"/>
      <c r="DH454" s="191"/>
      <c r="DI454" s="99"/>
    </row>
    <row r="455" customFormat="false" ht="12.75" hidden="false" customHeight="false" outlineLevel="0" collapsed="false">
      <c r="B455" s="99"/>
      <c r="CP455" s="81"/>
      <c r="CQ455" s="81"/>
      <c r="CR455" s="81"/>
      <c r="CS455" s="81"/>
      <c r="CT455" s="81"/>
      <c r="CU455" s="81"/>
      <c r="CV455" s="110"/>
      <c r="CW455" s="188"/>
      <c r="CX455" s="188"/>
      <c r="CY455" s="188"/>
      <c r="CZ455" s="99"/>
      <c r="DA455" s="99"/>
      <c r="DB455" s="99"/>
      <c r="DD455" s="99"/>
      <c r="DF455" s="190"/>
      <c r="DG455" s="188"/>
      <c r="DH455" s="191"/>
      <c r="DI455" s="99"/>
    </row>
    <row r="456" customFormat="false" ht="12.75" hidden="false" customHeight="false" outlineLevel="0" collapsed="false">
      <c r="B456" s="99"/>
      <c r="CP456" s="81"/>
      <c r="CQ456" s="81"/>
      <c r="CR456" s="81"/>
      <c r="CS456" s="81"/>
      <c r="CT456" s="81"/>
      <c r="CU456" s="81"/>
      <c r="CV456" s="110"/>
      <c r="CW456" s="188"/>
      <c r="CX456" s="188"/>
      <c r="CY456" s="188"/>
      <c r="CZ456" s="99"/>
      <c r="DA456" s="99"/>
      <c r="DB456" s="99"/>
      <c r="DD456" s="99"/>
      <c r="DF456" s="190"/>
      <c r="DG456" s="188"/>
      <c r="DH456" s="191"/>
      <c r="DI456" s="99"/>
    </row>
    <row r="457" customFormat="false" ht="12.75" hidden="false" customHeight="false" outlineLevel="0" collapsed="false">
      <c r="B457" s="99"/>
      <c r="CP457" s="81"/>
      <c r="CQ457" s="81"/>
      <c r="CR457" s="81"/>
      <c r="CS457" s="81"/>
      <c r="CT457" s="81"/>
      <c r="CU457" s="81"/>
      <c r="CV457" s="110"/>
      <c r="CW457" s="188"/>
      <c r="CX457" s="188"/>
      <c r="CY457" s="188"/>
      <c r="CZ457" s="99"/>
      <c r="DA457" s="99"/>
      <c r="DB457" s="99"/>
      <c r="DD457" s="99"/>
      <c r="DF457" s="190"/>
      <c r="DG457" s="188"/>
      <c r="DH457" s="191"/>
      <c r="DI457" s="99"/>
    </row>
    <row r="458" customFormat="false" ht="12.75" hidden="false" customHeight="false" outlineLevel="0" collapsed="false">
      <c r="B458" s="99"/>
      <c r="CP458" s="81"/>
      <c r="CQ458" s="81"/>
      <c r="CR458" s="81"/>
      <c r="CS458" s="81"/>
      <c r="CT458" s="81"/>
      <c r="CU458" s="81"/>
      <c r="CV458" s="110"/>
      <c r="CW458" s="188"/>
      <c r="CX458" s="188"/>
      <c r="CY458" s="188"/>
      <c r="CZ458" s="99"/>
      <c r="DA458" s="99"/>
      <c r="DB458" s="99"/>
      <c r="DD458" s="99"/>
      <c r="DF458" s="190"/>
      <c r="DG458" s="188"/>
      <c r="DH458" s="191"/>
      <c r="DI458" s="99"/>
    </row>
    <row r="459" customFormat="false" ht="12.75" hidden="false" customHeight="false" outlineLevel="0" collapsed="false">
      <c r="B459" s="99"/>
      <c r="CP459" s="81"/>
      <c r="CQ459" s="81"/>
      <c r="CR459" s="81"/>
      <c r="CS459" s="81"/>
      <c r="CT459" s="81"/>
      <c r="CU459" s="81"/>
      <c r="CV459" s="110"/>
      <c r="CW459" s="188"/>
      <c r="CX459" s="188"/>
      <c r="CY459" s="188"/>
      <c r="CZ459" s="99"/>
      <c r="DA459" s="99"/>
      <c r="DB459" s="99"/>
      <c r="DD459" s="99"/>
      <c r="DF459" s="190"/>
      <c r="DG459" s="188"/>
      <c r="DH459" s="191"/>
      <c r="DI459" s="99"/>
    </row>
    <row r="460" customFormat="false" ht="12.75" hidden="false" customHeight="false" outlineLevel="0" collapsed="false">
      <c r="B460" s="99"/>
      <c r="CP460" s="81"/>
      <c r="CQ460" s="81"/>
      <c r="CR460" s="81"/>
      <c r="CS460" s="81"/>
      <c r="CT460" s="81"/>
      <c r="CU460" s="81"/>
      <c r="CV460" s="110"/>
      <c r="CW460" s="188"/>
      <c r="CX460" s="188"/>
      <c r="CY460" s="188"/>
      <c r="CZ460" s="99"/>
      <c r="DA460" s="99"/>
      <c r="DB460" s="99"/>
      <c r="DD460" s="99"/>
      <c r="DF460" s="190"/>
      <c r="DG460" s="188"/>
      <c r="DH460" s="191"/>
      <c r="DI460" s="99"/>
    </row>
    <row r="461" customFormat="false" ht="12.75" hidden="false" customHeight="false" outlineLevel="0" collapsed="false">
      <c r="B461" s="99"/>
      <c r="CP461" s="81"/>
      <c r="CQ461" s="81"/>
      <c r="CR461" s="81"/>
      <c r="CS461" s="81"/>
      <c r="CT461" s="81"/>
      <c r="CU461" s="81"/>
      <c r="CV461" s="110"/>
      <c r="CW461" s="188"/>
      <c r="CX461" s="188"/>
      <c r="CY461" s="188"/>
      <c r="CZ461" s="99"/>
      <c r="DA461" s="99"/>
      <c r="DB461" s="99"/>
      <c r="DD461" s="99"/>
      <c r="DF461" s="190"/>
      <c r="DG461" s="188"/>
      <c r="DH461" s="191"/>
      <c r="DI461" s="99"/>
    </row>
    <row r="462" customFormat="false" ht="12.75" hidden="false" customHeight="false" outlineLevel="0" collapsed="false">
      <c r="B462" s="99"/>
      <c r="CP462" s="81"/>
      <c r="CQ462" s="81"/>
      <c r="CR462" s="81"/>
      <c r="CS462" s="81"/>
      <c r="CT462" s="81"/>
      <c r="CU462" s="81"/>
      <c r="CV462" s="110"/>
      <c r="CW462" s="188"/>
      <c r="CX462" s="188"/>
      <c r="CY462" s="188"/>
      <c r="CZ462" s="99"/>
      <c r="DA462" s="99"/>
      <c r="DB462" s="99"/>
      <c r="DD462" s="99"/>
      <c r="DF462" s="190"/>
      <c r="DG462" s="188"/>
      <c r="DH462" s="191"/>
      <c r="DI462" s="99"/>
    </row>
    <row r="463" customFormat="false" ht="12.75" hidden="false" customHeight="false" outlineLevel="0" collapsed="false">
      <c r="B463" s="99"/>
      <c r="CP463" s="81"/>
      <c r="CQ463" s="81"/>
      <c r="CR463" s="81"/>
      <c r="CS463" s="81"/>
      <c r="CT463" s="81"/>
      <c r="CU463" s="81"/>
      <c r="CV463" s="110"/>
      <c r="CW463" s="188"/>
      <c r="CX463" s="188"/>
      <c r="CY463" s="188"/>
      <c r="CZ463" s="99"/>
      <c r="DA463" s="99"/>
      <c r="DB463" s="99"/>
      <c r="DD463" s="99"/>
      <c r="DF463" s="190"/>
      <c r="DG463" s="188"/>
      <c r="DH463" s="191"/>
      <c r="DI463" s="99"/>
    </row>
    <row r="464" customFormat="false" ht="12.75" hidden="false" customHeight="false" outlineLevel="0" collapsed="false">
      <c r="B464" s="99"/>
      <c r="CP464" s="81"/>
      <c r="CQ464" s="81"/>
      <c r="CR464" s="81"/>
      <c r="CS464" s="81"/>
      <c r="CT464" s="81"/>
      <c r="CU464" s="81"/>
      <c r="CV464" s="110"/>
      <c r="CW464" s="188"/>
      <c r="CX464" s="188"/>
      <c r="CY464" s="188"/>
      <c r="CZ464" s="99"/>
      <c r="DA464" s="99"/>
      <c r="DB464" s="99"/>
      <c r="DD464" s="99"/>
      <c r="DF464" s="190"/>
      <c r="DG464" s="188"/>
      <c r="DH464" s="191"/>
      <c r="DI464" s="99"/>
    </row>
    <row r="465" customFormat="false" ht="12.75" hidden="false" customHeight="false" outlineLevel="0" collapsed="false">
      <c r="B465" s="99"/>
      <c r="CP465" s="81"/>
      <c r="CQ465" s="81"/>
      <c r="CR465" s="81"/>
      <c r="CS465" s="81"/>
      <c r="CT465" s="81"/>
      <c r="CU465" s="81"/>
      <c r="CV465" s="110"/>
      <c r="CW465" s="188"/>
      <c r="CX465" s="188"/>
      <c r="CY465" s="188"/>
      <c r="CZ465" s="99"/>
      <c r="DA465" s="99"/>
      <c r="DB465" s="99"/>
      <c r="DD465" s="99"/>
      <c r="DF465" s="190"/>
      <c r="DG465" s="188"/>
      <c r="DH465" s="191"/>
      <c r="DI465" s="99"/>
    </row>
    <row r="466" customFormat="false" ht="12.75" hidden="false" customHeight="false" outlineLevel="0" collapsed="false">
      <c r="B466" s="99"/>
      <c r="CP466" s="81"/>
      <c r="CQ466" s="81"/>
      <c r="CR466" s="81"/>
      <c r="CS466" s="81"/>
      <c r="CT466" s="81"/>
      <c r="CU466" s="81"/>
      <c r="CV466" s="110"/>
      <c r="CW466" s="188"/>
      <c r="CX466" s="188"/>
      <c r="CY466" s="188"/>
      <c r="CZ466" s="99"/>
      <c r="DA466" s="99"/>
      <c r="DB466" s="99"/>
      <c r="DD466" s="99"/>
      <c r="DF466" s="190"/>
      <c r="DG466" s="188"/>
      <c r="DH466" s="191"/>
      <c r="DI466" s="99"/>
    </row>
    <row r="467" customFormat="false" ht="12.75" hidden="false" customHeight="false" outlineLevel="0" collapsed="false">
      <c r="B467" s="99"/>
      <c r="CP467" s="81"/>
      <c r="CQ467" s="81"/>
      <c r="CR467" s="81"/>
      <c r="CS467" s="81"/>
      <c r="CT467" s="81"/>
      <c r="CU467" s="81"/>
      <c r="CV467" s="110"/>
      <c r="CW467" s="188"/>
      <c r="CX467" s="188"/>
      <c r="CY467" s="188"/>
      <c r="CZ467" s="99"/>
      <c r="DA467" s="99"/>
      <c r="DB467" s="99"/>
      <c r="DD467" s="99"/>
      <c r="DF467" s="190"/>
      <c r="DG467" s="188"/>
      <c r="DH467" s="191"/>
      <c r="DI467" s="99"/>
    </row>
    <row r="468" customFormat="false" ht="12.75" hidden="false" customHeight="false" outlineLevel="0" collapsed="false">
      <c r="B468" s="99"/>
      <c r="CP468" s="81"/>
      <c r="CQ468" s="81"/>
      <c r="CR468" s="81"/>
      <c r="CS468" s="81"/>
      <c r="CT468" s="81"/>
      <c r="CU468" s="81"/>
      <c r="CV468" s="110"/>
      <c r="CW468" s="188"/>
      <c r="CX468" s="188"/>
      <c r="CY468" s="188"/>
      <c r="CZ468" s="99"/>
      <c r="DA468" s="99"/>
      <c r="DB468" s="99"/>
      <c r="DD468" s="99"/>
      <c r="DF468" s="190"/>
      <c r="DG468" s="188"/>
      <c r="DH468" s="191"/>
      <c r="DI468" s="99"/>
    </row>
    <row r="469" customFormat="false" ht="12.75" hidden="false" customHeight="false" outlineLevel="0" collapsed="false">
      <c r="B469" s="99"/>
      <c r="CP469" s="81"/>
      <c r="CQ469" s="81"/>
      <c r="CR469" s="81"/>
      <c r="CS469" s="81"/>
      <c r="CT469" s="81"/>
      <c r="CU469" s="81"/>
      <c r="CV469" s="110"/>
      <c r="CW469" s="188"/>
      <c r="CX469" s="188"/>
      <c r="CY469" s="188"/>
      <c r="CZ469" s="99"/>
      <c r="DA469" s="99"/>
      <c r="DB469" s="99"/>
      <c r="DD469" s="99"/>
      <c r="DF469" s="190"/>
      <c r="DG469" s="188"/>
      <c r="DH469" s="191"/>
      <c r="DI469" s="99"/>
    </row>
    <row r="470" customFormat="false" ht="12.75" hidden="false" customHeight="false" outlineLevel="0" collapsed="false">
      <c r="B470" s="99"/>
      <c r="CP470" s="81"/>
      <c r="CQ470" s="81"/>
      <c r="CR470" s="81"/>
      <c r="CS470" s="81"/>
      <c r="CT470" s="81"/>
      <c r="CU470" s="81"/>
      <c r="CV470" s="110"/>
      <c r="CW470" s="188"/>
      <c r="CX470" s="188"/>
      <c r="CY470" s="188"/>
      <c r="CZ470" s="99"/>
      <c r="DA470" s="99"/>
      <c r="DB470" s="99"/>
      <c r="DD470" s="99"/>
      <c r="DF470" s="190"/>
      <c r="DG470" s="188"/>
      <c r="DH470" s="191"/>
      <c r="DI470" s="99"/>
    </row>
    <row r="471" customFormat="false" ht="12.75" hidden="false" customHeight="false" outlineLevel="0" collapsed="false">
      <c r="B471" s="99"/>
      <c r="CP471" s="81"/>
      <c r="CQ471" s="81"/>
      <c r="CR471" s="81"/>
      <c r="CS471" s="81"/>
      <c r="CT471" s="81"/>
      <c r="CU471" s="81"/>
      <c r="CV471" s="110"/>
      <c r="CW471" s="188"/>
      <c r="CX471" s="188"/>
      <c r="CY471" s="188"/>
      <c r="CZ471" s="99"/>
      <c r="DA471" s="99"/>
      <c r="DB471" s="99"/>
      <c r="DD471" s="99"/>
      <c r="DF471" s="190"/>
      <c r="DG471" s="188"/>
      <c r="DH471" s="191"/>
      <c r="DI471" s="99"/>
    </row>
    <row r="472" customFormat="false" ht="12.75" hidden="false" customHeight="false" outlineLevel="0" collapsed="false">
      <c r="B472" s="99"/>
      <c r="CP472" s="81"/>
      <c r="CQ472" s="81"/>
      <c r="CR472" s="81"/>
      <c r="CS472" s="81"/>
      <c r="CT472" s="81"/>
      <c r="CU472" s="81"/>
      <c r="CV472" s="110"/>
      <c r="CW472" s="188"/>
      <c r="CX472" s="188"/>
      <c r="CY472" s="188"/>
      <c r="CZ472" s="99"/>
      <c r="DA472" s="99"/>
      <c r="DB472" s="99"/>
      <c r="DD472" s="99"/>
      <c r="DF472" s="190"/>
      <c r="DG472" s="188"/>
      <c r="DH472" s="191"/>
      <c r="DI472" s="99"/>
    </row>
    <row r="473" customFormat="false" ht="12.75" hidden="false" customHeight="false" outlineLevel="0" collapsed="false">
      <c r="B473" s="99"/>
      <c r="CP473" s="81"/>
      <c r="CQ473" s="81"/>
      <c r="CR473" s="81"/>
      <c r="CS473" s="81"/>
      <c r="CT473" s="81"/>
      <c r="CU473" s="81"/>
      <c r="CV473" s="110"/>
      <c r="CW473" s="188"/>
      <c r="CX473" s="188"/>
      <c r="CY473" s="188"/>
      <c r="CZ473" s="99"/>
      <c r="DA473" s="99"/>
      <c r="DB473" s="99"/>
      <c r="DD473" s="99"/>
      <c r="DF473" s="190"/>
      <c r="DG473" s="188"/>
      <c r="DH473" s="191"/>
      <c r="DI473" s="99"/>
    </row>
    <row r="474" customFormat="false" ht="12.75" hidden="false" customHeight="false" outlineLevel="0" collapsed="false">
      <c r="B474" s="99"/>
      <c r="CP474" s="81"/>
      <c r="CQ474" s="81"/>
      <c r="CR474" s="81"/>
      <c r="CS474" s="81"/>
      <c r="CT474" s="81"/>
      <c r="CU474" s="81"/>
      <c r="CV474" s="110"/>
      <c r="CW474" s="188"/>
      <c r="CX474" s="188"/>
      <c r="CY474" s="188"/>
      <c r="CZ474" s="99"/>
      <c r="DA474" s="99"/>
      <c r="DB474" s="99"/>
      <c r="DD474" s="99"/>
      <c r="DF474" s="190"/>
      <c r="DG474" s="188"/>
      <c r="DH474" s="191"/>
      <c r="DI474" s="99"/>
    </row>
    <row r="475" customFormat="false" ht="12.75" hidden="false" customHeight="false" outlineLevel="0" collapsed="false">
      <c r="B475" s="99"/>
      <c r="CP475" s="81"/>
      <c r="CQ475" s="81"/>
      <c r="CR475" s="81"/>
      <c r="CS475" s="81"/>
      <c r="CT475" s="81"/>
      <c r="CU475" s="81"/>
      <c r="CV475" s="110"/>
      <c r="CW475" s="188"/>
      <c r="CX475" s="188"/>
      <c r="CY475" s="188"/>
      <c r="CZ475" s="99"/>
      <c r="DA475" s="99"/>
      <c r="DB475" s="99"/>
      <c r="DD475" s="99"/>
      <c r="DF475" s="190"/>
      <c r="DG475" s="188"/>
      <c r="DH475" s="191"/>
      <c r="DI475" s="99"/>
    </row>
    <row r="476" customFormat="false" ht="12.75" hidden="false" customHeight="false" outlineLevel="0" collapsed="false">
      <c r="B476" s="99"/>
      <c r="CP476" s="81"/>
      <c r="CQ476" s="81"/>
      <c r="CR476" s="81"/>
      <c r="CS476" s="81"/>
      <c r="CT476" s="81"/>
      <c r="CU476" s="81"/>
      <c r="CV476" s="110"/>
      <c r="CW476" s="188"/>
      <c r="CX476" s="188"/>
      <c r="CY476" s="188"/>
      <c r="CZ476" s="99"/>
      <c r="DA476" s="99"/>
      <c r="DB476" s="99"/>
      <c r="DD476" s="99"/>
      <c r="DF476" s="190"/>
      <c r="DG476" s="188"/>
      <c r="DH476" s="191"/>
      <c r="DI476" s="99"/>
    </row>
    <row r="477" customFormat="false" ht="12.75" hidden="false" customHeight="false" outlineLevel="0" collapsed="false">
      <c r="B477" s="99"/>
      <c r="CP477" s="81"/>
      <c r="CQ477" s="81"/>
      <c r="CR477" s="81"/>
      <c r="CS477" s="81"/>
      <c r="CT477" s="81"/>
      <c r="CU477" s="81"/>
      <c r="CV477" s="110"/>
      <c r="CW477" s="188"/>
      <c r="CX477" s="188"/>
      <c r="CY477" s="188"/>
      <c r="CZ477" s="99"/>
      <c r="DA477" s="99"/>
      <c r="DB477" s="99"/>
      <c r="DD477" s="99"/>
      <c r="DF477" s="190"/>
      <c r="DG477" s="188"/>
      <c r="DH477" s="191"/>
      <c r="DI477" s="99"/>
    </row>
    <row r="478" customFormat="false" ht="12.75" hidden="false" customHeight="false" outlineLevel="0" collapsed="false">
      <c r="B478" s="99"/>
      <c r="CP478" s="81"/>
      <c r="CQ478" s="81"/>
      <c r="CR478" s="81"/>
      <c r="CS478" s="81"/>
      <c r="CT478" s="81"/>
      <c r="CU478" s="81"/>
      <c r="CV478" s="110"/>
      <c r="CW478" s="188"/>
      <c r="CX478" s="188"/>
      <c r="CY478" s="188"/>
      <c r="CZ478" s="99"/>
      <c r="DA478" s="99"/>
      <c r="DB478" s="99"/>
      <c r="DD478" s="99"/>
      <c r="DF478" s="190"/>
      <c r="DG478" s="188"/>
      <c r="DH478" s="191"/>
      <c r="DI478" s="99"/>
    </row>
    <row r="479" customFormat="false" ht="12.75" hidden="false" customHeight="false" outlineLevel="0" collapsed="false">
      <c r="B479" s="99"/>
      <c r="CP479" s="81"/>
      <c r="CQ479" s="81"/>
      <c r="CR479" s="81"/>
      <c r="CS479" s="81"/>
      <c r="CT479" s="81"/>
      <c r="CU479" s="81"/>
      <c r="CV479" s="110"/>
      <c r="CW479" s="188"/>
      <c r="CX479" s="188"/>
      <c r="CY479" s="188"/>
      <c r="CZ479" s="99"/>
      <c r="DA479" s="99"/>
      <c r="DB479" s="99"/>
      <c r="DD479" s="99"/>
      <c r="DF479" s="190"/>
      <c r="DG479" s="188"/>
      <c r="DH479" s="191"/>
      <c r="DI479" s="99"/>
    </row>
    <row r="480" customFormat="false" ht="12.75" hidden="false" customHeight="false" outlineLevel="0" collapsed="false">
      <c r="B480" s="99"/>
      <c r="CP480" s="81"/>
      <c r="CQ480" s="81"/>
      <c r="CR480" s="81"/>
      <c r="CS480" s="81"/>
      <c r="CT480" s="81"/>
      <c r="CU480" s="81"/>
      <c r="CV480" s="110"/>
      <c r="CW480" s="188"/>
      <c r="CX480" s="188"/>
      <c r="CY480" s="188"/>
      <c r="CZ480" s="99"/>
      <c r="DA480" s="99"/>
      <c r="DB480" s="99"/>
      <c r="DD480" s="99"/>
      <c r="DF480" s="190"/>
      <c r="DG480" s="188"/>
      <c r="DH480" s="191"/>
      <c r="DI480" s="99"/>
    </row>
    <row r="481" customFormat="false" ht="12.75" hidden="false" customHeight="false" outlineLevel="0" collapsed="false">
      <c r="B481" s="99"/>
      <c r="CP481" s="81"/>
      <c r="CQ481" s="81"/>
      <c r="CR481" s="81"/>
      <c r="CS481" s="81"/>
      <c r="CT481" s="81"/>
      <c r="CU481" s="81"/>
      <c r="CV481" s="110"/>
      <c r="CW481" s="188"/>
      <c r="CX481" s="188"/>
      <c r="CY481" s="188"/>
      <c r="CZ481" s="99"/>
      <c r="DA481" s="99"/>
      <c r="DB481" s="99"/>
      <c r="DD481" s="99"/>
      <c r="DF481" s="190"/>
      <c r="DG481" s="188"/>
      <c r="DH481" s="191"/>
      <c r="DI481" s="99"/>
    </row>
    <row r="482" customFormat="false" ht="12.75" hidden="false" customHeight="false" outlineLevel="0" collapsed="false">
      <c r="B482" s="99"/>
      <c r="CP482" s="81"/>
      <c r="CQ482" s="81"/>
      <c r="CR482" s="81"/>
      <c r="CS482" s="81"/>
      <c r="CT482" s="81"/>
      <c r="CU482" s="81"/>
      <c r="CV482" s="110"/>
      <c r="CW482" s="188"/>
      <c r="CX482" s="188"/>
      <c r="CY482" s="188"/>
      <c r="CZ482" s="99"/>
      <c r="DA482" s="99"/>
      <c r="DB482" s="99"/>
      <c r="DD482" s="99"/>
      <c r="DF482" s="190"/>
      <c r="DG482" s="188"/>
      <c r="DH482" s="191"/>
      <c r="DI482" s="99"/>
    </row>
    <row r="483" customFormat="false" ht="12.75" hidden="false" customHeight="false" outlineLevel="0" collapsed="false">
      <c r="B483" s="99"/>
      <c r="CP483" s="81"/>
      <c r="CQ483" s="81"/>
      <c r="CR483" s="81"/>
      <c r="CS483" s="81"/>
      <c r="CT483" s="81"/>
      <c r="CU483" s="81"/>
      <c r="CV483" s="110"/>
      <c r="CW483" s="188"/>
      <c r="CX483" s="188"/>
      <c r="CY483" s="188"/>
      <c r="CZ483" s="99"/>
      <c r="DA483" s="99"/>
      <c r="DB483" s="99"/>
      <c r="DD483" s="99"/>
      <c r="DF483" s="190"/>
      <c r="DG483" s="188"/>
      <c r="DH483" s="191"/>
      <c r="DI483" s="99"/>
    </row>
    <row r="484" customFormat="false" ht="12.75" hidden="false" customHeight="false" outlineLevel="0" collapsed="false">
      <c r="B484" s="99"/>
      <c r="CP484" s="81"/>
      <c r="CQ484" s="81"/>
      <c r="CR484" s="81"/>
      <c r="CS484" s="81"/>
      <c r="CT484" s="81"/>
      <c r="CU484" s="81"/>
      <c r="CV484" s="110"/>
      <c r="CW484" s="188"/>
      <c r="CX484" s="188"/>
      <c r="CY484" s="188"/>
      <c r="CZ484" s="99"/>
      <c r="DA484" s="99"/>
      <c r="DB484" s="99"/>
      <c r="DD484" s="99"/>
      <c r="DF484" s="190"/>
      <c r="DG484" s="188"/>
      <c r="DH484" s="191"/>
      <c r="DI484" s="99"/>
    </row>
    <row r="485" customFormat="false" ht="12.75" hidden="false" customHeight="false" outlineLevel="0" collapsed="false">
      <c r="B485" s="99"/>
      <c r="CP485" s="81"/>
      <c r="CQ485" s="81"/>
      <c r="CR485" s="81"/>
      <c r="CS485" s="81"/>
      <c r="CT485" s="81"/>
      <c r="CU485" s="81"/>
      <c r="CV485" s="110"/>
      <c r="CW485" s="188"/>
      <c r="CX485" s="188"/>
      <c r="CY485" s="188"/>
      <c r="CZ485" s="99"/>
      <c r="DA485" s="99"/>
      <c r="DB485" s="99"/>
      <c r="DD485" s="99"/>
      <c r="DF485" s="190"/>
      <c r="DG485" s="188"/>
      <c r="DH485" s="191"/>
      <c r="DI485" s="99"/>
    </row>
    <row r="486" customFormat="false" ht="12.75" hidden="false" customHeight="false" outlineLevel="0" collapsed="false">
      <c r="B486" s="99"/>
      <c r="CP486" s="81"/>
      <c r="CQ486" s="81"/>
      <c r="CR486" s="81"/>
      <c r="CS486" s="81"/>
      <c r="CT486" s="81"/>
      <c r="CU486" s="81"/>
      <c r="CV486" s="110"/>
      <c r="CW486" s="188"/>
      <c r="CX486" s="188"/>
      <c r="CY486" s="188"/>
      <c r="CZ486" s="99"/>
      <c r="DA486" s="99"/>
      <c r="DB486" s="99"/>
      <c r="DD486" s="99"/>
      <c r="DF486" s="190"/>
      <c r="DG486" s="188"/>
      <c r="DH486" s="191"/>
      <c r="DI486" s="99"/>
    </row>
    <row r="487" customFormat="false" ht="12.75" hidden="false" customHeight="false" outlineLevel="0" collapsed="false">
      <c r="B487" s="99"/>
      <c r="CP487" s="81"/>
      <c r="CQ487" s="81"/>
      <c r="CR487" s="81"/>
      <c r="CS487" s="81"/>
      <c r="CT487" s="81"/>
      <c r="CU487" s="81"/>
      <c r="CV487" s="110"/>
      <c r="CW487" s="188"/>
      <c r="CX487" s="188"/>
      <c r="CY487" s="188"/>
      <c r="CZ487" s="99"/>
      <c r="DA487" s="99"/>
      <c r="DB487" s="99"/>
      <c r="DD487" s="99"/>
      <c r="DF487" s="190"/>
      <c r="DG487" s="188"/>
      <c r="DH487" s="191"/>
      <c r="DI487" s="99"/>
    </row>
    <row r="488" customFormat="false" ht="12.75" hidden="false" customHeight="false" outlineLevel="0" collapsed="false">
      <c r="B488" s="99"/>
      <c r="CP488" s="81"/>
      <c r="CQ488" s="81"/>
      <c r="CR488" s="81"/>
      <c r="CS488" s="81"/>
      <c r="CT488" s="81"/>
      <c r="CU488" s="81"/>
      <c r="CV488" s="110"/>
      <c r="CW488" s="188"/>
      <c r="CX488" s="188"/>
      <c r="CY488" s="188"/>
      <c r="CZ488" s="99"/>
      <c r="DA488" s="99"/>
      <c r="DB488" s="99"/>
      <c r="DD488" s="99"/>
      <c r="DF488" s="190"/>
      <c r="DG488" s="188"/>
      <c r="DH488" s="191"/>
      <c r="DI488" s="99"/>
    </row>
    <row r="489" customFormat="false" ht="12.75" hidden="false" customHeight="false" outlineLevel="0" collapsed="false">
      <c r="B489" s="99"/>
      <c r="CP489" s="81"/>
      <c r="CQ489" s="81"/>
      <c r="CR489" s="81"/>
      <c r="CS489" s="81"/>
      <c r="CT489" s="81"/>
      <c r="CU489" s="81"/>
      <c r="CV489" s="110"/>
      <c r="CW489" s="188"/>
      <c r="CX489" s="188"/>
      <c r="CY489" s="188"/>
      <c r="CZ489" s="99"/>
      <c r="DA489" s="99"/>
      <c r="DB489" s="99"/>
      <c r="DD489" s="99"/>
      <c r="DF489" s="190"/>
      <c r="DG489" s="188"/>
      <c r="DH489" s="191"/>
      <c r="DI489" s="99"/>
    </row>
    <row r="490" customFormat="false" ht="12.75" hidden="false" customHeight="false" outlineLevel="0" collapsed="false">
      <c r="B490" s="99"/>
      <c r="CP490" s="81"/>
      <c r="CQ490" s="81"/>
      <c r="CR490" s="81"/>
      <c r="CS490" s="81"/>
      <c r="CT490" s="81"/>
      <c r="CU490" s="81"/>
      <c r="CV490" s="110"/>
      <c r="CW490" s="188"/>
      <c r="CX490" s="188"/>
      <c r="CY490" s="188"/>
      <c r="CZ490" s="99"/>
      <c r="DA490" s="99"/>
      <c r="DB490" s="99"/>
      <c r="DD490" s="99"/>
      <c r="DF490" s="190"/>
      <c r="DG490" s="188"/>
      <c r="DH490" s="191"/>
      <c r="DI490" s="99"/>
    </row>
    <row r="491" customFormat="false" ht="12.75" hidden="false" customHeight="false" outlineLevel="0" collapsed="false">
      <c r="B491" s="99"/>
      <c r="CP491" s="81"/>
      <c r="CQ491" s="81"/>
      <c r="CR491" s="81"/>
      <c r="CS491" s="81"/>
      <c r="CT491" s="81"/>
      <c r="CU491" s="81"/>
      <c r="CV491" s="110"/>
      <c r="CW491" s="188"/>
      <c r="CX491" s="188"/>
      <c r="CY491" s="188"/>
      <c r="CZ491" s="99"/>
      <c r="DA491" s="99"/>
      <c r="DB491" s="99"/>
      <c r="DD491" s="99"/>
      <c r="DF491" s="190"/>
      <c r="DG491" s="188"/>
      <c r="DH491" s="191"/>
      <c r="DI491" s="99"/>
    </row>
    <row r="492" customFormat="false" ht="12.75" hidden="false" customHeight="false" outlineLevel="0" collapsed="false">
      <c r="B492" s="99"/>
      <c r="CP492" s="81"/>
      <c r="CQ492" s="81"/>
      <c r="CR492" s="81"/>
      <c r="CS492" s="81"/>
      <c r="CT492" s="81"/>
      <c r="CU492" s="81"/>
      <c r="CV492" s="110"/>
      <c r="CW492" s="188"/>
      <c r="CX492" s="188"/>
      <c r="CY492" s="188"/>
      <c r="CZ492" s="99"/>
      <c r="DA492" s="99"/>
      <c r="DB492" s="99"/>
      <c r="DD492" s="99"/>
      <c r="DF492" s="190"/>
      <c r="DG492" s="188"/>
      <c r="DH492" s="191"/>
      <c r="DI492" s="99"/>
    </row>
    <row r="493" customFormat="false" ht="12.75" hidden="false" customHeight="false" outlineLevel="0" collapsed="false">
      <c r="B493" s="99"/>
      <c r="CP493" s="81"/>
      <c r="CQ493" s="81"/>
      <c r="CR493" s="81"/>
      <c r="CS493" s="81"/>
      <c r="CT493" s="81"/>
      <c r="CU493" s="81"/>
      <c r="CV493" s="110"/>
      <c r="CW493" s="188"/>
      <c r="CX493" s="188"/>
      <c r="CY493" s="188"/>
      <c r="CZ493" s="99"/>
      <c r="DA493" s="99"/>
      <c r="DB493" s="99"/>
      <c r="DD493" s="99"/>
      <c r="DF493" s="190"/>
      <c r="DG493" s="188"/>
      <c r="DH493" s="191"/>
      <c r="DI493" s="99"/>
    </row>
    <row r="494" customFormat="false" ht="12.75" hidden="false" customHeight="false" outlineLevel="0" collapsed="false">
      <c r="B494" s="99"/>
      <c r="CP494" s="81"/>
      <c r="CQ494" s="81"/>
      <c r="CR494" s="81"/>
      <c r="CS494" s="81"/>
      <c r="CT494" s="81"/>
      <c r="CU494" s="81"/>
      <c r="CV494" s="110"/>
      <c r="CW494" s="188"/>
      <c r="CX494" s="188"/>
      <c r="CY494" s="188"/>
      <c r="CZ494" s="99"/>
      <c r="DA494" s="99"/>
      <c r="DB494" s="99"/>
      <c r="DD494" s="99"/>
      <c r="DF494" s="190"/>
      <c r="DG494" s="188"/>
      <c r="DH494" s="191"/>
      <c r="DI494" s="99"/>
    </row>
    <row r="495" customFormat="false" ht="12.75" hidden="false" customHeight="false" outlineLevel="0" collapsed="false">
      <c r="B495" s="99"/>
      <c r="CP495" s="81"/>
      <c r="CQ495" s="81"/>
      <c r="CR495" s="81"/>
      <c r="CS495" s="81"/>
      <c r="CT495" s="81"/>
      <c r="CU495" s="81"/>
      <c r="CV495" s="110"/>
      <c r="CW495" s="188"/>
      <c r="CX495" s="188"/>
      <c r="CY495" s="188"/>
      <c r="CZ495" s="99"/>
      <c r="DA495" s="99"/>
      <c r="DB495" s="99"/>
      <c r="DD495" s="99"/>
      <c r="DF495" s="190"/>
      <c r="DG495" s="188"/>
      <c r="DH495" s="191"/>
      <c r="DI495" s="99"/>
    </row>
    <row r="496" customFormat="false" ht="12.75" hidden="false" customHeight="false" outlineLevel="0" collapsed="false">
      <c r="B496" s="99"/>
      <c r="CP496" s="81"/>
      <c r="CQ496" s="81"/>
      <c r="CR496" s="81"/>
      <c r="CS496" s="81"/>
      <c r="CT496" s="81"/>
      <c r="CU496" s="81"/>
      <c r="CV496" s="110"/>
      <c r="CW496" s="188"/>
      <c r="CX496" s="188"/>
      <c r="CY496" s="188"/>
      <c r="CZ496" s="99"/>
      <c r="DA496" s="99"/>
      <c r="DB496" s="99"/>
      <c r="DD496" s="99"/>
      <c r="DF496" s="190"/>
      <c r="DG496" s="188"/>
      <c r="DH496" s="191"/>
      <c r="DI496" s="99"/>
    </row>
    <row r="497" customFormat="false" ht="12.75" hidden="false" customHeight="false" outlineLevel="0" collapsed="false">
      <c r="B497" s="99"/>
      <c r="CP497" s="81"/>
      <c r="CQ497" s="81"/>
      <c r="CR497" s="81"/>
      <c r="CS497" s="81"/>
      <c r="CT497" s="81"/>
      <c r="CU497" s="81"/>
      <c r="CV497" s="110"/>
      <c r="CW497" s="188"/>
      <c r="CX497" s="188"/>
      <c r="CY497" s="188"/>
      <c r="CZ497" s="99"/>
      <c r="DA497" s="99"/>
      <c r="DB497" s="99"/>
      <c r="DD497" s="99"/>
      <c r="DF497" s="190"/>
      <c r="DG497" s="188"/>
      <c r="DH497" s="191"/>
      <c r="DI497" s="99"/>
    </row>
    <row r="498" customFormat="false" ht="12.75" hidden="false" customHeight="false" outlineLevel="0" collapsed="false">
      <c r="B498" s="99"/>
      <c r="CP498" s="81"/>
      <c r="CQ498" s="81"/>
      <c r="CR498" s="81"/>
      <c r="CS498" s="81"/>
      <c r="CT498" s="81"/>
      <c r="CU498" s="81"/>
      <c r="CV498" s="110"/>
      <c r="CW498" s="188"/>
      <c r="CX498" s="188"/>
      <c r="CY498" s="188"/>
      <c r="CZ498" s="99"/>
      <c r="DA498" s="99"/>
      <c r="DB498" s="99"/>
      <c r="DD498" s="99"/>
      <c r="DF498" s="190"/>
      <c r="DG498" s="188"/>
      <c r="DH498" s="191"/>
      <c r="DI498" s="99"/>
    </row>
    <row r="499" customFormat="false" ht="12.75" hidden="false" customHeight="false" outlineLevel="0" collapsed="false">
      <c r="B499" s="99"/>
      <c r="CP499" s="81"/>
      <c r="CQ499" s="81"/>
      <c r="CR499" s="81"/>
      <c r="CS499" s="81"/>
      <c r="CT499" s="81"/>
      <c r="CU499" s="81"/>
      <c r="CV499" s="110"/>
      <c r="CW499" s="188"/>
      <c r="CX499" s="188"/>
      <c r="CY499" s="188"/>
      <c r="CZ499" s="99"/>
      <c r="DA499" s="99"/>
      <c r="DB499" s="99"/>
      <c r="DD499" s="99"/>
      <c r="DF499" s="190"/>
      <c r="DG499" s="188"/>
      <c r="DH499" s="191"/>
      <c r="DI499" s="99"/>
    </row>
    <row r="500" customFormat="false" ht="12.75" hidden="false" customHeight="false" outlineLevel="0" collapsed="false">
      <c r="B500" s="99"/>
      <c r="CP500" s="81"/>
      <c r="CQ500" s="81"/>
      <c r="CR500" s="81"/>
      <c r="CS500" s="81"/>
      <c r="CT500" s="81"/>
      <c r="CU500" s="81"/>
      <c r="CV500" s="110"/>
      <c r="CW500" s="188"/>
      <c r="CX500" s="188"/>
      <c r="CY500" s="188"/>
      <c r="CZ500" s="99"/>
      <c r="DA500" s="99"/>
      <c r="DB500" s="99"/>
      <c r="DD500" s="99"/>
      <c r="DF500" s="190"/>
      <c r="DG500" s="188"/>
      <c r="DH500" s="191"/>
      <c r="DI500" s="99"/>
    </row>
    <row r="501" customFormat="false" ht="12.75" hidden="false" customHeight="false" outlineLevel="0" collapsed="false">
      <c r="B501" s="99"/>
      <c r="CP501" s="81"/>
      <c r="CQ501" s="81"/>
      <c r="CR501" s="81"/>
      <c r="CS501" s="81"/>
      <c r="CT501" s="81"/>
      <c r="CU501" s="81"/>
      <c r="CV501" s="110"/>
      <c r="CW501" s="188"/>
      <c r="CX501" s="188"/>
      <c r="CY501" s="188"/>
      <c r="CZ501" s="99"/>
      <c r="DA501" s="99"/>
      <c r="DB501" s="99"/>
      <c r="DD501" s="99"/>
      <c r="DF501" s="190"/>
      <c r="DG501" s="188"/>
      <c r="DH501" s="191"/>
      <c r="DI501" s="99"/>
    </row>
    <row r="502" customFormat="false" ht="12.75" hidden="false" customHeight="false" outlineLevel="0" collapsed="false">
      <c r="B502" s="99"/>
      <c r="CP502" s="81"/>
      <c r="CQ502" s="81"/>
      <c r="CR502" s="81"/>
      <c r="CS502" s="81"/>
      <c r="CT502" s="81"/>
      <c r="CU502" s="81"/>
      <c r="CV502" s="110"/>
      <c r="CW502" s="188"/>
      <c r="CX502" s="188"/>
      <c r="CY502" s="188"/>
      <c r="CZ502" s="99"/>
      <c r="DA502" s="99"/>
      <c r="DB502" s="99"/>
      <c r="DD502" s="99"/>
      <c r="DF502" s="190"/>
      <c r="DG502" s="188"/>
      <c r="DH502" s="191"/>
      <c r="DI502" s="99"/>
    </row>
    <row r="503" customFormat="false" ht="12.75" hidden="false" customHeight="false" outlineLevel="0" collapsed="false">
      <c r="B503" s="99"/>
      <c r="CP503" s="81"/>
      <c r="CQ503" s="81"/>
      <c r="CR503" s="81"/>
      <c r="CS503" s="81"/>
      <c r="CT503" s="81"/>
      <c r="CU503" s="81"/>
      <c r="CV503" s="110"/>
      <c r="CW503" s="188"/>
      <c r="CX503" s="188"/>
      <c r="CY503" s="188"/>
      <c r="CZ503" s="99"/>
      <c r="DA503" s="99"/>
      <c r="DB503" s="99"/>
      <c r="DD503" s="99"/>
      <c r="DF503" s="190"/>
      <c r="DG503" s="188"/>
      <c r="DH503" s="191"/>
      <c r="DI503" s="99"/>
    </row>
    <row r="504" customFormat="false" ht="12.75" hidden="false" customHeight="false" outlineLevel="0" collapsed="false">
      <c r="B504" s="99"/>
      <c r="CP504" s="81"/>
      <c r="CQ504" s="81"/>
      <c r="CR504" s="81"/>
      <c r="CS504" s="81"/>
      <c r="CT504" s="81"/>
      <c r="CU504" s="81"/>
      <c r="CV504" s="110"/>
      <c r="CW504" s="188"/>
      <c r="CX504" s="188"/>
      <c r="CY504" s="188"/>
      <c r="CZ504" s="99"/>
      <c r="DA504" s="99"/>
      <c r="DB504" s="99"/>
      <c r="DD504" s="99"/>
      <c r="DF504" s="190"/>
      <c r="DG504" s="188"/>
      <c r="DH504" s="191"/>
      <c r="DI504" s="99"/>
    </row>
    <row r="505" customFormat="false" ht="12.75" hidden="false" customHeight="false" outlineLevel="0" collapsed="false">
      <c r="B505" s="99"/>
      <c r="CP505" s="81"/>
      <c r="CQ505" s="81"/>
      <c r="CR505" s="81"/>
      <c r="CS505" s="81"/>
      <c r="CT505" s="81"/>
      <c r="CU505" s="81"/>
      <c r="CV505" s="110"/>
      <c r="CW505" s="188"/>
      <c r="CX505" s="188"/>
      <c r="CY505" s="188"/>
      <c r="CZ505" s="99"/>
      <c r="DA505" s="99"/>
      <c r="DB505" s="99"/>
      <c r="DD505" s="99"/>
      <c r="DF505" s="190"/>
      <c r="DG505" s="188"/>
      <c r="DH505" s="191"/>
      <c r="DI505" s="99"/>
    </row>
    <row r="506" customFormat="false" ht="12.75" hidden="false" customHeight="false" outlineLevel="0" collapsed="false">
      <c r="B506" s="99"/>
      <c r="CP506" s="81"/>
      <c r="CQ506" s="81"/>
      <c r="CR506" s="81"/>
      <c r="CS506" s="81"/>
      <c r="CT506" s="81"/>
      <c r="CU506" s="81"/>
      <c r="CV506" s="110"/>
      <c r="CW506" s="188"/>
      <c r="CX506" s="188"/>
      <c r="CY506" s="188"/>
      <c r="CZ506" s="99"/>
      <c r="DA506" s="99"/>
      <c r="DB506" s="99"/>
      <c r="DD506" s="99"/>
      <c r="DF506" s="190"/>
      <c r="DG506" s="188"/>
      <c r="DH506" s="191"/>
      <c r="DI506" s="99"/>
    </row>
    <row r="507" customFormat="false" ht="12.75" hidden="false" customHeight="false" outlineLevel="0" collapsed="false">
      <c r="B507" s="99"/>
      <c r="CP507" s="81"/>
      <c r="CQ507" s="81"/>
      <c r="CR507" s="81"/>
      <c r="CS507" s="81"/>
      <c r="CT507" s="81"/>
      <c r="CU507" s="81"/>
      <c r="CV507" s="110"/>
      <c r="CW507" s="188"/>
      <c r="CX507" s="188"/>
      <c r="CY507" s="188"/>
      <c r="CZ507" s="99"/>
      <c r="DA507" s="99"/>
      <c r="DB507" s="99"/>
      <c r="DD507" s="99"/>
      <c r="DF507" s="190"/>
      <c r="DG507" s="188"/>
      <c r="DH507" s="191"/>
      <c r="DI507" s="99"/>
    </row>
    <row r="508" customFormat="false" ht="12.75" hidden="false" customHeight="false" outlineLevel="0" collapsed="false">
      <c r="B508" s="99"/>
      <c r="CP508" s="81"/>
      <c r="CQ508" s="81"/>
      <c r="CR508" s="81"/>
      <c r="CS508" s="81"/>
      <c r="CT508" s="81"/>
      <c r="CU508" s="81"/>
      <c r="CV508" s="110"/>
      <c r="CW508" s="188"/>
      <c r="CX508" s="188"/>
      <c r="CY508" s="188"/>
      <c r="CZ508" s="99"/>
      <c r="DA508" s="99"/>
      <c r="DB508" s="99"/>
      <c r="DD508" s="99"/>
      <c r="DF508" s="190"/>
      <c r="DG508" s="188"/>
      <c r="DH508" s="191"/>
      <c r="DI508" s="99"/>
    </row>
    <row r="509" customFormat="false" ht="12.75" hidden="false" customHeight="false" outlineLevel="0" collapsed="false">
      <c r="B509" s="99"/>
      <c r="CP509" s="81"/>
      <c r="CQ509" s="81"/>
      <c r="CR509" s="81"/>
      <c r="CS509" s="81"/>
      <c r="CT509" s="81"/>
      <c r="CU509" s="81"/>
      <c r="CV509" s="110"/>
      <c r="CW509" s="188"/>
      <c r="CX509" s="188"/>
      <c r="CY509" s="188"/>
      <c r="CZ509" s="99"/>
      <c r="DA509" s="99"/>
      <c r="DB509" s="99"/>
      <c r="DD509" s="99"/>
      <c r="DF509" s="190"/>
      <c r="DG509" s="188"/>
      <c r="DH509" s="191"/>
      <c r="DI509" s="99"/>
    </row>
    <row r="510" customFormat="false" ht="12.75" hidden="false" customHeight="false" outlineLevel="0" collapsed="false">
      <c r="B510" s="99"/>
      <c r="CP510" s="81"/>
      <c r="CQ510" s="81"/>
      <c r="CR510" s="81"/>
      <c r="CS510" s="81"/>
      <c r="CT510" s="81"/>
      <c r="CU510" s="81"/>
      <c r="CV510" s="110"/>
      <c r="CW510" s="188"/>
      <c r="CX510" s="188"/>
      <c r="CY510" s="188"/>
      <c r="CZ510" s="99"/>
      <c r="DA510" s="99"/>
      <c r="DB510" s="99"/>
      <c r="DD510" s="99"/>
      <c r="DF510" s="190"/>
      <c r="DG510" s="188"/>
      <c r="DH510" s="191"/>
      <c r="DI510" s="99"/>
    </row>
    <row r="511" customFormat="false" ht="12.75" hidden="false" customHeight="false" outlineLevel="0" collapsed="false">
      <c r="B511" s="99"/>
      <c r="CP511" s="81"/>
      <c r="CQ511" s="81"/>
      <c r="CR511" s="81"/>
      <c r="CS511" s="81"/>
      <c r="CT511" s="81"/>
      <c r="CU511" s="81"/>
      <c r="CV511" s="110"/>
      <c r="CW511" s="188"/>
      <c r="CX511" s="188"/>
      <c r="CY511" s="188"/>
      <c r="CZ511" s="99"/>
      <c r="DA511" s="99"/>
      <c r="DB511" s="99"/>
      <c r="DD511" s="99"/>
      <c r="DF511" s="190"/>
      <c r="DG511" s="188"/>
      <c r="DH511" s="191"/>
      <c r="DI511" s="99"/>
    </row>
    <row r="512" customFormat="false" ht="12.75" hidden="false" customHeight="false" outlineLevel="0" collapsed="false">
      <c r="B512" s="99"/>
      <c r="CP512" s="81"/>
      <c r="CQ512" s="81"/>
      <c r="CR512" s="81"/>
      <c r="CS512" s="81"/>
      <c r="CT512" s="81"/>
      <c r="CU512" s="81"/>
      <c r="CV512" s="110"/>
      <c r="CW512" s="188"/>
      <c r="CX512" s="188"/>
      <c r="CY512" s="188"/>
      <c r="CZ512" s="99"/>
      <c r="DA512" s="99"/>
      <c r="DB512" s="99"/>
      <c r="DD512" s="99"/>
      <c r="DF512" s="190"/>
      <c r="DG512" s="188"/>
      <c r="DH512" s="191"/>
      <c r="DI512" s="99"/>
    </row>
    <row r="513" customFormat="false" ht="12.75" hidden="false" customHeight="false" outlineLevel="0" collapsed="false">
      <c r="B513" s="99"/>
      <c r="CP513" s="81"/>
      <c r="CQ513" s="81"/>
      <c r="CR513" s="81"/>
      <c r="CS513" s="81"/>
      <c r="CT513" s="81"/>
      <c r="CU513" s="81"/>
      <c r="CV513" s="110"/>
      <c r="CW513" s="188"/>
      <c r="CX513" s="188"/>
      <c r="CY513" s="188"/>
      <c r="CZ513" s="99"/>
      <c r="DA513" s="99"/>
      <c r="DB513" s="99"/>
      <c r="DD513" s="99"/>
      <c r="DF513" s="190"/>
      <c r="DG513" s="188"/>
      <c r="DH513" s="191"/>
      <c r="DI513" s="99"/>
    </row>
    <row r="514" customFormat="false" ht="12.75" hidden="false" customHeight="false" outlineLevel="0" collapsed="false">
      <c r="B514" s="99"/>
      <c r="CP514" s="81"/>
      <c r="CQ514" s="81"/>
      <c r="CR514" s="81"/>
      <c r="CS514" s="81"/>
      <c r="CT514" s="81"/>
      <c r="CU514" s="81"/>
      <c r="CV514" s="110"/>
      <c r="CW514" s="188"/>
      <c r="CX514" s="188"/>
      <c r="CY514" s="188"/>
      <c r="CZ514" s="99"/>
      <c r="DA514" s="99"/>
      <c r="DB514" s="99"/>
      <c r="DD514" s="99"/>
      <c r="DF514" s="190"/>
      <c r="DG514" s="188"/>
      <c r="DH514" s="191"/>
      <c r="DI514" s="99"/>
    </row>
    <row r="515" customFormat="false" ht="12.75" hidden="false" customHeight="false" outlineLevel="0" collapsed="false">
      <c r="B515" s="99"/>
      <c r="CP515" s="81"/>
      <c r="CQ515" s="81"/>
      <c r="CR515" s="81"/>
      <c r="CS515" s="81"/>
      <c r="CT515" s="81"/>
      <c r="CU515" s="81"/>
      <c r="CV515" s="110"/>
      <c r="CW515" s="188"/>
      <c r="CX515" s="188"/>
      <c r="CY515" s="188"/>
      <c r="CZ515" s="99"/>
      <c r="DA515" s="99"/>
      <c r="DB515" s="99"/>
      <c r="DD515" s="99"/>
      <c r="DF515" s="190"/>
      <c r="DG515" s="188"/>
      <c r="DH515" s="191"/>
      <c r="DI515" s="99"/>
    </row>
    <row r="516" customFormat="false" ht="12.75" hidden="false" customHeight="false" outlineLevel="0" collapsed="false">
      <c r="B516" s="99"/>
      <c r="CP516" s="81"/>
      <c r="CQ516" s="81"/>
      <c r="CR516" s="81"/>
      <c r="CS516" s="81"/>
      <c r="CT516" s="81"/>
      <c r="CU516" s="81"/>
    </row>
    <row r="517" customFormat="false" ht="12.75" hidden="false" customHeight="false" outlineLevel="0" collapsed="false">
      <c r="B517" s="99"/>
    </row>
    <row r="518" customFormat="false" ht="12.75" hidden="false" customHeight="false" outlineLevel="0" collapsed="false">
      <c r="B518" s="99"/>
    </row>
    <row r="519" customFormat="false" ht="12.75" hidden="false" customHeight="false" outlineLevel="0" collapsed="false">
      <c r="B519" s="99"/>
    </row>
  </sheetData>
  <mergeCells count="9">
    <mergeCell ref="CM12:CN12"/>
    <mergeCell ref="DU12:DV12"/>
    <mergeCell ref="CM13:CN13"/>
    <mergeCell ref="CI14:CK14"/>
    <mergeCell ref="CZ17:DB17"/>
    <mergeCell ref="AS18:BF18"/>
    <mergeCell ref="CI34:CK34"/>
    <mergeCell ref="CI50:CK50"/>
    <mergeCell ref="CI66:CK6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PriceCurveFetch">
                <anchor moveWithCells="true" sizeWithCells="false">
                  <from>
                    <xdr:col>0</xdr:col>
                    <xdr:colOff>30240</xdr:colOff>
                    <xdr:row>0</xdr:row>
                    <xdr:rowOff>28440</xdr:rowOff>
                  </from>
                  <to>
                    <xdr:col>1</xdr:col>
                    <xdr:colOff>654120</xdr:colOff>
                    <xdr:row>1</xdr:row>
                    <xdr:rowOff>142920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8">
              <controlPr defaultSize="0" print="false" autoFill="0" autoPict="0" macro="Module1.PriceCurveFetch">
                <anchor moveWithCells="true" sizeWithCells="false">
                  <from>
                    <xdr:col>0</xdr:col>
                    <xdr:colOff>40680</xdr:colOff>
                    <xdr:row>2</xdr:row>
                    <xdr:rowOff>0</xdr:rowOff>
                  </from>
                  <to>
                    <xdr:col>1</xdr:col>
                    <xdr:colOff>654120</xdr:colOff>
                    <xdr:row>3</xdr:row>
                    <xdr:rowOff>-18720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4">
              <controlPr defaultSize="0" print="false" autoFill="0" autoPict="0" macro="Module1.LoadInTheCurves">
                <anchor moveWithCells="true" sizeWithCells="false">
                  <from>
                    <xdr:col>0</xdr:col>
                    <xdr:colOff>10440</xdr:colOff>
                    <xdr:row>3</xdr:row>
                    <xdr:rowOff>0</xdr:rowOff>
                  </from>
                  <to>
                    <xdr:col>1</xdr:col>
                    <xdr:colOff>644400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J48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E17" activeCellId="0" sqref="E17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192" width="8.14"/>
    <col collapsed="false" customWidth="true" hidden="false" outlineLevel="0" max="2" min="2" style="193" width="11.56"/>
    <col collapsed="false" customWidth="true" hidden="false" outlineLevel="0" max="3" min="3" style="193" width="12.7"/>
    <col collapsed="false" customWidth="true" hidden="false" outlineLevel="0" max="4" min="4" style="193" width="14.28"/>
    <col collapsed="false" customWidth="true" hidden="false" outlineLevel="0" max="5" min="5" style="193" width="12.85"/>
    <col collapsed="false" customWidth="true" hidden="false" outlineLevel="0" max="6" min="6" style="193" width="12.56"/>
    <col collapsed="false" customWidth="true" hidden="false" outlineLevel="0" max="7" min="7" style="193" width="13.56"/>
    <col collapsed="false" customWidth="true" hidden="false" outlineLevel="0" max="8" min="8" style="193" width="13.41"/>
    <col collapsed="false" customWidth="true" hidden="false" outlineLevel="0" max="9" min="9" style="193" width="12.85"/>
    <col collapsed="false" customWidth="true" hidden="false" outlineLevel="0" max="10" min="10" style="193" width="14.41"/>
    <col collapsed="false" customWidth="true" hidden="false" outlineLevel="0" max="11" min="11" style="193" width="13.99"/>
    <col collapsed="false" customWidth="true" hidden="false" outlineLevel="0" max="12" min="12" style="193" width="13.14"/>
    <col collapsed="false" customWidth="true" hidden="false" outlineLevel="0" max="13" min="13" style="193" width="11.56"/>
    <col collapsed="false" customWidth="true" hidden="false" outlineLevel="0" max="14" min="14" style="193" width="6.28"/>
    <col collapsed="false" customWidth="true" hidden="false" outlineLevel="0" max="15" min="15" style="193" width="9.7"/>
    <col collapsed="false" customWidth="true" hidden="false" outlineLevel="0" max="17" min="16" style="193" width="9.85"/>
    <col collapsed="false" customWidth="true" hidden="false" outlineLevel="0" max="18" min="18" style="193" width="8.14"/>
    <col collapsed="false" customWidth="true" hidden="false" outlineLevel="0" max="19" min="19" style="193" width="8.56"/>
    <col collapsed="false" customWidth="true" hidden="false" outlineLevel="0" max="21" min="20" style="193" width="8.14"/>
    <col collapsed="false" customWidth="true" hidden="false" outlineLevel="0" max="22" min="22" style="193" width="8.56"/>
    <col collapsed="false" customWidth="true" hidden="false" outlineLevel="0" max="23" min="23" style="194" width="8.14"/>
    <col collapsed="false" customWidth="true" hidden="false" outlineLevel="0" max="24" min="24" style="194" width="8.56"/>
    <col collapsed="false" customWidth="true" hidden="false" outlineLevel="0" max="25" min="25" style="194" width="8.14"/>
    <col collapsed="false" customWidth="true" hidden="false" outlineLevel="0" max="26" min="26" style="194" width="12.85"/>
    <col collapsed="false" customWidth="true" hidden="false" outlineLevel="0" max="27" min="27" style="194" width="10.28"/>
    <col collapsed="false" customWidth="true" hidden="false" outlineLevel="0" max="29" min="28" style="194" width="11.42"/>
    <col collapsed="false" customWidth="true" hidden="false" outlineLevel="0" max="30" min="30" style="194" width="12.56"/>
    <col collapsed="false" customWidth="true" hidden="false" outlineLevel="0" max="31" min="31" style="194" width="13.41"/>
    <col collapsed="false" customWidth="true" hidden="false" outlineLevel="0" max="32" min="32" style="194" width="12.14"/>
    <col collapsed="false" customWidth="true" hidden="false" outlineLevel="0" max="33" min="33" style="194" width="16.42"/>
    <col collapsed="false" customWidth="true" hidden="false" outlineLevel="0" max="34" min="34" style="194" width="11.13"/>
    <col collapsed="false" customWidth="true" hidden="false" outlineLevel="0" max="35" min="35" style="194" width="9.85"/>
    <col collapsed="false" customWidth="true" hidden="false" outlineLevel="0" max="36" min="36" style="194" width="11.42"/>
    <col collapsed="false" customWidth="true" hidden="false" outlineLevel="0" max="37" min="37" style="194" width="16.7"/>
    <col collapsed="false" customWidth="true" hidden="false" outlineLevel="0" max="38" min="38" style="194" width="6.99"/>
    <col collapsed="false" customWidth="true" hidden="false" outlineLevel="0" max="39" min="39" style="194" width="13.7"/>
    <col collapsed="false" customWidth="true" hidden="false" outlineLevel="0" max="40" min="40" style="194" width="11.99"/>
    <col collapsed="false" customWidth="true" hidden="false" outlineLevel="0" max="41" min="41" style="194" width="10.41"/>
    <col collapsed="false" customWidth="true" hidden="false" outlineLevel="0" max="42" min="42" style="194" width="9.56"/>
    <col collapsed="false" customWidth="true" hidden="false" outlineLevel="0" max="43" min="43" style="194" width="10.41"/>
    <col collapsed="false" customWidth="true" hidden="false" outlineLevel="0" max="44" min="44" style="194" width="9.7"/>
    <col collapsed="false" customWidth="true" hidden="false" outlineLevel="0" max="45" min="45" style="194" width="19.7"/>
    <col collapsed="false" customWidth="true" hidden="false" outlineLevel="0" max="46" min="46" style="194" width="6.99"/>
    <col collapsed="false" customWidth="false" hidden="false" outlineLevel="0" max="51" min="47" style="194" width="9.14"/>
    <col collapsed="false" customWidth="true" hidden="false" outlineLevel="0" max="52" min="52" style="194" width="18.85"/>
    <col collapsed="false" customWidth="false" hidden="false" outlineLevel="0" max="68" min="53" style="194" width="9.14"/>
    <col collapsed="false" customWidth="true" hidden="false" outlineLevel="0" max="69" min="69" style="194" width="20.13"/>
    <col collapsed="false" customWidth="true" hidden="false" outlineLevel="0" max="70" min="70" style="194" width="11.56"/>
    <col collapsed="false" customWidth="true" hidden="false" outlineLevel="0" max="71" min="71" style="194" width="11.99"/>
    <col collapsed="false" customWidth="false" hidden="false" outlineLevel="0" max="74" min="72" style="194" width="9.14"/>
    <col collapsed="false" customWidth="true" hidden="false" outlineLevel="0" max="75" min="75" style="194" width="25.13"/>
    <col collapsed="false" customWidth="false" hidden="false" outlineLevel="0" max="78" min="76" style="194" width="9.14"/>
    <col collapsed="false" customWidth="true" hidden="false" outlineLevel="0" max="79" min="79" style="194" width="19.14"/>
    <col collapsed="false" customWidth="true" hidden="false" outlineLevel="0" max="80" min="80" style="194" width="11.56"/>
    <col collapsed="false" customWidth="true" hidden="false" outlineLevel="0" max="81" min="81" style="194" width="11.99"/>
    <col collapsed="false" customWidth="false" hidden="false" outlineLevel="0" max="84" min="82" style="194" width="9.14"/>
    <col collapsed="false" customWidth="true" hidden="false" outlineLevel="0" max="85" min="85" style="194" width="23.28"/>
    <col collapsed="false" customWidth="false" hidden="false" outlineLevel="0" max="88" min="86" style="194" width="9.14"/>
    <col collapsed="false" customWidth="true" hidden="false" outlineLevel="0" max="89" min="89" style="194" width="17.42"/>
    <col collapsed="false" customWidth="true" hidden="false" outlineLevel="0" max="90" min="90" style="194" width="9.28"/>
    <col collapsed="false" customWidth="false" hidden="false" outlineLevel="0" max="257" min="91" style="194" width="9.14"/>
  </cols>
  <sheetData>
    <row r="1" customFormat="false" ht="13.5" hidden="false" customHeight="false" outlineLevel="0" collapsed="false">
      <c r="A1" s="194" t="s">
        <v>192</v>
      </c>
      <c r="B1" s="195" t="s">
        <v>193</v>
      </c>
      <c r="C1" s="196" t="s">
        <v>194</v>
      </c>
      <c r="J1" s="197"/>
      <c r="K1" s="198"/>
      <c r="L1" s="197"/>
      <c r="BP1" s="0"/>
      <c r="BQ1" s="38" t="s">
        <v>195</v>
      </c>
      <c r="BR1" s="199" t="s">
        <v>196</v>
      </c>
      <c r="BS1" s="38" t="s">
        <v>197</v>
      </c>
      <c r="BT1" s="200" t="s">
        <v>198</v>
      </c>
      <c r="BU1" s="200"/>
      <c r="BV1" s="132"/>
      <c r="BW1" s="201"/>
      <c r="BX1" s="202" t="n">
        <v>348</v>
      </c>
      <c r="BZ1" s="0"/>
      <c r="CA1" s="38" t="s">
        <v>195</v>
      </c>
      <c r="CB1" s="199" t="s">
        <v>196</v>
      </c>
      <c r="CC1" s="38" t="s">
        <v>197</v>
      </c>
      <c r="CD1" s="200" t="s">
        <v>198</v>
      </c>
      <c r="CE1" s="0"/>
      <c r="CF1" s="0"/>
      <c r="CG1" s="0"/>
      <c r="CH1" s="202" t="n">
        <v>348</v>
      </c>
      <c r="CJ1" s="0"/>
      <c r="CK1" s="0"/>
      <c r="CL1" s="0"/>
      <c r="CM1" s="0"/>
      <c r="CN1" s="0"/>
      <c r="CO1" s="0"/>
    </row>
    <row r="2" customFormat="false" ht="13.5" hidden="false" customHeight="false" outlineLevel="0" collapsed="false">
      <c r="A2" s="194" t="s">
        <v>199</v>
      </c>
      <c r="B2" s="195" t="s">
        <v>193</v>
      </c>
      <c r="C2" s="196" t="s">
        <v>200</v>
      </c>
      <c r="K2" s="203" t="s">
        <v>201</v>
      </c>
      <c r="L2" s="204" t="b">
        <f aca="false">TRUE()</f>
        <v>1</v>
      </c>
      <c r="BP2" s="205" t="n">
        <f aca="false">BP1+BV2</f>
        <v>1</v>
      </c>
      <c r="BQ2" s="206" t="s">
        <v>202</v>
      </c>
      <c r="BR2" s="207" t="s">
        <v>203</v>
      </c>
      <c r="BS2" s="67" t="s">
        <v>204</v>
      </c>
      <c r="BT2" s="208" t="s">
        <v>205</v>
      </c>
      <c r="BU2" s="209"/>
      <c r="BV2" s="132" t="n">
        <v>1</v>
      </c>
      <c r="BW2" s="201" t="s">
        <v>206</v>
      </c>
      <c r="BX2" s="0"/>
      <c r="BZ2" s="205" t="n">
        <f aca="false">BZ1+CF2</f>
        <v>1</v>
      </c>
      <c r="CA2" s="63" t="s">
        <v>202</v>
      </c>
      <c r="CB2" s="207" t="s">
        <v>207</v>
      </c>
      <c r="CC2" s="67" t="s">
        <v>204</v>
      </c>
      <c r="CD2" s="208" t="s">
        <v>205</v>
      </c>
      <c r="CE2" s="209"/>
      <c r="CF2" s="132" t="n">
        <v>1</v>
      </c>
      <c r="CG2" s="201" t="s">
        <v>208</v>
      </c>
      <c r="CH2" s="0"/>
      <c r="CJ2" s="0"/>
      <c r="CK2" s="210" t="s">
        <v>209</v>
      </c>
      <c r="CL2" s="210" t="s">
        <v>210</v>
      </c>
      <c r="CM2" s="210"/>
      <c r="CN2" s="210"/>
      <c r="CO2" s="211" t="n">
        <v>6</v>
      </c>
    </row>
    <row r="3" customFormat="false" ht="12.75" hidden="false" customHeight="false" outlineLevel="0" collapsed="false">
      <c r="A3" s="194" t="s">
        <v>211</v>
      </c>
      <c r="B3" s="195" t="s">
        <v>212</v>
      </c>
      <c r="C3" s="196" t="s">
        <v>213</v>
      </c>
      <c r="BP3" s="205" t="n">
        <f aca="false">BP2+BV3</f>
        <v>2</v>
      </c>
      <c r="BQ3" s="206" t="s">
        <v>214</v>
      </c>
      <c r="BR3" s="207" t="s">
        <v>203</v>
      </c>
      <c r="BS3" s="212" t="s">
        <v>204</v>
      </c>
      <c r="BT3" s="208" t="s">
        <v>205</v>
      </c>
      <c r="BU3" s="209"/>
      <c r="BV3" s="132" t="n">
        <v>1</v>
      </c>
      <c r="BW3" s="201" t="s">
        <v>215</v>
      </c>
      <c r="BX3" s="0"/>
      <c r="BZ3" s="205" t="n">
        <f aca="false">BZ2+CF3</f>
        <v>2</v>
      </c>
      <c r="CA3" s="63" t="s">
        <v>216</v>
      </c>
      <c r="CB3" s="207" t="s">
        <v>207</v>
      </c>
      <c r="CC3" s="67" t="s">
        <v>204</v>
      </c>
      <c r="CD3" s="208" t="s">
        <v>205</v>
      </c>
      <c r="CE3" s="209"/>
      <c r="CF3" s="132" t="n">
        <v>1</v>
      </c>
      <c r="CG3" s="201" t="s">
        <v>217</v>
      </c>
      <c r="CH3" s="0"/>
      <c r="CJ3" s="0" t="n">
        <v>1</v>
      </c>
      <c r="CK3" s="213" t="s">
        <v>218</v>
      </c>
      <c r="CL3" s="214" t="s">
        <v>219</v>
      </c>
      <c r="CM3" s="215"/>
      <c r="CN3" s="216"/>
      <c r="CO3" s="217"/>
      <c r="HJ3" s="193"/>
    </row>
    <row r="4" customFormat="false" ht="12.75" hidden="false" customHeight="false" outlineLevel="0" collapsed="false">
      <c r="A4" s="194"/>
      <c r="B4" s="195"/>
      <c r="C4" s="196"/>
      <c r="J4" s="218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205" t="n">
        <f aca="false">BP3+BV4</f>
        <v>3</v>
      </c>
      <c r="BQ4" s="206" t="s">
        <v>220</v>
      </c>
      <c r="BR4" s="201" t="s">
        <v>203</v>
      </c>
      <c r="BS4" s="132" t="s">
        <v>204</v>
      </c>
      <c r="BT4" s="209" t="s">
        <v>205</v>
      </c>
      <c r="BU4" s="209"/>
      <c r="BV4" s="132" t="n">
        <v>1</v>
      </c>
      <c r="BW4" s="201" t="s">
        <v>221</v>
      </c>
      <c r="BX4" s="0"/>
      <c r="BY4" s="193"/>
      <c r="BZ4" s="205" t="n">
        <f aca="false">BZ3+CF4</f>
        <v>3</v>
      </c>
      <c r="CA4" s="63" t="s">
        <v>214</v>
      </c>
      <c r="CB4" s="207" t="s">
        <v>207</v>
      </c>
      <c r="CC4" s="67" t="s">
        <v>204</v>
      </c>
      <c r="CD4" s="208" t="s">
        <v>205</v>
      </c>
      <c r="CE4" s="209"/>
      <c r="CF4" s="132" t="n">
        <v>1</v>
      </c>
      <c r="CG4" s="201" t="s">
        <v>222</v>
      </c>
      <c r="CH4" s="0"/>
      <c r="CI4" s="193"/>
      <c r="CJ4" s="0" t="n">
        <v>2</v>
      </c>
      <c r="CK4" s="219" t="s">
        <v>223</v>
      </c>
      <c r="CL4" s="220" t="s">
        <v>224</v>
      </c>
      <c r="CM4" s="221"/>
      <c r="CN4" s="222"/>
      <c r="CO4" s="223"/>
      <c r="CP4" s="193"/>
      <c r="CQ4" s="193"/>
      <c r="CR4" s="193"/>
      <c r="CS4" s="193"/>
      <c r="CT4" s="193"/>
      <c r="CU4" s="193"/>
      <c r="CV4" s="193"/>
      <c r="CW4" s="193"/>
      <c r="CX4" s="193"/>
      <c r="CY4" s="193"/>
      <c r="CZ4" s="193"/>
      <c r="DA4" s="193"/>
      <c r="DB4" s="193"/>
      <c r="DC4" s="193"/>
      <c r="DD4" s="193"/>
      <c r="DE4" s="193"/>
      <c r="DF4" s="193"/>
      <c r="DG4" s="193"/>
      <c r="DH4" s="193"/>
      <c r="DI4" s="193"/>
      <c r="DJ4" s="193"/>
      <c r="DK4" s="193"/>
      <c r="DL4" s="193"/>
      <c r="DM4" s="193"/>
      <c r="DN4" s="193"/>
      <c r="DO4" s="193"/>
      <c r="DP4" s="193"/>
      <c r="DQ4" s="193"/>
      <c r="DR4" s="193"/>
      <c r="DS4" s="193"/>
      <c r="DT4" s="193"/>
      <c r="DU4" s="193"/>
      <c r="DV4" s="193"/>
      <c r="DW4" s="193"/>
      <c r="DX4" s="193"/>
      <c r="DY4" s="193"/>
      <c r="DZ4" s="193"/>
      <c r="EA4" s="193"/>
      <c r="EB4" s="193"/>
      <c r="EC4" s="193"/>
      <c r="ED4" s="193"/>
      <c r="EE4" s="193"/>
      <c r="EF4" s="193"/>
      <c r="EG4" s="193"/>
      <c r="EH4" s="193"/>
      <c r="EI4" s="193"/>
      <c r="EJ4" s="193"/>
      <c r="EK4" s="193"/>
      <c r="EL4" s="193"/>
      <c r="EM4" s="193"/>
      <c r="EN4" s="193"/>
      <c r="EO4" s="193"/>
      <c r="EP4" s="193"/>
      <c r="EQ4" s="193"/>
      <c r="ER4" s="193"/>
      <c r="ES4" s="193"/>
      <c r="ET4" s="193"/>
      <c r="EU4" s="193"/>
      <c r="EV4" s="193"/>
      <c r="EW4" s="193"/>
      <c r="EX4" s="193"/>
      <c r="EY4" s="193"/>
      <c r="EZ4" s="193"/>
      <c r="FA4" s="193"/>
      <c r="FB4" s="193"/>
      <c r="FC4" s="193"/>
      <c r="FD4" s="193"/>
      <c r="FE4" s="193"/>
      <c r="FF4" s="193"/>
      <c r="FG4" s="193"/>
      <c r="FH4" s="193"/>
      <c r="FI4" s="193"/>
      <c r="FJ4" s="193"/>
      <c r="FK4" s="193"/>
      <c r="FL4" s="193"/>
      <c r="FM4" s="193"/>
      <c r="FN4" s="193"/>
      <c r="FO4" s="193"/>
      <c r="FP4" s="193"/>
      <c r="FQ4" s="193"/>
      <c r="FR4" s="193"/>
      <c r="FS4" s="193"/>
      <c r="FT4" s="193"/>
      <c r="FU4" s="193"/>
      <c r="FV4" s="193"/>
      <c r="FW4" s="193"/>
      <c r="FX4" s="193"/>
      <c r="FY4" s="193"/>
      <c r="FZ4" s="193"/>
      <c r="GA4" s="193"/>
      <c r="GB4" s="193"/>
      <c r="GC4" s="193"/>
      <c r="GD4" s="193"/>
      <c r="GE4" s="193"/>
      <c r="GF4" s="193"/>
      <c r="GG4" s="193"/>
      <c r="GH4" s="193"/>
      <c r="GI4" s="193"/>
      <c r="GJ4" s="193"/>
      <c r="GK4" s="193"/>
      <c r="GL4" s="193"/>
      <c r="GM4" s="193"/>
      <c r="GN4" s="193"/>
      <c r="GO4" s="193"/>
      <c r="GP4" s="193"/>
      <c r="GQ4" s="193"/>
      <c r="GR4" s="193"/>
      <c r="GS4" s="193"/>
      <c r="GT4" s="193"/>
      <c r="GU4" s="193"/>
      <c r="GV4" s="193"/>
      <c r="GW4" s="193"/>
      <c r="GX4" s="193"/>
      <c r="GY4" s="193"/>
      <c r="GZ4" s="193"/>
      <c r="HA4" s="193"/>
      <c r="HB4" s="193"/>
      <c r="HC4" s="193"/>
      <c r="HD4" s="193"/>
      <c r="HE4" s="193"/>
      <c r="HF4" s="193"/>
      <c r="HG4" s="193"/>
      <c r="HH4" s="193"/>
      <c r="HI4" s="193"/>
      <c r="HJ4" s="193"/>
    </row>
    <row r="5" customFormat="false" ht="12.75" hidden="false" customHeight="false" outlineLevel="0" collapsed="false">
      <c r="A5" s="196"/>
      <c r="G5" s="193" t="s">
        <v>225</v>
      </c>
      <c r="BP5" s="205" t="n">
        <f aca="false">BP4+BV5</f>
        <v>4</v>
      </c>
      <c r="BQ5" s="206" t="s">
        <v>226</v>
      </c>
      <c r="BR5" s="201" t="s">
        <v>203</v>
      </c>
      <c r="BS5" s="132" t="s">
        <v>204</v>
      </c>
      <c r="BT5" s="209" t="s">
        <v>205</v>
      </c>
      <c r="BU5" s="209"/>
      <c r="BV5" s="132" t="n">
        <v>1</v>
      </c>
      <c r="BW5" s="201" t="s">
        <v>227</v>
      </c>
      <c r="BX5" s="0"/>
      <c r="BZ5" s="205" t="n">
        <f aca="false">BZ4+CF5</f>
        <v>4</v>
      </c>
      <c r="CA5" s="63" t="s">
        <v>220</v>
      </c>
      <c r="CB5" s="201" t="s">
        <v>207</v>
      </c>
      <c r="CC5" s="132" t="s">
        <v>204</v>
      </c>
      <c r="CD5" s="209" t="s">
        <v>205</v>
      </c>
      <c r="CE5" s="209"/>
      <c r="CF5" s="132" t="n">
        <v>1</v>
      </c>
      <c r="CG5" s="201" t="s">
        <v>228</v>
      </c>
      <c r="CH5" s="0"/>
      <c r="CJ5" s="0" t="n">
        <v>3</v>
      </c>
      <c r="CK5" s="219" t="s">
        <v>229</v>
      </c>
      <c r="CL5" s="220" t="s">
        <v>230</v>
      </c>
      <c r="CM5" s="221"/>
      <c r="CN5" s="222"/>
      <c r="CO5" s="223"/>
    </row>
    <row r="6" customFormat="false" ht="12.75" hidden="false" customHeight="false" outlineLevel="0" collapsed="false">
      <c r="A6" s="224" t="n">
        <f aca="false">Inputs!D7</f>
        <v>45925</v>
      </c>
      <c r="C6" s="196"/>
      <c r="BP6" s="205" t="n">
        <f aca="false">BP5+BV6</f>
        <v>5</v>
      </c>
      <c r="BQ6" s="206" t="s">
        <v>231</v>
      </c>
      <c r="BR6" s="201" t="s">
        <v>203</v>
      </c>
      <c r="BS6" s="132" t="s">
        <v>204</v>
      </c>
      <c r="BT6" s="209" t="s">
        <v>205</v>
      </c>
      <c r="BU6" s="209"/>
      <c r="BV6" s="132" t="n">
        <v>1</v>
      </c>
      <c r="BW6" s="201" t="s">
        <v>232</v>
      </c>
      <c r="BX6" s="0"/>
      <c r="BZ6" s="205" t="n">
        <f aca="false">BZ5+CF6</f>
        <v>5</v>
      </c>
      <c r="CA6" s="63" t="s">
        <v>231</v>
      </c>
      <c r="CB6" s="201" t="s">
        <v>207</v>
      </c>
      <c r="CC6" s="132" t="s">
        <v>204</v>
      </c>
      <c r="CD6" s="209" t="s">
        <v>205</v>
      </c>
      <c r="CE6" s="209"/>
      <c r="CF6" s="132" t="n">
        <v>1</v>
      </c>
      <c r="CG6" s="201" t="s">
        <v>233</v>
      </c>
      <c r="CH6" s="0"/>
      <c r="CJ6" s="0" t="n">
        <v>4</v>
      </c>
      <c r="CK6" s="219" t="s">
        <v>234</v>
      </c>
      <c r="CL6" s="220" t="s">
        <v>235</v>
      </c>
      <c r="CM6" s="221"/>
      <c r="CN6" s="222"/>
      <c r="CO6" s="223"/>
    </row>
    <row r="7" customFormat="false" ht="12.75" hidden="false" customHeight="false" outlineLevel="0" collapsed="false">
      <c r="A7" s="194"/>
      <c r="B7" s="195"/>
      <c r="C7" s="225"/>
      <c r="L7" s="193" t="s">
        <v>4</v>
      </c>
      <c r="M7" s="193" t="s">
        <v>7</v>
      </c>
      <c r="BP7" s="205" t="n">
        <f aca="false">BP6+BV7</f>
        <v>6</v>
      </c>
      <c r="BQ7" s="206" t="s">
        <v>236</v>
      </c>
      <c r="BR7" s="201" t="s">
        <v>203</v>
      </c>
      <c r="BS7" s="132" t="s">
        <v>204</v>
      </c>
      <c r="BT7" s="209" t="s">
        <v>205</v>
      </c>
      <c r="BU7" s="209"/>
      <c r="BV7" s="132" t="n">
        <v>1</v>
      </c>
      <c r="BW7" s="201" t="s">
        <v>237</v>
      </c>
      <c r="BX7" s="0"/>
      <c r="BZ7" s="205" t="n">
        <f aca="false">BZ6+CF7</f>
        <v>6</v>
      </c>
      <c r="CA7" s="63" t="s">
        <v>238</v>
      </c>
      <c r="CB7" s="201" t="s">
        <v>207</v>
      </c>
      <c r="CC7" s="132" t="s">
        <v>204</v>
      </c>
      <c r="CD7" s="209" t="s">
        <v>205</v>
      </c>
      <c r="CE7" s="209"/>
      <c r="CF7" s="132" t="n">
        <v>1</v>
      </c>
      <c r="CG7" s="201" t="s">
        <v>239</v>
      </c>
      <c r="CH7" s="0"/>
      <c r="CJ7" s="0" t="n">
        <v>5</v>
      </c>
      <c r="CK7" s="219" t="s">
        <v>240</v>
      </c>
      <c r="CL7" s="220" t="s">
        <v>241</v>
      </c>
      <c r="CM7" s="221"/>
      <c r="CN7" s="222"/>
      <c r="CO7" s="223"/>
    </row>
    <row r="8" customFormat="false" ht="12.75" hidden="false" customHeight="false" outlineLevel="0" collapsed="false">
      <c r="A8" s="194"/>
      <c r="B8" s="192"/>
      <c r="C8" s="193" t="s">
        <v>242</v>
      </c>
      <c r="D8" s="193" t="s">
        <v>243</v>
      </c>
      <c r="E8" s="193" t="s">
        <v>244</v>
      </c>
      <c r="F8" s="193" t="s">
        <v>245</v>
      </c>
      <c r="G8" s="193" t="s">
        <v>246</v>
      </c>
      <c r="H8" s="193" t="s">
        <v>247</v>
      </c>
      <c r="I8" s="193" t="s">
        <v>248</v>
      </c>
      <c r="J8" s="193" t="s">
        <v>249</v>
      </c>
      <c r="K8" s="193" t="s">
        <v>250</v>
      </c>
      <c r="L8" s="193" t="s">
        <v>251</v>
      </c>
      <c r="M8" s="193" t="s">
        <v>251</v>
      </c>
      <c r="O8" s="193" t="s">
        <v>1</v>
      </c>
      <c r="P8" s="193" t="s">
        <v>252</v>
      </c>
      <c r="BP8" s="205" t="n">
        <f aca="false">BP7+BV8</f>
        <v>7</v>
      </c>
      <c r="BQ8" s="206" t="s">
        <v>253</v>
      </c>
      <c r="BR8" s="201" t="s">
        <v>203</v>
      </c>
      <c r="BS8" s="132" t="s">
        <v>204</v>
      </c>
      <c r="BT8" s="209" t="s">
        <v>205</v>
      </c>
      <c r="BU8" s="209"/>
      <c r="BV8" s="132" t="n">
        <v>1</v>
      </c>
      <c r="BW8" s="201" t="s">
        <v>254</v>
      </c>
      <c r="BX8" s="0"/>
      <c r="BZ8" s="205" t="n">
        <f aca="false">BZ7+CF8</f>
        <v>7</v>
      </c>
      <c r="CA8" s="63" t="s">
        <v>255</v>
      </c>
      <c r="CB8" s="201" t="s">
        <v>207</v>
      </c>
      <c r="CC8" s="132" t="s">
        <v>204</v>
      </c>
      <c r="CD8" s="209" t="s">
        <v>205</v>
      </c>
      <c r="CE8" s="209"/>
      <c r="CF8" s="132" t="n">
        <v>1</v>
      </c>
      <c r="CG8" s="201" t="s">
        <v>256</v>
      </c>
      <c r="CH8" s="0"/>
      <c r="CJ8" s="0" t="n">
        <v>6</v>
      </c>
      <c r="CK8" s="219" t="s">
        <v>257</v>
      </c>
      <c r="CL8" s="220" t="s">
        <v>258</v>
      </c>
      <c r="CM8" s="221"/>
      <c r="CN8" s="222"/>
      <c r="CO8" s="223"/>
    </row>
    <row r="9" customFormat="false" ht="12.75" hidden="false" customHeight="false" outlineLevel="0" collapsed="false">
      <c r="A9" s="194"/>
      <c r="B9" s="192"/>
      <c r="J9" s="218"/>
      <c r="K9" s="218"/>
      <c r="L9" s="218"/>
      <c r="BP9" s="205" t="n">
        <f aca="false">BP8+BV9</f>
        <v>8</v>
      </c>
      <c r="BQ9" s="206" t="s">
        <v>255</v>
      </c>
      <c r="BR9" s="201" t="s">
        <v>203</v>
      </c>
      <c r="BS9" s="132" t="s">
        <v>204</v>
      </c>
      <c r="BT9" s="209" t="s">
        <v>205</v>
      </c>
      <c r="BU9" s="209"/>
      <c r="BV9" s="132" t="n">
        <v>1</v>
      </c>
      <c r="BW9" s="201" t="s">
        <v>259</v>
      </c>
      <c r="BX9" s="0"/>
      <c r="BZ9" s="205" t="n">
        <f aca="false">BZ8+CF9</f>
        <v>8</v>
      </c>
      <c r="CA9" s="63" t="s">
        <v>260</v>
      </c>
      <c r="CB9" s="201" t="s">
        <v>207</v>
      </c>
      <c r="CC9" s="132" t="s">
        <v>204</v>
      </c>
      <c r="CD9" s="209" t="s">
        <v>205</v>
      </c>
      <c r="CE9" s="209"/>
      <c r="CF9" s="132" t="n">
        <v>1</v>
      </c>
      <c r="CG9" s="201" t="s">
        <v>261</v>
      </c>
      <c r="CH9" s="0"/>
      <c r="CJ9" s="0" t="n">
        <v>7</v>
      </c>
      <c r="CK9" s="219" t="s">
        <v>262</v>
      </c>
      <c r="CL9" s="220" t="s">
        <v>263</v>
      </c>
      <c r="CM9" s="221"/>
      <c r="CN9" s="222"/>
      <c r="CO9" s="223"/>
    </row>
    <row r="10" customFormat="false" ht="12.75" hidden="false" customHeight="false" outlineLevel="0" collapsed="false">
      <c r="A10" s="194"/>
      <c r="B10" s="193" t="n">
        <v>1</v>
      </c>
      <c r="C10" s="193" t="n">
        <v>2</v>
      </c>
      <c r="D10" s="193" t="n">
        <v>3</v>
      </c>
      <c r="E10" s="193" t="n">
        <v>4</v>
      </c>
      <c r="F10" s="193" t="n">
        <v>5</v>
      </c>
      <c r="G10" s="193" t="n">
        <v>6</v>
      </c>
      <c r="H10" s="193" t="n">
        <v>7</v>
      </c>
      <c r="I10" s="193" t="n">
        <v>8</v>
      </c>
      <c r="J10" s="193" t="n">
        <v>9</v>
      </c>
      <c r="K10" s="193" t="n">
        <v>10</v>
      </c>
      <c r="L10" s="193" t="n">
        <v>11</v>
      </c>
      <c r="M10" s="193" t="n">
        <v>12</v>
      </c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P10" s="205" t="n">
        <f aca="false">BP9+BV10</f>
        <v>9</v>
      </c>
      <c r="BQ10" s="206" t="s">
        <v>260</v>
      </c>
      <c r="BR10" s="201" t="s">
        <v>203</v>
      </c>
      <c r="BS10" s="132" t="s">
        <v>204</v>
      </c>
      <c r="BT10" s="209" t="s">
        <v>205</v>
      </c>
      <c r="BU10" s="209"/>
      <c r="BV10" s="132" t="n">
        <v>1</v>
      </c>
      <c r="BW10" s="201" t="s">
        <v>264</v>
      </c>
      <c r="BX10" s="0"/>
      <c r="BZ10" s="205" t="n">
        <f aca="false">BZ9+CF10</f>
        <v>9</v>
      </c>
      <c r="CA10" s="63" t="s">
        <v>265</v>
      </c>
      <c r="CB10" s="201" t="s">
        <v>207</v>
      </c>
      <c r="CC10" s="132" t="s">
        <v>204</v>
      </c>
      <c r="CD10" s="209" t="s">
        <v>205</v>
      </c>
      <c r="CE10" s="209"/>
      <c r="CF10" s="132" t="n">
        <v>1</v>
      </c>
      <c r="CG10" s="201" t="s">
        <v>266</v>
      </c>
      <c r="CH10" s="0"/>
      <c r="CJ10" s="0" t="n">
        <v>8</v>
      </c>
      <c r="CK10" s="219" t="s">
        <v>267</v>
      </c>
      <c r="CL10" s="220" t="s">
        <v>176</v>
      </c>
      <c r="CM10" s="221"/>
      <c r="CN10" s="222"/>
      <c r="CO10" s="223"/>
    </row>
    <row r="11" customFormat="false" ht="12.75" hidden="false" customHeight="false" outlineLevel="0" collapsed="false">
      <c r="A11" s="194"/>
      <c r="B11" s="226" t="s">
        <v>268</v>
      </c>
      <c r="C11" s="227" t="n">
        <f aca="false">Today</f>
        <v>45925</v>
      </c>
      <c r="D11" s="227" t="n">
        <f aca="false">Today</f>
        <v>45925</v>
      </c>
      <c r="E11" s="227" t="n">
        <f aca="false">Today</f>
        <v>45925</v>
      </c>
      <c r="F11" s="227" t="n">
        <f aca="false">Today</f>
        <v>45925</v>
      </c>
      <c r="G11" s="227" t="n">
        <f aca="false">Today</f>
        <v>45925</v>
      </c>
      <c r="H11" s="227" t="n">
        <f aca="false">Today</f>
        <v>45925</v>
      </c>
      <c r="I11" s="227" t="n">
        <f aca="false">Today</f>
        <v>45925</v>
      </c>
      <c r="J11" s="227" t="n">
        <f aca="false">Today</f>
        <v>45925</v>
      </c>
      <c r="K11" s="227" t="n">
        <f aca="false">Today</f>
        <v>45925</v>
      </c>
      <c r="L11" s="227" t="n">
        <f aca="false">Today</f>
        <v>45925</v>
      </c>
      <c r="M11" s="227" t="n">
        <f aca="false">Today</f>
        <v>45925</v>
      </c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P11" s="205" t="n">
        <f aca="false">BP10+BV11</f>
        <v>10</v>
      </c>
      <c r="BQ11" s="206" t="s">
        <v>265</v>
      </c>
      <c r="BR11" s="201" t="s">
        <v>203</v>
      </c>
      <c r="BS11" s="132" t="s">
        <v>204</v>
      </c>
      <c r="BT11" s="209" t="s">
        <v>205</v>
      </c>
      <c r="BU11" s="209"/>
      <c r="BV11" s="132" t="n">
        <v>1</v>
      </c>
      <c r="BW11" s="201" t="s">
        <v>269</v>
      </c>
      <c r="BX11" s="0"/>
      <c r="BZ11" s="205" t="n">
        <f aca="false">BZ10+CF11</f>
        <v>10</v>
      </c>
      <c r="CA11" s="63" t="s">
        <v>270</v>
      </c>
      <c r="CB11" s="201" t="s">
        <v>207</v>
      </c>
      <c r="CC11" s="132" t="s">
        <v>204</v>
      </c>
      <c r="CD11" s="209" t="s">
        <v>205</v>
      </c>
      <c r="CE11" s="209"/>
      <c r="CF11" s="132" t="n">
        <v>1</v>
      </c>
      <c r="CG11" s="201" t="s">
        <v>271</v>
      </c>
      <c r="CH11" s="0"/>
      <c r="CJ11" s="0" t="n">
        <v>9</v>
      </c>
      <c r="CK11" s="219" t="s">
        <v>272</v>
      </c>
      <c r="CL11" s="220" t="s">
        <v>273</v>
      </c>
      <c r="CM11" s="221"/>
      <c r="CN11" s="222"/>
      <c r="CO11" s="223"/>
    </row>
    <row r="12" customFormat="false" ht="12.75" hidden="false" customHeight="false" outlineLevel="0" collapsed="false">
      <c r="A12" s="194"/>
      <c r="B12" s="226" t="s">
        <v>274</v>
      </c>
      <c r="C12" s="195" t="e">
        <f aca="false">BeginningOfNextMonth(C11)</f>
        <v>#VALUE!</v>
      </c>
      <c r="D12" s="195" t="e">
        <f aca="false">BeginningOfNextMonth(D11)</f>
        <v>#VALUE!</v>
      </c>
      <c r="E12" s="195" t="e">
        <f aca="false">BeginningOfNextMonth(E11)</f>
        <v>#VALUE!</v>
      </c>
      <c r="F12" s="195" t="e">
        <f aca="false">BeginningOfNextMonth(F11)</f>
        <v>#VALUE!</v>
      </c>
      <c r="G12" s="195" t="e">
        <f aca="false">BeginningOfNextMonth(G11)</f>
        <v>#VALUE!</v>
      </c>
      <c r="H12" s="195" t="e">
        <f aca="false">BeginningOfNextMonth(H11)</f>
        <v>#VALUE!</v>
      </c>
      <c r="I12" s="195" t="e">
        <f aca="false">BeginningOfNextMonth(I11)</f>
        <v>#VALUE!</v>
      </c>
      <c r="J12" s="195" t="e">
        <f aca="false">BeginningOfNextMonth(J11)</f>
        <v>#VALUE!</v>
      </c>
      <c r="K12" s="195" t="e">
        <f aca="false">BeginningOfNextMonth(K11)</f>
        <v>#VALUE!</v>
      </c>
      <c r="L12" s="195" t="e">
        <f aca="false">BeginningOfNextMonth(L11)</f>
        <v>#VALUE!</v>
      </c>
      <c r="M12" s="195" t="e">
        <f aca="false">BeginningOfNextMonth(M11)</f>
        <v>#VALUE!</v>
      </c>
      <c r="N12" s="195"/>
      <c r="O12" s="195"/>
      <c r="P12" s="195"/>
      <c r="Q12" s="195"/>
      <c r="R12" s="195"/>
      <c r="S12" s="195"/>
      <c r="T12" s="195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  <c r="AH12" s="195"/>
      <c r="AI12" s="195"/>
      <c r="AJ12" s="195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P12" s="205" t="n">
        <f aca="false">BP11+BV12</f>
        <v>11</v>
      </c>
      <c r="BQ12" s="206" t="s">
        <v>270</v>
      </c>
      <c r="BR12" s="201" t="s">
        <v>203</v>
      </c>
      <c r="BS12" s="132" t="s">
        <v>204</v>
      </c>
      <c r="BT12" s="209" t="s">
        <v>205</v>
      </c>
      <c r="BU12" s="209"/>
      <c r="BV12" s="132" t="n">
        <v>1</v>
      </c>
      <c r="BW12" s="201" t="s">
        <v>275</v>
      </c>
      <c r="BX12" s="0"/>
      <c r="BZ12" s="205" t="n">
        <f aca="false">BZ11+CF12</f>
        <v>11</v>
      </c>
      <c r="CA12" s="63" t="s">
        <v>276</v>
      </c>
      <c r="CB12" s="201" t="s">
        <v>207</v>
      </c>
      <c r="CC12" s="132" t="s">
        <v>204</v>
      </c>
      <c r="CD12" s="209" t="s">
        <v>205</v>
      </c>
      <c r="CE12" s="209"/>
      <c r="CF12" s="132" t="n">
        <v>1</v>
      </c>
      <c r="CG12" s="201" t="s">
        <v>277</v>
      </c>
      <c r="CH12" s="0"/>
      <c r="CJ12" s="0" t="n">
        <v>10</v>
      </c>
      <c r="CK12" s="228" t="s">
        <v>278</v>
      </c>
      <c r="CL12" s="229" t="s">
        <v>279</v>
      </c>
      <c r="CM12" s="230"/>
      <c r="CN12" s="231"/>
      <c r="CO12" s="232"/>
    </row>
    <row r="13" customFormat="false" ht="12.75" hidden="false" customHeight="false" outlineLevel="0" collapsed="false">
      <c r="A13" s="194"/>
      <c r="B13" s="226" t="s">
        <v>280</v>
      </c>
      <c r="C13" s="233" t="s">
        <v>281</v>
      </c>
      <c r="D13" s="234" t="str">
        <f aca="false">VLOOKUP('Gas Curves'!$CO$2,'Gas Curves'!$CJ$3:$CK$14,2)</f>
        <v>NG_OMICRON_6</v>
      </c>
      <c r="E13" s="234" t="str">
        <f aca="false">VLOOKUP('Gas Curves'!$CO$2,'Gas Curves'!$CJ$3:$CK$14,2)</f>
        <v>NG_OMICRON_6</v>
      </c>
      <c r="F13" s="193" t="s">
        <v>282</v>
      </c>
      <c r="G13" s="193" t="s">
        <v>282</v>
      </c>
      <c r="H13" s="193" t="s">
        <v>282</v>
      </c>
      <c r="I13" s="193" t="s">
        <v>282</v>
      </c>
      <c r="J13" s="193" t="s">
        <v>282</v>
      </c>
      <c r="K13" s="193" t="s">
        <v>282</v>
      </c>
      <c r="L13" s="234" t="str">
        <f aca="false">VLOOKUP('Gas Curves'!$BX$1,'Gas Curves'!$BP$2:$BQ$409,2)</f>
        <v>IF-TRANSCO/Z6</v>
      </c>
      <c r="M13" s="234" t="str">
        <f aca="false">VLOOKUP('Gas Curves'!$CH$1,'Gas Curves'!$BP$2:$BQ$409,2)</f>
        <v>IF-TRANSCO/Z6</v>
      </c>
      <c r="N13" s="234"/>
      <c r="O13" s="234"/>
      <c r="P13" s="234"/>
      <c r="Q13" s="234"/>
      <c r="R13" s="234"/>
      <c r="S13" s="234"/>
      <c r="T13" s="234" t="s">
        <v>4</v>
      </c>
      <c r="U13" s="234"/>
      <c r="V13" s="234"/>
      <c r="W13" s="234"/>
      <c r="X13" s="234" t="s">
        <v>7</v>
      </c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4"/>
      <c r="BE13" s="234"/>
      <c r="BF13" s="234"/>
      <c r="BG13" s="234"/>
      <c r="BH13" s="234"/>
      <c r="BI13" s="234"/>
      <c r="BP13" s="205" t="n">
        <f aca="false">BP12+BV13</f>
        <v>12</v>
      </c>
      <c r="BQ13" s="206" t="s">
        <v>276</v>
      </c>
      <c r="BR13" s="201" t="s">
        <v>203</v>
      </c>
      <c r="BS13" s="132" t="s">
        <v>204</v>
      </c>
      <c r="BT13" s="209" t="s">
        <v>205</v>
      </c>
      <c r="BU13" s="209"/>
      <c r="BV13" s="132" t="n">
        <v>1</v>
      </c>
      <c r="BW13" s="201" t="s">
        <v>283</v>
      </c>
      <c r="BX13" s="0"/>
      <c r="BZ13" s="205" t="n">
        <f aca="false">BZ12+CF13</f>
        <v>12</v>
      </c>
      <c r="CA13" s="63" t="s">
        <v>284</v>
      </c>
      <c r="CB13" s="201" t="s">
        <v>207</v>
      </c>
      <c r="CC13" s="132" t="s">
        <v>204</v>
      </c>
      <c r="CD13" s="209" t="s">
        <v>205</v>
      </c>
      <c r="CE13" s="209"/>
      <c r="CF13" s="132" t="n">
        <v>1</v>
      </c>
      <c r="CG13" s="201" t="s">
        <v>285</v>
      </c>
      <c r="CH13" s="0"/>
      <c r="CJ13" s="0" t="n">
        <v>11</v>
      </c>
      <c r="CK13" s="219" t="s">
        <v>286</v>
      </c>
      <c r="CL13" s="220" t="s">
        <v>287</v>
      </c>
      <c r="CM13" s="221"/>
      <c r="CN13" s="222"/>
      <c r="CO13" s="223"/>
    </row>
    <row r="14" customFormat="false" ht="13.5" hidden="false" customHeight="false" outlineLevel="0" collapsed="false">
      <c r="A14" s="194"/>
      <c r="B14" s="226" t="s">
        <v>288</v>
      </c>
      <c r="C14" s="235" t="s">
        <v>289</v>
      </c>
      <c r="D14" s="193" t="s">
        <v>290</v>
      </c>
      <c r="E14" s="193" t="s">
        <v>290</v>
      </c>
      <c r="F14" s="193" t="s">
        <v>291</v>
      </c>
      <c r="G14" s="193" t="s">
        <v>290</v>
      </c>
      <c r="H14" s="193" t="s">
        <v>292</v>
      </c>
      <c r="I14" s="193" t="s">
        <v>293</v>
      </c>
      <c r="J14" s="193" t="s">
        <v>204</v>
      </c>
      <c r="K14" s="193" t="s">
        <v>294</v>
      </c>
      <c r="L14" s="193" t="s">
        <v>204</v>
      </c>
      <c r="M14" s="193" t="s">
        <v>204</v>
      </c>
      <c r="S14" s="193" t="s">
        <v>295</v>
      </c>
      <c r="T14" s="193" t="s">
        <v>296</v>
      </c>
      <c r="U14" s="193" t="s">
        <v>295</v>
      </c>
      <c r="W14" s="193" t="s">
        <v>295</v>
      </c>
      <c r="X14" s="193" t="s">
        <v>296</v>
      </c>
      <c r="Y14" s="193" t="s">
        <v>295</v>
      </c>
      <c r="Z14" s="193"/>
      <c r="AA14" s="193"/>
      <c r="AB14" s="193"/>
      <c r="AC14" s="193"/>
      <c r="AD14" s="193"/>
      <c r="AE14" s="193"/>
      <c r="AF14" s="193"/>
      <c r="AG14" s="193"/>
      <c r="AH14" s="193"/>
      <c r="AI14" s="193"/>
      <c r="AJ14" s="193"/>
      <c r="AK14" s="193"/>
      <c r="AL14" s="193"/>
      <c r="AM14" s="193"/>
      <c r="AN14" s="193"/>
      <c r="AO14" s="193"/>
      <c r="AP14" s="193"/>
      <c r="AQ14" s="193"/>
      <c r="AR14" s="193"/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3"/>
      <c r="BF14" s="193"/>
      <c r="BG14" s="193"/>
      <c r="BH14" s="193"/>
      <c r="BI14" s="193"/>
      <c r="BP14" s="205" t="n">
        <f aca="false">BP13+BV14</f>
        <v>13</v>
      </c>
      <c r="BQ14" s="206" t="s">
        <v>297</v>
      </c>
      <c r="BR14" s="201" t="s">
        <v>203</v>
      </c>
      <c r="BS14" s="132" t="s">
        <v>204</v>
      </c>
      <c r="BT14" s="209" t="s">
        <v>205</v>
      </c>
      <c r="BU14" s="209"/>
      <c r="BV14" s="132" t="n">
        <v>1</v>
      </c>
      <c r="BW14" s="201" t="s">
        <v>298</v>
      </c>
      <c r="BX14" s="0"/>
      <c r="BZ14" s="205" t="n">
        <f aca="false">BZ13+CF14</f>
        <v>13</v>
      </c>
      <c r="CA14" s="63" t="s">
        <v>297</v>
      </c>
      <c r="CB14" s="201" t="s">
        <v>207</v>
      </c>
      <c r="CC14" s="132" t="s">
        <v>204</v>
      </c>
      <c r="CD14" s="209" t="s">
        <v>205</v>
      </c>
      <c r="CE14" s="209"/>
      <c r="CF14" s="132" t="n">
        <v>1</v>
      </c>
      <c r="CG14" s="201" t="s">
        <v>299</v>
      </c>
      <c r="CH14" s="0"/>
      <c r="CJ14" s="0" t="n">
        <v>12</v>
      </c>
      <c r="CK14" s="236" t="s">
        <v>300</v>
      </c>
      <c r="CL14" s="237" t="s">
        <v>301</v>
      </c>
      <c r="CM14" s="238"/>
      <c r="CN14" s="239"/>
      <c r="CO14" s="240"/>
    </row>
    <row r="15" customFormat="false" ht="12.75" hidden="false" customHeight="false" outlineLevel="0" collapsed="false">
      <c r="A15" s="194"/>
      <c r="B15" s="226" t="s">
        <v>302</v>
      </c>
      <c r="C15" s="235" t="s">
        <v>303</v>
      </c>
      <c r="D15" s="193" t="s">
        <v>304</v>
      </c>
      <c r="E15" s="193" t="s">
        <v>304</v>
      </c>
      <c r="F15" s="193" t="s">
        <v>304</v>
      </c>
      <c r="G15" s="193" t="s">
        <v>304</v>
      </c>
      <c r="H15" s="193" t="s">
        <v>304</v>
      </c>
      <c r="I15" s="193" t="s">
        <v>304</v>
      </c>
      <c r="J15" s="193" t="s">
        <v>304</v>
      </c>
      <c r="K15" s="193" t="s">
        <v>304</v>
      </c>
      <c r="L15" s="193" t="s">
        <v>203</v>
      </c>
      <c r="M15" s="193" t="s">
        <v>203</v>
      </c>
      <c r="O15" s="193" t="s">
        <v>36</v>
      </c>
      <c r="S15" s="193" t="s">
        <v>305</v>
      </c>
      <c r="T15" s="193" t="s">
        <v>306</v>
      </c>
      <c r="U15" s="193" t="s">
        <v>307</v>
      </c>
      <c r="W15" s="193" t="s">
        <v>305</v>
      </c>
      <c r="X15" s="193" t="s">
        <v>306</v>
      </c>
      <c r="Y15" s="193" t="s">
        <v>307</v>
      </c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P15" s="205" t="n">
        <f aca="false">BP14+BV15</f>
        <v>14</v>
      </c>
      <c r="BQ15" s="206" t="s">
        <v>308</v>
      </c>
      <c r="BR15" s="201" t="s">
        <v>203</v>
      </c>
      <c r="BS15" s="132" t="s">
        <v>204</v>
      </c>
      <c r="BT15" s="209" t="s">
        <v>205</v>
      </c>
      <c r="BU15" s="209"/>
      <c r="BV15" s="132" t="n">
        <v>1</v>
      </c>
      <c r="BW15" s="201" t="s">
        <v>309</v>
      </c>
      <c r="BX15" s="0"/>
      <c r="BZ15" s="205" t="n">
        <f aca="false">BZ14+CF15</f>
        <v>14</v>
      </c>
      <c r="CA15" s="63" t="s">
        <v>310</v>
      </c>
      <c r="CB15" s="201" t="s">
        <v>207</v>
      </c>
      <c r="CC15" s="132" t="s">
        <v>204</v>
      </c>
      <c r="CD15" s="209" t="s">
        <v>205</v>
      </c>
      <c r="CE15" s="209"/>
      <c r="CF15" s="132" t="n">
        <v>1</v>
      </c>
      <c r="CG15" s="201" t="s">
        <v>311</v>
      </c>
      <c r="CH15" s="0"/>
    </row>
    <row r="16" customFormat="false" ht="12.75" hidden="false" customHeight="false" outlineLevel="0" collapsed="false">
      <c r="A16" s="194"/>
      <c r="B16" s="226" t="s">
        <v>312</v>
      </c>
      <c r="C16" s="235" t="s">
        <v>313</v>
      </c>
      <c r="D16" s="193" t="s">
        <v>314</v>
      </c>
      <c r="E16" s="193" t="s">
        <v>314</v>
      </c>
      <c r="F16" s="193" t="s">
        <v>315</v>
      </c>
      <c r="G16" s="193" t="s">
        <v>315</v>
      </c>
      <c r="H16" s="193" t="s">
        <v>315</v>
      </c>
      <c r="I16" s="193" t="s">
        <v>315</v>
      </c>
      <c r="J16" s="193" t="s">
        <v>315</v>
      </c>
      <c r="K16" s="193" t="s">
        <v>315</v>
      </c>
      <c r="L16" s="193" t="s">
        <v>316</v>
      </c>
      <c r="M16" s="193" t="s">
        <v>317</v>
      </c>
      <c r="O16" s="193" t="s">
        <v>318</v>
      </c>
      <c r="P16" s="193" t="s">
        <v>319</v>
      </c>
      <c r="S16" s="241" t="n">
        <v>0.07</v>
      </c>
      <c r="U16" s="241" t="n">
        <v>0.07</v>
      </c>
      <c r="W16" s="241" t="n">
        <v>0.07</v>
      </c>
      <c r="X16" s="193"/>
      <c r="Y16" s="241" t="n">
        <v>0.07</v>
      </c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P16" s="205" t="n">
        <f aca="false">BP15+BV16</f>
        <v>15</v>
      </c>
      <c r="BQ16" s="206" t="s">
        <v>320</v>
      </c>
      <c r="BR16" s="201" t="s">
        <v>203</v>
      </c>
      <c r="BS16" s="132" t="s">
        <v>204</v>
      </c>
      <c r="BT16" s="209" t="s">
        <v>205</v>
      </c>
      <c r="BU16" s="209"/>
      <c r="BV16" s="132" t="n">
        <v>1</v>
      </c>
      <c r="BW16" s="201" t="s">
        <v>321</v>
      </c>
      <c r="BX16" s="0"/>
      <c r="BZ16" s="205" t="n">
        <f aca="false">BZ15+CF16</f>
        <v>15</v>
      </c>
      <c r="CA16" s="63" t="s">
        <v>322</v>
      </c>
      <c r="CB16" s="201" t="s">
        <v>207</v>
      </c>
      <c r="CC16" s="132" t="s">
        <v>204</v>
      </c>
      <c r="CD16" s="209" t="s">
        <v>205</v>
      </c>
      <c r="CE16" s="209"/>
      <c r="CF16" s="132" t="n">
        <v>1</v>
      </c>
      <c r="CG16" s="201" t="s">
        <v>323</v>
      </c>
      <c r="CH16" s="0"/>
    </row>
    <row r="17" customFormat="false" ht="12.75" hidden="false" customHeight="false" outlineLevel="0" collapsed="false">
      <c r="A17" s="242"/>
      <c r="B17" s="243" t="e">
        <f aca="false">BeginningOfNextMonth(Today)</f>
        <v>#VALUE!</v>
      </c>
      <c r="C17" s="218" t="n">
        <v>0.060711830429785</v>
      </c>
      <c r="D17" s="244" t="n">
        <v>0.45</v>
      </c>
      <c r="E17" s="244" t="n">
        <v>0.45</v>
      </c>
      <c r="F17" s="244" t="n">
        <v>0.4375</v>
      </c>
      <c r="G17" s="244" t="n">
        <v>0.445</v>
      </c>
      <c r="H17" s="244" t="n">
        <v>0.4525</v>
      </c>
      <c r="I17" s="244" t="n">
        <v>2.81</v>
      </c>
      <c r="J17" s="244" t="n">
        <v>2.815</v>
      </c>
      <c r="K17" s="193" t="n">
        <v>2.82</v>
      </c>
      <c r="L17" s="244" t="n">
        <v>-0.05875</v>
      </c>
      <c r="M17" s="193" t="n">
        <v>0.3625</v>
      </c>
      <c r="O17" s="189" t="e">
        <f aca="false">(IF(MONTH(B17)&gt;=4,IF(MONTH(B17)&lt;=10,Inputs!$H$2,Inputs!$H$3),Inputs!$H$3))</f>
        <v>#VALUE!</v>
      </c>
      <c r="P17" s="244" t="e">
        <f aca="false">J17+(IF($L$2=TRUE(),IF(MONTH(B17)&gt;=4,IF(MONTH(B17)&lt;=10,L17,M17),M17),0))+(IF('Pricing Inputs'!$AN$3=2,O17,0))</f>
        <v>#VALUE!</v>
      </c>
      <c r="Q17" s="244"/>
      <c r="R17" s="245" t="e">
        <f aca="false">B17</f>
        <v>#VALUE!</v>
      </c>
      <c r="S17" s="246" t="n">
        <f aca="false">T17-$S$16</f>
        <v>0.38</v>
      </c>
      <c r="T17" s="241" t="n">
        <f aca="false">D17</f>
        <v>0.45</v>
      </c>
      <c r="U17" s="247" t="n">
        <f aca="false">$U$16+T17</f>
        <v>0.52</v>
      </c>
      <c r="BP17" s="205" t="n">
        <f aca="false">BP16+BV17</f>
        <v>16</v>
      </c>
      <c r="BQ17" s="206" t="s">
        <v>322</v>
      </c>
      <c r="BR17" s="201" t="s">
        <v>203</v>
      </c>
      <c r="BS17" s="132" t="s">
        <v>204</v>
      </c>
      <c r="BT17" s="209" t="s">
        <v>205</v>
      </c>
      <c r="BU17" s="209"/>
      <c r="BV17" s="132" t="n">
        <v>1</v>
      </c>
      <c r="BW17" s="201" t="s">
        <v>324</v>
      </c>
      <c r="BX17" s="0"/>
      <c r="BZ17" s="205" t="n">
        <f aca="false">BZ16+CF17</f>
        <v>16</v>
      </c>
      <c r="CA17" s="63" t="s">
        <v>325</v>
      </c>
      <c r="CB17" s="201" t="s">
        <v>207</v>
      </c>
      <c r="CC17" s="132" t="s">
        <v>204</v>
      </c>
      <c r="CD17" s="209" t="s">
        <v>205</v>
      </c>
      <c r="CE17" s="209"/>
      <c r="CF17" s="132" t="n">
        <v>1</v>
      </c>
      <c r="CG17" s="201" t="s">
        <v>326</v>
      </c>
      <c r="CH17" s="0"/>
    </row>
    <row r="18" customFormat="false" ht="12.75" hidden="false" customHeight="false" outlineLevel="0" collapsed="false">
      <c r="A18" s="242"/>
      <c r="B18" s="243" t="e">
        <f aca="false">NextMonth(B17)</f>
        <v>#VALUE!</v>
      </c>
      <c r="C18" s="193" t="n">
        <v>0.06149378548061</v>
      </c>
      <c r="D18" s="244" t="n">
        <v>0.5</v>
      </c>
      <c r="E18" s="244" t="n">
        <v>0.5</v>
      </c>
      <c r="F18" s="244" t="n">
        <v>0.3975</v>
      </c>
      <c r="G18" s="244" t="n">
        <v>0.405</v>
      </c>
      <c r="H18" s="244" t="n">
        <v>0.4125</v>
      </c>
      <c r="I18" s="244" t="n">
        <v>2.819</v>
      </c>
      <c r="J18" s="248" t="n">
        <v>2.824</v>
      </c>
      <c r="K18" s="193" t="n">
        <v>2.829</v>
      </c>
      <c r="L18" s="248" t="n">
        <v>-0.058125</v>
      </c>
      <c r="M18" s="193" t="n">
        <v>0.3075</v>
      </c>
      <c r="O18" s="189" t="e">
        <f aca="false">(IF(MONTH(B18)&gt;=4,IF(MONTH(B18)&lt;=10,Inputs!$H$2,Inputs!$H$3),Inputs!$H$3))</f>
        <v>#VALUE!</v>
      </c>
      <c r="P18" s="244" t="e">
        <f aca="false">J18+(IF($L$2=TRUE(),IF(MONTH(B18)&gt;=4,IF(MONTH(B18)&lt;=10,L18,M18),M18),0))+(IF('Pricing Inputs'!$AN$3=2,O18,0))</f>
        <v>#VALUE!</v>
      </c>
      <c r="Q18" s="244"/>
      <c r="R18" s="245" t="e">
        <f aca="false">B18</f>
        <v>#VALUE!</v>
      </c>
      <c r="S18" s="246" t="n">
        <f aca="false">T18-$S$16</f>
        <v>0.43</v>
      </c>
      <c r="T18" s="241" t="n">
        <f aca="false">D18</f>
        <v>0.5</v>
      </c>
      <c r="U18" s="247" t="n">
        <f aca="false">$U$16+T18</f>
        <v>0.57</v>
      </c>
      <c r="BP18" s="205" t="n">
        <f aca="false">BP17+BV18</f>
        <v>17</v>
      </c>
      <c r="BQ18" s="206" t="s">
        <v>325</v>
      </c>
      <c r="BR18" s="201" t="s">
        <v>203</v>
      </c>
      <c r="BS18" s="132" t="s">
        <v>204</v>
      </c>
      <c r="BT18" s="209" t="s">
        <v>205</v>
      </c>
      <c r="BU18" s="209"/>
      <c r="BV18" s="132" t="n">
        <v>1</v>
      </c>
      <c r="BW18" s="201" t="s">
        <v>327</v>
      </c>
      <c r="BX18" s="0"/>
      <c r="BZ18" s="205" t="n">
        <f aca="false">BZ17+CF18</f>
        <v>17</v>
      </c>
      <c r="CA18" s="63" t="s">
        <v>328</v>
      </c>
      <c r="CB18" s="201" t="s">
        <v>207</v>
      </c>
      <c r="CC18" s="132" t="s">
        <v>204</v>
      </c>
      <c r="CD18" s="209" t="s">
        <v>205</v>
      </c>
      <c r="CE18" s="209"/>
      <c r="CF18" s="132" t="n">
        <v>1</v>
      </c>
      <c r="CG18" s="201" t="s">
        <v>329</v>
      </c>
      <c r="CH18" s="0"/>
    </row>
    <row r="19" customFormat="false" ht="12.75" hidden="false" customHeight="false" outlineLevel="0" collapsed="false">
      <c r="A19" s="242"/>
      <c r="B19" s="243" t="e">
        <f aca="false">NextMonth(B18)</f>
        <v>#VALUE!</v>
      </c>
      <c r="C19" s="193" t="n">
        <v>0.062298357278762</v>
      </c>
      <c r="D19" s="244" t="n">
        <v>0.5</v>
      </c>
      <c r="E19" s="244" t="n">
        <v>0.5</v>
      </c>
      <c r="F19" s="244" t="n">
        <v>0.38</v>
      </c>
      <c r="G19" s="244" t="n">
        <v>0.3875</v>
      </c>
      <c r="H19" s="244" t="n">
        <v>0.395</v>
      </c>
      <c r="I19" s="244" t="n">
        <v>2.825</v>
      </c>
      <c r="J19" s="248" t="n">
        <v>2.83</v>
      </c>
      <c r="K19" s="193" t="n">
        <v>2.835</v>
      </c>
      <c r="L19" s="248" t="n">
        <v>-0.056875</v>
      </c>
      <c r="M19" s="193" t="n">
        <v>0.275</v>
      </c>
      <c r="O19" s="189" t="e">
        <f aca="false">(IF(MONTH(B19)&gt;=4,IF(MONTH(B19)&lt;=10,Inputs!$H$2,Inputs!$H$3),Inputs!$H$3))</f>
        <v>#VALUE!</v>
      </c>
      <c r="P19" s="244" t="e">
        <f aca="false">J19+(IF($L$2=TRUE(),IF(MONTH(B19)&gt;=4,IF(MONTH(B19)&lt;=10,L19,M19),M19),0))+(IF('Pricing Inputs'!$AN$3=2,O19,0))</f>
        <v>#VALUE!</v>
      </c>
      <c r="Q19" s="244"/>
      <c r="R19" s="245" t="e">
        <f aca="false">B19</f>
        <v>#VALUE!</v>
      </c>
      <c r="S19" s="246" t="n">
        <f aca="false">T19-$S$16</f>
        <v>0.43</v>
      </c>
      <c r="T19" s="241" t="n">
        <f aca="false">D19</f>
        <v>0.5</v>
      </c>
      <c r="U19" s="247" t="n">
        <f aca="false">$U$16+T19</f>
        <v>0.57</v>
      </c>
      <c r="BP19" s="205" t="n">
        <f aca="false">BP18+BV19</f>
        <v>18</v>
      </c>
      <c r="BQ19" s="206" t="s">
        <v>328</v>
      </c>
      <c r="BR19" s="201" t="s">
        <v>203</v>
      </c>
      <c r="BS19" s="132" t="s">
        <v>204</v>
      </c>
      <c r="BT19" s="209" t="s">
        <v>205</v>
      </c>
      <c r="BU19" s="209"/>
      <c r="BV19" s="132" t="n">
        <v>1</v>
      </c>
      <c r="BW19" s="201" t="s">
        <v>330</v>
      </c>
      <c r="BX19" s="0"/>
      <c r="BZ19" s="205" t="n">
        <f aca="false">BZ18+CF19</f>
        <v>18</v>
      </c>
      <c r="CA19" s="63" t="s">
        <v>331</v>
      </c>
      <c r="CB19" s="201" t="s">
        <v>207</v>
      </c>
      <c r="CC19" s="132" t="s">
        <v>204</v>
      </c>
      <c r="CD19" s="209" t="s">
        <v>205</v>
      </c>
      <c r="CE19" s="209"/>
      <c r="CF19" s="132" t="n">
        <v>1</v>
      </c>
      <c r="CG19" s="201" t="s">
        <v>332</v>
      </c>
      <c r="CH19" s="0"/>
    </row>
    <row r="20" customFormat="false" ht="12.75" hidden="false" customHeight="false" outlineLevel="0" collapsed="false">
      <c r="A20" s="242"/>
      <c r="B20" s="243" t="e">
        <f aca="false">NextMonth(B19)</f>
        <v>#VALUE!</v>
      </c>
      <c r="C20" s="193" t="n">
        <v>0.063186804789157</v>
      </c>
      <c r="D20" s="244" t="n">
        <v>0.5</v>
      </c>
      <c r="E20" s="244" t="n">
        <v>0.5</v>
      </c>
      <c r="F20" s="244" t="n">
        <v>0.375</v>
      </c>
      <c r="G20" s="244" t="n">
        <v>0.3825</v>
      </c>
      <c r="H20" s="244" t="n">
        <v>0.39</v>
      </c>
      <c r="I20" s="244" t="n">
        <v>2.835</v>
      </c>
      <c r="J20" s="248" t="n">
        <v>2.84</v>
      </c>
      <c r="K20" s="193" t="n">
        <v>2.845</v>
      </c>
      <c r="L20" s="248" t="n">
        <v>-0.05625</v>
      </c>
      <c r="M20" s="193" t="n">
        <v>0.335</v>
      </c>
      <c r="O20" s="189" t="e">
        <f aca="false">(IF(MONTH(B20)&gt;=4,IF(MONTH(B20)&lt;=10,Inputs!$H$2,Inputs!$H$3),Inputs!$H$3))</f>
        <v>#VALUE!</v>
      </c>
      <c r="P20" s="244" t="e">
        <f aca="false">J20+(IF($L$2=TRUE(),IF(MONTH(B20)&gt;=4,IF(MONTH(B20)&lt;=10,L20,M20),M20),0))+(IF('Pricing Inputs'!$AN$3=2,O20,0))</f>
        <v>#VALUE!</v>
      </c>
      <c r="Q20" s="244"/>
      <c r="R20" s="245" t="e">
        <f aca="false">B20</f>
        <v>#VALUE!</v>
      </c>
      <c r="S20" s="246" t="n">
        <f aca="false">T20-$S$16</f>
        <v>0.43</v>
      </c>
      <c r="T20" s="241" t="n">
        <f aca="false">D20</f>
        <v>0.5</v>
      </c>
      <c r="U20" s="247" t="n">
        <f aca="false">$U$16+T20</f>
        <v>0.57</v>
      </c>
      <c r="BP20" s="205" t="n">
        <f aca="false">BP19+BV20</f>
        <v>19</v>
      </c>
      <c r="BQ20" s="206" t="s">
        <v>333</v>
      </c>
      <c r="BR20" s="201" t="s">
        <v>203</v>
      </c>
      <c r="BS20" s="132" t="s">
        <v>334</v>
      </c>
      <c r="BT20" s="209" t="s">
        <v>205</v>
      </c>
      <c r="BU20" s="209"/>
      <c r="BV20" s="132" t="n">
        <v>1</v>
      </c>
      <c r="BW20" s="201" t="s">
        <v>335</v>
      </c>
      <c r="BX20" s="0"/>
      <c r="BZ20" s="205" t="n">
        <f aca="false">BZ19+CF20</f>
        <v>19</v>
      </c>
      <c r="CA20" s="63" t="s">
        <v>336</v>
      </c>
      <c r="CB20" s="201" t="s">
        <v>207</v>
      </c>
      <c r="CC20" s="132" t="s">
        <v>204</v>
      </c>
      <c r="CD20" s="209" t="s">
        <v>205</v>
      </c>
      <c r="CE20" s="209"/>
      <c r="CF20" s="132" t="n">
        <v>1</v>
      </c>
      <c r="CG20" s="201" t="s">
        <v>337</v>
      </c>
      <c r="CH20" s="0"/>
    </row>
    <row r="21" customFormat="false" ht="12.75" hidden="false" customHeight="false" outlineLevel="0" collapsed="false">
      <c r="A21" s="242"/>
      <c r="B21" s="243" t="e">
        <f aca="false">NextMonth(B20)</f>
        <v>#VALUE!</v>
      </c>
      <c r="C21" s="193" t="n">
        <v>0.063800434036869</v>
      </c>
      <c r="D21" s="244" t="n">
        <v>0.6</v>
      </c>
      <c r="E21" s="244" t="n">
        <v>0.6</v>
      </c>
      <c r="F21" s="244" t="n">
        <v>0.37</v>
      </c>
      <c r="G21" s="244" t="n">
        <v>0.3775</v>
      </c>
      <c r="H21" s="244" t="n">
        <v>0.385</v>
      </c>
      <c r="I21" s="244" t="n">
        <v>2.845</v>
      </c>
      <c r="J21" s="248" t="n">
        <v>2.85</v>
      </c>
      <c r="K21" s="193" t="n">
        <v>2.855</v>
      </c>
      <c r="L21" s="248" t="n">
        <v>-0.055625</v>
      </c>
      <c r="M21" s="193" t="n">
        <v>0.32</v>
      </c>
      <c r="O21" s="189" t="e">
        <f aca="false">(IF(MONTH(B21)&gt;=4,IF(MONTH(B21)&lt;=10,Inputs!$H$2,Inputs!$H$3),Inputs!$H$3))</f>
        <v>#VALUE!</v>
      </c>
      <c r="P21" s="244" t="e">
        <f aca="false">J21+(IF($L$2=TRUE(),IF(MONTH(B21)&gt;=4,IF(MONTH(B21)&lt;=10,L21,M21),M21),0))+(IF('Pricing Inputs'!$AN$3=2,O21,0))</f>
        <v>#VALUE!</v>
      </c>
      <c r="Q21" s="244"/>
      <c r="R21" s="245" t="e">
        <f aca="false">B21</f>
        <v>#VALUE!</v>
      </c>
      <c r="S21" s="246" t="n">
        <f aca="false">T21-$S$16</f>
        <v>0.53</v>
      </c>
      <c r="T21" s="241" t="n">
        <f aca="false">D21</f>
        <v>0.6</v>
      </c>
      <c r="U21" s="247" t="n">
        <f aca="false">$U$16+T21</f>
        <v>0.67</v>
      </c>
      <c r="BP21" s="205" t="n">
        <f aca="false">BP20+BV21</f>
        <v>20</v>
      </c>
      <c r="BQ21" s="206" t="s">
        <v>338</v>
      </c>
      <c r="BR21" s="201" t="s">
        <v>203</v>
      </c>
      <c r="BS21" s="132" t="s">
        <v>334</v>
      </c>
      <c r="BT21" s="209" t="s">
        <v>205</v>
      </c>
      <c r="BU21" s="209"/>
      <c r="BV21" s="132" t="n">
        <v>1</v>
      </c>
      <c r="BW21" s="201" t="s">
        <v>339</v>
      </c>
      <c r="BX21" s="0"/>
      <c r="BZ21" s="205" t="n">
        <f aca="false">BZ20+CF21</f>
        <v>20</v>
      </c>
      <c r="CA21" s="63" t="s">
        <v>340</v>
      </c>
      <c r="CB21" s="201" t="s">
        <v>207</v>
      </c>
      <c r="CC21" s="132" t="s">
        <v>204</v>
      </c>
      <c r="CD21" s="209" t="s">
        <v>205</v>
      </c>
      <c r="CE21" s="209"/>
      <c r="CF21" s="132" t="n">
        <v>1</v>
      </c>
      <c r="CG21" s="201" t="s">
        <v>341</v>
      </c>
      <c r="CH21" s="0"/>
    </row>
    <row r="22" customFormat="false" ht="12.75" hidden="false" customHeight="false" outlineLevel="0" collapsed="false">
      <c r="A22" s="242"/>
      <c r="B22" s="243" t="e">
        <f aca="false">NextMonth(B21)</f>
        <v>#VALUE!</v>
      </c>
      <c r="C22" s="193" t="n">
        <v>0.064414063409461</v>
      </c>
      <c r="D22" s="244" t="n">
        <v>0.6</v>
      </c>
      <c r="E22" s="244" t="n">
        <v>0.6</v>
      </c>
      <c r="F22" s="244" t="n">
        <v>0.375</v>
      </c>
      <c r="G22" s="244" t="n">
        <v>0.3825</v>
      </c>
      <c r="H22" s="244" t="n">
        <v>0.39</v>
      </c>
      <c r="I22" s="244" t="n">
        <v>2.85</v>
      </c>
      <c r="J22" s="248" t="n">
        <v>2.855</v>
      </c>
      <c r="K22" s="193" t="n">
        <v>2.86</v>
      </c>
      <c r="L22" s="248" t="n">
        <v>-0.0575</v>
      </c>
      <c r="M22" s="193" t="n">
        <v>0.28</v>
      </c>
      <c r="O22" s="189" t="e">
        <f aca="false">(IF(MONTH(B22)&gt;=4,IF(MONTH(B22)&lt;=10,Inputs!$H$2,Inputs!$H$3),Inputs!$H$3))</f>
        <v>#VALUE!</v>
      </c>
      <c r="P22" s="244" t="e">
        <f aca="false">J22+(IF($L$2=TRUE(),IF(MONTH(B22)&gt;=4,IF(MONTH(B22)&lt;=10,L22,M22),M22),0))+(IF('Pricing Inputs'!$AN$3=2,O22,0))</f>
        <v>#VALUE!</v>
      </c>
      <c r="Q22" s="244"/>
      <c r="R22" s="245" t="e">
        <f aca="false">B22</f>
        <v>#VALUE!</v>
      </c>
      <c r="S22" s="246" t="n">
        <f aca="false">T22-$S$16</f>
        <v>0.53</v>
      </c>
      <c r="T22" s="241" t="n">
        <f aca="false">D22</f>
        <v>0.6</v>
      </c>
      <c r="U22" s="247" t="n">
        <f aca="false">$U$16+T22</f>
        <v>0.67</v>
      </c>
      <c r="BP22" s="205" t="n">
        <f aca="false">BP21+BV22</f>
        <v>21</v>
      </c>
      <c r="BQ22" s="206" t="s">
        <v>342</v>
      </c>
      <c r="BR22" s="201" t="s">
        <v>203</v>
      </c>
      <c r="BS22" s="132" t="s">
        <v>334</v>
      </c>
      <c r="BT22" s="209" t="s">
        <v>205</v>
      </c>
      <c r="BU22" s="209"/>
      <c r="BV22" s="132" t="n">
        <v>1</v>
      </c>
      <c r="BW22" s="201" t="s">
        <v>343</v>
      </c>
      <c r="BX22" s="0"/>
      <c r="BZ22" s="205" t="n">
        <f aca="false">BZ21+CF22</f>
        <v>21</v>
      </c>
      <c r="CA22" s="63" t="s">
        <v>344</v>
      </c>
      <c r="CB22" s="201" t="s">
        <v>207</v>
      </c>
      <c r="CC22" s="132" t="s">
        <v>204</v>
      </c>
      <c r="CD22" s="209" t="s">
        <v>205</v>
      </c>
      <c r="CE22" s="209"/>
      <c r="CF22" s="132" t="n">
        <v>1</v>
      </c>
      <c r="CG22" s="201" t="s">
        <v>345</v>
      </c>
      <c r="CH22" s="0"/>
    </row>
    <row r="23" customFormat="false" ht="12.75" hidden="false" customHeight="false" outlineLevel="0" collapsed="false">
      <c r="A23" s="242"/>
      <c r="B23" s="243" t="e">
        <f aca="false">NextMonth(B22)</f>
        <v>#VALUE!</v>
      </c>
      <c r="C23" s="193" t="n">
        <v>0.064972245960336</v>
      </c>
      <c r="D23" s="244" t="n">
        <v>0.65</v>
      </c>
      <c r="E23" s="244" t="n">
        <v>0.65</v>
      </c>
      <c r="F23" s="244" t="n">
        <v>0.3775</v>
      </c>
      <c r="G23" s="244" t="n">
        <v>0.385</v>
      </c>
      <c r="H23" s="244" t="n">
        <v>0.3925</v>
      </c>
      <c r="I23" s="244" t="n">
        <v>2.87</v>
      </c>
      <c r="J23" s="248" t="n">
        <v>2.875</v>
      </c>
      <c r="K23" s="193" t="n">
        <v>2.88</v>
      </c>
      <c r="L23" s="248" t="n">
        <v>-0.059375</v>
      </c>
      <c r="M23" s="193" t="n">
        <v>0.29</v>
      </c>
      <c r="O23" s="189" t="e">
        <f aca="false">(IF(MONTH(B23)&gt;=4,IF(MONTH(B23)&lt;=10,Inputs!$H$2,Inputs!$H$3),Inputs!$H$3))</f>
        <v>#VALUE!</v>
      </c>
      <c r="P23" s="244" t="e">
        <f aca="false">J23+(IF($L$2=TRUE(),IF(MONTH(B23)&gt;=4,IF(MONTH(B23)&lt;=10,L23,M23),M23),0))+(IF('Pricing Inputs'!$AN$3=2,O23,0))</f>
        <v>#VALUE!</v>
      </c>
      <c r="Q23" s="244"/>
      <c r="R23" s="245" t="e">
        <f aca="false">B23</f>
        <v>#VALUE!</v>
      </c>
      <c r="S23" s="246" t="n">
        <f aca="false">T23-$S$16</f>
        <v>0.58</v>
      </c>
      <c r="T23" s="241" t="n">
        <f aca="false">D23</f>
        <v>0.65</v>
      </c>
      <c r="U23" s="247" t="n">
        <f aca="false">$U$16+T23</f>
        <v>0.72</v>
      </c>
      <c r="BP23" s="205" t="n">
        <f aca="false">BP22+BV23</f>
        <v>22</v>
      </c>
      <c r="BQ23" s="206" t="s">
        <v>346</v>
      </c>
      <c r="BR23" s="201" t="s">
        <v>203</v>
      </c>
      <c r="BS23" s="132" t="s">
        <v>334</v>
      </c>
      <c r="BT23" s="209" t="s">
        <v>205</v>
      </c>
      <c r="BU23" s="209"/>
      <c r="BV23" s="132" t="n">
        <v>1</v>
      </c>
      <c r="BW23" s="201" t="s">
        <v>347</v>
      </c>
      <c r="BX23" s="0"/>
      <c r="BZ23" s="205" t="n">
        <f aca="false">BZ22+CF23</f>
        <v>22</v>
      </c>
      <c r="CA23" s="63" t="s">
        <v>348</v>
      </c>
      <c r="CB23" s="201" t="s">
        <v>207</v>
      </c>
      <c r="CC23" s="132" t="s">
        <v>204</v>
      </c>
      <c r="CD23" s="209" t="s">
        <v>205</v>
      </c>
      <c r="CE23" s="209"/>
      <c r="CF23" s="132" t="n">
        <v>1</v>
      </c>
      <c r="CG23" s="201" t="s">
        <v>349</v>
      </c>
      <c r="CH23" s="0"/>
    </row>
    <row r="24" customFormat="false" ht="12.75" hidden="false" customHeight="false" outlineLevel="0" collapsed="false">
      <c r="A24" s="242"/>
      <c r="B24" s="243" t="e">
        <f aca="false">NextMonth(B23)</f>
        <v>#VALUE!</v>
      </c>
      <c r="C24" s="193" t="n">
        <v>0.065482946055965</v>
      </c>
      <c r="D24" s="248" t="n">
        <v>0.95</v>
      </c>
      <c r="E24" s="248" t="n">
        <v>0.95</v>
      </c>
      <c r="F24" s="248" t="n">
        <v>0.38</v>
      </c>
      <c r="G24" s="248" t="n">
        <v>0.3875</v>
      </c>
      <c r="H24" s="248" t="n">
        <v>0.395</v>
      </c>
      <c r="I24" s="244" t="n">
        <v>2.98</v>
      </c>
      <c r="J24" s="248" t="n">
        <v>2.985</v>
      </c>
      <c r="K24" s="193" t="n">
        <v>2.99</v>
      </c>
      <c r="L24" s="248" t="n">
        <v>-0.059375</v>
      </c>
      <c r="M24" s="193" t="n">
        <v>0.67</v>
      </c>
      <c r="O24" s="189" t="e">
        <f aca="false">(IF(MONTH(B24)&gt;=4,IF(MONTH(B24)&lt;=10,Inputs!$H$2,Inputs!$H$3),Inputs!$H$3))</f>
        <v>#VALUE!</v>
      </c>
      <c r="P24" s="244" t="e">
        <f aca="false">J24+(IF($L$2=TRUE(),IF(MONTH(B24)&gt;=4,IF(MONTH(B24)&lt;=10,L24,M24),M24),0))+(IF('Pricing Inputs'!$AN$3=2,O24,0))</f>
        <v>#VALUE!</v>
      </c>
      <c r="Q24" s="244"/>
      <c r="R24" s="245" t="e">
        <f aca="false">B24</f>
        <v>#VALUE!</v>
      </c>
      <c r="S24" s="246" t="n">
        <f aca="false">T24-$S$16</f>
        <v>0.88</v>
      </c>
      <c r="T24" s="241" t="n">
        <f aca="false">D24</f>
        <v>0.95</v>
      </c>
      <c r="U24" s="247" t="n">
        <f aca="false">$U$16+T24</f>
        <v>1.02</v>
      </c>
      <c r="BP24" s="205" t="n">
        <f aca="false">BP23+BV24</f>
        <v>23</v>
      </c>
      <c r="BQ24" s="206" t="s">
        <v>350</v>
      </c>
      <c r="BR24" s="201" t="s">
        <v>203</v>
      </c>
      <c r="BS24" s="132" t="s">
        <v>334</v>
      </c>
      <c r="BT24" s="209" t="s">
        <v>205</v>
      </c>
      <c r="BU24" s="209"/>
      <c r="BV24" s="132" t="n">
        <v>1</v>
      </c>
      <c r="BW24" s="201" t="s">
        <v>351</v>
      </c>
      <c r="BX24" s="0"/>
      <c r="BZ24" s="205" t="n">
        <f aca="false">BZ23+CF24</f>
        <v>23</v>
      </c>
      <c r="CA24" s="63" t="s">
        <v>352</v>
      </c>
      <c r="CB24" s="201" t="s">
        <v>207</v>
      </c>
      <c r="CC24" s="132" t="s">
        <v>204</v>
      </c>
      <c r="CD24" s="209" t="s">
        <v>205</v>
      </c>
      <c r="CE24" s="209"/>
      <c r="CF24" s="132" t="n">
        <v>1</v>
      </c>
      <c r="CG24" s="201" t="s">
        <v>353</v>
      </c>
      <c r="CH24" s="0"/>
    </row>
    <row r="25" customFormat="false" ht="12.75" hidden="false" customHeight="false" outlineLevel="0" collapsed="false">
      <c r="A25" s="242"/>
      <c r="B25" s="243" t="e">
        <f aca="false">NextMonth(B24)</f>
        <v>#VALUE!</v>
      </c>
      <c r="C25" s="193" t="n">
        <v>0.065977172037254</v>
      </c>
      <c r="D25" s="248" t="n">
        <v>1.25</v>
      </c>
      <c r="E25" s="248" t="n">
        <v>1.25</v>
      </c>
      <c r="F25" s="248" t="n">
        <v>0.3825</v>
      </c>
      <c r="G25" s="248" t="n">
        <v>0.39</v>
      </c>
      <c r="H25" s="248" t="n">
        <v>0.3975</v>
      </c>
      <c r="I25" s="244" t="n">
        <v>3.095</v>
      </c>
      <c r="J25" s="248" t="n">
        <v>3.1</v>
      </c>
      <c r="K25" s="193" t="n">
        <v>3.105</v>
      </c>
      <c r="L25" s="248" t="n">
        <v>-0.065</v>
      </c>
      <c r="M25" s="193" t="n">
        <v>1.16</v>
      </c>
      <c r="O25" s="189" t="e">
        <f aca="false">(IF(MONTH(B25)&gt;=4,IF(MONTH(B25)&lt;=10,Inputs!$H$2,Inputs!$H$3),Inputs!$H$3))</f>
        <v>#VALUE!</v>
      </c>
      <c r="P25" s="244" t="e">
        <f aca="false">J25+(IF($L$2=TRUE(),IF(MONTH(B25)&gt;=4,IF(MONTH(B25)&lt;=10,L25,M25),M25),0))+(IF('Pricing Inputs'!$AN$3=2,O25,0))</f>
        <v>#VALUE!</v>
      </c>
      <c r="Q25" s="244"/>
      <c r="R25" s="245" t="e">
        <f aca="false">B25</f>
        <v>#VALUE!</v>
      </c>
      <c r="S25" s="246" t="n">
        <f aca="false">T25-$S$16</f>
        <v>1.18</v>
      </c>
      <c r="T25" s="241" t="n">
        <f aca="false">D25</f>
        <v>1.25</v>
      </c>
      <c r="U25" s="247" t="n">
        <f aca="false">$U$16+T25</f>
        <v>1.32</v>
      </c>
      <c r="BP25" s="205" t="n">
        <f aca="false">BP24+BV25</f>
        <v>24</v>
      </c>
      <c r="BQ25" s="206" t="s">
        <v>354</v>
      </c>
      <c r="BR25" s="201" t="s">
        <v>203</v>
      </c>
      <c r="BS25" s="132" t="s">
        <v>334</v>
      </c>
      <c r="BT25" s="209" t="s">
        <v>205</v>
      </c>
      <c r="BU25" s="209"/>
      <c r="BV25" s="132" t="n">
        <v>1</v>
      </c>
      <c r="BW25" s="201" t="s">
        <v>355</v>
      </c>
      <c r="BX25" s="0"/>
      <c r="BZ25" s="205" t="n">
        <f aca="false">BZ24+CF25</f>
        <v>24</v>
      </c>
      <c r="CA25" s="63" t="s">
        <v>356</v>
      </c>
      <c r="CB25" s="201" t="s">
        <v>207</v>
      </c>
      <c r="CC25" s="132" t="s">
        <v>204</v>
      </c>
      <c r="CD25" s="209" t="s">
        <v>205</v>
      </c>
      <c r="CE25" s="209"/>
      <c r="CF25" s="132" t="n">
        <v>1</v>
      </c>
      <c r="CG25" s="201" t="s">
        <v>357</v>
      </c>
      <c r="CH25" s="0"/>
    </row>
    <row r="26" customFormat="false" ht="12.75" hidden="false" customHeight="false" outlineLevel="0" collapsed="false">
      <c r="A26" s="242"/>
      <c r="B26" s="243" t="e">
        <f aca="false">NextMonth(B25)</f>
        <v>#VALUE!</v>
      </c>
      <c r="C26" s="193" t="n">
        <v>0.066467823306129</v>
      </c>
      <c r="D26" s="248" t="n">
        <v>1.45</v>
      </c>
      <c r="E26" s="248" t="n">
        <v>1.45</v>
      </c>
      <c r="F26" s="248" t="n">
        <v>0.3875</v>
      </c>
      <c r="G26" s="248" t="n">
        <v>0.395</v>
      </c>
      <c r="H26" s="248" t="n">
        <v>0.4025</v>
      </c>
      <c r="I26" s="244" t="n">
        <v>3.12</v>
      </c>
      <c r="J26" s="248" t="n">
        <v>3.125</v>
      </c>
      <c r="K26" s="193" t="n">
        <v>3.13</v>
      </c>
      <c r="L26" s="248" t="n">
        <v>-0.065625</v>
      </c>
      <c r="M26" s="193" t="n">
        <v>1.35</v>
      </c>
      <c r="O26" s="189" t="e">
        <f aca="false">(IF(MONTH(B26)&gt;=4,IF(MONTH(B26)&lt;=10,Inputs!$H$2,Inputs!$H$3),Inputs!$H$3))</f>
        <v>#VALUE!</v>
      </c>
      <c r="P26" s="244" t="e">
        <f aca="false">J26+(IF($L$2=TRUE(),IF(MONTH(B26)&gt;=4,IF(MONTH(B26)&lt;=10,L26,M26),M26),0))+(IF('Pricing Inputs'!$AN$3=2,O26,0))</f>
        <v>#VALUE!</v>
      </c>
      <c r="Q26" s="244"/>
      <c r="R26" s="245" t="e">
        <f aca="false">B26</f>
        <v>#VALUE!</v>
      </c>
      <c r="S26" s="246" t="n">
        <f aca="false">T26-$S$16</f>
        <v>1.38</v>
      </c>
      <c r="T26" s="241" t="n">
        <f aca="false">D26</f>
        <v>1.45</v>
      </c>
      <c r="U26" s="247" t="n">
        <f aca="false">$U$16+T26</f>
        <v>1.52</v>
      </c>
      <c r="BP26" s="205" t="n">
        <f aca="false">BP25+BV26</f>
        <v>25</v>
      </c>
      <c r="BQ26" s="206" t="s">
        <v>358</v>
      </c>
      <c r="BR26" s="201" t="s">
        <v>203</v>
      </c>
      <c r="BS26" s="132" t="s">
        <v>334</v>
      </c>
      <c r="BT26" s="209" t="s">
        <v>205</v>
      </c>
      <c r="BU26" s="209"/>
      <c r="BV26" s="132" t="n">
        <v>1</v>
      </c>
      <c r="BW26" s="201" t="s">
        <v>359</v>
      </c>
      <c r="BX26" s="0"/>
      <c r="BZ26" s="205" t="n">
        <f aca="false">BZ25+CF26</f>
        <v>25</v>
      </c>
      <c r="CA26" s="63" t="s">
        <v>360</v>
      </c>
      <c r="CB26" s="201" t="s">
        <v>207</v>
      </c>
      <c r="CC26" s="132" t="s">
        <v>204</v>
      </c>
      <c r="CD26" s="209" t="s">
        <v>205</v>
      </c>
      <c r="CE26" s="209"/>
      <c r="CF26" s="132" t="n">
        <v>1</v>
      </c>
      <c r="CG26" s="201" t="s">
        <v>361</v>
      </c>
      <c r="CH26" s="0"/>
    </row>
    <row r="27" customFormat="false" ht="12.75" hidden="false" customHeight="false" outlineLevel="0" collapsed="false">
      <c r="A27" s="242"/>
      <c r="B27" s="243" t="e">
        <f aca="false">NextMonth(B26)</f>
        <v>#VALUE!</v>
      </c>
      <c r="C27" s="193" t="n">
        <v>0.066926730404914</v>
      </c>
      <c r="D27" s="248" t="n">
        <v>1.45</v>
      </c>
      <c r="E27" s="248" t="n">
        <v>1.45</v>
      </c>
      <c r="F27" s="248" t="n">
        <v>0.3825</v>
      </c>
      <c r="G27" s="248" t="n">
        <v>0.39</v>
      </c>
      <c r="H27" s="248" t="n">
        <v>0.3975</v>
      </c>
      <c r="I27" s="244" t="n">
        <v>2.955</v>
      </c>
      <c r="J27" s="248" t="n">
        <v>2.96</v>
      </c>
      <c r="K27" s="193" t="n">
        <v>2.965</v>
      </c>
      <c r="L27" s="248" t="n">
        <v>-0.06125</v>
      </c>
      <c r="M27" s="193" t="n">
        <v>1.375</v>
      </c>
      <c r="O27" s="189" t="e">
        <f aca="false">(IF(MONTH(B27)&gt;=4,IF(MONTH(B27)&lt;=10,Inputs!$H$2,Inputs!$H$3),Inputs!$H$3))</f>
        <v>#VALUE!</v>
      </c>
      <c r="P27" s="244" t="e">
        <f aca="false">J27+(IF($L$2=TRUE(),IF(MONTH(B27)&gt;=4,IF(MONTH(B27)&lt;=10,L27,M27),M27),0))+(IF('Pricing Inputs'!$AN$3=2,O27,0))</f>
        <v>#VALUE!</v>
      </c>
      <c r="Q27" s="244"/>
      <c r="R27" s="245" t="e">
        <f aca="false">B27</f>
        <v>#VALUE!</v>
      </c>
      <c r="S27" s="246" t="n">
        <f aca="false">T27-$S$16</f>
        <v>1.38</v>
      </c>
      <c r="T27" s="241" t="n">
        <f aca="false">D27</f>
        <v>1.45</v>
      </c>
      <c r="U27" s="247" t="n">
        <f aca="false">$U$16+T27</f>
        <v>1.52</v>
      </c>
      <c r="BP27" s="205" t="n">
        <f aca="false">BP26+BV27</f>
        <v>26</v>
      </c>
      <c r="BQ27" s="206" t="s">
        <v>362</v>
      </c>
      <c r="BR27" s="201" t="s">
        <v>203</v>
      </c>
      <c r="BS27" s="132" t="s">
        <v>334</v>
      </c>
      <c r="BT27" s="209" t="s">
        <v>205</v>
      </c>
      <c r="BU27" s="209"/>
      <c r="BV27" s="132" t="n">
        <v>1</v>
      </c>
      <c r="BW27" s="201" t="s">
        <v>363</v>
      </c>
      <c r="BX27" s="0"/>
      <c r="BZ27" s="205" t="n">
        <f aca="false">BZ26+CF27</f>
        <v>26</v>
      </c>
      <c r="CA27" s="63" t="s">
        <v>364</v>
      </c>
      <c r="CB27" s="201" t="s">
        <v>207</v>
      </c>
      <c r="CC27" s="132" t="s">
        <v>204</v>
      </c>
      <c r="CD27" s="209" t="s">
        <v>205</v>
      </c>
      <c r="CE27" s="209"/>
      <c r="CF27" s="132" t="n">
        <v>1</v>
      </c>
      <c r="CG27" s="201" t="s">
        <v>365</v>
      </c>
      <c r="CH27" s="0"/>
    </row>
    <row r="28" customFormat="false" ht="12.75" hidden="false" customHeight="false" outlineLevel="0" collapsed="false">
      <c r="A28" s="242"/>
      <c r="B28" s="243" t="e">
        <f aca="false">NextMonth(B27)</f>
        <v>#VALUE!</v>
      </c>
      <c r="C28" s="193" t="n">
        <v>0.067341227199243</v>
      </c>
      <c r="D28" s="248" t="n">
        <v>1</v>
      </c>
      <c r="E28" s="248" t="n">
        <v>1</v>
      </c>
      <c r="F28" s="248" t="n">
        <v>0.335</v>
      </c>
      <c r="G28" s="248" t="n">
        <v>0.3425</v>
      </c>
      <c r="H28" s="248" t="n">
        <v>0.35</v>
      </c>
      <c r="I28" s="244" t="n">
        <v>2.815</v>
      </c>
      <c r="J28" s="248" t="n">
        <v>2.82</v>
      </c>
      <c r="K28" s="193" t="n">
        <v>2.825</v>
      </c>
      <c r="L28" s="248" t="n">
        <v>-0.066875</v>
      </c>
      <c r="M28" s="193" t="n">
        <v>0.92</v>
      </c>
      <c r="O28" s="189" t="e">
        <f aca="false">(IF(MONTH(B28)&gt;=4,IF(MONTH(B28)&lt;=10,Inputs!$H$2,Inputs!$H$3),Inputs!$H$3))</f>
        <v>#VALUE!</v>
      </c>
      <c r="P28" s="244" t="e">
        <f aca="false">J28+(IF($L$2=TRUE(),IF(MONTH(B28)&gt;=4,IF(MONTH(B28)&lt;=10,L28,M28),M28),0))+(IF('Pricing Inputs'!$AN$3=2,O28,0))</f>
        <v>#VALUE!</v>
      </c>
      <c r="Q28" s="244"/>
      <c r="R28" s="245" t="e">
        <f aca="false">B28</f>
        <v>#VALUE!</v>
      </c>
      <c r="S28" s="246" t="n">
        <f aca="false">T28-$S$16</f>
        <v>0.93</v>
      </c>
      <c r="T28" s="241" t="n">
        <f aca="false">D28</f>
        <v>1</v>
      </c>
      <c r="U28" s="247" t="n">
        <f aca="false">$U$16+T28</f>
        <v>1.07</v>
      </c>
      <c r="BP28" s="205" t="n">
        <f aca="false">BP27+BV28</f>
        <v>27</v>
      </c>
      <c r="BQ28" s="206" t="s">
        <v>366</v>
      </c>
      <c r="BR28" s="201" t="s">
        <v>203</v>
      </c>
      <c r="BS28" s="132" t="s">
        <v>334</v>
      </c>
      <c r="BT28" s="209" t="s">
        <v>205</v>
      </c>
      <c r="BU28" s="209"/>
      <c r="BV28" s="132" t="n">
        <v>1</v>
      </c>
      <c r="BW28" s="201" t="s">
        <v>367</v>
      </c>
      <c r="BX28" s="0"/>
      <c r="BZ28" s="205" t="n">
        <f aca="false">BZ27+CF28</f>
        <v>27</v>
      </c>
      <c r="CA28" s="63" t="s">
        <v>368</v>
      </c>
      <c r="CB28" s="201" t="s">
        <v>207</v>
      </c>
      <c r="CC28" s="132" t="s">
        <v>204</v>
      </c>
      <c r="CD28" s="209" t="s">
        <v>205</v>
      </c>
      <c r="CE28" s="209"/>
      <c r="CF28" s="132" t="n">
        <v>1</v>
      </c>
      <c r="CG28" s="201" t="s">
        <v>369</v>
      </c>
      <c r="CH28" s="0"/>
    </row>
    <row r="29" customFormat="false" ht="12.75" hidden="false" customHeight="false" outlineLevel="0" collapsed="false">
      <c r="A29" s="242"/>
      <c r="B29" s="243" t="e">
        <f aca="false">NextMonth(B28)</f>
        <v>#VALUE!</v>
      </c>
      <c r="C29" s="193" t="n">
        <v>0.067760452095971</v>
      </c>
      <c r="D29" s="248" t="n">
        <v>0.45</v>
      </c>
      <c r="E29" s="248" t="n">
        <v>0.45</v>
      </c>
      <c r="F29" s="248" t="n">
        <v>0.27</v>
      </c>
      <c r="G29" s="248" t="n">
        <v>0.2775</v>
      </c>
      <c r="H29" s="248" t="n">
        <v>0.285</v>
      </c>
      <c r="I29" s="244" t="n">
        <v>2.692</v>
      </c>
      <c r="J29" s="248" t="n">
        <v>2.697</v>
      </c>
      <c r="K29" s="193" t="n">
        <v>2.702</v>
      </c>
      <c r="L29" s="248" t="n">
        <v>-0.060625</v>
      </c>
      <c r="M29" s="193" t="n">
        <v>0.37</v>
      </c>
      <c r="O29" s="189" t="e">
        <f aca="false">(IF(MONTH(B29)&gt;=4,IF(MONTH(B29)&lt;=10,Inputs!$H$2,Inputs!$H$3),Inputs!$H$3))</f>
        <v>#VALUE!</v>
      </c>
      <c r="P29" s="244" t="e">
        <f aca="false">J29+(IF($L$2=TRUE(),IF(MONTH(B29)&gt;=4,IF(MONTH(B29)&lt;=10,L29,M29),M29),0))+(IF('Pricing Inputs'!$AN$3=2,O29,0))</f>
        <v>#VALUE!</v>
      </c>
      <c r="Q29" s="244"/>
      <c r="R29" s="245" t="e">
        <f aca="false">B29</f>
        <v>#VALUE!</v>
      </c>
      <c r="S29" s="246" t="n">
        <f aca="false">T29-$S$16</f>
        <v>0.38</v>
      </c>
      <c r="T29" s="241" t="n">
        <f aca="false">D29</f>
        <v>0.45</v>
      </c>
      <c r="U29" s="247" t="n">
        <f aca="false">$U$16+T29</f>
        <v>0.52</v>
      </c>
      <c r="BP29" s="205" t="n">
        <f aca="false">BP28+BV29</f>
        <v>28</v>
      </c>
      <c r="BQ29" s="206" t="s">
        <v>370</v>
      </c>
      <c r="BR29" s="201" t="s">
        <v>203</v>
      </c>
      <c r="BS29" s="132" t="s">
        <v>334</v>
      </c>
      <c r="BT29" s="209" t="s">
        <v>205</v>
      </c>
      <c r="BU29" s="209"/>
      <c r="BV29" s="132" t="n">
        <v>1</v>
      </c>
      <c r="BW29" s="201" t="s">
        <v>371</v>
      </c>
      <c r="BX29" s="0"/>
      <c r="BZ29" s="205" t="n">
        <f aca="false">BZ28+CF29</f>
        <v>28</v>
      </c>
      <c r="CA29" s="63" t="s">
        <v>372</v>
      </c>
      <c r="CB29" s="201" t="s">
        <v>207</v>
      </c>
      <c r="CC29" s="132" t="s">
        <v>204</v>
      </c>
      <c r="CD29" s="209" t="s">
        <v>205</v>
      </c>
      <c r="CE29" s="209"/>
      <c r="CF29" s="132" t="n">
        <v>1</v>
      </c>
      <c r="CG29" s="201" t="s">
        <v>373</v>
      </c>
      <c r="CH29" s="0"/>
    </row>
    <row r="30" customFormat="false" ht="12.75" hidden="false" customHeight="false" outlineLevel="0" collapsed="false">
      <c r="A30" s="242"/>
      <c r="B30" s="243" t="e">
        <f aca="false">NextMonth(B29)</f>
        <v>#VALUE!</v>
      </c>
      <c r="C30" s="193" t="n">
        <v>0.068094409945584</v>
      </c>
      <c r="D30" s="248" t="n">
        <v>0.5</v>
      </c>
      <c r="E30" s="248" t="n">
        <v>0.5</v>
      </c>
      <c r="F30" s="248" t="n">
        <v>0.24</v>
      </c>
      <c r="G30" s="248" t="n">
        <v>0.2475</v>
      </c>
      <c r="H30" s="248" t="n">
        <v>0.255</v>
      </c>
      <c r="I30" s="244" t="n">
        <v>2.651</v>
      </c>
      <c r="J30" s="248" t="n">
        <v>2.656</v>
      </c>
      <c r="K30" s="193" t="n">
        <v>2.661</v>
      </c>
      <c r="L30" s="248" t="n">
        <v>-0.059375</v>
      </c>
      <c r="M30" s="193" t="n">
        <v>0.2525</v>
      </c>
      <c r="N30" s="249"/>
      <c r="O30" s="189" t="e">
        <f aca="false">(IF(MONTH(B30)&gt;=4,IF(MONTH(B30)&lt;=10,Inputs!$H$2,Inputs!$H$3),Inputs!$H$3))</f>
        <v>#VALUE!</v>
      </c>
      <c r="P30" s="244" t="e">
        <f aca="false">J30+(IF($L$2=TRUE(),IF(MONTH(B30)&gt;=4,IF(MONTH(B30)&lt;=10,L30,M30),M30),0))+(IF('Pricing Inputs'!$AN$3=2,O30,0))</f>
        <v>#VALUE!</v>
      </c>
      <c r="Q30" s="244"/>
      <c r="R30" s="245" t="e">
        <f aca="false">B30</f>
        <v>#VALUE!</v>
      </c>
      <c r="S30" s="246" t="n">
        <f aca="false">T30-$S$16</f>
        <v>0.43</v>
      </c>
      <c r="T30" s="241" t="n">
        <f aca="false">D30</f>
        <v>0.5</v>
      </c>
      <c r="U30" s="247" t="n">
        <f aca="false">$U$16+T30</f>
        <v>0.57</v>
      </c>
      <c r="BP30" s="205" t="n">
        <f aca="false">BP29+BV30</f>
        <v>29</v>
      </c>
      <c r="BQ30" s="206" t="s">
        <v>374</v>
      </c>
      <c r="BR30" s="201" t="s">
        <v>203</v>
      </c>
      <c r="BS30" s="132" t="s">
        <v>334</v>
      </c>
      <c r="BT30" s="209" t="s">
        <v>205</v>
      </c>
      <c r="BU30" s="209"/>
      <c r="BV30" s="132" t="n">
        <v>1</v>
      </c>
      <c r="BW30" s="201" t="s">
        <v>375</v>
      </c>
      <c r="BX30" s="0"/>
      <c r="BZ30" s="205" t="n">
        <f aca="false">BZ29+CF30</f>
        <v>29</v>
      </c>
      <c r="CA30" s="63" t="s">
        <v>376</v>
      </c>
      <c r="CB30" s="201" t="s">
        <v>207</v>
      </c>
      <c r="CC30" s="132" t="s">
        <v>204</v>
      </c>
      <c r="CD30" s="209" t="s">
        <v>205</v>
      </c>
      <c r="CE30" s="209"/>
      <c r="CF30" s="132" t="n">
        <v>1</v>
      </c>
      <c r="CG30" s="201" t="s">
        <v>377</v>
      </c>
      <c r="CH30" s="0"/>
    </row>
    <row r="31" customFormat="false" ht="12.75" hidden="false" customHeight="false" outlineLevel="0" collapsed="false">
      <c r="A31" s="242"/>
      <c r="B31" s="243" t="e">
        <f aca="false">NextMonth(B30)</f>
        <v>#VALUE!</v>
      </c>
      <c r="C31" s="193" t="n">
        <v>0.068439499762296</v>
      </c>
      <c r="D31" s="248" t="n">
        <v>0.5</v>
      </c>
      <c r="E31" s="248" t="n">
        <v>0.5</v>
      </c>
      <c r="F31" s="248" t="n">
        <v>0.2325</v>
      </c>
      <c r="G31" s="248" t="n">
        <v>0.24</v>
      </c>
      <c r="H31" s="248" t="n">
        <v>0.2475</v>
      </c>
      <c r="I31" s="244" t="n">
        <v>2.655</v>
      </c>
      <c r="J31" s="248" t="n">
        <v>2.66</v>
      </c>
      <c r="K31" s="193" t="n">
        <v>2.665</v>
      </c>
      <c r="L31" s="248" t="n">
        <v>-0.0575</v>
      </c>
      <c r="M31" s="193" t="n">
        <v>0.2525</v>
      </c>
      <c r="O31" s="189" t="e">
        <f aca="false">(IF(MONTH(B31)&gt;=4,IF(MONTH(B31)&lt;=10,Inputs!$H$2,Inputs!$H$3),Inputs!$H$3))</f>
        <v>#VALUE!</v>
      </c>
      <c r="P31" s="244" t="e">
        <f aca="false">J31+(IF($L$2=TRUE(),IF(MONTH(B31)&gt;=4,IF(MONTH(B31)&lt;=10,L31,M31),M31),0))+(IF('Pricing Inputs'!$AN$3=2,O31,0))</f>
        <v>#VALUE!</v>
      </c>
      <c r="Q31" s="244"/>
      <c r="R31" s="245" t="e">
        <f aca="false">B31</f>
        <v>#VALUE!</v>
      </c>
      <c r="S31" s="246" t="n">
        <f aca="false">T31-$S$16</f>
        <v>0.43</v>
      </c>
      <c r="T31" s="241" t="n">
        <f aca="false">D31</f>
        <v>0.5</v>
      </c>
      <c r="U31" s="247" t="n">
        <f aca="false">$U$16+T31</f>
        <v>0.57</v>
      </c>
      <c r="BP31" s="205" t="n">
        <f aca="false">BP30+BV31</f>
        <v>30</v>
      </c>
      <c r="BQ31" s="206" t="s">
        <v>378</v>
      </c>
      <c r="BR31" s="201" t="s">
        <v>203</v>
      </c>
      <c r="BS31" s="132" t="s">
        <v>334</v>
      </c>
      <c r="BT31" s="209" t="s">
        <v>205</v>
      </c>
      <c r="BU31" s="209"/>
      <c r="BV31" s="132" t="n">
        <v>1</v>
      </c>
      <c r="BW31" s="201" t="s">
        <v>379</v>
      </c>
      <c r="BX31" s="0"/>
      <c r="BZ31" s="205" t="n">
        <f aca="false">BZ30+CF31</f>
        <v>30</v>
      </c>
      <c r="CA31" s="63" t="s">
        <v>380</v>
      </c>
      <c r="CB31" s="201" t="s">
        <v>207</v>
      </c>
      <c r="CC31" s="132" t="s">
        <v>204</v>
      </c>
      <c r="CD31" s="209" t="s">
        <v>205</v>
      </c>
      <c r="CE31" s="209"/>
      <c r="CF31" s="132" t="n">
        <v>1</v>
      </c>
      <c r="CG31" s="201" t="s">
        <v>381</v>
      </c>
      <c r="CH31" s="0"/>
    </row>
    <row r="32" customFormat="false" ht="12.75" hidden="false" customHeight="false" outlineLevel="0" collapsed="false">
      <c r="A32" s="242"/>
      <c r="B32" s="243" t="e">
        <f aca="false">NextMonth(B31)</f>
        <v>#VALUE!</v>
      </c>
      <c r="C32" s="193" t="n">
        <v>0.068753696866555</v>
      </c>
      <c r="D32" s="248" t="n">
        <v>0.5</v>
      </c>
      <c r="E32" s="248" t="n">
        <v>0.5</v>
      </c>
      <c r="F32" s="248" t="n">
        <v>0.23</v>
      </c>
      <c r="G32" s="248" t="n">
        <v>0.2375</v>
      </c>
      <c r="H32" s="248" t="n">
        <v>0.245</v>
      </c>
      <c r="I32" s="244" t="n">
        <v>2.665</v>
      </c>
      <c r="J32" s="248" t="n">
        <v>2.67</v>
      </c>
      <c r="K32" s="193" t="n">
        <v>2.675</v>
      </c>
      <c r="L32" s="248" t="n">
        <v>-0.0575</v>
      </c>
      <c r="M32" s="193" t="n">
        <v>0.2575</v>
      </c>
      <c r="O32" s="189" t="e">
        <f aca="false">(IF(MONTH(B32)&gt;=4,IF(MONTH(B32)&lt;=10,Inputs!$H$2,Inputs!$H$3),Inputs!$H$3))</f>
        <v>#VALUE!</v>
      </c>
      <c r="P32" s="244" t="e">
        <f aca="false">J32+(IF($L$2=TRUE(),IF(MONTH(B32)&gt;=4,IF(MONTH(B32)&lt;=10,L32,M32),M32),0))+(IF('Pricing Inputs'!$AN$3=2,O32,0))</f>
        <v>#VALUE!</v>
      </c>
      <c r="Q32" s="244"/>
      <c r="R32" s="245" t="e">
        <f aca="false">B32</f>
        <v>#VALUE!</v>
      </c>
      <c r="S32" s="246" t="n">
        <f aca="false">T32-$S$16</f>
        <v>0.43</v>
      </c>
      <c r="T32" s="241" t="n">
        <f aca="false">D32</f>
        <v>0.5</v>
      </c>
      <c r="U32" s="247" t="n">
        <f aca="false">$U$16+T32</f>
        <v>0.57</v>
      </c>
      <c r="BP32" s="205" t="n">
        <f aca="false">BP31+BV32</f>
        <v>31</v>
      </c>
      <c r="BQ32" s="206" t="s">
        <v>382</v>
      </c>
      <c r="BR32" s="201" t="s">
        <v>203</v>
      </c>
      <c r="BS32" s="132" t="s">
        <v>334</v>
      </c>
      <c r="BT32" s="209" t="s">
        <v>205</v>
      </c>
      <c r="BU32" s="209"/>
      <c r="BV32" s="132" t="n">
        <v>1</v>
      </c>
      <c r="BW32" s="201" t="s">
        <v>383</v>
      </c>
      <c r="BX32" s="0"/>
      <c r="BZ32" s="205" t="n">
        <f aca="false">BZ31+CF32</f>
        <v>31</v>
      </c>
      <c r="CA32" s="63" t="s">
        <v>384</v>
      </c>
      <c r="CB32" s="201" t="s">
        <v>207</v>
      </c>
      <c r="CC32" s="132" t="s">
        <v>204</v>
      </c>
      <c r="CD32" s="209" t="s">
        <v>205</v>
      </c>
      <c r="CE32" s="209"/>
      <c r="CF32" s="132" t="n">
        <v>1</v>
      </c>
      <c r="CG32" s="201" t="s">
        <v>385</v>
      </c>
      <c r="CH32" s="0"/>
    </row>
    <row r="33" customFormat="false" ht="12.75" hidden="false" customHeight="false" outlineLevel="0" collapsed="false">
      <c r="A33" s="242"/>
      <c r="B33" s="243" t="e">
        <f aca="false">NextMonth(B32)</f>
        <v>#VALUE!</v>
      </c>
      <c r="C33" s="193" t="n">
        <v>0.069040994820188</v>
      </c>
      <c r="D33" s="248" t="n">
        <v>0.6</v>
      </c>
      <c r="E33" s="248" t="n">
        <v>0.6</v>
      </c>
      <c r="F33" s="248" t="n">
        <v>0.23</v>
      </c>
      <c r="G33" s="248" t="n">
        <v>0.2375</v>
      </c>
      <c r="H33" s="248" t="n">
        <v>0.245</v>
      </c>
      <c r="I33" s="244" t="n">
        <v>2.672</v>
      </c>
      <c r="J33" s="248" t="n">
        <v>2.677</v>
      </c>
      <c r="K33" s="193" t="n">
        <v>2.682</v>
      </c>
      <c r="L33" s="248" t="n">
        <v>-0.056875</v>
      </c>
      <c r="M33" s="193" t="n">
        <v>0.2575</v>
      </c>
      <c r="O33" s="189" t="e">
        <f aca="false">(IF(MONTH(B33)&gt;=4,IF(MONTH(B33)&lt;=10,Inputs!$H$2,Inputs!$H$3),Inputs!$H$3))</f>
        <v>#VALUE!</v>
      </c>
      <c r="P33" s="244" t="e">
        <f aca="false">J33+(IF($L$2=TRUE(),IF(MONTH(B33)&gt;=4,IF(MONTH(B33)&lt;=10,L33,M33),M33),0))+(IF('Pricing Inputs'!$AN$3=2,O33,0))</f>
        <v>#VALUE!</v>
      </c>
      <c r="Q33" s="244"/>
      <c r="R33" s="245" t="e">
        <f aca="false">B33</f>
        <v>#VALUE!</v>
      </c>
      <c r="S33" s="246" t="n">
        <f aca="false">T33-$S$16</f>
        <v>0.53</v>
      </c>
      <c r="T33" s="241" t="n">
        <f aca="false">D33</f>
        <v>0.6</v>
      </c>
      <c r="U33" s="247" t="n">
        <f aca="false">$U$16+T33</f>
        <v>0.67</v>
      </c>
      <c r="BP33" s="205" t="n">
        <f aca="false">BP32+BV33</f>
        <v>32</v>
      </c>
      <c r="BQ33" s="206" t="s">
        <v>386</v>
      </c>
      <c r="BR33" s="201" t="s">
        <v>203</v>
      </c>
      <c r="BS33" s="132" t="s">
        <v>334</v>
      </c>
      <c r="BT33" s="209" t="s">
        <v>205</v>
      </c>
      <c r="BU33" s="209"/>
      <c r="BV33" s="132" t="n">
        <v>1</v>
      </c>
      <c r="BW33" s="201" t="s">
        <v>387</v>
      </c>
      <c r="BX33" s="0"/>
      <c r="BZ33" s="205" t="n">
        <f aca="false">BZ32+CF33</f>
        <v>32</v>
      </c>
      <c r="CA33" s="63" t="s">
        <v>388</v>
      </c>
      <c r="CB33" s="201" t="s">
        <v>207</v>
      </c>
      <c r="CC33" s="132" t="s">
        <v>204</v>
      </c>
      <c r="CD33" s="209" t="s">
        <v>205</v>
      </c>
      <c r="CE33" s="209"/>
      <c r="CF33" s="132" t="n">
        <v>1</v>
      </c>
      <c r="CG33" s="201" t="s">
        <v>389</v>
      </c>
      <c r="CH33" s="0"/>
    </row>
    <row r="34" customFormat="false" ht="12.75" hidden="false" customHeight="false" outlineLevel="0" collapsed="false">
      <c r="A34" s="242"/>
      <c r="B34" s="243" t="e">
        <f aca="false">NextMonth(B33)</f>
        <v>#VALUE!</v>
      </c>
      <c r="C34" s="193" t="n">
        <v>0.069328292801127</v>
      </c>
      <c r="D34" s="248" t="n">
        <v>0.6</v>
      </c>
      <c r="E34" s="248" t="n">
        <v>0.6</v>
      </c>
      <c r="F34" s="248" t="n">
        <v>0.23</v>
      </c>
      <c r="G34" s="248" t="n">
        <v>0.2375</v>
      </c>
      <c r="H34" s="248" t="n">
        <v>0.245</v>
      </c>
      <c r="I34" s="244" t="n">
        <v>2.68</v>
      </c>
      <c r="J34" s="248" t="n">
        <v>2.685</v>
      </c>
      <c r="K34" s="193" t="n">
        <v>2.69</v>
      </c>
      <c r="L34" s="248" t="n">
        <v>-0.059375</v>
      </c>
      <c r="M34" s="193" t="n">
        <v>0.2525</v>
      </c>
      <c r="O34" s="189" t="e">
        <f aca="false">(IF(MONTH(B34)&gt;=4,IF(MONTH(B34)&lt;=10,Inputs!$H$2,Inputs!$H$3),Inputs!$H$3))</f>
        <v>#VALUE!</v>
      </c>
      <c r="P34" s="244" t="e">
        <f aca="false">J34+(IF($L$2=TRUE(),IF(MONTH(B34)&gt;=4,IF(MONTH(B34)&lt;=10,L34,M34),M34),0))+(IF('Pricing Inputs'!$AN$3=2,O34,0))</f>
        <v>#VALUE!</v>
      </c>
      <c r="Q34" s="244"/>
      <c r="R34" s="245" t="e">
        <f aca="false">B34</f>
        <v>#VALUE!</v>
      </c>
      <c r="S34" s="246" t="n">
        <f aca="false">T34-$S$16</f>
        <v>0.53</v>
      </c>
      <c r="T34" s="241" t="n">
        <f aca="false">D34</f>
        <v>0.6</v>
      </c>
      <c r="U34" s="247" t="n">
        <f aca="false">$U$16+T34</f>
        <v>0.67</v>
      </c>
      <c r="BP34" s="205" t="n">
        <f aca="false">BP33+BV34</f>
        <v>33</v>
      </c>
      <c r="BQ34" s="206" t="s">
        <v>390</v>
      </c>
      <c r="BR34" s="201" t="s">
        <v>203</v>
      </c>
      <c r="BS34" s="132" t="s">
        <v>334</v>
      </c>
      <c r="BT34" s="209" t="s">
        <v>205</v>
      </c>
      <c r="BU34" s="209"/>
      <c r="BV34" s="132" t="n">
        <v>1</v>
      </c>
      <c r="BW34" s="201" t="s">
        <v>391</v>
      </c>
      <c r="BX34" s="0"/>
      <c r="BZ34" s="205" t="n">
        <f aca="false">BZ33+CF34</f>
        <v>33</v>
      </c>
      <c r="CA34" s="63" t="s">
        <v>392</v>
      </c>
      <c r="CB34" s="201" t="s">
        <v>207</v>
      </c>
      <c r="CC34" s="132" t="s">
        <v>204</v>
      </c>
      <c r="CD34" s="209" t="s">
        <v>205</v>
      </c>
      <c r="CE34" s="209"/>
      <c r="CF34" s="132" t="n">
        <v>1</v>
      </c>
      <c r="CG34" s="201" t="s">
        <v>393</v>
      </c>
      <c r="CH34" s="0"/>
    </row>
    <row r="35" customFormat="false" ht="12.75" hidden="false" customHeight="false" outlineLevel="0" collapsed="false">
      <c r="A35" s="242"/>
      <c r="B35" s="243" t="e">
        <f aca="false">NextMonth(B34)</f>
        <v>#VALUE!</v>
      </c>
      <c r="C35" s="193" t="n">
        <v>0.06958461419197</v>
      </c>
      <c r="D35" s="248" t="n">
        <v>0.65</v>
      </c>
      <c r="E35" s="248" t="n">
        <v>0.65</v>
      </c>
      <c r="F35" s="248" t="n">
        <v>0.2325</v>
      </c>
      <c r="G35" s="248" t="n">
        <v>0.24</v>
      </c>
      <c r="H35" s="248" t="n">
        <v>0.2475</v>
      </c>
      <c r="I35" s="244" t="n">
        <v>2.716</v>
      </c>
      <c r="J35" s="248" t="n">
        <v>2.721</v>
      </c>
      <c r="K35" s="193" t="n">
        <v>2.726</v>
      </c>
      <c r="L35" s="248" t="n">
        <v>-0.059375</v>
      </c>
      <c r="M35" s="193" t="n">
        <v>0.255</v>
      </c>
      <c r="O35" s="189" t="e">
        <f aca="false">(IF(MONTH(B35)&gt;=4,IF(MONTH(B35)&lt;=10,Inputs!$H$2,Inputs!$H$3),Inputs!$H$3))</f>
        <v>#VALUE!</v>
      </c>
      <c r="P35" s="244" t="e">
        <f aca="false">J35+(IF($L$2=TRUE(),IF(MONTH(B35)&gt;=4,IF(MONTH(B35)&lt;=10,L35,M35),M35),0))+(IF('Pricing Inputs'!$AN$3=2,O35,0))</f>
        <v>#VALUE!</v>
      </c>
      <c r="Q35" s="244"/>
      <c r="R35" s="245" t="e">
        <f aca="false">B35</f>
        <v>#VALUE!</v>
      </c>
      <c r="S35" s="246" t="n">
        <f aca="false">T35-$S$16</f>
        <v>0.58</v>
      </c>
      <c r="T35" s="241" t="n">
        <f aca="false">D35</f>
        <v>0.65</v>
      </c>
      <c r="U35" s="247" t="n">
        <f aca="false">$U$16+T35</f>
        <v>0.72</v>
      </c>
      <c r="BP35" s="205" t="n">
        <f aca="false">BP34+BV35</f>
        <v>34</v>
      </c>
      <c r="BQ35" s="206" t="s">
        <v>394</v>
      </c>
      <c r="BR35" s="201" t="s">
        <v>203</v>
      </c>
      <c r="BS35" s="132" t="s">
        <v>334</v>
      </c>
      <c r="BT35" s="209" t="s">
        <v>205</v>
      </c>
      <c r="BU35" s="209"/>
      <c r="BV35" s="132" t="n">
        <v>1</v>
      </c>
      <c r="BW35" s="201" t="s">
        <v>395</v>
      </c>
      <c r="BX35" s="0"/>
      <c r="BZ35" s="205" t="n">
        <f aca="false">BZ34+CF35</f>
        <v>34</v>
      </c>
      <c r="CA35" s="63" t="s">
        <v>396</v>
      </c>
      <c r="CB35" s="201" t="s">
        <v>207</v>
      </c>
      <c r="CC35" s="132" t="s">
        <v>204</v>
      </c>
      <c r="CD35" s="209" t="s">
        <v>205</v>
      </c>
      <c r="CE35" s="209"/>
      <c r="CF35" s="132" t="n">
        <v>1</v>
      </c>
      <c r="CG35" s="201" t="s">
        <v>397</v>
      </c>
      <c r="CH35" s="0"/>
    </row>
    <row r="36" customFormat="false" ht="12.75" hidden="false" customHeight="false" outlineLevel="0" collapsed="false">
      <c r="A36" s="242"/>
      <c r="B36" s="243" t="e">
        <f aca="false">NextMonth(B35)</f>
        <v>#VALUE!</v>
      </c>
      <c r="C36" s="193" t="n">
        <v>0.069813795169925</v>
      </c>
      <c r="D36" s="248" t="n">
        <v>0.95</v>
      </c>
      <c r="E36" s="248" t="n">
        <v>0.95</v>
      </c>
      <c r="F36" s="248" t="n">
        <v>0.2325</v>
      </c>
      <c r="G36" s="248" t="n">
        <v>0.24</v>
      </c>
      <c r="H36" s="248" t="n">
        <v>0.2475</v>
      </c>
      <c r="I36" s="244" t="n">
        <v>2.839</v>
      </c>
      <c r="J36" s="248" t="n">
        <v>2.844</v>
      </c>
      <c r="K36" s="193" t="n">
        <v>2.849</v>
      </c>
      <c r="L36" s="248" t="n">
        <v>-0.068125</v>
      </c>
      <c r="M36" s="193" t="n">
        <v>0.7</v>
      </c>
      <c r="O36" s="189" t="e">
        <f aca="false">(IF(MONTH(B36)&gt;=4,IF(MONTH(B36)&lt;=10,Inputs!$H$2,Inputs!$H$3),Inputs!$H$3))</f>
        <v>#VALUE!</v>
      </c>
      <c r="P36" s="244" t="e">
        <f aca="false">J36+(IF($L$2=TRUE(),IF(MONTH(B36)&gt;=4,IF(MONTH(B36)&lt;=10,L36,M36),M36),0))+(IF('Pricing Inputs'!$AN$3=2,O36,0))</f>
        <v>#VALUE!</v>
      </c>
      <c r="Q36" s="244"/>
      <c r="R36" s="245" t="e">
        <f aca="false">B36</f>
        <v>#VALUE!</v>
      </c>
      <c r="S36" s="246" t="n">
        <f aca="false">T36-$S$16</f>
        <v>0.88</v>
      </c>
      <c r="T36" s="241" t="n">
        <f aca="false">D36</f>
        <v>0.95</v>
      </c>
      <c r="U36" s="247" t="n">
        <f aca="false">$U$16+T36</f>
        <v>1.02</v>
      </c>
      <c r="BP36" s="205" t="n">
        <f aca="false">BP35+BV36</f>
        <v>35</v>
      </c>
      <c r="BQ36" s="206" t="s">
        <v>398</v>
      </c>
      <c r="BR36" s="201" t="s">
        <v>203</v>
      </c>
      <c r="BS36" s="132" t="s">
        <v>334</v>
      </c>
      <c r="BT36" s="209" t="s">
        <v>205</v>
      </c>
      <c r="BU36" s="209"/>
      <c r="BV36" s="132" t="n">
        <v>1</v>
      </c>
      <c r="BW36" s="201" t="s">
        <v>399</v>
      </c>
      <c r="BX36" s="0"/>
      <c r="BZ36" s="205" t="n">
        <f aca="false">BZ35+CF36</f>
        <v>35</v>
      </c>
      <c r="CA36" s="63" t="s">
        <v>400</v>
      </c>
      <c r="CB36" s="201" t="s">
        <v>207</v>
      </c>
      <c r="CC36" s="132" t="s">
        <v>204</v>
      </c>
      <c r="CD36" s="209" t="s">
        <v>205</v>
      </c>
      <c r="CE36" s="209"/>
      <c r="CF36" s="132" t="n">
        <v>1</v>
      </c>
      <c r="CG36" s="201" t="s">
        <v>401</v>
      </c>
      <c r="CH36" s="0"/>
    </row>
    <row r="37" customFormat="false" ht="12.75" hidden="false" customHeight="false" outlineLevel="0" collapsed="false">
      <c r="A37" s="242"/>
      <c r="B37" s="243" t="e">
        <f aca="false">NextMonth(B36)</f>
        <v>#VALUE!</v>
      </c>
      <c r="C37" s="193" t="n">
        <v>0.070035583229645</v>
      </c>
      <c r="D37" s="248" t="n">
        <v>1.25</v>
      </c>
      <c r="E37" s="248" t="n">
        <v>1.25</v>
      </c>
      <c r="F37" s="248" t="n">
        <v>0.235</v>
      </c>
      <c r="G37" s="248" t="n">
        <v>0.2425</v>
      </c>
      <c r="H37" s="248" t="n">
        <v>0.25</v>
      </c>
      <c r="I37" s="244" t="n">
        <v>2.969</v>
      </c>
      <c r="J37" s="248" t="n">
        <v>2.974</v>
      </c>
      <c r="K37" s="193" t="n">
        <v>2.979</v>
      </c>
      <c r="L37" s="248" t="n">
        <v>-0.07375</v>
      </c>
      <c r="M37" s="193" t="n">
        <v>1.05</v>
      </c>
      <c r="O37" s="189" t="e">
        <f aca="false">(IF(MONTH(B37)&gt;=4,IF(MONTH(B37)&lt;=10,Inputs!$H$2,Inputs!$H$3),Inputs!$H$3))</f>
        <v>#VALUE!</v>
      </c>
      <c r="P37" s="244" t="e">
        <f aca="false">J37+(IF($L$2=TRUE(),IF(MONTH(B37)&gt;=4,IF(MONTH(B37)&lt;=10,L37,M37),M37),0))+(IF('Pricing Inputs'!$AN$3=2,O37,0))</f>
        <v>#VALUE!</v>
      </c>
      <c r="Q37" s="244"/>
      <c r="R37" s="245" t="e">
        <f aca="false">B37</f>
        <v>#VALUE!</v>
      </c>
      <c r="S37" s="246" t="n">
        <f aca="false">T37-$S$16</f>
        <v>1.18</v>
      </c>
      <c r="T37" s="241" t="n">
        <f aca="false">D37</f>
        <v>1.25</v>
      </c>
      <c r="U37" s="247" t="n">
        <f aca="false">$U$16+T37</f>
        <v>1.32</v>
      </c>
      <c r="BP37" s="205" t="n">
        <f aca="false">BP36+BV37</f>
        <v>36</v>
      </c>
      <c r="BQ37" s="206" t="s">
        <v>402</v>
      </c>
      <c r="BR37" s="201" t="s">
        <v>203</v>
      </c>
      <c r="BS37" s="132" t="s">
        <v>334</v>
      </c>
      <c r="BT37" s="209" t="s">
        <v>205</v>
      </c>
      <c r="BU37" s="209"/>
      <c r="BV37" s="132" t="n">
        <v>1</v>
      </c>
      <c r="BW37" s="201" t="s">
        <v>403</v>
      </c>
      <c r="BX37" s="0"/>
      <c r="BZ37" s="205" t="n">
        <f aca="false">BZ36+CF37</f>
        <v>36</v>
      </c>
      <c r="CA37" s="63" t="s">
        <v>404</v>
      </c>
      <c r="CB37" s="201" t="s">
        <v>207</v>
      </c>
      <c r="CC37" s="132" t="s">
        <v>204</v>
      </c>
      <c r="CD37" s="209" t="s">
        <v>205</v>
      </c>
      <c r="CE37" s="209"/>
      <c r="CF37" s="132" t="n">
        <v>1</v>
      </c>
      <c r="CG37" s="201" t="s">
        <v>405</v>
      </c>
      <c r="CH37" s="0"/>
    </row>
    <row r="38" customFormat="false" ht="12.75" hidden="false" customHeight="false" outlineLevel="0" collapsed="false">
      <c r="A38" s="242"/>
      <c r="B38" s="243" t="e">
        <f aca="false">NextMonth(B37)</f>
        <v>#VALUE!</v>
      </c>
      <c r="C38" s="193" t="n">
        <v>0.070252861138367</v>
      </c>
      <c r="D38" s="248" t="n">
        <v>1.45</v>
      </c>
      <c r="E38" s="248" t="n">
        <v>1.45</v>
      </c>
      <c r="F38" s="248" t="n">
        <v>0.2375</v>
      </c>
      <c r="G38" s="248" t="n">
        <v>0.245</v>
      </c>
      <c r="H38" s="248" t="n">
        <v>0.2525</v>
      </c>
      <c r="I38" s="244" t="n">
        <v>3.001</v>
      </c>
      <c r="J38" s="248" t="n">
        <v>3.006</v>
      </c>
      <c r="K38" s="193" t="n">
        <v>3.011</v>
      </c>
      <c r="L38" s="248" t="n">
        <v>-0.074375</v>
      </c>
      <c r="M38" s="193" t="n">
        <v>1.4</v>
      </c>
      <c r="O38" s="189" t="e">
        <f aca="false">(IF(MONTH(B38)&gt;=4,IF(MONTH(B38)&lt;=10,Inputs!$H$2,Inputs!$H$3),Inputs!$H$3))</f>
        <v>#VALUE!</v>
      </c>
      <c r="P38" s="244" t="e">
        <f aca="false">J38+(IF($L$2=TRUE(),IF(MONTH(B38)&gt;=4,IF(MONTH(B38)&lt;=10,L38,M38),M38),0))+(IF('Pricing Inputs'!$AN$3=2,O38,0))</f>
        <v>#VALUE!</v>
      </c>
      <c r="Q38" s="244"/>
      <c r="R38" s="245" t="e">
        <f aca="false">B38</f>
        <v>#VALUE!</v>
      </c>
      <c r="S38" s="246" t="n">
        <f aca="false">T38-$S$16</f>
        <v>1.38</v>
      </c>
      <c r="T38" s="241" t="n">
        <f aca="false">D38</f>
        <v>1.45</v>
      </c>
      <c r="U38" s="247" t="n">
        <f aca="false">$U$16+T38</f>
        <v>1.52</v>
      </c>
      <c r="BP38" s="205" t="n">
        <f aca="false">BP37+BV38</f>
        <v>37</v>
      </c>
      <c r="BQ38" s="206" t="s">
        <v>406</v>
      </c>
      <c r="BR38" s="201" t="s">
        <v>203</v>
      </c>
      <c r="BS38" s="132" t="s">
        <v>334</v>
      </c>
      <c r="BT38" s="209" t="s">
        <v>205</v>
      </c>
      <c r="BU38" s="209"/>
      <c r="BV38" s="132" t="n">
        <v>1</v>
      </c>
      <c r="BW38" s="201" t="s">
        <v>407</v>
      </c>
      <c r="BX38" s="0"/>
      <c r="BZ38" s="205" t="n">
        <f aca="false">BZ37+CF38</f>
        <v>37</v>
      </c>
      <c r="CA38" s="63" t="s">
        <v>408</v>
      </c>
      <c r="CB38" s="201" t="s">
        <v>207</v>
      </c>
      <c r="CC38" s="132" t="s">
        <v>204</v>
      </c>
      <c r="CD38" s="209" t="s">
        <v>205</v>
      </c>
      <c r="CE38" s="209"/>
      <c r="CF38" s="132" t="n">
        <v>1</v>
      </c>
      <c r="CG38" s="201" t="s">
        <v>409</v>
      </c>
      <c r="CH38" s="0"/>
    </row>
    <row r="39" customFormat="false" ht="12.75" hidden="false" customHeight="false" outlineLevel="0" collapsed="false">
      <c r="A39" s="242"/>
      <c r="B39" s="243" t="e">
        <f aca="false">NextMonth(B38)</f>
        <v>#VALUE!</v>
      </c>
      <c r="C39" s="193" t="n">
        <v>0.070453657841486</v>
      </c>
      <c r="D39" s="248" t="n">
        <v>1.45</v>
      </c>
      <c r="E39" s="248" t="n">
        <v>1.45</v>
      </c>
      <c r="F39" s="248" t="n">
        <v>0.235</v>
      </c>
      <c r="G39" s="248" t="n">
        <v>0.2425</v>
      </c>
      <c r="H39" s="248" t="n">
        <v>0.25</v>
      </c>
      <c r="I39" s="244" t="n">
        <v>2.875</v>
      </c>
      <c r="J39" s="248" t="n">
        <v>2.88</v>
      </c>
      <c r="K39" s="193" t="n">
        <v>2.885</v>
      </c>
      <c r="L39" s="248" t="n">
        <v>-0.07</v>
      </c>
      <c r="M39" s="193" t="n">
        <v>1.36</v>
      </c>
      <c r="O39" s="189" t="e">
        <f aca="false">(IF(MONTH(B39)&gt;=4,IF(MONTH(B39)&lt;=10,Inputs!$H$2,Inputs!$H$3),Inputs!$H$3))</f>
        <v>#VALUE!</v>
      </c>
      <c r="P39" s="244" t="e">
        <f aca="false">J39+(IF($L$2=TRUE(),IF(MONTH(B39)&gt;=4,IF(MONTH(B39)&lt;=10,L39,M39),M39),0))+(IF('Pricing Inputs'!$AN$3=2,O39,0))</f>
        <v>#VALUE!</v>
      </c>
      <c r="Q39" s="244"/>
      <c r="R39" s="245" t="e">
        <f aca="false">B39</f>
        <v>#VALUE!</v>
      </c>
      <c r="S39" s="246" t="n">
        <f aca="false">T39-$S$16</f>
        <v>1.38</v>
      </c>
      <c r="T39" s="241" t="n">
        <f aca="false">D39</f>
        <v>1.45</v>
      </c>
      <c r="U39" s="247" t="n">
        <f aca="false">$U$16+T39</f>
        <v>1.52</v>
      </c>
      <c r="BP39" s="205" t="n">
        <f aca="false">BP38+BV39</f>
        <v>38</v>
      </c>
      <c r="BQ39" s="206" t="s">
        <v>410</v>
      </c>
      <c r="BR39" s="201" t="s">
        <v>203</v>
      </c>
      <c r="BS39" s="132" t="s">
        <v>334</v>
      </c>
      <c r="BT39" s="209" t="s">
        <v>205</v>
      </c>
      <c r="BU39" s="209"/>
      <c r="BV39" s="132" t="n">
        <v>1</v>
      </c>
      <c r="BW39" s="201" t="s">
        <v>411</v>
      </c>
      <c r="BX39" s="0"/>
      <c r="BZ39" s="205" t="n">
        <f aca="false">BZ38+CF39</f>
        <v>38</v>
      </c>
      <c r="CA39" s="63" t="s">
        <v>412</v>
      </c>
      <c r="CB39" s="201" t="s">
        <v>207</v>
      </c>
      <c r="CC39" s="132" t="s">
        <v>204</v>
      </c>
      <c r="CD39" s="209" t="s">
        <v>205</v>
      </c>
      <c r="CE39" s="209"/>
      <c r="CF39" s="132" t="n">
        <v>1</v>
      </c>
      <c r="CG39" s="201" t="s">
        <v>413</v>
      </c>
      <c r="CH39" s="0"/>
    </row>
    <row r="40" customFormat="false" ht="12.75" hidden="false" customHeight="false" outlineLevel="0" collapsed="false">
      <c r="A40" s="242"/>
      <c r="B40" s="243" t="e">
        <f aca="false">NextMonth(B39)</f>
        <v>#VALUE!</v>
      </c>
      <c r="C40" s="193" t="n">
        <v>0.070635022617049</v>
      </c>
      <c r="D40" s="248" t="n">
        <v>1</v>
      </c>
      <c r="E40" s="248" t="n">
        <v>1</v>
      </c>
      <c r="F40" s="248" t="n">
        <v>0.22</v>
      </c>
      <c r="G40" s="248" t="n">
        <v>0.2275</v>
      </c>
      <c r="H40" s="248" t="n">
        <v>0.235</v>
      </c>
      <c r="I40" s="244" t="n">
        <v>2.749</v>
      </c>
      <c r="J40" s="248" t="n">
        <v>2.754</v>
      </c>
      <c r="K40" s="193" t="n">
        <v>2.759</v>
      </c>
      <c r="L40" s="248" t="n">
        <v>-0.066875</v>
      </c>
      <c r="M40" s="193" t="n">
        <v>0.84</v>
      </c>
      <c r="O40" s="189" t="e">
        <f aca="false">(IF(MONTH(B40)&gt;=4,IF(MONTH(B40)&lt;=10,Inputs!$H$2,Inputs!$H$3),Inputs!$H$3))</f>
        <v>#VALUE!</v>
      </c>
      <c r="P40" s="244" t="e">
        <f aca="false">J40+(IF($L$2=TRUE(),IF(MONTH(B40)&gt;=4,IF(MONTH(B40)&lt;=10,L40,M40),M40),0))+(IF('Pricing Inputs'!$AN$3=2,O40,0))</f>
        <v>#VALUE!</v>
      </c>
      <c r="Q40" s="244"/>
      <c r="R40" s="245" t="e">
        <f aca="false">B40</f>
        <v>#VALUE!</v>
      </c>
      <c r="S40" s="246" t="n">
        <f aca="false">T40-$S$16</f>
        <v>0.93</v>
      </c>
      <c r="T40" s="241" t="n">
        <f aca="false">D40</f>
        <v>1</v>
      </c>
      <c r="U40" s="247" t="n">
        <f aca="false">$U$16+T40</f>
        <v>1.07</v>
      </c>
      <c r="BP40" s="205" t="n">
        <f aca="false">BP39+BV40</f>
        <v>39</v>
      </c>
      <c r="BQ40" s="206" t="s">
        <v>414</v>
      </c>
      <c r="BR40" s="201" t="s">
        <v>203</v>
      </c>
      <c r="BS40" s="132" t="s">
        <v>334</v>
      </c>
      <c r="BT40" s="209" t="s">
        <v>205</v>
      </c>
      <c r="BU40" s="209"/>
      <c r="BV40" s="132" t="n">
        <v>1</v>
      </c>
      <c r="BW40" s="201" t="s">
        <v>415</v>
      </c>
      <c r="BX40" s="0"/>
      <c r="BZ40" s="205" t="n">
        <f aca="false">BZ39+CF40</f>
        <v>39</v>
      </c>
      <c r="CA40" s="63" t="s">
        <v>416</v>
      </c>
      <c r="CB40" s="201" t="s">
        <v>207</v>
      </c>
      <c r="CC40" s="132" t="s">
        <v>204</v>
      </c>
      <c r="CD40" s="209" t="s">
        <v>205</v>
      </c>
      <c r="CE40" s="209"/>
      <c r="CF40" s="132" t="n">
        <v>1</v>
      </c>
      <c r="CG40" s="201" t="s">
        <v>417</v>
      </c>
      <c r="CH40" s="0"/>
    </row>
    <row r="41" customFormat="false" ht="12.75" hidden="false" customHeight="false" outlineLevel="0" collapsed="false">
      <c r="A41" s="242"/>
      <c r="B41" s="243" t="e">
        <f aca="false">NextMonth(B40)</f>
        <v>#VALUE!</v>
      </c>
      <c r="C41" s="193" t="n">
        <v>0.070812521572686</v>
      </c>
      <c r="D41" s="248" t="n">
        <v>0.45</v>
      </c>
      <c r="E41" s="248" t="n">
        <v>0.45</v>
      </c>
      <c r="F41" s="248" t="n">
        <v>0.18</v>
      </c>
      <c r="G41" s="248" t="n">
        <v>0.1875</v>
      </c>
      <c r="H41" s="248" t="n">
        <v>0.195</v>
      </c>
      <c r="I41" s="244" t="n">
        <v>2.65</v>
      </c>
      <c r="J41" s="248" t="n">
        <v>2.655</v>
      </c>
      <c r="K41" s="193" t="n">
        <v>2.66</v>
      </c>
      <c r="L41" s="248" t="n">
        <v>-0.06875</v>
      </c>
      <c r="M41" s="193" t="n">
        <v>0.37</v>
      </c>
      <c r="O41" s="189" t="e">
        <f aca="false">(IF(MONTH(B41)&gt;=4,IF(MONTH(B41)&lt;=10,Inputs!$H$2,Inputs!$H$3),Inputs!$H$3))</f>
        <v>#VALUE!</v>
      </c>
      <c r="P41" s="244" t="e">
        <f aca="false">J41+(IF($L$2=TRUE(),IF(MONTH(B41)&gt;=4,IF(MONTH(B41)&lt;=10,L41,M41),M41),0))+(IF('Pricing Inputs'!$AN$3=2,O41,0))</f>
        <v>#VALUE!</v>
      </c>
      <c r="Q41" s="244"/>
      <c r="R41" s="245" t="e">
        <f aca="false">B41</f>
        <v>#VALUE!</v>
      </c>
      <c r="S41" s="246" t="n">
        <f aca="false">T41-$S$16</f>
        <v>0.38</v>
      </c>
      <c r="T41" s="241" t="n">
        <f aca="false">D41</f>
        <v>0.45</v>
      </c>
      <c r="U41" s="247" t="n">
        <f aca="false">$U$16+T41</f>
        <v>0.52</v>
      </c>
      <c r="BP41" s="205" t="n">
        <f aca="false">BP40+BV41</f>
        <v>40</v>
      </c>
      <c r="BQ41" s="206" t="s">
        <v>418</v>
      </c>
      <c r="BR41" s="201" t="s">
        <v>203</v>
      </c>
      <c r="BS41" s="132" t="s">
        <v>334</v>
      </c>
      <c r="BT41" s="209" t="s">
        <v>205</v>
      </c>
      <c r="BU41" s="209"/>
      <c r="BV41" s="132" t="n">
        <v>1</v>
      </c>
      <c r="BW41" s="201" t="s">
        <v>419</v>
      </c>
      <c r="BX41" s="0"/>
      <c r="BZ41" s="205" t="n">
        <f aca="false">BZ40+CF41</f>
        <v>40</v>
      </c>
      <c r="CA41" s="63" t="s">
        <v>420</v>
      </c>
      <c r="CB41" s="201" t="s">
        <v>207</v>
      </c>
      <c r="CC41" s="132" t="s">
        <v>204</v>
      </c>
      <c r="CD41" s="209" t="s">
        <v>205</v>
      </c>
      <c r="CE41" s="209"/>
      <c r="CF41" s="132" t="n">
        <v>1</v>
      </c>
      <c r="CG41" s="201" t="s">
        <v>421</v>
      </c>
      <c r="CH41" s="0"/>
    </row>
    <row r="42" customFormat="false" ht="12.75" hidden="false" customHeight="false" outlineLevel="0" collapsed="false">
      <c r="A42" s="242"/>
      <c r="B42" s="243" t="e">
        <f aca="false">NextMonth(B41)</f>
        <v>#VALUE!</v>
      </c>
      <c r="C42" s="193" t="n">
        <v>0.070949656842765</v>
      </c>
      <c r="D42" s="248" t="n">
        <v>0.5</v>
      </c>
      <c r="E42" s="248" t="n">
        <v>0.5</v>
      </c>
      <c r="F42" s="248" t="n">
        <v>0.1775</v>
      </c>
      <c r="G42" s="248" t="n">
        <v>0.185</v>
      </c>
      <c r="H42" s="248" t="n">
        <v>0.1925</v>
      </c>
      <c r="I42" s="244" t="n">
        <v>2.624</v>
      </c>
      <c r="J42" s="248" t="n">
        <v>2.629</v>
      </c>
      <c r="K42" s="193" t="n">
        <v>2.634</v>
      </c>
      <c r="L42" s="248" t="n">
        <v>-0.0675</v>
      </c>
      <c r="M42" s="193" t="n">
        <v>0.2525</v>
      </c>
      <c r="O42" s="189" t="e">
        <f aca="false">(IF(MONTH(B42)&gt;=4,IF(MONTH(B42)&lt;=10,Inputs!$H$2,Inputs!$H$3),Inputs!$H$3))</f>
        <v>#VALUE!</v>
      </c>
      <c r="P42" s="244" t="e">
        <f aca="false">J42+(IF($L$2=TRUE(),IF(MONTH(B42)&gt;=4,IF(MONTH(B42)&lt;=10,L42,M42),M42),0))+(IF('Pricing Inputs'!$AN$3=2,O42,0))</f>
        <v>#VALUE!</v>
      </c>
      <c r="Q42" s="244"/>
      <c r="R42" s="245" t="e">
        <f aca="false">B42</f>
        <v>#VALUE!</v>
      </c>
      <c r="S42" s="246" t="n">
        <f aca="false">T42-$S$16</f>
        <v>0.43</v>
      </c>
      <c r="T42" s="241" t="n">
        <f aca="false">D42</f>
        <v>0.5</v>
      </c>
      <c r="U42" s="247" t="n">
        <f aca="false">$U$16+T42</f>
        <v>0.57</v>
      </c>
      <c r="BP42" s="205" t="n">
        <f aca="false">BP41+BV42</f>
        <v>41</v>
      </c>
      <c r="BQ42" s="206" t="s">
        <v>422</v>
      </c>
      <c r="BR42" s="201" t="s">
        <v>203</v>
      </c>
      <c r="BS42" s="132" t="s">
        <v>334</v>
      </c>
      <c r="BT42" s="209" t="s">
        <v>205</v>
      </c>
      <c r="BU42" s="209"/>
      <c r="BV42" s="132" t="n">
        <v>1</v>
      </c>
      <c r="BW42" s="201" t="s">
        <v>423</v>
      </c>
      <c r="BX42" s="0"/>
      <c r="BZ42" s="205" t="n">
        <f aca="false">BZ41+CF42</f>
        <v>41</v>
      </c>
      <c r="CA42" s="63" t="s">
        <v>424</v>
      </c>
      <c r="CB42" s="201" t="s">
        <v>207</v>
      </c>
      <c r="CC42" s="132" t="s">
        <v>204</v>
      </c>
      <c r="CD42" s="209" t="s">
        <v>205</v>
      </c>
      <c r="CE42" s="209"/>
      <c r="CF42" s="132" t="n">
        <v>1</v>
      </c>
      <c r="CG42" s="201" t="s">
        <v>425</v>
      </c>
      <c r="CH42" s="0"/>
    </row>
    <row r="43" customFormat="false" ht="12.75" hidden="false" customHeight="false" outlineLevel="0" collapsed="false">
      <c r="A43" s="242"/>
      <c r="B43" s="192" t="e">
        <f aca="false">NextMonth(B42)</f>
        <v>#VALUE!</v>
      </c>
      <c r="C43" s="193" t="n">
        <v>0.071091363295042</v>
      </c>
      <c r="D43" s="248" t="n">
        <v>0.5</v>
      </c>
      <c r="E43" s="248" t="n">
        <v>0.5</v>
      </c>
      <c r="F43" s="248" t="n">
        <v>0.1765</v>
      </c>
      <c r="G43" s="248" t="n">
        <v>0.184</v>
      </c>
      <c r="H43" s="248" t="n">
        <v>0.1915</v>
      </c>
      <c r="I43" s="244" t="n">
        <v>2.63</v>
      </c>
      <c r="J43" s="248" t="n">
        <v>2.635</v>
      </c>
      <c r="K43" s="193" t="n">
        <v>2.64</v>
      </c>
      <c r="L43" s="248" t="n">
        <v>-0.0675</v>
      </c>
      <c r="M43" s="193" t="n">
        <v>0.2525</v>
      </c>
      <c r="O43" s="189" t="e">
        <f aca="false">(IF(MONTH(B43)&gt;=4,IF(MONTH(B43)&lt;=10,Inputs!$H$2,Inputs!$H$3),Inputs!$H$3))</f>
        <v>#VALUE!</v>
      </c>
      <c r="P43" s="244" t="e">
        <f aca="false">J43+(IF($L$2=TRUE(),IF(MONTH(B43)&gt;=4,IF(MONTH(B43)&lt;=10,L43,M43),M43),0))+(IF('Pricing Inputs'!$AN$3=2,O43,0))</f>
        <v>#VALUE!</v>
      </c>
      <c r="Q43" s="244"/>
      <c r="R43" s="245" t="e">
        <f aca="false">B43</f>
        <v>#VALUE!</v>
      </c>
      <c r="S43" s="246" t="n">
        <f aca="false">T43-$S$16</f>
        <v>0.43</v>
      </c>
      <c r="T43" s="241" t="n">
        <f aca="false">D43</f>
        <v>0.5</v>
      </c>
      <c r="U43" s="247" t="n">
        <f aca="false">$U$16+T43</f>
        <v>0.57</v>
      </c>
      <c r="BP43" s="205" t="n">
        <f aca="false">BP42+BV43</f>
        <v>42</v>
      </c>
      <c r="BQ43" s="206" t="s">
        <v>426</v>
      </c>
      <c r="BR43" s="201" t="s">
        <v>203</v>
      </c>
      <c r="BS43" s="132" t="s">
        <v>334</v>
      </c>
      <c r="BT43" s="209" t="s">
        <v>205</v>
      </c>
      <c r="BU43" s="209"/>
      <c r="BV43" s="132" t="n">
        <v>1</v>
      </c>
      <c r="BW43" s="201" t="s">
        <v>427</v>
      </c>
      <c r="BX43" s="0"/>
      <c r="BZ43" s="205" t="n">
        <f aca="false">BZ42+CF43</f>
        <v>42</v>
      </c>
      <c r="CA43" s="63" t="s">
        <v>428</v>
      </c>
      <c r="CB43" s="201" t="s">
        <v>207</v>
      </c>
      <c r="CC43" s="132" t="s">
        <v>204</v>
      </c>
      <c r="CD43" s="209" t="s">
        <v>205</v>
      </c>
      <c r="CE43" s="209"/>
      <c r="CF43" s="132" t="n">
        <v>1</v>
      </c>
      <c r="CG43" s="201" t="s">
        <v>429</v>
      </c>
      <c r="CH43" s="0"/>
    </row>
    <row r="44" customFormat="false" ht="12.75" hidden="false" customHeight="false" outlineLevel="0" collapsed="false">
      <c r="A44" s="242"/>
      <c r="B44" s="192" t="e">
        <f aca="false">NextMonth(B43)</f>
        <v>#VALUE!</v>
      </c>
      <c r="C44" s="193" t="n">
        <v>0.071217617269914</v>
      </c>
      <c r="D44" s="248" t="n">
        <v>0.5</v>
      </c>
      <c r="E44" s="248" t="n">
        <v>0.5</v>
      </c>
      <c r="F44" s="248" t="n">
        <v>0.1755</v>
      </c>
      <c r="G44" s="248" t="n">
        <v>0.183</v>
      </c>
      <c r="H44" s="248" t="n">
        <v>0.1905</v>
      </c>
      <c r="I44" s="244" t="n">
        <v>2.64</v>
      </c>
      <c r="J44" s="248" t="n">
        <v>2.645</v>
      </c>
      <c r="K44" s="193" t="n">
        <v>2.65</v>
      </c>
      <c r="L44" s="248" t="n">
        <v>-0.066875</v>
      </c>
      <c r="M44" s="193" t="n">
        <v>0.2575</v>
      </c>
      <c r="O44" s="189" t="e">
        <f aca="false">(IF(MONTH(B44)&gt;=4,IF(MONTH(B44)&lt;=10,Inputs!$H$2,Inputs!$H$3),Inputs!$H$3))</f>
        <v>#VALUE!</v>
      </c>
      <c r="P44" s="244" t="e">
        <f aca="false">J44+(IF($L$2=TRUE(),IF(MONTH(B44)&gt;=4,IF(MONTH(B44)&lt;=10,L44,M44),M44),0))+(IF('Pricing Inputs'!$AN$3=2,O44,0))</f>
        <v>#VALUE!</v>
      </c>
      <c r="Q44" s="244"/>
      <c r="R44" s="245" t="e">
        <f aca="false">B44</f>
        <v>#VALUE!</v>
      </c>
      <c r="S44" s="246" t="n">
        <f aca="false">T44-$S$16</f>
        <v>0.43</v>
      </c>
      <c r="T44" s="241" t="n">
        <f aca="false">D44</f>
        <v>0.5</v>
      </c>
      <c r="U44" s="247" t="n">
        <f aca="false">$U$16+T44</f>
        <v>0.57</v>
      </c>
      <c r="BP44" s="205" t="n">
        <f aca="false">BP43+BV44</f>
        <v>43</v>
      </c>
      <c r="BQ44" s="206" t="s">
        <v>430</v>
      </c>
      <c r="BR44" s="201" t="s">
        <v>203</v>
      </c>
      <c r="BS44" s="132" t="s">
        <v>334</v>
      </c>
      <c r="BT44" s="209" t="s">
        <v>205</v>
      </c>
      <c r="BU44" s="209"/>
      <c r="BV44" s="132" t="n">
        <v>1</v>
      </c>
      <c r="BW44" s="201" t="s">
        <v>431</v>
      </c>
      <c r="BX44" s="0"/>
      <c r="BZ44" s="205" t="n">
        <f aca="false">BZ43+CF44</f>
        <v>43</v>
      </c>
      <c r="CA44" s="63" t="s">
        <v>432</v>
      </c>
      <c r="CB44" s="201" t="s">
        <v>207</v>
      </c>
      <c r="CC44" s="132" t="s">
        <v>204</v>
      </c>
      <c r="CD44" s="209" t="s">
        <v>205</v>
      </c>
      <c r="CE44" s="209"/>
      <c r="CF44" s="132" t="n">
        <v>1</v>
      </c>
      <c r="CG44" s="201" t="s">
        <v>433</v>
      </c>
      <c r="CH44" s="0"/>
    </row>
    <row r="45" customFormat="false" ht="12.75" hidden="false" customHeight="false" outlineLevel="0" collapsed="false">
      <c r="A45" s="242"/>
      <c r="B45" s="192" t="e">
        <f aca="false">NextMonth(B44)</f>
        <v>#VALUE!</v>
      </c>
      <c r="C45" s="193" t="n">
        <v>0.071330136209252</v>
      </c>
      <c r="D45" s="248" t="n">
        <v>0.6</v>
      </c>
      <c r="E45" s="248" t="n">
        <v>0.6</v>
      </c>
      <c r="F45" s="248" t="n">
        <v>0.1745</v>
      </c>
      <c r="G45" s="248" t="n">
        <v>0.182</v>
      </c>
      <c r="H45" s="248" t="n">
        <v>0.1895</v>
      </c>
      <c r="I45" s="244" t="n">
        <v>2.647</v>
      </c>
      <c r="J45" s="248" t="n">
        <v>2.652</v>
      </c>
      <c r="K45" s="193" t="n">
        <v>2.657</v>
      </c>
      <c r="L45" s="248" t="n">
        <v>-0.066875</v>
      </c>
      <c r="M45" s="193" t="n">
        <v>0.2575</v>
      </c>
      <c r="O45" s="189" t="e">
        <f aca="false">(IF(MONTH(B45)&gt;=4,IF(MONTH(B45)&lt;=10,Inputs!$H$2,Inputs!$H$3),Inputs!$H$3))</f>
        <v>#VALUE!</v>
      </c>
      <c r="P45" s="244" t="e">
        <f aca="false">J45+(IF($L$2=TRUE(),IF(MONTH(B45)&gt;=4,IF(MONTH(B45)&lt;=10,L45,M45),M45),0))+(IF('Pricing Inputs'!$AN$3=2,O45,0))</f>
        <v>#VALUE!</v>
      </c>
      <c r="Q45" s="244"/>
      <c r="R45" s="245" t="e">
        <f aca="false">B45</f>
        <v>#VALUE!</v>
      </c>
      <c r="S45" s="246" t="n">
        <f aca="false">T45-$S$16</f>
        <v>0.53</v>
      </c>
      <c r="T45" s="241" t="n">
        <f aca="false">D45</f>
        <v>0.6</v>
      </c>
      <c r="U45" s="247" t="n">
        <f aca="false">$U$16+T45</f>
        <v>0.67</v>
      </c>
      <c r="BP45" s="205" t="n">
        <f aca="false">BP44+BV45</f>
        <v>44</v>
      </c>
      <c r="BQ45" s="206" t="s">
        <v>331</v>
      </c>
      <c r="BR45" s="201" t="s">
        <v>203</v>
      </c>
      <c r="BS45" s="132" t="s">
        <v>204</v>
      </c>
      <c r="BT45" s="209" t="s">
        <v>205</v>
      </c>
      <c r="BU45" s="209"/>
      <c r="BV45" s="132" t="n">
        <v>1</v>
      </c>
      <c r="BW45" s="201" t="s">
        <v>434</v>
      </c>
      <c r="BX45" s="0"/>
      <c r="BZ45" s="205" t="n">
        <f aca="false">BZ44+CF45</f>
        <v>44</v>
      </c>
      <c r="CA45" s="63" t="s">
        <v>435</v>
      </c>
      <c r="CB45" s="201" t="s">
        <v>207</v>
      </c>
      <c r="CC45" s="132" t="s">
        <v>204</v>
      </c>
      <c r="CD45" s="209" t="s">
        <v>205</v>
      </c>
      <c r="CE45" s="209"/>
      <c r="CF45" s="132" t="n">
        <v>1</v>
      </c>
      <c r="CG45" s="201" t="s">
        <v>436</v>
      </c>
      <c r="CH45" s="0"/>
    </row>
    <row r="46" customFormat="false" ht="12.75" hidden="false" customHeight="false" outlineLevel="0" collapsed="false">
      <c r="A46" s="242"/>
      <c r="B46" s="192" t="e">
        <f aca="false">NextMonth(B45)</f>
        <v>#VALUE!</v>
      </c>
      <c r="C46" s="193" t="n">
        <v>0.071442655152774</v>
      </c>
      <c r="D46" s="248" t="n">
        <v>0.6</v>
      </c>
      <c r="E46" s="248" t="n">
        <v>0.6</v>
      </c>
      <c r="F46" s="248" t="n">
        <v>0.1735</v>
      </c>
      <c r="G46" s="248" t="n">
        <v>0.181</v>
      </c>
      <c r="H46" s="248" t="n">
        <v>0.1885</v>
      </c>
      <c r="I46" s="244" t="n">
        <v>2.654</v>
      </c>
      <c r="J46" s="248" t="n">
        <v>2.659</v>
      </c>
      <c r="K46" s="193" t="n">
        <v>2.664</v>
      </c>
      <c r="L46" s="248" t="n">
        <v>-0.0675</v>
      </c>
      <c r="M46" s="193" t="n">
        <v>0.2525</v>
      </c>
      <c r="O46" s="189" t="e">
        <f aca="false">(IF(MONTH(B46)&gt;=4,IF(MONTH(B46)&lt;=10,Inputs!$H$2,Inputs!$H$3),Inputs!$H$3))</f>
        <v>#VALUE!</v>
      </c>
      <c r="P46" s="244" t="e">
        <f aca="false">J46+(IF($L$2=TRUE(),IF(MONTH(B46)&gt;=4,IF(MONTH(B46)&lt;=10,L46,M46),M46),0))+(IF('Pricing Inputs'!$AN$3=2,O46,0))</f>
        <v>#VALUE!</v>
      </c>
      <c r="Q46" s="244"/>
      <c r="R46" s="245" t="e">
        <f aca="false">B46</f>
        <v>#VALUE!</v>
      </c>
      <c r="S46" s="246" t="n">
        <f aca="false">T46-$S$16</f>
        <v>0.53</v>
      </c>
      <c r="T46" s="241" t="n">
        <f aca="false">D46</f>
        <v>0.6</v>
      </c>
      <c r="U46" s="247" t="n">
        <f aca="false">$U$16+T46</f>
        <v>0.67</v>
      </c>
      <c r="BP46" s="205" t="n">
        <f aca="false">BP45+BV46</f>
        <v>45</v>
      </c>
      <c r="BQ46" s="206" t="s">
        <v>331</v>
      </c>
      <c r="BR46" s="201" t="s">
        <v>203</v>
      </c>
      <c r="BS46" s="132" t="s">
        <v>334</v>
      </c>
      <c r="BT46" s="209" t="s">
        <v>205</v>
      </c>
      <c r="BU46" s="209"/>
      <c r="BV46" s="132" t="n">
        <v>1</v>
      </c>
      <c r="BW46" s="201" t="s">
        <v>437</v>
      </c>
      <c r="BX46" s="0"/>
      <c r="BZ46" s="205" t="n">
        <f aca="false">BZ45+CF46</f>
        <v>45</v>
      </c>
      <c r="CA46" s="63" t="s">
        <v>438</v>
      </c>
      <c r="CB46" s="201" t="s">
        <v>207</v>
      </c>
      <c r="CC46" s="132" t="s">
        <v>204</v>
      </c>
      <c r="CD46" s="209" t="s">
        <v>205</v>
      </c>
      <c r="CE46" s="209"/>
      <c r="CF46" s="132" t="n">
        <v>1</v>
      </c>
      <c r="CG46" s="201" t="s">
        <v>439</v>
      </c>
      <c r="CH46" s="0"/>
    </row>
    <row r="47" customFormat="false" ht="12.75" hidden="false" customHeight="false" outlineLevel="0" collapsed="false">
      <c r="A47" s="242"/>
      <c r="B47" s="192" t="e">
        <f aca="false">NextMonth(B46)</f>
        <v>#VALUE!</v>
      </c>
      <c r="C47" s="193" t="n">
        <v>0.071542259185125</v>
      </c>
      <c r="D47" s="248" t="n">
        <v>0.65</v>
      </c>
      <c r="E47" s="248" t="n">
        <v>0.65</v>
      </c>
      <c r="F47" s="248" t="n">
        <v>0.1735</v>
      </c>
      <c r="G47" s="248" t="n">
        <v>0.181</v>
      </c>
      <c r="H47" s="248" t="n">
        <v>0.1885</v>
      </c>
      <c r="I47" s="244" t="n">
        <v>2.68</v>
      </c>
      <c r="J47" s="248" t="n">
        <v>2.685</v>
      </c>
      <c r="K47" s="193" t="n">
        <v>2.69</v>
      </c>
      <c r="L47" s="248" t="n">
        <v>-0.0675</v>
      </c>
      <c r="M47" s="193" t="n">
        <v>0.255</v>
      </c>
      <c r="O47" s="189" t="e">
        <f aca="false">(IF(MONTH(B47)&gt;=4,IF(MONTH(B47)&lt;=10,Inputs!$H$2,Inputs!$H$3),Inputs!$H$3))</f>
        <v>#VALUE!</v>
      </c>
      <c r="P47" s="244" t="e">
        <f aca="false">J47+(IF($L$2=TRUE(),IF(MONTH(B47)&gt;=4,IF(MONTH(B47)&lt;=10,L47,M47),M47),0))+(IF('Pricing Inputs'!$AN$3=2,O47,0))</f>
        <v>#VALUE!</v>
      </c>
      <c r="Q47" s="244"/>
      <c r="R47" s="245" t="e">
        <f aca="false">B47</f>
        <v>#VALUE!</v>
      </c>
      <c r="S47" s="246" t="n">
        <f aca="false">T47-$S$16</f>
        <v>0.58</v>
      </c>
      <c r="T47" s="241" t="n">
        <f aca="false">D47</f>
        <v>0.65</v>
      </c>
      <c r="U47" s="247" t="n">
        <f aca="false">$U$16+T47</f>
        <v>0.72</v>
      </c>
      <c r="BP47" s="205" t="n">
        <f aca="false">BP46+BV47</f>
        <v>46</v>
      </c>
      <c r="BQ47" s="206" t="s">
        <v>440</v>
      </c>
      <c r="BR47" s="201" t="s">
        <v>203</v>
      </c>
      <c r="BS47" s="132" t="s">
        <v>334</v>
      </c>
      <c r="BT47" s="209" t="s">
        <v>205</v>
      </c>
      <c r="BU47" s="209"/>
      <c r="BV47" s="132" t="n">
        <v>1</v>
      </c>
      <c r="BW47" s="201" t="s">
        <v>441</v>
      </c>
      <c r="BX47" s="0"/>
      <c r="BZ47" s="205" t="n">
        <f aca="false">BZ46+CF47</f>
        <v>46</v>
      </c>
      <c r="CA47" s="63" t="s">
        <v>442</v>
      </c>
      <c r="CB47" s="201" t="s">
        <v>207</v>
      </c>
      <c r="CC47" s="132" t="s">
        <v>204</v>
      </c>
      <c r="CD47" s="209" t="s">
        <v>205</v>
      </c>
      <c r="CE47" s="209"/>
      <c r="CF47" s="132" t="n">
        <v>1</v>
      </c>
      <c r="CG47" s="201" t="s">
        <v>443</v>
      </c>
      <c r="CH47" s="0"/>
    </row>
    <row r="48" customFormat="false" ht="12.75" hidden="false" customHeight="false" outlineLevel="0" collapsed="false">
      <c r="A48" s="242"/>
      <c r="B48" s="192" t="e">
        <f aca="false">NextMonth(B47)</f>
        <v>#VALUE!</v>
      </c>
      <c r="C48" s="193" t="n">
        <v>0.071631839731324</v>
      </c>
      <c r="D48" s="248" t="n">
        <v>0.95</v>
      </c>
      <c r="E48" s="248" t="n">
        <v>0.95</v>
      </c>
      <c r="F48" s="248" t="n">
        <v>0.1745</v>
      </c>
      <c r="G48" s="248" t="n">
        <v>0.182</v>
      </c>
      <c r="H48" s="248" t="n">
        <v>0.1895</v>
      </c>
      <c r="I48" s="244" t="n">
        <v>2.815</v>
      </c>
      <c r="J48" s="248" t="n">
        <v>2.82</v>
      </c>
      <c r="K48" s="193" t="n">
        <v>2.825</v>
      </c>
      <c r="L48" s="248" t="n">
        <v>-0.07125</v>
      </c>
      <c r="M48" s="193" t="n">
        <v>0.7</v>
      </c>
      <c r="O48" s="189" t="e">
        <f aca="false">(IF(MONTH(B48)&gt;=4,IF(MONTH(B48)&lt;=10,Inputs!$H$2,Inputs!$H$3),Inputs!$H$3))</f>
        <v>#VALUE!</v>
      </c>
      <c r="P48" s="244" t="e">
        <f aca="false">J48+(IF($L$2=TRUE(),IF(MONTH(B48)&gt;=4,IF(MONTH(B48)&lt;=10,L48,M48),M48),0))+(IF('Pricing Inputs'!$AN$3=2,O48,0))</f>
        <v>#VALUE!</v>
      </c>
      <c r="Q48" s="244"/>
      <c r="R48" s="245" t="e">
        <f aca="false">B48</f>
        <v>#VALUE!</v>
      </c>
      <c r="S48" s="246" t="n">
        <f aca="false">T48-$S$16</f>
        <v>0.88</v>
      </c>
      <c r="T48" s="241" t="n">
        <f aca="false">D48</f>
        <v>0.95</v>
      </c>
      <c r="U48" s="247" t="n">
        <f aca="false">$U$16+T48</f>
        <v>1.02</v>
      </c>
      <c r="BP48" s="205" t="n">
        <f aca="false">BP47+BV48</f>
        <v>47</v>
      </c>
      <c r="BQ48" s="206" t="s">
        <v>444</v>
      </c>
      <c r="BR48" s="201" t="s">
        <v>203</v>
      </c>
      <c r="BS48" s="132" t="s">
        <v>334</v>
      </c>
      <c r="BT48" s="209" t="s">
        <v>205</v>
      </c>
      <c r="BU48" s="209"/>
      <c r="BV48" s="132" t="n">
        <v>1</v>
      </c>
      <c r="BW48" s="201" t="s">
        <v>445</v>
      </c>
      <c r="BX48" s="0"/>
      <c r="BZ48" s="205" t="n">
        <f aca="false">BZ47+CF48</f>
        <v>47</v>
      </c>
      <c r="CA48" s="63" t="s">
        <v>446</v>
      </c>
      <c r="CB48" s="201" t="s">
        <v>207</v>
      </c>
      <c r="CC48" s="132" t="s">
        <v>204</v>
      </c>
      <c r="CD48" s="209" t="s">
        <v>205</v>
      </c>
      <c r="CE48" s="209"/>
      <c r="CF48" s="132" t="n">
        <v>1</v>
      </c>
      <c r="CG48" s="201" t="s">
        <v>447</v>
      </c>
      <c r="CH48" s="0"/>
    </row>
    <row r="49" customFormat="false" ht="12.75" hidden="false" customHeight="false" outlineLevel="0" collapsed="false">
      <c r="A49" s="242"/>
      <c r="B49" s="192" t="e">
        <f aca="false">NextMonth(B48)</f>
        <v>#VALUE!</v>
      </c>
      <c r="C49" s="193" t="n">
        <v>0.071718530585009</v>
      </c>
      <c r="D49" s="248" t="n">
        <v>1.25</v>
      </c>
      <c r="E49" s="248" t="n">
        <v>1.25</v>
      </c>
      <c r="F49" s="248" t="n">
        <v>0.1755</v>
      </c>
      <c r="G49" s="248" t="n">
        <v>0.183</v>
      </c>
      <c r="H49" s="248" t="n">
        <v>0.1905</v>
      </c>
      <c r="I49" s="244" t="n">
        <v>2.939</v>
      </c>
      <c r="J49" s="248" t="n">
        <v>2.944</v>
      </c>
      <c r="K49" s="193" t="n">
        <v>2.949</v>
      </c>
      <c r="L49" s="248" t="n">
        <v>-0.0775</v>
      </c>
      <c r="M49" s="193" t="n">
        <v>1</v>
      </c>
      <c r="O49" s="189" t="e">
        <f aca="false">(IF(MONTH(B49)&gt;=4,IF(MONTH(B49)&lt;=10,Inputs!$H$2,Inputs!$H$3),Inputs!$H$3))</f>
        <v>#VALUE!</v>
      </c>
      <c r="P49" s="244" t="e">
        <f aca="false">J49+(IF($L$2=TRUE(),IF(MONTH(B49)&gt;=4,IF(MONTH(B49)&lt;=10,L49,M49),M49),0))+(IF('Pricing Inputs'!$AN$3=2,O49,0))</f>
        <v>#VALUE!</v>
      </c>
      <c r="Q49" s="244"/>
      <c r="R49" s="245" t="e">
        <f aca="false">B49</f>
        <v>#VALUE!</v>
      </c>
      <c r="S49" s="246" t="n">
        <f aca="false">T49-$S$16</f>
        <v>1.18</v>
      </c>
      <c r="T49" s="241" t="n">
        <f aca="false">D49</f>
        <v>1.25</v>
      </c>
      <c r="U49" s="247" t="n">
        <f aca="false">$U$16+T49</f>
        <v>1.32</v>
      </c>
      <c r="BP49" s="205" t="n">
        <f aca="false">BP48+BV49</f>
        <v>48</v>
      </c>
      <c r="BQ49" s="206" t="s">
        <v>448</v>
      </c>
      <c r="BR49" s="201" t="s">
        <v>203</v>
      </c>
      <c r="BS49" s="132" t="s">
        <v>334</v>
      </c>
      <c r="BT49" s="209" t="s">
        <v>205</v>
      </c>
      <c r="BU49" s="209"/>
      <c r="BV49" s="132" t="n">
        <v>1</v>
      </c>
      <c r="BW49" s="201" t="s">
        <v>449</v>
      </c>
      <c r="BX49" s="0"/>
      <c r="BZ49" s="205" t="n">
        <f aca="false">BZ48+CF49</f>
        <v>48</v>
      </c>
      <c r="CA49" s="63" t="s">
        <v>450</v>
      </c>
      <c r="CB49" s="201" t="s">
        <v>207</v>
      </c>
      <c r="CC49" s="132" t="s">
        <v>204</v>
      </c>
      <c r="CD49" s="209" t="s">
        <v>205</v>
      </c>
      <c r="CE49" s="209"/>
      <c r="CF49" s="132" t="n">
        <v>1</v>
      </c>
      <c r="CG49" s="201" t="s">
        <v>451</v>
      </c>
      <c r="CH49" s="0"/>
    </row>
    <row r="50" customFormat="false" ht="12.75" hidden="false" customHeight="false" outlineLevel="0" collapsed="false">
      <c r="A50" s="242"/>
      <c r="B50" s="192" t="e">
        <f aca="false">NextMonth(B49)</f>
        <v>#VALUE!</v>
      </c>
      <c r="C50" s="193" t="n">
        <v>0.071808036216495</v>
      </c>
      <c r="D50" s="248" t="n">
        <v>1.45</v>
      </c>
      <c r="E50" s="248" t="n">
        <v>1.45</v>
      </c>
      <c r="F50" s="248" t="n">
        <v>0.1805</v>
      </c>
      <c r="G50" s="248" t="n">
        <v>0.188</v>
      </c>
      <c r="H50" s="248" t="n">
        <v>0.1955</v>
      </c>
      <c r="I50" s="244" t="n">
        <v>2.97</v>
      </c>
      <c r="J50" s="248" t="n">
        <v>2.975</v>
      </c>
      <c r="K50" s="193" t="n">
        <v>2.98</v>
      </c>
      <c r="L50" s="248" t="n">
        <v>-0.0775</v>
      </c>
      <c r="M50" s="193" t="n">
        <v>1.45</v>
      </c>
      <c r="O50" s="189" t="e">
        <f aca="false">(IF(MONTH(B50)&gt;=4,IF(MONTH(B50)&lt;=10,Inputs!$H$2,Inputs!$H$3),Inputs!$H$3))</f>
        <v>#VALUE!</v>
      </c>
      <c r="P50" s="244" t="e">
        <f aca="false">J50+(IF($L$2=TRUE(),IF(MONTH(B50)&gt;=4,IF(MONTH(B50)&lt;=10,L50,M50),M50),0))+(IF('Pricing Inputs'!$AN$3=2,O50,0))</f>
        <v>#VALUE!</v>
      </c>
      <c r="Q50" s="244"/>
      <c r="R50" s="245" t="e">
        <f aca="false">B50</f>
        <v>#VALUE!</v>
      </c>
      <c r="S50" s="246" t="n">
        <f aca="false">T50-$S$16</f>
        <v>1.38</v>
      </c>
      <c r="T50" s="241" t="n">
        <f aca="false">D50</f>
        <v>1.45</v>
      </c>
      <c r="U50" s="247" t="n">
        <f aca="false">$U$16+T50</f>
        <v>1.52</v>
      </c>
      <c r="BP50" s="205" t="n">
        <f aca="false">BP49+BV50</f>
        <v>49</v>
      </c>
      <c r="BQ50" s="206" t="s">
        <v>336</v>
      </c>
      <c r="BR50" s="201" t="s">
        <v>203</v>
      </c>
      <c r="BS50" s="132" t="s">
        <v>204</v>
      </c>
      <c r="BT50" s="209" t="s">
        <v>205</v>
      </c>
      <c r="BU50" s="209"/>
      <c r="BV50" s="132" t="n">
        <v>1</v>
      </c>
      <c r="BW50" s="201" t="s">
        <v>452</v>
      </c>
      <c r="BX50" s="0"/>
      <c r="BZ50" s="205" t="n">
        <f aca="false">BZ49+CF50</f>
        <v>49</v>
      </c>
      <c r="CA50" s="63" t="s">
        <v>453</v>
      </c>
      <c r="CB50" s="201" t="s">
        <v>207</v>
      </c>
      <c r="CC50" s="132" t="s">
        <v>204</v>
      </c>
      <c r="CD50" s="209" t="s">
        <v>205</v>
      </c>
      <c r="CE50" s="209"/>
      <c r="CF50" s="132" t="n">
        <v>1</v>
      </c>
      <c r="CG50" s="201" t="s">
        <v>454</v>
      </c>
      <c r="CH50" s="0"/>
    </row>
    <row r="51" customFormat="false" ht="12.75" hidden="false" customHeight="false" outlineLevel="0" collapsed="false">
      <c r="A51" s="242"/>
      <c r="B51" s="192" t="e">
        <f aca="false">NextMonth(B50)</f>
        <v>#VALUE!</v>
      </c>
      <c r="C51" s="193" t="n">
        <v>0.071897450876422</v>
      </c>
      <c r="D51" s="248" t="n">
        <v>1.45</v>
      </c>
      <c r="E51" s="248" t="n">
        <v>1.45</v>
      </c>
      <c r="F51" s="248" t="n">
        <v>0.179</v>
      </c>
      <c r="G51" s="248" t="n">
        <v>0.1865</v>
      </c>
      <c r="H51" s="248" t="n">
        <v>0.194</v>
      </c>
      <c r="I51" s="244" t="n">
        <v>2.852</v>
      </c>
      <c r="J51" s="248" t="n">
        <v>2.857</v>
      </c>
      <c r="K51" s="193" t="n">
        <v>2.862</v>
      </c>
      <c r="L51" s="248" t="n">
        <v>-0.075625</v>
      </c>
      <c r="M51" s="193" t="n">
        <v>1.35</v>
      </c>
      <c r="O51" s="189" t="e">
        <f aca="false">(IF(MONTH(B51)&gt;=4,IF(MONTH(B51)&lt;=10,Inputs!$H$2,Inputs!$H$3),Inputs!$H$3))</f>
        <v>#VALUE!</v>
      </c>
      <c r="P51" s="244" t="e">
        <f aca="false">J51+(IF($L$2=TRUE(),IF(MONTH(B51)&gt;=4,IF(MONTH(B51)&lt;=10,L51,M51),M51),0))+(IF('Pricing Inputs'!$AN$3=2,O51,0))</f>
        <v>#VALUE!</v>
      </c>
      <c r="Q51" s="244"/>
      <c r="R51" s="245" t="e">
        <f aca="false">B51</f>
        <v>#VALUE!</v>
      </c>
      <c r="S51" s="246" t="n">
        <f aca="false">T51-$S$16</f>
        <v>1.38</v>
      </c>
      <c r="T51" s="241" t="n">
        <f aca="false">D51</f>
        <v>1.45</v>
      </c>
      <c r="U51" s="247" t="n">
        <f aca="false">$U$16+T51</f>
        <v>1.52</v>
      </c>
      <c r="BP51" s="205" t="n">
        <f aca="false">BP50+BV51</f>
        <v>50</v>
      </c>
      <c r="BQ51" s="206" t="s">
        <v>455</v>
      </c>
      <c r="BR51" s="201" t="s">
        <v>203</v>
      </c>
      <c r="BS51" s="132" t="s">
        <v>334</v>
      </c>
      <c r="BT51" s="209" t="s">
        <v>205</v>
      </c>
      <c r="BU51" s="209"/>
      <c r="BV51" s="132" t="n">
        <v>1</v>
      </c>
      <c r="BW51" s="201" t="s">
        <v>456</v>
      </c>
      <c r="BX51" s="0"/>
      <c r="BZ51" s="205" t="n">
        <f aca="false">BZ50+CF51</f>
        <v>50</v>
      </c>
      <c r="CA51" s="63" t="s">
        <v>457</v>
      </c>
      <c r="CB51" s="201" t="s">
        <v>207</v>
      </c>
      <c r="CC51" s="132" t="s">
        <v>204</v>
      </c>
      <c r="CD51" s="209" t="s">
        <v>205</v>
      </c>
      <c r="CE51" s="209"/>
      <c r="CF51" s="132" t="n">
        <v>1</v>
      </c>
      <c r="CG51" s="201" t="s">
        <v>458</v>
      </c>
      <c r="CH51" s="0"/>
    </row>
    <row r="52" customFormat="false" ht="12.75" hidden="false" customHeight="false" outlineLevel="0" collapsed="false">
      <c r="A52" s="242"/>
      <c r="B52" s="192" t="e">
        <f aca="false">NextMonth(B51)</f>
        <v>#VALUE!</v>
      </c>
      <c r="C52" s="193" t="n">
        <v>0.071978212507014</v>
      </c>
      <c r="D52" s="248" t="n">
        <v>1</v>
      </c>
      <c r="E52" s="248" t="n">
        <v>1</v>
      </c>
      <c r="F52" s="248" t="n">
        <v>0.169</v>
      </c>
      <c r="G52" s="248" t="n">
        <v>0.1765</v>
      </c>
      <c r="H52" s="248" t="n">
        <v>0.184</v>
      </c>
      <c r="I52" s="244" t="n">
        <v>2.732</v>
      </c>
      <c r="J52" s="248" t="n">
        <v>2.737</v>
      </c>
      <c r="K52" s="193" t="n">
        <v>2.742</v>
      </c>
      <c r="L52" s="248" t="n">
        <v>-0.07</v>
      </c>
      <c r="M52" s="193" t="n">
        <v>0.85</v>
      </c>
      <c r="O52" s="189" t="e">
        <f aca="false">(IF(MONTH(B52)&gt;=4,IF(MONTH(B52)&lt;=10,Inputs!$H$2,Inputs!$H$3),Inputs!$H$3))</f>
        <v>#VALUE!</v>
      </c>
      <c r="P52" s="244" t="e">
        <f aca="false">J52+(IF($L$2=TRUE(),IF(MONTH(B52)&gt;=4,IF(MONTH(B52)&lt;=10,L52,M52),M52),0))+(IF('Pricing Inputs'!$AN$3=2,O52,0))</f>
        <v>#VALUE!</v>
      </c>
      <c r="Q52" s="244"/>
      <c r="R52" s="245" t="e">
        <f aca="false">B52</f>
        <v>#VALUE!</v>
      </c>
      <c r="S52" s="246" t="n">
        <f aca="false">T52-$S$16</f>
        <v>0.93</v>
      </c>
      <c r="T52" s="241" t="n">
        <f aca="false">D52</f>
        <v>1</v>
      </c>
      <c r="U52" s="247" t="n">
        <f aca="false">$U$16+T52</f>
        <v>1.07</v>
      </c>
      <c r="BP52" s="205" t="n">
        <f aca="false">BP51+BV52</f>
        <v>51</v>
      </c>
      <c r="BQ52" s="206" t="s">
        <v>459</v>
      </c>
      <c r="BR52" s="201" t="s">
        <v>203</v>
      </c>
      <c r="BS52" s="132" t="s">
        <v>334</v>
      </c>
      <c r="BT52" s="209" t="s">
        <v>205</v>
      </c>
      <c r="BU52" s="209"/>
      <c r="BV52" s="132" t="n">
        <v>1</v>
      </c>
      <c r="BW52" s="201" t="s">
        <v>460</v>
      </c>
      <c r="BX52" s="0"/>
      <c r="BZ52" s="205" t="n">
        <f aca="false">BZ51+CF52</f>
        <v>51</v>
      </c>
      <c r="CA52" s="63" t="s">
        <v>461</v>
      </c>
      <c r="CB52" s="201" t="s">
        <v>207</v>
      </c>
      <c r="CC52" s="132" t="s">
        <v>204</v>
      </c>
      <c r="CD52" s="209" t="s">
        <v>205</v>
      </c>
      <c r="CE52" s="209"/>
      <c r="CF52" s="132" t="n">
        <v>1</v>
      </c>
      <c r="CG52" s="201" t="s">
        <v>462</v>
      </c>
      <c r="CH52" s="0"/>
    </row>
    <row r="53" customFormat="false" ht="12.75" hidden="false" customHeight="false" outlineLevel="0" collapsed="false">
      <c r="A53" s="242"/>
      <c r="B53" s="192" t="e">
        <f aca="false">NextMonth(B52)</f>
        <v>#VALUE!</v>
      </c>
      <c r="C53" s="193" t="n">
        <v>0.0720561019016</v>
      </c>
      <c r="D53" s="248" t="n">
        <v>0.45</v>
      </c>
      <c r="E53" s="248" t="n">
        <v>0.45</v>
      </c>
      <c r="F53" s="248" t="n">
        <v>0.1665</v>
      </c>
      <c r="G53" s="248" t="n">
        <v>0.174</v>
      </c>
      <c r="H53" s="248" t="n">
        <v>0.1815</v>
      </c>
      <c r="I53" s="244" t="n">
        <v>2.6825</v>
      </c>
      <c r="J53" s="248" t="n">
        <v>2.6875</v>
      </c>
      <c r="K53" s="193" t="n">
        <v>2.6925</v>
      </c>
      <c r="L53" s="248" t="n">
        <v>-0.06875</v>
      </c>
      <c r="M53" s="193" t="n">
        <v>0.37</v>
      </c>
      <c r="O53" s="189" t="e">
        <f aca="false">(IF(MONTH(B53)&gt;=4,IF(MONTH(B53)&lt;=10,Inputs!$H$2,Inputs!$H$3),Inputs!$H$3))</f>
        <v>#VALUE!</v>
      </c>
      <c r="P53" s="244" t="e">
        <f aca="false">J53+(IF($L$2=TRUE(),IF(MONTH(B53)&gt;=4,IF(MONTH(B53)&lt;=10,L53,M53),M53),0))+(IF('Pricing Inputs'!$AN$3=2,O53,0))</f>
        <v>#VALUE!</v>
      </c>
      <c r="Q53" s="244"/>
      <c r="R53" s="245" t="e">
        <f aca="false">B53</f>
        <v>#VALUE!</v>
      </c>
      <c r="S53" s="246" t="n">
        <f aca="false">T53-$S$16</f>
        <v>0.38</v>
      </c>
      <c r="T53" s="241" t="n">
        <f aca="false">D53</f>
        <v>0.45</v>
      </c>
      <c r="U53" s="247" t="n">
        <f aca="false">$U$16+T53</f>
        <v>0.52</v>
      </c>
      <c r="BP53" s="205" t="n">
        <f aca="false">BP52+BV53</f>
        <v>52</v>
      </c>
      <c r="BQ53" s="206" t="s">
        <v>463</v>
      </c>
      <c r="BR53" s="201" t="s">
        <v>203</v>
      </c>
      <c r="BS53" s="132" t="s">
        <v>334</v>
      </c>
      <c r="BT53" s="209" t="s">
        <v>205</v>
      </c>
      <c r="BU53" s="209"/>
      <c r="BV53" s="132" t="n">
        <v>1</v>
      </c>
      <c r="BW53" s="201" t="s">
        <v>464</v>
      </c>
      <c r="BX53" s="0"/>
      <c r="BZ53" s="205" t="n">
        <f aca="false">BZ52+CF53</f>
        <v>52</v>
      </c>
      <c r="CA53" s="63" t="s">
        <v>465</v>
      </c>
      <c r="CB53" s="201" t="s">
        <v>207</v>
      </c>
      <c r="CC53" s="132" t="s">
        <v>204</v>
      </c>
      <c r="CD53" s="209" t="s">
        <v>205</v>
      </c>
      <c r="CE53" s="209"/>
      <c r="CF53" s="132" t="n">
        <v>1</v>
      </c>
      <c r="CG53" s="201" t="s">
        <v>466</v>
      </c>
      <c r="CH53" s="0"/>
    </row>
    <row r="54" customFormat="false" ht="12.75" hidden="false" customHeight="false" outlineLevel="0" collapsed="false">
      <c r="A54" s="242"/>
      <c r="B54" s="192" t="e">
        <f aca="false">NextMonth(B53)</f>
        <v>#VALUE!</v>
      </c>
      <c r="C54" s="193" t="n">
        <v>0.072116257975074</v>
      </c>
      <c r="D54" s="248" t="n">
        <v>0.5</v>
      </c>
      <c r="E54" s="248" t="n">
        <v>0.5</v>
      </c>
      <c r="F54" s="248" t="n">
        <v>0.164</v>
      </c>
      <c r="G54" s="248" t="n">
        <v>0.1715</v>
      </c>
      <c r="H54" s="248" t="n">
        <v>0.179</v>
      </c>
      <c r="I54" s="244" t="n">
        <v>2.6565</v>
      </c>
      <c r="J54" s="248" t="n">
        <v>2.6615</v>
      </c>
      <c r="K54" s="193" t="n">
        <v>2.6665</v>
      </c>
      <c r="L54" s="248" t="n">
        <v>-0.0675</v>
      </c>
      <c r="M54" s="193" t="n">
        <v>0.2525</v>
      </c>
      <c r="O54" s="189" t="e">
        <f aca="false">(IF(MONTH(B54)&gt;=4,IF(MONTH(B54)&lt;=10,Inputs!$H$2,Inputs!$H$3),Inputs!$H$3))</f>
        <v>#VALUE!</v>
      </c>
      <c r="P54" s="244" t="e">
        <f aca="false">J54+(IF($L$2=TRUE(),IF(MONTH(B54)&gt;=4,IF(MONTH(B54)&lt;=10,L54,M54),M54),0))+(IF('Pricing Inputs'!$AN$3=2,O54,0))</f>
        <v>#VALUE!</v>
      </c>
      <c r="Q54" s="244"/>
      <c r="R54" s="245" t="e">
        <f aca="false">B54</f>
        <v>#VALUE!</v>
      </c>
      <c r="S54" s="246" t="n">
        <f aca="false">T54-$S$16</f>
        <v>0.43</v>
      </c>
      <c r="T54" s="241" t="n">
        <f aca="false">D54</f>
        <v>0.5</v>
      </c>
      <c r="U54" s="247" t="n">
        <f aca="false">$U$16+T54</f>
        <v>0.57</v>
      </c>
      <c r="BP54" s="205" t="n">
        <f aca="false">BP53+BV54</f>
        <v>53</v>
      </c>
      <c r="BQ54" s="206" t="s">
        <v>467</v>
      </c>
      <c r="BR54" s="201" t="s">
        <v>203</v>
      </c>
      <c r="BS54" s="132" t="s">
        <v>334</v>
      </c>
      <c r="BT54" s="209" t="s">
        <v>205</v>
      </c>
      <c r="BU54" s="209"/>
      <c r="BV54" s="132" t="n">
        <v>1</v>
      </c>
      <c r="BW54" s="201" t="s">
        <v>468</v>
      </c>
      <c r="BX54" s="0"/>
      <c r="BZ54" s="205" t="n">
        <f aca="false">BZ53+CF54</f>
        <v>53</v>
      </c>
      <c r="CA54" s="63" t="s">
        <v>469</v>
      </c>
      <c r="CB54" s="201" t="s">
        <v>207</v>
      </c>
      <c r="CC54" s="132" t="s">
        <v>204</v>
      </c>
      <c r="CD54" s="209" t="s">
        <v>205</v>
      </c>
      <c r="CE54" s="209"/>
      <c r="CF54" s="132" t="n">
        <v>1</v>
      </c>
      <c r="CG54" s="201" t="s">
        <v>470</v>
      </c>
      <c r="CH54" s="0"/>
    </row>
    <row r="55" customFormat="false" ht="12.75" hidden="false" customHeight="false" outlineLevel="0" collapsed="false">
      <c r="A55" s="242"/>
      <c r="B55" s="192" t="e">
        <f aca="false">NextMonth(B54)</f>
        <v>#VALUE!</v>
      </c>
      <c r="C55" s="193" t="n">
        <v>0.072178419252254</v>
      </c>
      <c r="D55" s="248" t="n">
        <v>0.5</v>
      </c>
      <c r="E55" s="248" t="n">
        <v>0.5</v>
      </c>
      <c r="F55" s="248" t="n">
        <v>0.164</v>
      </c>
      <c r="G55" s="248" t="n">
        <v>0.1715</v>
      </c>
      <c r="H55" s="248" t="n">
        <v>0.179</v>
      </c>
      <c r="I55" s="244" t="n">
        <v>2.6625</v>
      </c>
      <c r="J55" s="248" t="n">
        <v>2.6675</v>
      </c>
      <c r="K55" s="193" t="n">
        <v>2.6725</v>
      </c>
      <c r="L55" s="248" t="n">
        <v>-0.0675</v>
      </c>
      <c r="M55" s="193" t="n">
        <v>0.2525</v>
      </c>
      <c r="O55" s="189" t="e">
        <f aca="false">(IF(MONTH(B55)&gt;=4,IF(MONTH(B55)&lt;=10,Inputs!$H$2,Inputs!$H$3),Inputs!$H$3))</f>
        <v>#VALUE!</v>
      </c>
      <c r="P55" s="244" t="e">
        <f aca="false">J55+(IF($L$2=TRUE(),IF(MONTH(B55)&gt;=4,IF(MONTH(B55)&lt;=10,L55,M55),M55),0))+(IF('Pricing Inputs'!$AN$3=2,O55,0))</f>
        <v>#VALUE!</v>
      </c>
      <c r="Q55" s="244"/>
      <c r="R55" s="245" t="e">
        <f aca="false">B55</f>
        <v>#VALUE!</v>
      </c>
      <c r="S55" s="246" t="n">
        <f aca="false">T55-$S$16</f>
        <v>0.43</v>
      </c>
      <c r="T55" s="241" t="n">
        <f aca="false">D55</f>
        <v>0.5</v>
      </c>
      <c r="U55" s="247" t="n">
        <f aca="false">$U$16+T55</f>
        <v>0.57</v>
      </c>
      <c r="BP55" s="205" t="n">
        <f aca="false">BP54+BV55</f>
        <v>54</v>
      </c>
      <c r="BQ55" s="206" t="s">
        <v>471</v>
      </c>
      <c r="BR55" s="201" t="s">
        <v>203</v>
      </c>
      <c r="BS55" s="132" t="s">
        <v>334</v>
      </c>
      <c r="BT55" s="209" t="s">
        <v>205</v>
      </c>
      <c r="BU55" s="209"/>
      <c r="BV55" s="132" t="n">
        <v>1</v>
      </c>
      <c r="BW55" s="201" t="s">
        <v>472</v>
      </c>
      <c r="BX55" s="0"/>
      <c r="BZ55" s="205" t="n">
        <f aca="false">BZ54+CF55</f>
        <v>54</v>
      </c>
      <c r="CA55" s="63" t="s">
        <v>473</v>
      </c>
      <c r="CB55" s="201" t="s">
        <v>207</v>
      </c>
      <c r="CC55" s="132" t="s">
        <v>204</v>
      </c>
      <c r="CD55" s="209" t="s">
        <v>205</v>
      </c>
      <c r="CE55" s="209"/>
      <c r="CF55" s="132" t="n">
        <v>1</v>
      </c>
      <c r="CG55" s="201" t="s">
        <v>474</v>
      </c>
      <c r="CH55" s="0"/>
    </row>
    <row r="56" customFormat="false" ht="12.75" hidden="false" customHeight="false" outlineLevel="0" collapsed="false">
      <c r="A56" s="242"/>
      <c r="B56" s="192" t="e">
        <f aca="false">NextMonth(B55)</f>
        <v>#VALUE!</v>
      </c>
      <c r="C56" s="193" t="n">
        <v>0.072234722830806</v>
      </c>
      <c r="D56" s="248" t="n">
        <v>0.5</v>
      </c>
      <c r="E56" s="248" t="n">
        <v>0.5</v>
      </c>
      <c r="F56" s="248" t="n">
        <v>0.164</v>
      </c>
      <c r="G56" s="248" t="n">
        <v>0.1715</v>
      </c>
      <c r="H56" s="248" t="n">
        <v>0.179</v>
      </c>
      <c r="I56" s="244" t="n">
        <v>2.6725</v>
      </c>
      <c r="J56" s="248" t="n">
        <v>2.6775</v>
      </c>
      <c r="K56" s="193" t="n">
        <v>2.6825</v>
      </c>
      <c r="L56" s="248" t="n">
        <v>-0.066875</v>
      </c>
      <c r="M56" s="193" t="n">
        <v>0.2575</v>
      </c>
      <c r="O56" s="189" t="e">
        <f aca="false">(IF(MONTH(B56)&gt;=4,IF(MONTH(B56)&lt;=10,Inputs!$H$2,Inputs!$H$3),Inputs!$H$3))</f>
        <v>#VALUE!</v>
      </c>
      <c r="P56" s="244" t="e">
        <f aca="false">J56+(IF($L$2=TRUE(),IF(MONTH(B56)&gt;=4,IF(MONTH(B56)&lt;=10,L56,M56),M56),0))+(IF('Pricing Inputs'!$AN$3=2,O56,0))</f>
        <v>#VALUE!</v>
      </c>
      <c r="Q56" s="244"/>
      <c r="R56" s="245" t="e">
        <f aca="false">B56</f>
        <v>#VALUE!</v>
      </c>
      <c r="S56" s="246" t="n">
        <f aca="false">T56-$S$16</f>
        <v>0.43</v>
      </c>
      <c r="T56" s="241" t="n">
        <f aca="false">D56</f>
        <v>0.5</v>
      </c>
      <c r="U56" s="247" t="n">
        <f aca="false">$U$16+T56</f>
        <v>0.57</v>
      </c>
      <c r="BP56" s="205" t="n">
        <f aca="false">BP55+BV56</f>
        <v>55</v>
      </c>
      <c r="BQ56" s="206" t="s">
        <v>475</v>
      </c>
      <c r="BR56" s="201" t="s">
        <v>203</v>
      </c>
      <c r="BS56" s="132" t="s">
        <v>334</v>
      </c>
      <c r="BT56" s="209" t="s">
        <v>205</v>
      </c>
      <c r="BU56" s="209"/>
      <c r="BV56" s="132" t="n">
        <v>1</v>
      </c>
      <c r="BW56" s="201" t="s">
        <v>476</v>
      </c>
      <c r="BX56" s="0"/>
      <c r="BZ56" s="205" t="n">
        <f aca="false">BZ55+CF56</f>
        <v>55</v>
      </c>
      <c r="CA56" s="63" t="s">
        <v>477</v>
      </c>
      <c r="CB56" s="201" t="s">
        <v>207</v>
      </c>
      <c r="CC56" s="132" t="s">
        <v>204</v>
      </c>
      <c r="CD56" s="209" t="s">
        <v>205</v>
      </c>
      <c r="CE56" s="209"/>
      <c r="CF56" s="132" t="n">
        <v>1</v>
      </c>
      <c r="CG56" s="201" t="s">
        <v>478</v>
      </c>
      <c r="CH56" s="0"/>
    </row>
    <row r="57" customFormat="false" ht="12.75" hidden="false" customHeight="false" outlineLevel="0" collapsed="false">
      <c r="A57" s="242"/>
      <c r="B57" s="192" t="e">
        <f aca="false">NextMonth(B56)</f>
        <v>#VALUE!</v>
      </c>
      <c r="C57" s="193" t="n">
        <v>0.07228736065921</v>
      </c>
      <c r="D57" s="248" t="n">
        <v>0.6</v>
      </c>
      <c r="E57" s="248" t="n">
        <v>0.6</v>
      </c>
      <c r="F57" s="248" t="n">
        <v>0.164</v>
      </c>
      <c r="G57" s="248" t="n">
        <v>0.1715</v>
      </c>
      <c r="H57" s="248" t="n">
        <v>0.179</v>
      </c>
      <c r="I57" s="244" t="n">
        <v>2.6795</v>
      </c>
      <c r="J57" s="248" t="n">
        <v>2.6845</v>
      </c>
      <c r="K57" s="193" t="n">
        <v>2.6895</v>
      </c>
      <c r="L57" s="248" t="n">
        <v>-0.066875</v>
      </c>
      <c r="M57" s="193" t="n">
        <v>0.2575</v>
      </c>
      <c r="O57" s="189" t="e">
        <f aca="false">(IF(MONTH(B57)&gt;=4,IF(MONTH(B57)&lt;=10,Inputs!$H$2,Inputs!$H$3),Inputs!$H$3))</f>
        <v>#VALUE!</v>
      </c>
      <c r="P57" s="244" t="e">
        <f aca="false">J57+(IF($L$2=TRUE(),IF(MONTH(B57)&gt;=4,IF(MONTH(B57)&lt;=10,L57,M57),M57),0))+(IF('Pricing Inputs'!$AN$3=2,O57,0))</f>
        <v>#VALUE!</v>
      </c>
      <c r="Q57" s="244"/>
      <c r="R57" s="245" t="e">
        <f aca="false">B57</f>
        <v>#VALUE!</v>
      </c>
      <c r="S57" s="246" t="n">
        <f aca="false">T57-$S$16</f>
        <v>0.53</v>
      </c>
      <c r="T57" s="241" t="n">
        <f aca="false">D57</f>
        <v>0.6</v>
      </c>
      <c r="U57" s="247" t="n">
        <f aca="false">$U$16+T57</f>
        <v>0.67</v>
      </c>
      <c r="BP57" s="205" t="n">
        <f aca="false">BP56+BV57</f>
        <v>56</v>
      </c>
      <c r="BQ57" s="206" t="s">
        <v>340</v>
      </c>
      <c r="BR57" s="201" t="s">
        <v>203</v>
      </c>
      <c r="BS57" s="132" t="s">
        <v>204</v>
      </c>
      <c r="BT57" s="209" t="s">
        <v>205</v>
      </c>
      <c r="BU57" s="209"/>
      <c r="BV57" s="132" t="n">
        <v>1</v>
      </c>
      <c r="BW57" s="201" t="s">
        <v>479</v>
      </c>
      <c r="BX57" s="0"/>
      <c r="BZ57" s="205" t="n">
        <f aca="false">BZ56+CF57</f>
        <v>56</v>
      </c>
      <c r="CA57" s="63" t="s">
        <v>480</v>
      </c>
      <c r="CB57" s="201" t="s">
        <v>207</v>
      </c>
      <c r="CC57" s="132" t="s">
        <v>204</v>
      </c>
      <c r="CD57" s="209" t="s">
        <v>205</v>
      </c>
      <c r="CE57" s="209"/>
      <c r="CF57" s="132" t="n">
        <v>1</v>
      </c>
      <c r="CG57" s="201" t="s">
        <v>481</v>
      </c>
      <c r="CH57" s="0"/>
    </row>
    <row r="58" customFormat="false" ht="12.75" hidden="false" customHeight="false" outlineLevel="0" collapsed="false">
      <c r="A58" s="242"/>
      <c r="B58" s="192" t="e">
        <f aca="false">NextMonth(B57)</f>
        <v>#VALUE!</v>
      </c>
      <c r="C58" s="193" t="n">
        <v>0.072339998488529</v>
      </c>
      <c r="D58" s="248" t="n">
        <v>0.6</v>
      </c>
      <c r="E58" s="248" t="n">
        <v>0.6</v>
      </c>
      <c r="F58" s="248" t="n">
        <v>0.1635</v>
      </c>
      <c r="G58" s="248" t="n">
        <v>0.171</v>
      </c>
      <c r="H58" s="248" t="n">
        <v>0.1785</v>
      </c>
      <c r="I58" s="244" t="n">
        <v>2.6865</v>
      </c>
      <c r="J58" s="248" t="n">
        <v>2.6915</v>
      </c>
      <c r="K58" s="193" t="n">
        <v>2.6965</v>
      </c>
      <c r="L58" s="248" t="n">
        <v>-0.0675</v>
      </c>
      <c r="M58" s="193" t="n">
        <v>0.2525</v>
      </c>
      <c r="O58" s="189" t="e">
        <f aca="false">(IF(MONTH(B58)&gt;=4,IF(MONTH(B58)&lt;=10,Inputs!$H$2,Inputs!$H$3),Inputs!$H$3))</f>
        <v>#VALUE!</v>
      </c>
      <c r="P58" s="244" t="e">
        <f aca="false">J58+(IF($L$2=TRUE(),IF(MONTH(B58)&gt;=4,IF(MONTH(B58)&lt;=10,L58,M58),M58),0))+(IF('Pricing Inputs'!$AN$3=2,O58,0))</f>
        <v>#VALUE!</v>
      </c>
      <c r="Q58" s="244"/>
      <c r="R58" s="245" t="e">
        <f aca="false">B58</f>
        <v>#VALUE!</v>
      </c>
      <c r="S58" s="246" t="n">
        <f aca="false">T58-$S$16</f>
        <v>0.53</v>
      </c>
      <c r="T58" s="241" t="n">
        <f aca="false">D58</f>
        <v>0.6</v>
      </c>
      <c r="U58" s="247" t="n">
        <f aca="false">$U$16+T58</f>
        <v>0.67</v>
      </c>
      <c r="BP58" s="205" t="n">
        <f aca="false">BP57+BV58</f>
        <v>57</v>
      </c>
      <c r="BQ58" s="206" t="s">
        <v>482</v>
      </c>
      <c r="BR58" s="201" t="s">
        <v>203</v>
      </c>
      <c r="BS58" s="132" t="s">
        <v>334</v>
      </c>
      <c r="BT58" s="209" t="s">
        <v>205</v>
      </c>
      <c r="BU58" s="209"/>
      <c r="BV58" s="132" t="n">
        <v>1</v>
      </c>
      <c r="BW58" s="201" t="s">
        <v>483</v>
      </c>
      <c r="BX58" s="0"/>
      <c r="BZ58" s="205" t="n">
        <f aca="false">BZ57+CF58</f>
        <v>57</v>
      </c>
      <c r="CA58" s="63" t="s">
        <v>484</v>
      </c>
      <c r="CB58" s="201" t="s">
        <v>207</v>
      </c>
      <c r="CC58" s="132" t="s">
        <v>204</v>
      </c>
      <c r="CD58" s="209" t="s">
        <v>205</v>
      </c>
      <c r="CE58" s="209"/>
      <c r="CF58" s="132" t="n">
        <v>1</v>
      </c>
      <c r="CG58" s="201" t="s">
        <v>485</v>
      </c>
      <c r="CH58" s="0"/>
    </row>
    <row r="59" customFormat="false" ht="12.75" hidden="false" customHeight="false" outlineLevel="0" collapsed="false">
      <c r="A59" s="242"/>
      <c r="B59" s="192" t="e">
        <f aca="false">NextMonth(B58)</f>
        <v>#VALUE!</v>
      </c>
      <c r="C59" s="193" t="n">
        <v>0.072387795190343</v>
      </c>
      <c r="D59" s="248" t="n">
        <v>0.65</v>
      </c>
      <c r="E59" s="248" t="n">
        <v>0.65</v>
      </c>
      <c r="F59" s="248" t="n">
        <v>0.1635</v>
      </c>
      <c r="G59" s="248" t="n">
        <v>0.171</v>
      </c>
      <c r="H59" s="248" t="n">
        <v>0.1785</v>
      </c>
      <c r="I59" s="244" t="n">
        <v>2.7125</v>
      </c>
      <c r="J59" s="248" t="n">
        <v>2.7175</v>
      </c>
      <c r="K59" s="193" t="n">
        <v>2.7225</v>
      </c>
      <c r="L59" s="248" t="n">
        <v>-0.0675</v>
      </c>
      <c r="M59" s="193" t="n">
        <v>0.255</v>
      </c>
      <c r="O59" s="189" t="e">
        <f aca="false">(IF(MONTH(B59)&gt;=4,IF(MONTH(B59)&lt;=10,Inputs!$H$2,Inputs!$H$3),Inputs!$H$3))</f>
        <v>#VALUE!</v>
      </c>
      <c r="P59" s="244" t="e">
        <f aca="false">J59+(IF($L$2=TRUE(),IF(MONTH(B59)&gt;=4,IF(MONTH(B59)&lt;=10,L59,M59),M59),0))+(IF('Pricing Inputs'!$AN$3=2,O59,0))</f>
        <v>#VALUE!</v>
      </c>
      <c r="Q59" s="244"/>
      <c r="R59" s="245" t="e">
        <f aca="false">B59</f>
        <v>#VALUE!</v>
      </c>
      <c r="S59" s="246" t="n">
        <f aca="false">T59-$S$16</f>
        <v>0.58</v>
      </c>
      <c r="T59" s="241" t="n">
        <f aca="false">D59</f>
        <v>0.65</v>
      </c>
      <c r="U59" s="247" t="n">
        <f aca="false">$U$16+T59</f>
        <v>0.72</v>
      </c>
      <c r="BP59" s="205" t="n">
        <f aca="false">BP58+BV59</f>
        <v>58</v>
      </c>
      <c r="BQ59" s="206" t="s">
        <v>486</v>
      </c>
      <c r="BR59" s="201" t="s">
        <v>203</v>
      </c>
      <c r="BS59" s="132" t="s">
        <v>334</v>
      </c>
      <c r="BT59" s="209" t="s">
        <v>205</v>
      </c>
      <c r="BU59" s="209"/>
      <c r="BV59" s="132" t="n">
        <v>1</v>
      </c>
      <c r="BW59" s="201" t="s">
        <v>487</v>
      </c>
      <c r="BX59" s="0"/>
      <c r="BZ59" s="205" t="n">
        <f aca="false">BZ58+CF59</f>
        <v>58</v>
      </c>
      <c r="CA59" s="63" t="s">
        <v>488</v>
      </c>
      <c r="CB59" s="201" t="s">
        <v>207</v>
      </c>
      <c r="CC59" s="132" t="s">
        <v>204</v>
      </c>
      <c r="CD59" s="209" t="s">
        <v>205</v>
      </c>
      <c r="CE59" s="209"/>
      <c r="CF59" s="132" t="n">
        <v>1</v>
      </c>
      <c r="CG59" s="201" t="s">
        <v>489</v>
      </c>
      <c r="CH59" s="0"/>
    </row>
    <row r="60" customFormat="false" ht="12.75" hidden="false" customHeight="false" outlineLevel="0" collapsed="false">
      <c r="A60" s="242"/>
      <c r="B60" s="192" t="e">
        <f aca="false">NextMonth(B59)</f>
        <v>#VALUE!</v>
      </c>
      <c r="C60" s="193" t="n">
        <v>0.072433234070915</v>
      </c>
      <c r="D60" s="248" t="n">
        <v>0.95</v>
      </c>
      <c r="E60" s="248" t="n">
        <v>0.95</v>
      </c>
      <c r="F60" s="248" t="n">
        <v>0.1635</v>
      </c>
      <c r="G60" s="248" t="n">
        <v>0.171</v>
      </c>
      <c r="H60" s="248" t="n">
        <v>0.1785</v>
      </c>
      <c r="I60" s="244" t="n">
        <v>2.8475</v>
      </c>
      <c r="J60" s="248" t="n">
        <v>2.8525</v>
      </c>
      <c r="K60" s="193" t="n">
        <v>2.8575</v>
      </c>
      <c r="L60" s="248" t="n">
        <v>-0.07125</v>
      </c>
      <c r="M60" s="193" t="n">
        <v>0.705</v>
      </c>
      <c r="O60" s="189" t="e">
        <f aca="false">(IF(MONTH(B60)&gt;=4,IF(MONTH(B60)&lt;=10,Inputs!$H$2,Inputs!$H$3),Inputs!$H$3))</f>
        <v>#VALUE!</v>
      </c>
      <c r="P60" s="244" t="e">
        <f aca="false">J60+(IF($L$2=TRUE(),IF(MONTH(B60)&gt;=4,IF(MONTH(B60)&lt;=10,L60,M60),M60),0))+(IF('Pricing Inputs'!$AN$3=2,O60,0))</f>
        <v>#VALUE!</v>
      </c>
      <c r="Q60" s="244"/>
      <c r="R60" s="245" t="e">
        <f aca="false">B60</f>
        <v>#VALUE!</v>
      </c>
      <c r="S60" s="246" t="n">
        <f aca="false">T60-$S$16</f>
        <v>0.88</v>
      </c>
      <c r="T60" s="241" t="n">
        <f aca="false">D60</f>
        <v>0.95</v>
      </c>
      <c r="U60" s="247" t="n">
        <f aca="false">$U$16+T60</f>
        <v>1.02</v>
      </c>
      <c r="BP60" s="205" t="n">
        <f aca="false">BP59+BV60</f>
        <v>59</v>
      </c>
      <c r="BQ60" s="206" t="s">
        <v>490</v>
      </c>
      <c r="BR60" s="201" t="s">
        <v>203</v>
      </c>
      <c r="BS60" s="132" t="s">
        <v>334</v>
      </c>
      <c r="BT60" s="209" t="s">
        <v>205</v>
      </c>
      <c r="BU60" s="209"/>
      <c r="BV60" s="132" t="n">
        <v>1</v>
      </c>
      <c r="BW60" s="201" t="s">
        <v>491</v>
      </c>
      <c r="BX60" s="0"/>
      <c r="BZ60" s="205" t="n">
        <f aca="false">BZ59+CF60</f>
        <v>59</v>
      </c>
      <c r="CA60" s="63" t="s">
        <v>492</v>
      </c>
      <c r="CB60" s="201" t="s">
        <v>207</v>
      </c>
      <c r="CC60" s="132" t="s">
        <v>204</v>
      </c>
      <c r="CD60" s="209" t="s">
        <v>205</v>
      </c>
      <c r="CE60" s="209"/>
      <c r="CF60" s="132" t="n">
        <v>1</v>
      </c>
      <c r="CG60" s="201" t="s">
        <v>493</v>
      </c>
      <c r="CH60" s="0"/>
    </row>
    <row r="61" customFormat="false" ht="12.75" hidden="false" customHeight="false" outlineLevel="0" collapsed="false">
      <c r="A61" s="242"/>
      <c r="B61" s="192" t="e">
        <f aca="false">NextMonth(B60)</f>
        <v>#VALUE!</v>
      </c>
      <c r="C61" s="193" t="n">
        <v>0.072477207181795</v>
      </c>
      <c r="D61" s="248" t="n">
        <v>1.25</v>
      </c>
      <c r="E61" s="248" t="n">
        <v>1.25</v>
      </c>
      <c r="F61" s="248" t="n">
        <v>0.164</v>
      </c>
      <c r="G61" s="248" t="n">
        <v>0.1715</v>
      </c>
      <c r="H61" s="248" t="n">
        <v>0.179</v>
      </c>
      <c r="I61" s="244" t="n">
        <v>2.9715</v>
      </c>
      <c r="J61" s="248" t="n">
        <v>2.9765</v>
      </c>
      <c r="K61" s="193" t="n">
        <v>2.9815</v>
      </c>
      <c r="L61" s="248" t="n">
        <v>-0.0775</v>
      </c>
      <c r="M61" s="193" t="n">
        <v>1.01</v>
      </c>
      <c r="O61" s="189" t="e">
        <f aca="false">(IF(MONTH(B61)&gt;=4,IF(MONTH(B61)&lt;=10,Inputs!$H$2,Inputs!$H$3),Inputs!$H$3))</f>
        <v>#VALUE!</v>
      </c>
      <c r="P61" s="244" t="e">
        <f aca="false">J61+(IF($L$2=TRUE(),IF(MONTH(B61)&gt;=4,IF(MONTH(B61)&lt;=10,L61,M61),M61),0))+(IF('Pricing Inputs'!$AN$3=2,O61,0))</f>
        <v>#VALUE!</v>
      </c>
      <c r="Q61" s="244"/>
      <c r="R61" s="245" t="e">
        <f aca="false">B61</f>
        <v>#VALUE!</v>
      </c>
      <c r="S61" s="246" t="n">
        <f aca="false">T61-$S$16</f>
        <v>1.18</v>
      </c>
      <c r="T61" s="241" t="n">
        <f aca="false">D61</f>
        <v>1.25</v>
      </c>
      <c r="U61" s="247" t="n">
        <f aca="false">$U$16+T61</f>
        <v>1.32</v>
      </c>
      <c r="BP61" s="205" t="n">
        <f aca="false">BP60+BV61</f>
        <v>60</v>
      </c>
      <c r="BQ61" s="206" t="s">
        <v>494</v>
      </c>
      <c r="BR61" s="201" t="s">
        <v>203</v>
      </c>
      <c r="BS61" s="132" t="s">
        <v>334</v>
      </c>
      <c r="BT61" s="209" t="s">
        <v>205</v>
      </c>
      <c r="BU61" s="209"/>
      <c r="BV61" s="132" t="n">
        <v>1</v>
      </c>
      <c r="BW61" s="201" t="s">
        <v>495</v>
      </c>
      <c r="BX61" s="0"/>
      <c r="BZ61" s="205" t="n">
        <f aca="false">BZ60+CF61</f>
        <v>60</v>
      </c>
      <c r="CA61" s="63" t="s">
        <v>496</v>
      </c>
      <c r="CB61" s="201" t="s">
        <v>207</v>
      </c>
      <c r="CC61" s="132" t="s">
        <v>204</v>
      </c>
      <c r="CD61" s="209" t="s">
        <v>205</v>
      </c>
      <c r="CE61" s="209"/>
      <c r="CF61" s="132" t="n">
        <v>1</v>
      </c>
      <c r="CG61" s="201" t="s">
        <v>497</v>
      </c>
      <c r="CH61" s="0"/>
    </row>
    <row r="62" customFormat="false" ht="12.75" hidden="false" customHeight="false" outlineLevel="0" collapsed="false">
      <c r="A62" s="242"/>
      <c r="B62" s="192" t="e">
        <f aca="false">NextMonth(B61)</f>
        <v>#VALUE!</v>
      </c>
      <c r="C62" s="193" t="n">
        <v>0.072526454080711</v>
      </c>
      <c r="D62" s="248" t="n">
        <v>1.45</v>
      </c>
      <c r="E62" s="248" t="n">
        <v>1.45</v>
      </c>
      <c r="F62" s="248" t="n">
        <v>0.1665</v>
      </c>
      <c r="G62" s="248" t="n">
        <v>0.174</v>
      </c>
      <c r="H62" s="248" t="n">
        <v>0.1815</v>
      </c>
      <c r="I62" s="244" t="n">
        <v>3.01</v>
      </c>
      <c r="J62" s="248" t="n">
        <v>3.015</v>
      </c>
      <c r="K62" s="193" t="n">
        <v>3.02</v>
      </c>
      <c r="L62" s="248" t="n">
        <v>-0.0775</v>
      </c>
      <c r="M62" s="193" t="n">
        <v>1.465</v>
      </c>
      <c r="O62" s="189" t="e">
        <f aca="false">(IF(MONTH(B62)&gt;=4,IF(MONTH(B62)&lt;=10,Inputs!$H$2,Inputs!$H$3),Inputs!$H$3))</f>
        <v>#VALUE!</v>
      </c>
      <c r="P62" s="244" t="e">
        <f aca="false">J62+(IF($L$2=TRUE(),IF(MONTH(B62)&gt;=4,IF(MONTH(B62)&lt;=10,L62,M62),M62),0))+(IF('Pricing Inputs'!$AN$3=2,O62,0))</f>
        <v>#VALUE!</v>
      </c>
      <c r="Q62" s="244"/>
      <c r="R62" s="245" t="e">
        <f aca="false">B62</f>
        <v>#VALUE!</v>
      </c>
      <c r="S62" s="246" t="n">
        <f aca="false">T62-$S$16</f>
        <v>1.38</v>
      </c>
      <c r="T62" s="241" t="n">
        <f aca="false">D62</f>
        <v>1.45</v>
      </c>
      <c r="U62" s="247" t="n">
        <f aca="false">$U$16+T62</f>
        <v>1.52</v>
      </c>
      <c r="BP62" s="205" t="n">
        <f aca="false">BP61+BV62</f>
        <v>61</v>
      </c>
      <c r="BQ62" s="206" t="s">
        <v>498</v>
      </c>
      <c r="BR62" s="201" t="s">
        <v>203</v>
      </c>
      <c r="BS62" s="132" t="s">
        <v>334</v>
      </c>
      <c r="BT62" s="209" t="s">
        <v>205</v>
      </c>
      <c r="BU62" s="209"/>
      <c r="BV62" s="132" t="n">
        <v>1</v>
      </c>
      <c r="BW62" s="201" t="s">
        <v>499</v>
      </c>
      <c r="BX62" s="0"/>
      <c r="BZ62" s="205" t="n">
        <f aca="false">BZ61+CF62</f>
        <v>61</v>
      </c>
      <c r="CA62" s="63" t="s">
        <v>500</v>
      </c>
      <c r="CB62" s="201" t="s">
        <v>207</v>
      </c>
      <c r="CC62" s="132" t="s">
        <v>204</v>
      </c>
      <c r="CD62" s="209" t="s">
        <v>205</v>
      </c>
      <c r="CE62" s="209"/>
      <c r="CF62" s="132" t="n">
        <v>1</v>
      </c>
      <c r="CG62" s="201" t="s">
        <v>501</v>
      </c>
      <c r="CH62" s="0"/>
    </row>
    <row r="63" customFormat="false" ht="12.75" hidden="false" customHeight="false" outlineLevel="0" collapsed="false">
      <c r="A63" s="242"/>
      <c r="B63" s="192" t="e">
        <f aca="false">NextMonth(B62)</f>
        <v>#VALUE!</v>
      </c>
      <c r="C63" s="193" t="n">
        <v>0.072579762865304</v>
      </c>
      <c r="D63" s="248" t="n">
        <v>1.45</v>
      </c>
      <c r="E63" s="248" t="n">
        <v>1.45</v>
      </c>
      <c r="F63" s="248" t="n">
        <v>0.165</v>
      </c>
      <c r="G63" s="248" t="n">
        <v>0.1725</v>
      </c>
      <c r="H63" s="248" t="n">
        <v>0.18</v>
      </c>
      <c r="I63" s="244" t="n">
        <v>2.892</v>
      </c>
      <c r="J63" s="248" t="n">
        <v>2.897</v>
      </c>
      <c r="K63" s="193" t="n">
        <v>2.902</v>
      </c>
      <c r="L63" s="248" t="n">
        <v>-0.075625</v>
      </c>
      <c r="M63" s="193" t="n">
        <v>1.365</v>
      </c>
      <c r="O63" s="189" t="e">
        <f aca="false">(IF(MONTH(B63)&gt;=4,IF(MONTH(B63)&lt;=10,Inputs!$H$2,Inputs!$H$3),Inputs!$H$3))</f>
        <v>#VALUE!</v>
      </c>
      <c r="P63" s="244" t="e">
        <f aca="false">J63+(IF($L$2=TRUE(),IF(MONTH(B63)&gt;=4,IF(MONTH(B63)&lt;=10,L63,M63),M63),0))+(IF('Pricing Inputs'!$AN$3=2,O63,0))</f>
        <v>#VALUE!</v>
      </c>
      <c r="Q63" s="244"/>
      <c r="R63" s="245" t="e">
        <f aca="false">B63</f>
        <v>#VALUE!</v>
      </c>
      <c r="S63" s="246" t="n">
        <f aca="false">T63-$S$16</f>
        <v>1.38</v>
      </c>
      <c r="T63" s="241" t="n">
        <f aca="false">D63</f>
        <v>1.45</v>
      </c>
      <c r="U63" s="247" t="n">
        <f aca="false">$U$16+T63</f>
        <v>1.52</v>
      </c>
      <c r="BP63" s="205" t="n">
        <f aca="false">BP62+BV63</f>
        <v>62</v>
      </c>
      <c r="BQ63" s="206" t="s">
        <v>502</v>
      </c>
      <c r="BR63" s="201" t="s">
        <v>203</v>
      </c>
      <c r="BS63" s="132" t="s">
        <v>334</v>
      </c>
      <c r="BT63" s="209" t="s">
        <v>205</v>
      </c>
      <c r="BU63" s="209"/>
      <c r="BV63" s="132" t="n">
        <v>1</v>
      </c>
      <c r="BW63" s="201" t="s">
        <v>503</v>
      </c>
      <c r="BX63" s="0"/>
      <c r="BZ63" s="205" t="n">
        <f aca="false">BZ62+CF63</f>
        <v>62</v>
      </c>
      <c r="CA63" s="63" t="s">
        <v>504</v>
      </c>
      <c r="CB63" s="201" t="s">
        <v>207</v>
      </c>
      <c r="CC63" s="132" t="s">
        <v>204</v>
      </c>
      <c r="CD63" s="209" t="s">
        <v>205</v>
      </c>
      <c r="CE63" s="209"/>
      <c r="CF63" s="132" t="n">
        <v>1</v>
      </c>
      <c r="CG63" s="201" t="s">
        <v>505</v>
      </c>
      <c r="CH63" s="0"/>
    </row>
    <row r="64" customFormat="false" ht="12.75" hidden="false" customHeight="false" outlineLevel="0" collapsed="false">
      <c r="A64" s="242"/>
      <c r="B64" s="192" t="e">
        <f aca="false">NextMonth(B63)</f>
        <v>#VALUE!</v>
      </c>
      <c r="C64" s="193" t="n">
        <v>0.07262963237432</v>
      </c>
      <c r="D64" s="248" t="n">
        <v>1</v>
      </c>
      <c r="E64" s="248" t="n">
        <v>1</v>
      </c>
      <c r="F64" s="248" t="n">
        <v>0.1625</v>
      </c>
      <c r="G64" s="248" t="n">
        <v>0.17</v>
      </c>
      <c r="H64" s="248" t="n">
        <v>0.1775</v>
      </c>
      <c r="I64" s="244" t="n">
        <v>2.772</v>
      </c>
      <c r="J64" s="248" t="n">
        <v>2.777</v>
      </c>
      <c r="K64" s="193" t="n">
        <v>2.782</v>
      </c>
      <c r="L64" s="248" t="n">
        <v>-0.07</v>
      </c>
      <c r="M64" s="193" t="n">
        <v>0.855</v>
      </c>
      <c r="O64" s="189" t="e">
        <f aca="false">(IF(MONTH(B64)&gt;=4,IF(MONTH(B64)&lt;=10,Inputs!$H$2,Inputs!$H$3),Inputs!$H$3))</f>
        <v>#VALUE!</v>
      </c>
      <c r="P64" s="244" t="e">
        <f aca="false">J64+(IF($L$2=TRUE(),IF(MONTH(B64)&gt;=4,IF(MONTH(B64)&lt;=10,L64,M64),M64),0))+(IF('Pricing Inputs'!$AN$3=2,O64,0))</f>
        <v>#VALUE!</v>
      </c>
      <c r="Q64" s="244"/>
      <c r="R64" s="245" t="e">
        <f aca="false">B64</f>
        <v>#VALUE!</v>
      </c>
      <c r="S64" s="246" t="n">
        <f aca="false">T64-$S$16</f>
        <v>0.93</v>
      </c>
      <c r="T64" s="241" t="n">
        <f aca="false">D64</f>
        <v>1</v>
      </c>
      <c r="U64" s="247" t="n">
        <f aca="false">$U$16+T64</f>
        <v>1.07</v>
      </c>
      <c r="BP64" s="205" t="n">
        <f aca="false">BP63+BV64</f>
        <v>63</v>
      </c>
      <c r="BQ64" s="206" t="s">
        <v>506</v>
      </c>
      <c r="BR64" s="201" t="s">
        <v>203</v>
      </c>
      <c r="BS64" s="132" t="s">
        <v>334</v>
      </c>
      <c r="BT64" s="209" t="s">
        <v>205</v>
      </c>
      <c r="BU64" s="209"/>
      <c r="BV64" s="132" t="n">
        <v>1</v>
      </c>
      <c r="BW64" s="201" t="s">
        <v>507</v>
      </c>
      <c r="BX64" s="0"/>
      <c r="BZ64" s="205" t="n">
        <f aca="false">BZ63+CF64</f>
        <v>63</v>
      </c>
      <c r="CA64" s="63" t="s">
        <v>508</v>
      </c>
      <c r="CB64" s="201" t="s">
        <v>207</v>
      </c>
      <c r="CC64" s="132" t="s">
        <v>204</v>
      </c>
      <c r="CD64" s="209" t="s">
        <v>205</v>
      </c>
      <c r="CE64" s="209"/>
      <c r="CF64" s="132" t="n">
        <v>1</v>
      </c>
      <c r="CG64" s="201" t="s">
        <v>509</v>
      </c>
      <c r="CH64" s="0"/>
    </row>
    <row r="65" customFormat="false" ht="12.75" hidden="false" customHeight="false" outlineLevel="0" collapsed="false">
      <c r="A65" s="242"/>
      <c r="B65" s="192" t="e">
        <f aca="false">NextMonth(B64)</f>
        <v>#VALUE!</v>
      </c>
      <c r="C65" s="193" t="n">
        <v>0.0726751478777</v>
      </c>
      <c r="D65" s="248" t="n">
        <v>0.45</v>
      </c>
      <c r="E65" s="248" t="n">
        <v>0.45</v>
      </c>
      <c r="F65" s="248" t="n">
        <v>0.16</v>
      </c>
      <c r="G65" s="248" t="n">
        <v>0.1675</v>
      </c>
      <c r="H65" s="248" t="n">
        <v>0.175</v>
      </c>
      <c r="I65" s="244" t="n">
        <v>2.7225</v>
      </c>
      <c r="J65" s="248" t="n">
        <v>2.7275</v>
      </c>
      <c r="K65" s="193" t="n">
        <v>2.7325</v>
      </c>
      <c r="L65" s="248" t="n">
        <v>-0.066875</v>
      </c>
      <c r="M65" s="193" t="n">
        <v>0.37</v>
      </c>
      <c r="O65" s="189" t="e">
        <f aca="false">(IF(MONTH(B65)&gt;=4,IF(MONTH(B65)&lt;=10,Inputs!$H$2,Inputs!$H$3),Inputs!$H$3))</f>
        <v>#VALUE!</v>
      </c>
      <c r="P65" s="244" t="e">
        <f aca="false">J65+(IF($L$2=TRUE(),IF(MONTH(B65)&gt;=4,IF(MONTH(B65)&lt;=10,L65,M65),M65),0))+(IF('Pricing Inputs'!$AN$3=2,O65,0))</f>
        <v>#VALUE!</v>
      </c>
      <c r="Q65" s="244"/>
      <c r="R65" s="245" t="e">
        <f aca="false">B65</f>
        <v>#VALUE!</v>
      </c>
      <c r="S65" s="246" t="n">
        <f aca="false">T65-$S$16</f>
        <v>0.38</v>
      </c>
      <c r="T65" s="241" t="n">
        <f aca="false">D65</f>
        <v>0.45</v>
      </c>
      <c r="U65" s="247" t="n">
        <f aca="false">$U$16+T65</f>
        <v>0.52</v>
      </c>
      <c r="BP65" s="205" t="n">
        <f aca="false">BP64+BV65</f>
        <v>64</v>
      </c>
      <c r="BQ65" s="206" t="s">
        <v>510</v>
      </c>
      <c r="BR65" s="201" t="s">
        <v>203</v>
      </c>
      <c r="BS65" s="132" t="s">
        <v>334</v>
      </c>
      <c r="BT65" s="209" t="s">
        <v>205</v>
      </c>
      <c r="BU65" s="209"/>
      <c r="BV65" s="132" t="n">
        <v>1</v>
      </c>
      <c r="BW65" s="201" t="s">
        <v>511</v>
      </c>
      <c r="BX65" s="0"/>
      <c r="BZ65" s="205" t="n">
        <f aca="false">BZ64+CF65</f>
        <v>64</v>
      </c>
      <c r="CA65" s="63" t="s">
        <v>512</v>
      </c>
      <c r="CB65" s="201" t="s">
        <v>207</v>
      </c>
      <c r="CC65" s="132" t="s">
        <v>204</v>
      </c>
      <c r="CD65" s="209" t="s">
        <v>205</v>
      </c>
      <c r="CE65" s="209"/>
      <c r="CF65" s="132" t="n">
        <v>1</v>
      </c>
      <c r="CG65" s="201" t="s">
        <v>513</v>
      </c>
      <c r="CH65" s="0"/>
    </row>
    <row r="66" customFormat="false" ht="12.75" hidden="false" customHeight="false" outlineLevel="0" collapsed="false">
      <c r="A66" s="242"/>
      <c r="B66" s="192" t="e">
        <f aca="false">NextMonth(B65)</f>
        <v>#VALUE!</v>
      </c>
      <c r="C66" s="193" t="n">
        <v>0.072711150460336</v>
      </c>
      <c r="D66" s="248" t="n">
        <v>0.5</v>
      </c>
      <c r="E66" s="248" t="n">
        <v>0.5</v>
      </c>
      <c r="F66" s="248" t="n">
        <v>0.158</v>
      </c>
      <c r="G66" s="248" t="n">
        <v>0.1655</v>
      </c>
      <c r="H66" s="248" t="n">
        <v>0.173</v>
      </c>
      <c r="I66" s="244" t="n">
        <v>2.6965</v>
      </c>
      <c r="J66" s="248" t="n">
        <v>2.7015</v>
      </c>
      <c r="K66" s="193" t="n">
        <v>2.7065</v>
      </c>
      <c r="L66" s="248" t="n">
        <v>-0.065625</v>
      </c>
      <c r="M66" s="193" t="n">
        <v>0.2525</v>
      </c>
      <c r="O66" s="189" t="e">
        <f aca="false">(IF(MONTH(B66)&gt;=4,IF(MONTH(B66)&lt;=10,Inputs!$H$2,Inputs!$H$3),Inputs!$H$3))</f>
        <v>#VALUE!</v>
      </c>
      <c r="P66" s="244" t="e">
        <f aca="false">J66+(IF($L$2=TRUE(),IF(MONTH(B66)&gt;=4,IF(MONTH(B66)&lt;=10,L66,M66),M66),0))+(IF('Pricing Inputs'!$AN$3=2,O66,0))</f>
        <v>#VALUE!</v>
      </c>
      <c r="Q66" s="244"/>
      <c r="R66" s="245" t="e">
        <f aca="false">B66</f>
        <v>#VALUE!</v>
      </c>
      <c r="S66" s="246" t="n">
        <f aca="false">T66-$S$16</f>
        <v>0.43</v>
      </c>
      <c r="T66" s="241" t="n">
        <f aca="false">D66</f>
        <v>0.5</v>
      </c>
      <c r="U66" s="247" t="n">
        <f aca="false">$U$16+T66</f>
        <v>0.57</v>
      </c>
      <c r="BP66" s="205" t="n">
        <f aca="false">BP65+BV66</f>
        <v>65</v>
      </c>
      <c r="BQ66" s="206" t="s">
        <v>514</v>
      </c>
      <c r="BR66" s="201" t="s">
        <v>203</v>
      </c>
      <c r="BS66" s="132" t="s">
        <v>334</v>
      </c>
      <c r="BT66" s="209" t="s">
        <v>205</v>
      </c>
      <c r="BU66" s="209"/>
      <c r="BV66" s="132" t="n">
        <v>1</v>
      </c>
      <c r="BW66" s="201" t="s">
        <v>515</v>
      </c>
      <c r="BX66" s="0"/>
      <c r="BZ66" s="205" t="n">
        <f aca="false">BZ65+CF66</f>
        <v>65</v>
      </c>
      <c r="CA66" s="63" t="s">
        <v>516</v>
      </c>
      <c r="CB66" s="201" t="s">
        <v>207</v>
      </c>
      <c r="CC66" s="132" t="s">
        <v>204</v>
      </c>
      <c r="CD66" s="209" t="s">
        <v>205</v>
      </c>
      <c r="CE66" s="209"/>
      <c r="CF66" s="132" t="n">
        <v>1</v>
      </c>
      <c r="CG66" s="201" t="s">
        <v>517</v>
      </c>
      <c r="CH66" s="0"/>
    </row>
    <row r="67" customFormat="false" ht="12.75" hidden="false" customHeight="false" outlineLevel="0" collapsed="false">
      <c r="A67" s="242"/>
      <c r="B67" s="192" t="e">
        <f aca="false">NextMonth(B66)</f>
        <v>#VALUE!</v>
      </c>
      <c r="C67" s="193" t="n">
        <v>0.072748353129509</v>
      </c>
      <c r="D67" s="248" t="n">
        <v>0.5</v>
      </c>
      <c r="E67" s="248" t="n">
        <v>0.5</v>
      </c>
      <c r="F67" s="248" t="n">
        <v>0.1577</v>
      </c>
      <c r="G67" s="248" t="n">
        <v>0.1652</v>
      </c>
      <c r="H67" s="248" t="n">
        <v>0.1727</v>
      </c>
      <c r="I67" s="244" t="n">
        <v>2.7025</v>
      </c>
      <c r="J67" s="248" t="n">
        <v>2.7075</v>
      </c>
      <c r="K67" s="193" t="n">
        <v>2.7125</v>
      </c>
      <c r="L67" s="248" t="n">
        <v>-0.065625</v>
      </c>
      <c r="M67" s="193" t="n">
        <v>0.2525</v>
      </c>
      <c r="O67" s="189" t="e">
        <f aca="false">(IF(MONTH(B67)&gt;=4,IF(MONTH(B67)&lt;=10,Inputs!$H$2,Inputs!$H$3),Inputs!$H$3))</f>
        <v>#VALUE!</v>
      </c>
      <c r="P67" s="244" t="e">
        <f aca="false">J67+(IF($L$2=TRUE(),IF(MONTH(B67)&gt;=4,IF(MONTH(B67)&lt;=10,L67,M67),M67),0))+(IF('Pricing Inputs'!$AN$3=2,O67,0))</f>
        <v>#VALUE!</v>
      </c>
      <c r="Q67" s="244"/>
      <c r="R67" s="245" t="e">
        <f aca="false">B67</f>
        <v>#VALUE!</v>
      </c>
      <c r="S67" s="246" t="n">
        <f aca="false">T67-$S$16</f>
        <v>0.43</v>
      </c>
      <c r="T67" s="241" t="n">
        <f aca="false">D67</f>
        <v>0.5</v>
      </c>
      <c r="U67" s="247" t="n">
        <f aca="false">$U$16+T67</f>
        <v>0.57</v>
      </c>
      <c r="BP67" s="205" t="n">
        <f aca="false">BP66+BV67</f>
        <v>66</v>
      </c>
      <c r="BQ67" s="206" t="s">
        <v>518</v>
      </c>
      <c r="BR67" s="201" t="s">
        <v>203</v>
      </c>
      <c r="BS67" s="132" t="s">
        <v>334</v>
      </c>
      <c r="BT67" s="209" t="s">
        <v>205</v>
      </c>
      <c r="BU67" s="209"/>
      <c r="BV67" s="132" t="n">
        <v>1</v>
      </c>
      <c r="BW67" s="201" t="s">
        <v>519</v>
      </c>
      <c r="BX67" s="0"/>
      <c r="BZ67" s="205" t="n">
        <f aca="false">BZ66+CF67</f>
        <v>66</v>
      </c>
      <c r="CA67" s="63" t="s">
        <v>520</v>
      </c>
      <c r="CB67" s="201" t="s">
        <v>207</v>
      </c>
      <c r="CC67" s="132" t="s">
        <v>204</v>
      </c>
      <c r="CD67" s="209" t="s">
        <v>205</v>
      </c>
      <c r="CE67" s="209"/>
      <c r="CF67" s="132" t="n">
        <v>1</v>
      </c>
      <c r="CG67" s="201" t="s">
        <v>521</v>
      </c>
      <c r="CH67" s="0"/>
    </row>
    <row r="68" customFormat="false" ht="12.75" hidden="false" customHeight="false" outlineLevel="0" collapsed="false">
      <c r="A68" s="242"/>
      <c r="B68" s="192" t="e">
        <f aca="false">NextMonth(B67)</f>
        <v>#VALUE!</v>
      </c>
      <c r="C68" s="193" t="n">
        <v>0.072784355713015</v>
      </c>
      <c r="D68" s="248" t="n">
        <v>0.5</v>
      </c>
      <c r="E68" s="248" t="n">
        <v>0.5</v>
      </c>
      <c r="F68" s="248" t="n">
        <v>0.1574</v>
      </c>
      <c r="G68" s="248" t="n">
        <v>0.1649</v>
      </c>
      <c r="H68" s="248" t="n">
        <v>0.1724</v>
      </c>
      <c r="I68" s="244" t="n">
        <v>2.7125</v>
      </c>
      <c r="J68" s="248" t="n">
        <v>2.7175</v>
      </c>
      <c r="K68" s="193" t="n">
        <v>2.7225</v>
      </c>
      <c r="L68" s="248" t="n">
        <v>-0.065</v>
      </c>
      <c r="M68" s="193" t="n">
        <v>0.2575</v>
      </c>
      <c r="O68" s="189" t="e">
        <f aca="false">(IF(MONTH(B68)&gt;=4,IF(MONTH(B68)&lt;=10,Inputs!$H$2,Inputs!$H$3),Inputs!$H$3))</f>
        <v>#VALUE!</v>
      </c>
      <c r="P68" s="244" t="e">
        <f aca="false">J68+(IF($L$2=TRUE(),IF(MONTH(B68)&gt;=4,IF(MONTH(B68)&lt;=10,L68,M68),M68),0))+(IF('Pricing Inputs'!$AN$3=2,O68,0))</f>
        <v>#VALUE!</v>
      </c>
      <c r="Q68" s="244"/>
      <c r="R68" s="245" t="e">
        <f aca="false">B68</f>
        <v>#VALUE!</v>
      </c>
      <c r="S68" s="246" t="n">
        <f aca="false">T68-$S$16</f>
        <v>0.43</v>
      </c>
      <c r="T68" s="241" t="n">
        <f aca="false">D68</f>
        <v>0.5</v>
      </c>
      <c r="U68" s="247" t="n">
        <f aca="false">$U$16+T68</f>
        <v>0.57</v>
      </c>
      <c r="BP68" s="205" t="n">
        <f aca="false">BP67+BV68</f>
        <v>67</v>
      </c>
      <c r="BQ68" s="206" t="s">
        <v>522</v>
      </c>
      <c r="BR68" s="201" t="s">
        <v>203</v>
      </c>
      <c r="BS68" s="132" t="s">
        <v>334</v>
      </c>
      <c r="BT68" s="209" t="s">
        <v>205</v>
      </c>
      <c r="BU68" s="209"/>
      <c r="BV68" s="132" t="n">
        <v>1</v>
      </c>
      <c r="BW68" s="201" t="s">
        <v>523</v>
      </c>
      <c r="BX68" s="0"/>
      <c r="BZ68" s="205" t="n">
        <f aca="false">BZ67+CF68</f>
        <v>67</v>
      </c>
      <c r="CA68" s="63" t="s">
        <v>524</v>
      </c>
      <c r="CB68" s="201" t="s">
        <v>207</v>
      </c>
      <c r="CC68" s="132" t="s">
        <v>204</v>
      </c>
      <c r="CD68" s="209" t="s">
        <v>205</v>
      </c>
      <c r="CE68" s="209"/>
      <c r="CF68" s="132" t="n">
        <v>1</v>
      </c>
      <c r="CG68" s="201" t="s">
        <v>525</v>
      </c>
      <c r="CH68" s="0"/>
    </row>
    <row r="69" customFormat="false" ht="12.75" hidden="false" customHeight="false" outlineLevel="0" collapsed="false">
      <c r="A69" s="242"/>
      <c r="B69" s="192" t="e">
        <f aca="false">NextMonth(B68)</f>
        <v>#VALUE!</v>
      </c>
      <c r="C69" s="193" t="n">
        <v>0.072821558383088</v>
      </c>
      <c r="D69" s="248" t="n">
        <v>0.6</v>
      </c>
      <c r="E69" s="248" t="n">
        <v>0.6</v>
      </c>
      <c r="F69" s="248" t="n">
        <v>0.1571</v>
      </c>
      <c r="G69" s="248" t="n">
        <v>0.1646</v>
      </c>
      <c r="H69" s="248" t="n">
        <v>0.1721</v>
      </c>
      <c r="I69" s="244" t="n">
        <v>2.7195</v>
      </c>
      <c r="J69" s="248" t="n">
        <v>2.7245</v>
      </c>
      <c r="K69" s="193" t="n">
        <v>2.7295</v>
      </c>
      <c r="L69" s="248" t="n">
        <v>-0.065</v>
      </c>
      <c r="M69" s="193" t="n">
        <v>0.2575</v>
      </c>
      <c r="O69" s="189" t="e">
        <f aca="false">(IF(MONTH(B69)&gt;=4,IF(MONTH(B69)&lt;=10,Inputs!$H$2,Inputs!$H$3),Inputs!$H$3))</f>
        <v>#VALUE!</v>
      </c>
      <c r="P69" s="244" t="e">
        <f aca="false">J69+(IF($L$2=TRUE(),IF(MONTH(B69)&gt;=4,IF(MONTH(B69)&lt;=10,L69,M69),M69),0))+(IF('Pricing Inputs'!$AN$3=2,O69,0))</f>
        <v>#VALUE!</v>
      </c>
      <c r="Q69" s="244"/>
      <c r="R69" s="245" t="e">
        <f aca="false">B69</f>
        <v>#VALUE!</v>
      </c>
      <c r="S69" s="246" t="n">
        <f aca="false">T69-$S$16</f>
        <v>0.53</v>
      </c>
      <c r="T69" s="241" t="n">
        <f aca="false">D69</f>
        <v>0.6</v>
      </c>
      <c r="U69" s="247" t="n">
        <f aca="false">$U$16+T69</f>
        <v>0.67</v>
      </c>
      <c r="BP69" s="205" t="n">
        <f aca="false">BP68+BV69</f>
        <v>68</v>
      </c>
      <c r="BQ69" s="206" t="s">
        <v>526</v>
      </c>
      <c r="BR69" s="201" t="s">
        <v>203</v>
      </c>
      <c r="BS69" s="132" t="s">
        <v>334</v>
      </c>
      <c r="BT69" s="209" t="s">
        <v>205</v>
      </c>
      <c r="BU69" s="209"/>
      <c r="BV69" s="132" t="n">
        <v>1</v>
      </c>
      <c r="BW69" s="201" t="s">
        <v>527</v>
      </c>
      <c r="BX69" s="0"/>
      <c r="BZ69" s="205" t="n">
        <f aca="false">BZ68+CF69</f>
        <v>68</v>
      </c>
      <c r="CA69" s="63" t="s">
        <v>528</v>
      </c>
      <c r="CB69" s="201" t="s">
        <v>207</v>
      </c>
      <c r="CC69" s="132" t="s">
        <v>204</v>
      </c>
      <c r="CD69" s="209" t="s">
        <v>205</v>
      </c>
      <c r="CE69" s="209"/>
      <c r="CF69" s="132" t="n">
        <v>1</v>
      </c>
      <c r="CG69" s="201" t="s">
        <v>529</v>
      </c>
      <c r="CH69" s="0"/>
    </row>
    <row r="70" customFormat="false" ht="12.75" hidden="false" customHeight="false" outlineLevel="0" collapsed="false">
      <c r="A70" s="242"/>
      <c r="B70" s="192" t="e">
        <f aca="false">NextMonth(B69)</f>
        <v>#VALUE!</v>
      </c>
      <c r="C70" s="193" t="n">
        <v>0.072858761053618</v>
      </c>
      <c r="D70" s="248" t="n">
        <v>0.6</v>
      </c>
      <c r="E70" s="248" t="n">
        <v>0.6</v>
      </c>
      <c r="F70" s="248" t="n">
        <v>0.1568</v>
      </c>
      <c r="G70" s="248" t="n">
        <v>0.1643</v>
      </c>
      <c r="H70" s="248" t="n">
        <v>0.1718</v>
      </c>
      <c r="I70" s="244" t="n">
        <v>2.7265</v>
      </c>
      <c r="J70" s="248" t="n">
        <v>2.7315</v>
      </c>
      <c r="K70" s="193" t="n">
        <v>2.7365</v>
      </c>
      <c r="L70" s="248" t="n">
        <v>-0.065625</v>
      </c>
      <c r="M70" s="193" t="n">
        <v>0.2525</v>
      </c>
      <c r="O70" s="189" t="e">
        <f aca="false">(IF(MONTH(B70)&gt;=4,IF(MONTH(B70)&lt;=10,Inputs!$H$2,Inputs!$H$3),Inputs!$H$3))</f>
        <v>#VALUE!</v>
      </c>
      <c r="P70" s="244" t="e">
        <f aca="false">J70+(IF($L$2=TRUE(),IF(MONTH(B70)&gt;=4,IF(MONTH(B70)&lt;=10,L70,M70),M70),0))+(IF('Pricing Inputs'!$AN$3=2,O70,0))</f>
        <v>#VALUE!</v>
      </c>
      <c r="Q70" s="244"/>
      <c r="R70" s="245" t="e">
        <f aca="false">B70</f>
        <v>#VALUE!</v>
      </c>
      <c r="S70" s="246" t="n">
        <f aca="false">T70-$S$16</f>
        <v>0.53</v>
      </c>
      <c r="T70" s="241" t="n">
        <f aca="false">D70</f>
        <v>0.6</v>
      </c>
      <c r="U70" s="247" t="n">
        <f aca="false">$U$16+T70</f>
        <v>0.67</v>
      </c>
      <c r="BP70" s="205" t="n">
        <f aca="false">BP69+BV70</f>
        <v>69</v>
      </c>
      <c r="BQ70" s="206" t="s">
        <v>530</v>
      </c>
      <c r="BR70" s="201" t="s">
        <v>203</v>
      </c>
      <c r="BS70" s="132" t="s">
        <v>334</v>
      </c>
      <c r="BT70" s="209" t="s">
        <v>205</v>
      </c>
      <c r="BU70" s="209"/>
      <c r="BV70" s="132" t="n">
        <v>1</v>
      </c>
      <c r="BW70" s="201" t="s">
        <v>531</v>
      </c>
      <c r="BX70" s="0"/>
      <c r="BZ70" s="205" t="n">
        <f aca="false">BZ69+CF70</f>
        <v>69</v>
      </c>
      <c r="CA70" s="63" t="s">
        <v>532</v>
      </c>
      <c r="CB70" s="201" t="s">
        <v>207</v>
      </c>
      <c r="CC70" s="132" t="s">
        <v>204</v>
      </c>
      <c r="CD70" s="209" t="s">
        <v>205</v>
      </c>
      <c r="CE70" s="209"/>
      <c r="CF70" s="132" t="n">
        <v>1</v>
      </c>
      <c r="CG70" s="201" t="s">
        <v>533</v>
      </c>
      <c r="CH70" s="0"/>
    </row>
    <row r="71" customFormat="false" ht="12.75" hidden="false" customHeight="false" outlineLevel="0" collapsed="false">
      <c r="A71" s="242"/>
      <c r="B71" s="192" t="e">
        <f aca="false">NextMonth(B70)</f>
        <v>#VALUE!</v>
      </c>
      <c r="C71" s="193" t="n">
        <v>0.072894763638437</v>
      </c>
      <c r="D71" s="248" t="n">
        <v>0.65</v>
      </c>
      <c r="E71" s="248" t="n">
        <v>0.65</v>
      </c>
      <c r="F71" s="248" t="n">
        <v>0.1565</v>
      </c>
      <c r="G71" s="248" t="n">
        <v>0.164</v>
      </c>
      <c r="H71" s="248" t="n">
        <v>0.1715</v>
      </c>
      <c r="I71" s="244" t="n">
        <v>2.7525</v>
      </c>
      <c r="J71" s="248" t="n">
        <v>2.7575</v>
      </c>
      <c r="K71" s="193" t="n">
        <v>2.7625</v>
      </c>
      <c r="L71" s="248" t="n">
        <v>-0.065625</v>
      </c>
      <c r="M71" s="193" t="n">
        <v>0.255</v>
      </c>
      <c r="O71" s="189" t="e">
        <f aca="false">(IF(MONTH(B71)&gt;=4,IF(MONTH(B71)&lt;=10,Inputs!$H$2,Inputs!$H$3),Inputs!$H$3))</f>
        <v>#VALUE!</v>
      </c>
      <c r="P71" s="244" t="e">
        <f aca="false">J71+(IF($L$2=TRUE(),IF(MONTH(B71)&gt;=4,IF(MONTH(B71)&lt;=10,L71,M71),M71),0))+(IF('Pricing Inputs'!$AN$3=2,O71,0))</f>
        <v>#VALUE!</v>
      </c>
      <c r="Q71" s="244"/>
      <c r="R71" s="245" t="e">
        <f aca="false">B71</f>
        <v>#VALUE!</v>
      </c>
      <c r="S71" s="246" t="n">
        <f aca="false">T71-$S$16</f>
        <v>0.58</v>
      </c>
      <c r="T71" s="241" t="n">
        <f aca="false">D71</f>
        <v>0.65</v>
      </c>
      <c r="U71" s="247" t="n">
        <f aca="false">$U$16+T71</f>
        <v>0.72</v>
      </c>
      <c r="BP71" s="205" t="n">
        <f aca="false">BP70+BV71</f>
        <v>70</v>
      </c>
      <c r="BQ71" s="206" t="s">
        <v>534</v>
      </c>
      <c r="BR71" s="201" t="s">
        <v>203</v>
      </c>
      <c r="BS71" s="132" t="s">
        <v>334</v>
      </c>
      <c r="BT71" s="209" t="s">
        <v>205</v>
      </c>
      <c r="BU71" s="209"/>
      <c r="BV71" s="132" t="n">
        <v>1</v>
      </c>
      <c r="BW71" s="201" t="s">
        <v>535</v>
      </c>
      <c r="BX71" s="0"/>
      <c r="BZ71" s="205" t="n">
        <f aca="false">BZ70+CF71</f>
        <v>70</v>
      </c>
      <c r="CA71" s="63" t="s">
        <v>536</v>
      </c>
      <c r="CB71" s="201" t="s">
        <v>207</v>
      </c>
      <c r="CC71" s="132" t="s">
        <v>204</v>
      </c>
      <c r="CD71" s="209" t="s">
        <v>205</v>
      </c>
      <c r="CE71" s="209"/>
      <c r="CF71" s="132" t="n">
        <v>1</v>
      </c>
      <c r="CG71" s="201" t="s">
        <v>537</v>
      </c>
      <c r="CH71" s="0"/>
    </row>
    <row r="72" customFormat="false" ht="12.75" hidden="false" customHeight="false" outlineLevel="0" collapsed="false">
      <c r="A72" s="242"/>
      <c r="B72" s="192" t="e">
        <f aca="false">NextMonth(B71)</f>
        <v>#VALUE!</v>
      </c>
      <c r="C72" s="193" t="n">
        <v>0.072931966309865</v>
      </c>
      <c r="D72" s="248" t="n">
        <v>0.95</v>
      </c>
      <c r="E72" s="248" t="n">
        <v>0.95</v>
      </c>
      <c r="F72" s="248" t="n">
        <v>0.1565</v>
      </c>
      <c r="G72" s="248" t="n">
        <v>0.164</v>
      </c>
      <c r="H72" s="248" t="n">
        <v>0.1715</v>
      </c>
      <c r="I72" s="244" t="n">
        <v>2.8875</v>
      </c>
      <c r="J72" s="248" t="n">
        <v>2.8925</v>
      </c>
      <c r="K72" s="193" t="n">
        <v>2.8975</v>
      </c>
      <c r="L72" s="248" t="n">
        <v>-0.06375</v>
      </c>
      <c r="M72" s="193" t="n">
        <v>0.71</v>
      </c>
      <c r="O72" s="189" t="e">
        <f aca="false">(IF(MONTH(B72)&gt;=4,IF(MONTH(B72)&lt;=10,Inputs!$H$2,Inputs!$H$3),Inputs!$H$3))</f>
        <v>#VALUE!</v>
      </c>
      <c r="P72" s="244" t="e">
        <f aca="false">J72+(IF($L$2=TRUE(),IF(MONTH(B72)&gt;=4,IF(MONTH(B72)&lt;=10,L72,M72),M72),0))+(IF('Pricing Inputs'!$AN$3=2,O72,0))</f>
        <v>#VALUE!</v>
      </c>
      <c r="Q72" s="244"/>
      <c r="R72" s="245" t="e">
        <f aca="false">B72</f>
        <v>#VALUE!</v>
      </c>
      <c r="S72" s="246" t="n">
        <f aca="false">T72-$S$16</f>
        <v>0.88</v>
      </c>
      <c r="T72" s="241" t="n">
        <f aca="false">D72</f>
        <v>0.95</v>
      </c>
      <c r="U72" s="247" t="n">
        <f aca="false">$U$16+T72</f>
        <v>1.02</v>
      </c>
      <c r="BP72" s="205" t="n">
        <f aca="false">BP71+BV72</f>
        <v>71</v>
      </c>
      <c r="BQ72" s="206" t="s">
        <v>538</v>
      </c>
      <c r="BR72" s="201" t="s">
        <v>203</v>
      </c>
      <c r="BS72" s="132" t="s">
        <v>334</v>
      </c>
      <c r="BT72" s="209" t="s">
        <v>205</v>
      </c>
      <c r="BU72" s="209"/>
      <c r="BV72" s="132" t="n">
        <v>1</v>
      </c>
      <c r="BW72" s="201" t="s">
        <v>539</v>
      </c>
      <c r="BX72" s="0"/>
      <c r="BZ72" s="205" t="n">
        <f aca="false">BZ71+CF72</f>
        <v>71</v>
      </c>
      <c r="CA72" s="63" t="s">
        <v>540</v>
      </c>
      <c r="CB72" s="201" t="s">
        <v>207</v>
      </c>
      <c r="CC72" s="132" t="s">
        <v>204</v>
      </c>
      <c r="CD72" s="209" t="s">
        <v>205</v>
      </c>
      <c r="CE72" s="209"/>
      <c r="CF72" s="132" t="n">
        <v>1</v>
      </c>
      <c r="CG72" s="201" t="s">
        <v>541</v>
      </c>
      <c r="CH72" s="0"/>
    </row>
    <row r="73" customFormat="false" ht="12.75" hidden="false" customHeight="false" outlineLevel="0" collapsed="false">
      <c r="A73" s="242"/>
      <c r="B73" s="192" t="e">
        <f aca="false">NextMonth(B72)</f>
        <v>#VALUE!</v>
      </c>
      <c r="C73" s="193" t="n">
        <v>0.072967968895555</v>
      </c>
      <c r="D73" s="248" t="n">
        <v>1.25</v>
      </c>
      <c r="E73" s="248" t="n">
        <v>1.25</v>
      </c>
      <c r="F73" s="248" t="n">
        <v>0.157</v>
      </c>
      <c r="G73" s="248" t="n">
        <v>0.1645</v>
      </c>
      <c r="H73" s="248" t="n">
        <v>0.172</v>
      </c>
      <c r="I73" s="244" t="n">
        <v>3.0115</v>
      </c>
      <c r="J73" s="248" t="n">
        <v>3.0165</v>
      </c>
      <c r="K73" s="193" t="n">
        <v>3.0215</v>
      </c>
      <c r="L73" s="248" t="n">
        <v>-0.07</v>
      </c>
      <c r="M73" s="193" t="n">
        <v>1.02</v>
      </c>
      <c r="O73" s="189" t="e">
        <f aca="false">(IF(MONTH(B73)&gt;=4,IF(MONTH(B73)&lt;=10,Inputs!$H$2,Inputs!$H$3),Inputs!$H$3))</f>
        <v>#VALUE!</v>
      </c>
      <c r="P73" s="244" t="e">
        <f aca="false">J73+(IF($L$2=TRUE(),IF(MONTH(B73)&gt;=4,IF(MONTH(B73)&lt;=10,L73,M73),M73),0))+(IF('Pricing Inputs'!$AN$3=2,O73,0))</f>
        <v>#VALUE!</v>
      </c>
      <c r="Q73" s="244"/>
      <c r="R73" s="245" t="e">
        <f aca="false">B73</f>
        <v>#VALUE!</v>
      </c>
      <c r="S73" s="246" t="n">
        <f aca="false">T73-$S$16</f>
        <v>1.18</v>
      </c>
      <c r="T73" s="241" t="n">
        <f aca="false">D73</f>
        <v>1.25</v>
      </c>
      <c r="U73" s="247" t="n">
        <f aca="false">$U$16+T73</f>
        <v>1.32</v>
      </c>
      <c r="BP73" s="205" t="n">
        <f aca="false">BP72+BV73</f>
        <v>72</v>
      </c>
      <c r="BQ73" s="206" t="s">
        <v>542</v>
      </c>
      <c r="BR73" s="201" t="s">
        <v>203</v>
      </c>
      <c r="BS73" s="132" t="s">
        <v>334</v>
      </c>
      <c r="BT73" s="209" t="s">
        <v>205</v>
      </c>
      <c r="BU73" s="209"/>
      <c r="BV73" s="132" t="n">
        <v>1</v>
      </c>
      <c r="BW73" s="201" t="s">
        <v>543</v>
      </c>
      <c r="BX73" s="0"/>
      <c r="BZ73" s="205" t="n">
        <f aca="false">BZ72+CF73</f>
        <v>72</v>
      </c>
      <c r="CA73" s="63" t="s">
        <v>544</v>
      </c>
      <c r="CB73" s="201" t="s">
        <v>207</v>
      </c>
      <c r="CC73" s="132" t="s">
        <v>204</v>
      </c>
      <c r="CD73" s="209" t="s">
        <v>205</v>
      </c>
      <c r="CE73" s="209"/>
      <c r="CF73" s="132" t="n">
        <v>1</v>
      </c>
      <c r="CG73" s="201" t="s">
        <v>545</v>
      </c>
      <c r="CH73" s="0"/>
    </row>
    <row r="74" customFormat="false" ht="12.75" hidden="false" customHeight="false" outlineLevel="0" collapsed="false">
      <c r="A74" s="242"/>
      <c r="B74" s="192" t="e">
        <f aca="false">NextMonth(B73)</f>
        <v>#VALUE!</v>
      </c>
      <c r="C74" s="193" t="n">
        <v>0.073005171567883</v>
      </c>
      <c r="D74" s="248" t="n">
        <v>1.45</v>
      </c>
      <c r="E74" s="248" t="n">
        <v>1.45</v>
      </c>
      <c r="F74" s="248" t="n">
        <v>0.1585</v>
      </c>
      <c r="G74" s="248" t="n">
        <v>0.166</v>
      </c>
      <c r="H74" s="248" t="n">
        <v>0.1735</v>
      </c>
      <c r="I74" s="244" t="n">
        <v>3.06</v>
      </c>
      <c r="J74" s="248" t="n">
        <v>3.065</v>
      </c>
      <c r="K74" s="193" t="n">
        <v>3.07</v>
      </c>
      <c r="L74" s="248" t="n">
        <v>-0.07</v>
      </c>
      <c r="M74" s="193" t="n">
        <v>1.48</v>
      </c>
      <c r="O74" s="189" t="e">
        <f aca="false">(IF(MONTH(B74)&gt;=4,IF(MONTH(B74)&lt;=10,Inputs!$H$2,Inputs!$H$3),Inputs!$H$3))</f>
        <v>#VALUE!</v>
      </c>
      <c r="P74" s="244" t="e">
        <f aca="false">J74+(IF($L$2=TRUE(),IF(MONTH(B74)&gt;=4,IF(MONTH(B74)&lt;=10,L74,M74),M74),0))+(IF('Pricing Inputs'!$AN$3=2,O74,0))</f>
        <v>#VALUE!</v>
      </c>
      <c r="Q74" s="244"/>
      <c r="R74" s="245" t="e">
        <f aca="false">B74</f>
        <v>#VALUE!</v>
      </c>
      <c r="S74" s="246" t="n">
        <f aca="false">T74-$S$16</f>
        <v>1.38</v>
      </c>
      <c r="T74" s="241" t="n">
        <f aca="false">D74</f>
        <v>1.45</v>
      </c>
      <c r="U74" s="247" t="n">
        <f aca="false">$U$16+T74</f>
        <v>1.52</v>
      </c>
      <c r="BP74" s="205" t="n">
        <f aca="false">BP73+BV74</f>
        <v>73</v>
      </c>
      <c r="BQ74" s="206" t="s">
        <v>546</v>
      </c>
      <c r="BR74" s="201" t="s">
        <v>203</v>
      </c>
      <c r="BS74" s="132" t="s">
        <v>334</v>
      </c>
      <c r="BT74" s="209" t="s">
        <v>205</v>
      </c>
      <c r="BU74" s="209"/>
      <c r="BV74" s="132" t="n">
        <v>1</v>
      </c>
      <c r="BW74" s="201" t="s">
        <v>547</v>
      </c>
      <c r="BX74" s="0"/>
      <c r="BZ74" s="205" t="n">
        <f aca="false">BZ73+CF74</f>
        <v>73</v>
      </c>
      <c r="CA74" s="63" t="s">
        <v>548</v>
      </c>
      <c r="CB74" s="201" t="s">
        <v>207</v>
      </c>
      <c r="CC74" s="132" t="s">
        <v>204</v>
      </c>
      <c r="CD74" s="209" t="s">
        <v>205</v>
      </c>
      <c r="CE74" s="209"/>
      <c r="CF74" s="132" t="n">
        <v>1</v>
      </c>
      <c r="CG74" s="201" t="s">
        <v>549</v>
      </c>
      <c r="CH74" s="0"/>
    </row>
    <row r="75" customFormat="false" ht="12.75" hidden="false" customHeight="false" outlineLevel="0" collapsed="false">
      <c r="A75" s="242"/>
      <c r="B75" s="192" t="e">
        <f aca="false">NextMonth(B74)</f>
        <v>#VALUE!</v>
      </c>
      <c r="C75" s="193" t="n">
        <v>0.073042374240668</v>
      </c>
      <c r="D75" s="248" t="n">
        <v>1.45</v>
      </c>
      <c r="E75" s="248" t="n">
        <v>1.45</v>
      </c>
      <c r="F75" s="248" t="n">
        <v>0.1585</v>
      </c>
      <c r="G75" s="248" t="n">
        <v>0.166</v>
      </c>
      <c r="H75" s="248" t="n">
        <v>0.1735</v>
      </c>
      <c r="I75" s="244" t="n">
        <v>2.942</v>
      </c>
      <c r="J75" s="248" t="n">
        <v>2.947</v>
      </c>
      <c r="K75" s="193" t="n">
        <v>2.952</v>
      </c>
      <c r="L75" s="248" t="n">
        <v>-0.068125</v>
      </c>
      <c r="M75" s="193" t="n">
        <v>1.38</v>
      </c>
      <c r="O75" s="189" t="e">
        <f aca="false">(IF(MONTH(B75)&gt;=4,IF(MONTH(B75)&lt;=10,Inputs!$H$2,Inputs!$H$3),Inputs!$H$3))</f>
        <v>#VALUE!</v>
      </c>
      <c r="P75" s="244" t="e">
        <f aca="false">J75+(IF($L$2=TRUE(),IF(MONTH(B75)&gt;=4,IF(MONTH(B75)&lt;=10,L75,M75),M75),0))+(IF('Pricing Inputs'!$AN$3=2,O75,0))</f>
        <v>#VALUE!</v>
      </c>
      <c r="Q75" s="244"/>
      <c r="R75" s="245" t="e">
        <f aca="false">B75</f>
        <v>#VALUE!</v>
      </c>
      <c r="S75" s="246" t="n">
        <f aca="false">T75-$S$16</f>
        <v>1.38</v>
      </c>
      <c r="T75" s="241" t="n">
        <f aca="false">D75</f>
        <v>1.45</v>
      </c>
      <c r="U75" s="247" t="n">
        <f aca="false">$U$16+T75</f>
        <v>1.52</v>
      </c>
      <c r="BP75" s="205" t="n">
        <f aca="false">BP74+BV75</f>
        <v>74</v>
      </c>
      <c r="BQ75" s="206" t="s">
        <v>550</v>
      </c>
      <c r="BR75" s="201" t="s">
        <v>203</v>
      </c>
      <c r="BS75" s="132" t="s">
        <v>334</v>
      </c>
      <c r="BT75" s="209" t="s">
        <v>205</v>
      </c>
      <c r="BU75" s="209"/>
      <c r="BV75" s="132" t="n">
        <v>1</v>
      </c>
      <c r="BW75" s="201" t="s">
        <v>551</v>
      </c>
      <c r="BX75" s="0"/>
      <c r="BZ75" s="205" t="n">
        <f aca="false">BZ74+CF75</f>
        <v>74</v>
      </c>
      <c r="CA75" s="63" t="s">
        <v>552</v>
      </c>
      <c r="CB75" s="201" t="s">
        <v>207</v>
      </c>
      <c r="CC75" s="132" t="s">
        <v>204</v>
      </c>
      <c r="CD75" s="209" t="s">
        <v>205</v>
      </c>
      <c r="CE75" s="209"/>
      <c r="CF75" s="132" t="n">
        <v>1</v>
      </c>
      <c r="CG75" s="201" t="s">
        <v>553</v>
      </c>
      <c r="CH75" s="0"/>
    </row>
    <row r="76" customFormat="false" ht="12.75" hidden="false" customHeight="false" outlineLevel="0" collapsed="false">
      <c r="A76" s="242"/>
      <c r="B76" s="192" t="e">
        <f aca="false">NextMonth(B75)</f>
        <v>#VALUE!</v>
      </c>
      <c r="C76" s="193" t="n">
        <v>0.073075976655189</v>
      </c>
      <c r="D76" s="248" t="n">
        <v>1</v>
      </c>
      <c r="E76" s="248" t="n">
        <v>1</v>
      </c>
      <c r="F76" s="248" t="n">
        <v>0.1565</v>
      </c>
      <c r="G76" s="248" t="n">
        <v>0.164</v>
      </c>
      <c r="H76" s="248" t="n">
        <v>0.1715</v>
      </c>
      <c r="I76" s="244" t="n">
        <v>2.822</v>
      </c>
      <c r="J76" s="248" t="n">
        <v>2.827</v>
      </c>
      <c r="K76" s="193" t="n">
        <v>2.832</v>
      </c>
      <c r="L76" s="248" t="n">
        <v>-0.0625</v>
      </c>
      <c r="M76" s="193" t="n">
        <v>0.86</v>
      </c>
      <c r="O76" s="189" t="e">
        <f aca="false">(IF(MONTH(B76)&gt;=4,IF(MONTH(B76)&lt;=10,Inputs!$H$2,Inputs!$H$3),Inputs!$H$3))</f>
        <v>#VALUE!</v>
      </c>
      <c r="P76" s="244" t="e">
        <f aca="false">J76+(IF($L$2=TRUE(),IF(MONTH(B76)&gt;=4,IF(MONTH(B76)&lt;=10,L76,M76),M76),0))+(IF('Pricing Inputs'!$AN$3=2,O76,0))</f>
        <v>#VALUE!</v>
      </c>
      <c r="Q76" s="244"/>
      <c r="R76" s="245" t="e">
        <f aca="false">B76</f>
        <v>#VALUE!</v>
      </c>
      <c r="S76" s="246" t="n">
        <f aca="false">T76-$S$16</f>
        <v>0.93</v>
      </c>
      <c r="T76" s="241" t="n">
        <f aca="false">D76</f>
        <v>1</v>
      </c>
      <c r="U76" s="247" t="n">
        <f aca="false">$U$16+T76</f>
        <v>1.07</v>
      </c>
      <c r="BP76" s="205" t="n">
        <f aca="false">BP75+BV76</f>
        <v>75</v>
      </c>
      <c r="BQ76" s="206" t="s">
        <v>554</v>
      </c>
      <c r="BR76" s="201" t="s">
        <v>203</v>
      </c>
      <c r="BS76" s="132" t="s">
        <v>334</v>
      </c>
      <c r="BT76" s="209" t="s">
        <v>205</v>
      </c>
      <c r="BU76" s="209"/>
      <c r="BV76" s="132" t="n">
        <v>1</v>
      </c>
      <c r="BW76" s="201" t="s">
        <v>555</v>
      </c>
      <c r="BX76" s="0"/>
      <c r="BZ76" s="205" t="n">
        <f aca="false">BZ75+CF76</f>
        <v>75</v>
      </c>
      <c r="CA76" s="63" t="s">
        <v>556</v>
      </c>
      <c r="CB76" s="201" t="s">
        <v>207</v>
      </c>
      <c r="CC76" s="132" t="s">
        <v>204</v>
      </c>
      <c r="CD76" s="209" t="s">
        <v>205</v>
      </c>
      <c r="CE76" s="209"/>
      <c r="CF76" s="132" t="n">
        <v>1</v>
      </c>
      <c r="CG76" s="201" t="s">
        <v>557</v>
      </c>
      <c r="CH76" s="0"/>
    </row>
    <row r="77" customFormat="false" ht="12.75" hidden="false" customHeight="false" outlineLevel="0" collapsed="false">
      <c r="A77" s="242"/>
      <c r="B77" s="192" t="e">
        <f aca="false">NextMonth(B76)</f>
        <v>#VALUE!</v>
      </c>
      <c r="C77" s="193" t="n">
        <v>0.073101626699756</v>
      </c>
      <c r="D77" s="248" t="n">
        <v>0.45</v>
      </c>
      <c r="E77" s="248" t="n">
        <v>0.45</v>
      </c>
      <c r="F77" s="248" t="n">
        <v>0.1545</v>
      </c>
      <c r="G77" s="248" t="n">
        <v>0.162</v>
      </c>
      <c r="H77" s="248" t="n">
        <v>0.1695</v>
      </c>
      <c r="I77" s="244" t="n">
        <v>2.7725</v>
      </c>
      <c r="J77" s="248" t="n">
        <v>2.7775</v>
      </c>
      <c r="K77" s="193" t="n">
        <v>2.7825</v>
      </c>
      <c r="L77" s="248" t="n">
        <v>-0.064375</v>
      </c>
      <c r="M77" s="193" t="n">
        <v>0.37</v>
      </c>
      <c r="O77" s="189" t="e">
        <f aca="false">(IF(MONTH(B77)&gt;=4,IF(MONTH(B77)&lt;=10,Inputs!$H$2,Inputs!$H$3),Inputs!$H$3))</f>
        <v>#VALUE!</v>
      </c>
      <c r="P77" s="244" t="e">
        <f aca="false">J77+(IF($L$2=TRUE(),IF(MONTH(B77)&gt;=4,IF(MONTH(B77)&lt;=10,L77,M77),M77),0))+(IF('Pricing Inputs'!$AN$3=2,O77,0))</f>
        <v>#VALUE!</v>
      </c>
      <c r="Q77" s="244"/>
      <c r="R77" s="245" t="e">
        <f aca="false">B77</f>
        <v>#VALUE!</v>
      </c>
      <c r="S77" s="246" t="n">
        <f aca="false">T77-$S$16</f>
        <v>0.38</v>
      </c>
      <c r="T77" s="241" t="n">
        <f aca="false">D77</f>
        <v>0.45</v>
      </c>
      <c r="U77" s="247" t="n">
        <f aca="false">$U$16+T77</f>
        <v>0.52</v>
      </c>
      <c r="BP77" s="205" t="n">
        <f aca="false">BP76+BV77</f>
        <v>76</v>
      </c>
      <c r="BQ77" s="206" t="s">
        <v>558</v>
      </c>
      <c r="BR77" s="201" t="s">
        <v>203</v>
      </c>
      <c r="BS77" s="132" t="s">
        <v>334</v>
      </c>
      <c r="BT77" s="209" t="s">
        <v>205</v>
      </c>
      <c r="BU77" s="209"/>
      <c r="BV77" s="132" t="n">
        <v>1</v>
      </c>
      <c r="BW77" s="201" t="s">
        <v>559</v>
      </c>
      <c r="BX77" s="0"/>
      <c r="BZ77" s="205" t="n">
        <f aca="false">BZ76+CF77</f>
        <v>76</v>
      </c>
      <c r="CA77" s="63" t="s">
        <v>560</v>
      </c>
      <c r="CB77" s="201" t="s">
        <v>207</v>
      </c>
      <c r="CC77" s="132" t="s">
        <v>204</v>
      </c>
      <c r="CD77" s="209" t="s">
        <v>205</v>
      </c>
      <c r="CE77" s="209"/>
      <c r="CF77" s="132" t="n">
        <v>1</v>
      </c>
      <c r="CG77" s="201" t="s">
        <v>561</v>
      </c>
      <c r="CH77" s="0"/>
    </row>
    <row r="78" customFormat="false" ht="12.75" hidden="false" customHeight="false" outlineLevel="0" collapsed="false">
      <c r="A78" s="242"/>
      <c r="B78" s="192" t="e">
        <f aca="false">NextMonth(B77)</f>
        <v>#VALUE!</v>
      </c>
      <c r="C78" s="193" t="n">
        <v>0.073125678291756</v>
      </c>
      <c r="D78" s="248" t="n">
        <v>0.5</v>
      </c>
      <c r="E78" s="248" t="n">
        <v>0.5</v>
      </c>
      <c r="F78" s="248" t="n">
        <v>0.1535</v>
      </c>
      <c r="G78" s="248" t="n">
        <v>0.161</v>
      </c>
      <c r="H78" s="248" t="n">
        <v>0.1685</v>
      </c>
      <c r="I78" s="244" t="n">
        <v>2.7465</v>
      </c>
      <c r="J78" s="248" t="n">
        <v>2.7515</v>
      </c>
      <c r="K78" s="193" t="n">
        <v>2.7565</v>
      </c>
      <c r="L78" s="248" t="n">
        <v>-0.063125</v>
      </c>
      <c r="M78" s="193" t="n">
        <v>0.2525</v>
      </c>
      <c r="O78" s="189" t="e">
        <f aca="false">(IF(MONTH(B78)&gt;=4,IF(MONTH(B78)&lt;=10,Inputs!$H$2,Inputs!$H$3),Inputs!$H$3))</f>
        <v>#VALUE!</v>
      </c>
      <c r="P78" s="244" t="e">
        <f aca="false">J78+(IF($L$2=TRUE(),IF(MONTH(B78)&gt;=4,IF(MONTH(B78)&lt;=10,L78,M78),M78),0))+(IF('Pricing Inputs'!$AN$3=2,O78,0))</f>
        <v>#VALUE!</v>
      </c>
      <c r="Q78" s="244"/>
      <c r="R78" s="245" t="e">
        <f aca="false">B78</f>
        <v>#VALUE!</v>
      </c>
      <c r="S78" s="246" t="n">
        <f aca="false">T78-$S$16</f>
        <v>0.43</v>
      </c>
      <c r="T78" s="241" t="n">
        <f aca="false">D78</f>
        <v>0.5</v>
      </c>
      <c r="U78" s="247" t="n">
        <f aca="false">$U$16+T78</f>
        <v>0.57</v>
      </c>
      <c r="BP78" s="205" t="n">
        <f aca="false">BP77+BV78</f>
        <v>77</v>
      </c>
      <c r="BQ78" s="206" t="s">
        <v>562</v>
      </c>
      <c r="BR78" s="201" t="s">
        <v>203</v>
      </c>
      <c r="BS78" s="132" t="s">
        <v>334</v>
      </c>
      <c r="BT78" s="209" t="s">
        <v>205</v>
      </c>
      <c r="BU78" s="209"/>
      <c r="BV78" s="132" t="n">
        <v>1</v>
      </c>
      <c r="BW78" s="201" t="s">
        <v>563</v>
      </c>
      <c r="BX78" s="0"/>
      <c r="BZ78" s="205" t="n">
        <f aca="false">BZ77+CF78</f>
        <v>77</v>
      </c>
      <c r="CA78" s="63" t="s">
        <v>564</v>
      </c>
      <c r="CB78" s="201" t="s">
        <v>207</v>
      </c>
      <c r="CC78" s="132" t="s">
        <v>204</v>
      </c>
      <c r="CD78" s="209" t="s">
        <v>205</v>
      </c>
      <c r="CE78" s="209"/>
      <c r="CF78" s="132" t="n">
        <v>1</v>
      </c>
      <c r="CG78" s="201" t="s">
        <v>565</v>
      </c>
      <c r="CH78" s="0"/>
    </row>
    <row r="79" customFormat="false" ht="12.75" hidden="false" customHeight="false" outlineLevel="0" collapsed="false">
      <c r="A79" s="242"/>
      <c r="B79" s="192" t="e">
        <f aca="false">NextMonth(B78)</f>
        <v>#VALUE!</v>
      </c>
      <c r="C79" s="193" t="n">
        <v>0.07315053160369</v>
      </c>
      <c r="D79" s="248" t="n">
        <v>0.5</v>
      </c>
      <c r="E79" s="248" t="n">
        <v>0.5</v>
      </c>
      <c r="F79" s="248" t="n">
        <v>0.1532</v>
      </c>
      <c r="G79" s="248" t="n">
        <v>0.1607</v>
      </c>
      <c r="H79" s="248" t="n">
        <v>0.1682</v>
      </c>
      <c r="I79" s="244" t="n">
        <v>2.7525</v>
      </c>
      <c r="J79" s="248" t="n">
        <v>2.7575</v>
      </c>
      <c r="K79" s="193" t="n">
        <v>2.7625</v>
      </c>
      <c r="L79" s="248" t="n">
        <v>-0.063125</v>
      </c>
      <c r="M79" s="193" t="n">
        <v>0.2525</v>
      </c>
      <c r="O79" s="189" t="e">
        <f aca="false">(IF(MONTH(B79)&gt;=4,IF(MONTH(B79)&lt;=10,Inputs!$H$2,Inputs!$H$3),Inputs!$H$3))</f>
        <v>#VALUE!</v>
      </c>
      <c r="P79" s="244" t="e">
        <f aca="false">J79+(IF($L$2=TRUE(),IF(MONTH(B79)&gt;=4,IF(MONTH(B79)&lt;=10,L79,M79),M79),0))+(IF('Pricing Inputs'!$AN$3=2,O79,0))</f>
        <v>#VALUE!</v>
      </c>
      <c r="Q79" s="244"/>
      <c r="R79" s="245" t="e">
        <f aca="false">B79</f>
        <v>#VALUE!</v>
      </c>
      <c r="S79" s="246" t="n">
        <f aca="false">T79-$S$16</f>
        <v>0.43</v>
      </c>
      <c r="T79" s="241" t="n">
        <f aca="false">D79</f>
        <v>0.5</v>
      </c>
      <c r="U79" s="247" t="n">
        <f aca="false">$U$16+T79</f>
        <v>0.57</v>
      </c>
      <c r="BP79" s="205" t="n">
        <f aca="false">BP78+BV79</f>
        <v>78</v>
      </c>
      <c r="BQ79" s="206" t="s">
        <v>566</v>
      </c>
      <c r="BR79" s="201" t="s">
        <v>203</v>
      </c>
      <c r="BS79" s="132" t="s">
        <v>334</v>
      </c>
      <c r="BT79" s="209" t="s">
        <v>205</v>
      </c>
      <c r="BU79" s="209"/>
      <c r="BV79" s="132" t="n">
        <v>1</v>
      </c>
      <c r="BW79" s="201" t="s">
        <v>567</v>
      </c>
      <c r="BX79" s="0"/>
      <c r="BZ79" s="205" t="n">
        <f aca="false">BZ78+CF79</f>
        <v>78</v>
      </c>
      <c r="CA79" s="63" t="s">
        <v>568</v>
      </c>
      <c r="CB79" s="201" t="s">
        <v>207</v>
      </c>
      <c r="CC79" s="132" t="s">
        <v>204</v>
      </c>
      <c r="CD79" s="209" t="s">
        <v>205</v>
      </c>
      <c r="CE79" s="209"/>
      <c r="CF79" s="132" t="n">
        <v>1</v>
      </c>
      <c r="CG79" s="201" t="s">
        <v>569</v>
      </c>
      <c r="CH79" s="0"/>
    </row>
    <row r="80" customFormat="false" ht="12.75" hidden="false" customHeight="false" outlineLevel="0" collapsed="false">
      <c r="A80" s="242"/>
      <c r="B80" s="192" t="e">
        <f aca="false">NextMonth(B79)</f>
        <v>#VALUE!</v>
      </c>
      <c r="C80" s="193" t="n">
        <v>0.073174583196079</v>
      </c>
      <c r="D80" s="248" t="n">
        <v>0.5</v>
      </c>
      <c r="E80" s="248" t="n">
        <v>0.5</v>
      </c>
      <c r="F80" s="248" t="n">
        <v>0.1529</v>
      </c>
      <c r="G80" s="248" t="n">
        <v>0.1604</v>
      </c>
      <c r="H80" s="248" t="n">
        <v>0.1679</v>
      </c>
      <c r="I80" s="244" t="n">
        <v>2.7625</v>
      </c>
      <c r="J80" s="248" t="n">
        <v>2.7675</v>
      </c>
      <c r="K80" s="193" t="n">
        <v>2.7725</v>
      </c>
      <c r="L80" s="248" t="n">
        <v>-0.0625</v>
      </c>
      <c r="M80" s="193" t="n">
        <v>0.2575</v>
      </c>
      <c r="O80" s="189" t="e">
        <f aca="false">(IF(MONTH(B80)&gt;=4,IF(MONTH(B80)&lt;=10,Inputs!$H$2,Inputs!$H$3),Inputs!$H$3))</f>
        <v>#VALUE!</v>
      </c>
      <c r="P80" s="244" t="e">
        <f aca="false">J80+(IF($L$2=TRUE(),IF(MONTH(B80)&gt;=4,IF(MONTH(B80)&lt;=10,L80,M80),M80),0))+(IF('Pricing Inputs'!$AN$3=2,O80,0))</f>
        <v>#VALUE!</v>
      </c>
      <c r="Q80" s="244"/>
      <c r="R80" s="245" t="e">
        <f aca="false">B80</f>
        <v>#VALUE!</v>
      </c>
      <c r="S80" s="246" t="n">
        <f aca="false">T80-$S$16</f>
        <v>0.43</v>
      </c>
      <c r="T80" s="241" t="n">
        <f aca="false">D80</f>
        <v>0.5</v>
      </c>
      <c r="U80" s="247" t="n">
        <f aca="false">$U$16+T80</f>
        <v>0.57</v>
      </c>
      <c r="BP80" s="205" t="n">
        <f aca="false">BP79+BV80</f>
        <v>79</v>
      </c>
      <c r="BQ80" s="206" t="s">
        <v>570</v>
      </c>
      <c r="BR80" s="201" t="s">
        <v>203</v>
      </c>
      <c r="BS80" s="132" t="s">
        <v>334</v>
      </c>
      <c r="BT80" s="209" t="s">
        <v>205</v>
      </c>
      <c r="BU80" s="209"/>
      <c r="BV80" s="132" t="n">
        <v>1</v>
      </c>
      <c r="BW80" s="201" t="s">
        <v>571</v>
      </c>
      <c r="BX80" s="0"/>
      <c r="BZ80" s="205" t="n">
        <f aca="false">BZ79+CF80</f>
        <v>79</v>
      </c>
      <c r="CA80" s="63" t="s">
        <v>572</v>
      </c>
      <c r="CB80" s="201" t="s">
        <v>207</v>
      </c>
      <c r="CC80" s="132" t="s">
        <v>204</v>
      </c>
      <c r="CD80" s="209" t="s">
        <v>205</v>
      </c>
      <c r="CE80" s="209"/>
      <c r="CF80" s="132" t="n">
        <v>1</v>
      </c>
      <c r="CG80" s="201" t="s">
        <v>573</v>
      </c>
      <c r="CH80" s="0"/>
    </row>
    <row r="81" customFormat="false" ht="12.75" hidden="false" customHeight="false" outlineLevel="0" collapsed="false">
      <c r="A81" s="242"/>
      <c r="B81" s="192" t="e">
        <f aca="false">NextMonth(B80)</f>
        <v>#VALUE!</v>
      </c>
      <c r="C81" s="193" t="n">
        <v>0.073199436508415</v>
      </c>
      <c r="D81" s="248" t="n">
        <v>0.6</v>
      </c>
      <c r="E81" s="248" t="n">
        <v>0.6</v>
      </c>
      <c r="F81" s="248" t="n">
        <v>0.1526</v>
      </c>
      <c r="G81" s="248" t="n">
        <v>0.1601</v>
      </c>
      <c r="H81" s="248" t="n">
        <v>0.1676</v>
      </c>
      <c r="I81" s="244" t="n">
        <v>2.7695</v>
      </c>
      <c r="J81" s="248" t="n">
        <v>2.7745</v>
      </c>
      <c r="K81" s="193" t="n">
        <v>2.7795</v>
      </c>
      <c r="L81" s="248" t="n">
        <v>-0.0625</v>
      </c>
      <c r="M81" s="193" t="n">
        <v>0.2575</v>
      </c>
      <c r="O81" s="189" t="e">
        <f aca="false">(IF(MONTH(B81)&gt;=4,IF(MONTH(B81)&lt;=10,Inputs!$H$2,Inputs!$H$3),Inputs!$H$3))</f>
        <v>#VALUE!</v>
      </c>
      <c r="P81" s="244" t="e">
        <f aca="false">J81+(IF($L$2=TRUE(),IF(MONTH(B81)&gt;=4,IF(MONTH(B81)&lt;=10,L81,M81),M81),0))+(IF('Pricing Inputs'!$AN$3=2,O81,0))</f>
        <v>#VALUE!</v>
      </c>
      <c r="Q81" s="244"/>
      <c r="R81" s="245" t="e">
        <f aca="false">B81</f>
        <v>#VALUE!</v>
      </c>
      <c r="S81" s="246" t="n">
        <f aca="false">T81-$S$16</f>
        <v>0.53</v>
      </c>
      <c r="T81" s="241" t="n">
        <f aca="false">D81</f>
        <v>0.6</v>
      </c>
      <c r="U81" s="247" t="n">
        <f aca="false">$U$16+T81</f>
        <v>0.67</v>
      </c>
      <c r="BP81" s="205" t="n">
        <f aca="false">BP80+BV81</f>
        <v>80</v>
      </c>
      <c r="BQ81" s="206" t="s">
        <v>574</v>
      </c>
      <c r="BR81" s="201" t="s">
        <v>203</v>
      </c>
      <c r="BS81" s="132" t="s">
        <v>334</v>
      </c>
      <c r="BT81" s="209" t="s">
        <v>205</v>
      </c>
      <c r="BU81" s="209"/>
      <c r="BV81" s="132" t="n">
        <v>1</v>
      </c>
      <c r="BW81" s="201" t="s">
        <v>575</v>
      </c>
      <c r="BX81" s="0"/>
      <c r="BZ81" s="205" t="n">
        <f aca="false">BZ80+CF81</f>
        <v>80</v>
      </c>
      <c r="CA81" s="63" t="s">
        <v>576</v>
      </c>
      <c r="CB81" s="201" t="s">
        <v>207</v>
      </c>
      <c r="CC81" s="132" t="s">
        <v>204</v>
      </c>
      <c r="CD81" s="209" t="s">
        <v>205</v>
      </c>
      <c r="CE81" s="209"/>
      <c r="CF81" s="132" t="n">
        <v>1</v>
      </c>
      <c r="CG81" s="201" t="s">
        <v>577</v>
      </c>
      <c r="CH81" s="0"/>
    </row>
    <row r="82" customFormat="false" ht="12.75" hidden="false" customHeight="false" outlineLevel="0" collapsed="false">
      <c r="A82" s="242"/>
      <c r="B82" s="192" t="e">
        <f aca="false">NextMonth(B81)</f>
        <v>#VALUE!</v>
      </c>
      <c r="C82" s="193" t="n">
        <v>0.073224289820955</v>
      </c>
      <c r="D82" s="248" t="n">
        <v>0.6</v>
      </c>
      <c r="E82" s="248" t="n">
        <v>0.6</v>
      </c>
      <c r="F82" s="248" t="n">
        <v>0.1523</v>
      </c>
      <c r="G82" s="248" t="n">
        <v>0.1598</v>
      </c>
      <c r="H82" s="248" t="n">
        <v>0.1673</v>
      </c>
      <c r="I82" s="244" t="n">
        <v>2.7765</v>
      </c>
      <c r="J82" s="248" t="n">
        <v>2.7815</v>
      </c>
      <c r="K82" s="193" t="n">
        <v>2.7865</v>
      </c>
      <c r="L82" s="248" t="n">
        <v>-0.063125</v>
      </c>
      <c r="M82" s="193" t="n">
        <v>0.2525</v>
      </c>
      <c r="O82" s="189" t="e">
        <f aca="false">(IF(MONTH(B82)&gt;=4,IF(MONTH(B82)&lt;=10,Inputs!$H$2,Inputs!$H$3),Inputs!$H$3))</f>
        <v>#VALUE!</v>
      </c>
      <c r="P82" s="244" t="e">
        <f aca="false">J82+(IF($L$2=TRUE(),IF(MONTH(B82)&gt;=4,IF(MONTH(B82)&lt;=10,L82,M82),M82),0))+(IF('Pricing Inputs'!$AN$3=2,O82,0))</f>
        <v>#VALUE!</v>
      </c>
      <c r="Q82" s="244"/>
      <c r="R82" s="245" t="e">
        <f aca="false">B82</f>
        <v>#VALUE!</v>
      </c>
      <c r="S82" s="246" t="n">
        <f aca="false">T82-$S$16</f>
        <v>0.53</v>
      </c>
      <c r="T82" s="241" t="n">
        <f aca="false">D82</f>
        <v>0.6</v>
      </c>
      <c r="U82" s="247" t="n">
        <f aca="false">$U$16+T82</f>
        <v>0.67</v>
      </c>
      <c r="BP82" s="205" t="n">
        <f aca="false">BP81+BV82</f>
        <v>81</v>
      </c>
      <c r="BQ82" s="206" t="s">
        <v>578</v>
      </c>
      <c r="BR82" s="201" t="s">
        <v>203</v>
      </c>
      <c r="BS82" s="132" t="s">
        <v>334</v>
      </c>
      <c r="BT82" s="209" t="s">
        <v>205</v>
      </c>
      <c r="BU82" s="209"/>
      <c r="BV82" s="132" t="n">
        <v>1</v>
      </c>
      <c r="BW82" s="201" t="s">
        <v>579</v>
      </c>
      <c r="BX82" s="0"/>
      <c r="BZ82" s="205" t="n">
        <f aca="false">BZ81+CF82</f>
        <v>81</v>
      </c>
      <c r="CA82" s="63" t="s">
        <v>580</v>
      </c>
      <c r="CB82" s="201" t="s">
        <v>207</v>
      </c>
      <c r="CC82" s="132" t="s">
        <v>204</v>
      </c>
      <c r="CD82" s="209" t="s">
        <v>205</v>
      </c>
      <c r="CE82" s="209"/>
      <c r="CF82" s="132" t="n">
        <v>1</v>
      </c>
      <c r="CG82" s="201" t="s">
        <v>581</v>
      </c>
      <c r="CH82" s="0"/>
    </row>
    <row r="83" customFormat="false" ht="12.75" hidden="false" customHeight="false" outlineLevel="0" collapsed="false">
      <c r="A83" s="242"/>
      <c r="B83" s="192" t="e">
        <f aca="false">NextMonth(B82)</f>
        <v>#VALUE!</v>
      </c>
      <c r="C83" s="193" t="n">
        <v>0.07324834141393</v>
      </c>
      <c r="D83" s="248" t="n">
        <v>0.65</v>
      </c>
      <c r="E83" s="248" t="n">
        <v>0.65</v>
      </c>
      <c r="F83" s="248" t="n">
        <v>0.152</v>
      </c>
      <c r="G83" s="248" t="n">
        <v>0.1595</v>
      </c>
      <c r="H83" s="248" t="n">
        <v>0.167</v>
      </c>
      <c r="I83" s="244" t="n">
        <v>2.8025</v>
      </c>
      <c r="J83" s="248" t="n">
        <v>2.8075</v>
      </c>
      <c r="K83" s="193" t="n">
        <v>2.8125</v>
      </c>
      <c r="L83" s="248" t="n">
        <v>-0.063125</v>
      </c>
      <c r="M83" s="193" t="n">
        <v>0.255</v>
      </c>
      <c r="O83" s="189" t="e">
        <f aca="false">(IF(MONTH(B83)&gt;=4,IF(MONTH(B83)&lt;=10,Inputs!$H$2,Inputs!$H$3),Inputs!$H$3))</f>
        <v>#VALUE!</v>
      </c>
      <c r="P83" s="244" t="e">
        <f aca="false">J83+(IF($L$2=TRUE(),IF(MONTH(B83)&gt;=4,IF(MONTH(B83)&lt;=10,L83,M83),M83),0))+(IF('Pricing Inputs'!$AN$3=2,O83,0))</f>
        <v>#VALUE!</v>
      </c>
      <c r="Q83" s="244"/>
      <c r="R83" s="245" t="e">
        <f aca="false">B83</f>
        <v>#VALUE!</v>
      </c>
      <c r="S83" s="246" t="n">
        <f aca="false">T83-$S$16</f>
        <v>0.58</v>
      </c>
      <c r="T83" s="241" t="n">
        <f aca="false">D83</f>
        <v>0.65</v>
      </c>
      <c r="U83" s="247" t="n">
        <f aca="false">$U$16+T83</f>
        <v>0.72</v>
      </c>
      <c r="BP83" s="205" t="n">
        <f aca="false">BP82+BV83</f>
        <v>82</v>
      </c>
      <c r="BQ83" s="206" t="s">
        <v>582</v>
      </c>
      <c r="BR83" s="201" t="s">
        <v>203</v>
      </c>
      <c r="BS83" s="132" t="s">
        <v>334</v>
      </c>
      <c r="BT83" s="209" t="s">
        <v>205</v>
      </c>
      <c r="BU83" s="209"/>
      <c r="BV83" s="132" t="n">
        <v>1</v>
      </c>
      <c r="BW83" s="201" t="s">
        <v>583</v>
      </c>
      <c r="BX83" s="0"/>
      <c r="BZ83" s="205" t="n">
        <f aca="false">BZ82+CF83</f>
        <v>82</v>
      </c>
      <c r="CA83" s="63" t="s">
        <v>584</v>
      </c>
      <c r="CB83" s="201" t="s">
        <v>207</v>
      </c>
      <c r="CC83" s="132" t="s">
        <v>204</v>
      </c>
      <c r="CD83" s="209" t="s">
        <v>205</v>
      </c>
      <c r="CE83" s="209"/>
      <c r="CF83" s="132" t="n">
        <v>1</v>
      </c>
      <c r="CG83" s="201" t="s">
        <v>585</v>
      </c>
      <c r="CH83" s="0"/>
    </row>
    <row r="84" customFormat="false" ht="12.75" hidden="false" customHeight="false" outlineLevel="0" collapsed="false">
      <c r="A84" s="242"/>
      <c r="B84" s="192" t="e">
        <f aca="false">NextMonth(B83)</f>
        <v>#VALUE!</v>
      </c>
      <c r="C84" s="193" t="n">
        <v>0.073273194726871</v>
      </c>
      <c r="D84" s="248" t="n">
        <v>0.95</v>
      </c>
      <c r="E84" s="248" t="n">
        <v>0.95</v>
      </c>
      <c r="F84" s="248" t="n">
        <v>0.152</v>
      </c>
      <c r="G84" s="248" t="n">
        <v>0.1595</v>
      </c>
      <c r="H84" s="248" t="n">
        <v>0.167</v>
      </c>
      <c r="I84" s="244" t="n">
        <v>2.9375</v>
      </c>
      <c r="J84" s="248" t="n">
        <v>2.9425</v>
      </c>
      <c r="K84" s="193" t="n">
        <v>2.9475</v>
      </c>
      <c r="L84" s="248" t="n">
        <v>-0.069375</v>
      </c>
      <c r="M84" s="193" t="n">
        <v>0.715</v>
      </c>
      <c r="O84" s="189" t="e">
        <f aca="false">(IF(MONTH(B84)&gt;=4,IF(MONTH(B84)&lt;=10,Inputs!$H$2,Inputs!$H$3),Inputs!$H$3))</f>
        <v>#VALUE!</v>
      </c>
      <c r="P84" s="244" t="e">
        <f aca="false">J84+(IF($L$2=TRUE(),IF(MONTH(B84)&gt;=4,IF(MONTH(B84)&lt;=10,L84,M84),M84),0))+(IF('Pricing Inputs'!$AN$3=2,O84,0))</f>
        <v>#VALUE!</v>
      </c>
      <c r="Q84" s="244"/>
      <c r="R84" s="245" t="e">
        <f aca="false">B84</f>
        <v>#VALUE!</v>
      </c>
      <c r="S84" s="246" t="n">
        <f aca="false">T84-$S$16</f>
        <v>0.88</v>
      </c>
      <c r="T84" s="241" t="n">
        <f aca="false">D84</f>
        <v>0.95</v>
      </c>
      <c r="U84" s="247" t="n">
        <f aca="false">$U$16+T84</f>
        <v>1.02</v>
      </c>
      <c r="BP84" s="205" t="n">
        <f aca="false">BP83+BV84</f>
        <v>83</v>
      </c>
      <c r="BQ84" s="206" t="s">
        <v>586</v>
      </c>
      <c r="BR84" s="201" t="s">
        <v>203</v>
      </c>
      <c r="BS84" s="132" t="s">
        <v>334</v>
      </c>
      <c r="BT84" s="209" t="s">
        <v>205</v>
      </c>
      <c r="BU84" s="209"/>
      <c r="BV84" s="132" t="n">
        <v>1</v>
      </c>
      <c r="BW84" s="201" t="s">
        <v>587</v>
      </c>
      <c r="BX84" s="0"/>
      <c r="BZ84" s="205" t="n">
        <f aca="false">BZ83+CF84</f>
        <v>83</v>
      </c>
      <c r="CA84" s="63" t="s">
        <v>588</v>
      </c>
      <c r="CB84" s="201" t="s">
        <v>207</v>
      </c>
      <c r="CC84" s="132" t="s">
        <v>204</v>
      </c>
      <c r="CD84" s="209" t="s">
        <v>205</v>
      </c>
      <c r="CE84" s="209"/>
      <c r="CF84" s="132" t="n">
        <v>1</v>
      </c>
      <c r="CG84" s="201" t="s">
        <v>589</v>
      </c>
      <c r="CH84" s="0"/>
    </row>
    <row r="85" customFormat="false" ht="12.75" hidden="false" customHeight="false" outlineLevel="0" collapsed="false">
      <c r="A85" s="242"/>
      <c r="B85" s="192" t="e">
        <f aca="false">NextMonth(B84)</f>
        <v>#VALUE!</v>
      </c>
      <c r="C85" s="193" t="n">
        <v>0.073297246320234</v>
      </c>
      <c r="D85" s="248" t="n">
        <v>1.25</v>
      </c>
      <c r="E85" s="248" t="n">
        <v>1.25</v>
      </c>
      <c r="F85" s="248" t="n">
        <v>0.152</v>
      </c>
      <c r="G85" s="248" t="n">
        <v>0.1595</v>
      </c>
      <c r="H85" s="248" t="n">
        <v>0.167</v>
      </c>
      <c r="I85" s="244" t="n">
        <v>3.0615</v>
      </c>
      <c r="J85" s="248" t="n">
        <v>3.0665</v>
      </c>
      <c r="K85" s="193" t="n">
        <v>3.0715</v>
      </c>
      <c r="L85" s="248" t="n">
        <v>-0.075625</v>
      </c>
      <c r="M85" s="193" t="n">
        <v>1.03</v>
      </c>
      <c r="O85" s="189" t="e">
        <f aca="false">(IF(MONTH(B85)&gt;=4,IF(MONTH(B85)&lt;=10,Inputs!$H$2,Inputs!$H$3),Inputs!$H$3))</f>
        <v>#VALUE!</v>
      </c>
      <c r="P85" s="244" t="e">
        <f aca="false">J85+(IF($L$2=TRUE(),IF(MONTH(B85)&gt;=4,IF(MONTH(B85)&lt;=10,L85,M85),M85),0))+(IF('Pricing Inputs'!$AN$3=2,O85,0))</f>
        <v>#VALUE!</v>
      </c>
      <c r="Q85" s="244"/>
      <c r="R85" s="245" t="e">
        <f aca="false">B85</f>
        <v>#VALUE!</v>
      </c>
      <c r="S85" s="246" t="n">
        <f aca="false">T85-$S$16</f>
        <v>1.18</v>
      </c>
      <c r="T85" s="241" t="n">
        <f aca="false">D85</f>
        <v>1.25</v>
      </c>
      <c r="U85" s="247" t="n">
        <f aca="false">$U$16+T85</f>
        <v>1.32</v>
      </c>
      <c r="BP85" s="205" t="n">
        <f aca="false">BP84+BV85</f>
        <v>84</v>
      </c>
      <c r="BQ85" s="206" t="s">
        <v>590</v>
      </c>
      <c r="BR85" s="201" t="s">
        <v>203</v>
      </c>
      <c r="BS85" s="132" t="s">
        <v>334</v>
      </c>
      <c r="BT85" s="209" t="s">
        <v>205</v>
      </c>
      <c r="BU85" s="209"/>
      <c r="BV85" s="132" t="n">
        <v>1</v>
      </c>
      <c r="BW85" s="201" t="s">
        <v>591</v>
      </c>
      <c r="BX85" s="0"/>
      <c r="BZ85" s="205" t="n">
        <f aca="false">BZ84+CF85</f>
        <v>84</v>
      </c>
      <c r="CA85" s="63" t="s">
        <v>592</v>
      </c>
      <c r="CB85" s="201" t="s">
        <v>207</v>
      </c>
      <c r="CC85" s="132" t="s">
        <v>204</v>
      </c>
      <c r="CD85" s="209" t="s">
        <v>205</v>
      </c>
      <c r="CE85" s="209"/>
      <c r="CF85" s="132" t="n">
        <v>1</v>
      </c>
      <c r="CG85" s="201" t="s">
        <v>593</v>
      </c>
      <c r="CH85" s="0"/>
    </row>
    <row r="86" customFormat="false" ht="12.75" hidden="false" customHeight="false" outlineLevel="0" collapsed="false">
      <c r="A86" s="242"/>
      <c r="B86" s="192" t="e">
        <f aca="false">NextMonth(B85)</f>
        <v>#VALUE!</v>
      </c>
      <c r="C86" s="193" t="n">
        <v>0.073322099633577</v>
      </c>
      <c r="D86" s="248" t="n">
        <v>1.45</v>
      </c>
      <c r="E86" s="248" t="n">
        <v>1.45</v>
      </c>
      <c r="F86" s="248" t="n">
        <v>0.152</v>
      </c>
      <c r="G86" s="248" t="n">
        <v>0.1595</v>
      </c>
      <c r="H86" s="248" t="n">
        <v>0.167</v>
      </c>
      <c r="I86" s="244" t="n">
        <v>3.115</v>
      </c>
      <c r="J86" s="248" t="n">
        <v>3.12</v>
      </c>
      <c r="K86" s="193" t="n">
        <v>3.125</v>
      </c>
      <c r="L86" s="248" t="n">
        <v>-0.075625</v>
      </c>
      <c r="M86" s="193" t="n">
        <v>1.495</v>
      </c>
      <c r="O86" s="189" t="e">
        <f aca="false">(IF(MONTH(B86)&gt;=4,IF(MONTH(B86)&lt;=10,Inputs!$H$2,Inputs!$H$3),Inputs!$H$3))</f>
        <v>#VALUE!</v>
      </c>
      <c r="P86" s="244" t="e">
        <f aca="false">J86+(IF($L$2=TRUE(),IF(MONTH(B86)&gt;=4,IF(MONTH(B86)&lt;=10,L86,M86),M86),0))+(IF('Pricing Inputs'!$AN$3=2,O86,0))</f>
        <v>#VALUE!</v>
      </c>
      <c r="Q86" s="244"/>
      <c r="R86" s="245" t="e">
        <f aca="false">B86</f>
        <v>#VALUE!</v>
      </c>
      <c r="S86" s="246" t="n">
        <f aca="false">T86-$S$16</f>
        <v>1.38</v>
      </c>
      <c r="T86" s="241" t="n">
        <f aca="false">D86</f>
        <v>1.45</v>
      </c>
      <c r="U86" s="247" t="n">
        <f aca="false">$U$16+T86</f>
        <v>1.52</v>
      </c>
      <c r="BP86" s="205" t="n">
        <f aca="false">BP85+BV86</f>
        <v>85</v>
      </c>
      <c r="BQ86" s="206" t="s">
        <v>594</v>
      </c>
      <c r="BR86" s="201" t="s">
        <v>203</v>
      </c>
      <c r="BS86" s="132" t="s">
        <v>334</v>
      </c>
      <c r="BT86" s="209" t="s">
        <v>205</v>
      </c>
      <c r="BU86" s="209"/>
      <c r="BV86" s="132" t="n">
        <v>1</v>
      </c>
      <c r="BW86" s="201" t="s">
        <v>595</v>
      </c>
      <c r="BX86" s="0"/>
      <c r="BZ86" s="205" t="n">
        <f aca="false">BZ85+CF86</f>
        <v>85</v>
      </c>
      <c r="CA86" s="63" t="s">
        <v>596</v>
      </c>
      <c r="CB86" s="201" t="s">
        <v>207</v>
      </c>
      <c r="CC86" s="132" t="s">
        <v>204</v>
      </c>
      <c r="CD86" s="209" t="s">
        <v>205</v>
      </c>
      <c r="CE86" s="209"/>
      <c r="CF86" s="132" t="n">
        <v>1</v>
      </c>
      <c r="CG86" s="201" t="s">
        <v>597</v>
      </c>
      <c r="CH86" s="0"/>
    </row>
    <row r="87" customFormat="false" ht="12.75" hidden="false" customHeight="false" outlineLevel="0" collapsed="false">
      <c r="A87" s="242"/>
      <c r="B87" s="192" t="e">
        <f aca="false">NextMonth(B86)</f>
        <v>#VALUE!</v>
      </c>
      <c r="C87" s="193" t="n">
        <v>0.073346952947122</v>
      </c>
      <c r="D87" s="248" t="n">
        <v>1.45</v>
      </c>
      <c r="E87" s="248" t="n">
        <v>1.45</v>
      </c>
      <c r="F87" s="248" t="n">
        <v>0.152</v>
      </c>
      <c r="G87" s="248" t="n">
        <v>0.1595</v>
      </c>
      <c r="H87" s="248" t="n">
        <v>0.167</v>
      </c>
      <c r="I87" s="244" t="n">
        <v>2.997</v>
      </c>
      <c r="J87" s="248" t="n">
        <v>3.002</v>
      </c>
      <c r="K87" s="193" t="n">
        <v>3.007</v>
      </c>
      <c r="L87" s="248" t="n">
        <v>-0.07375</v>
      </c>
      <c r="M87" s="193" t="n">
        <v>1.395</v>
      </c>
      <c r="O87" s="189" t="e">
        <f aca="false">(IF(MONTH(B87)&gt;=4,IF(MONTH(B87)&lt;=10,Inputs!$H$2,Inputs!$H$3),Inputs!$H$3))</f>
        <v>#VALUE!</v>
      </c>
      <c r="P87" s="244" t="e">
        <f aca="false">J87+(IF($L$2=TRUE(),IF(MONTH(B87)&gt;=4,IF(MONTH(B87)&lt;=10,L87,M87),M87),0))+(IF('Pricing Inputs'!$AN$3=2,O87,0))</f>
        <v>#VALUE!</v>
      </c>
      <c r="Q87" s="244"/>
      <c r="R87" s="245" t="e">
        <f aca="false">B87</f>
        <v>#VALUE!</v>
      </c>
      <c r="S87" s="246" t="n">
        <f aca="false">T87-$S$16</f>
        <v>1.38</v>
      </c>
      <c r="T87" s="241" t="n">
        <f aca="false">D87</f>
        <v>1.45</v>
      </c>
      <c r="U87" s="247" t="n">
        <f aca="false">$U$16+T87</f>
        <v>1.52</v>
      </c>
      <c r="BP87" s="205" t="n">
        <f aca="false">BP86+BV87</f>
        <v>86</v>
      </c>
      <c r="BQ87" s="206" t="s">
        <v>598</v>
      </c>
      <c r="BR87" s="201" t="s">
        <v>203</v>
      </c>
      <c r="BS87" s="132" t="s">
        <v>334</v>
      </c>
      <c r="BT87" s="209" t="s">
        <v>205</v>
      </c>
      <c r="BU87" s="209"/>
      <c r="BV87" s="132" t="n">
        <v>1</v>
      </c>
      <c r="BW87" s="201" t="s">
        <v>599</v>
      </c>
      <c r="BX87" s="0"/>
      <c r="BZ87" s="205" t="n">
        <f aca="false">BZ86+CF87</f>
        <v>86</v>
      </c>
      <c r="CA87" s="63" t="s">
        <v>600</v>
      </c>
      <c r="CB87" s="201" t="s">
        <v>207</v>
      </c>
      <c r="CC87" s="132" t="s">
        <v>204</v>
      </c>
      <c r="CD87" s="209" t="s">
        <v>205</v>
      </c>
      <c r="CE87" s="209"/>
      <c r="CF87" s="132" t="n">
        <v>1</v>
      </c>
      <c r="CG87" s="201" t="s">
        <v>601</v>
      </c>
      <c r="CH87" s="0"/>
    </row>
    <row r="88" customFormat="false" ht="12.75" hidden="false" customHeight="false" outlineLevel="0" collapsed="false">
      <c r="A88" s="242"/>
      <c r="B88" s="192" t="e">
        <f aca="false">NextMonth(B87)</f>
        <v>#VALUE!</v>
      </c>
      <c r="C88" s="193" t="n">
        <v>0.073369401101469</v>
      </c>
      <c r="D88" s="248" t="n">
        <v>1</v>
      </c>
      <c r="E88" s="248" t="n">
        <v>1</v>
      </c>
      <c r="F88" s="248" t="n">
        <v>0.151</v>
      </c>
      <c r="G88" s="248" t="n">
        <v>0.1585</v>
      </c>
      <c r="H88" s="248" t="n">
        <v>0.166</v>
      </c>
      <c r="I88" s="244" t="n">
        <v>2.877</v>
      </c>
      <c r="J88" s="248" t="n">
        <v>2.882</v>
      </c>
      <c r="K88" s="193" t="n">
        <v>2.887</v>
      </c>
      <c r="L88" s="248" t="n">
        <v>-0.068125</v>
      </c>
      <c r="M88" s="193" t="n">
        <v>0.865</v>
      </c>
      <c r="O88" s="189" t="e">
        <f aca="false">(IF(MONTH(B88)&gt;=4,IF(MONTH(B88)&lt;=10,Inputs!$H$2,Inputs!$H$3),Inputs!$H$3))</f>
        <v>#VALUE!</v>
      </c>
      <c r="P88" s="244" t="e">
        <f aca="false">J88+(IF($L$2=TRUE(),IF(MONTH(B88)&gt;=4,IF(MONTH(B88)&lt;=10,L88,M88),M88),0))+(IF('Pricing Inputs'!$AN$3=2,O88,0))</f>
        <v>#VALUE!</v>
      </c>
      <c r="Q88" s="244"/>
      <c r="R88" s="245" t="e">
        <f aca="false">B88</f>
        <v>#VALUE!</v>
      </c>
      <c r="S88" s="246" t="n">
        <f aca="false">T88-$S$16</f>
        <v>0.93</v>
      </c>
      <c r="T88" s="241" t="n">
        <f aca="false">D88</f>
        <v>1</v>
      </c>
      <c r="U88" s="247" t="n">
        <f aca="false">$U$16+T88</f>
        <v>1.07</v>
      </c>
      <c r="BP88" s="205" t="n">
        <f aca="false">BP87+BV88</f>
        <v>87</v>
      </c>
      <c r="BQ88" s="206" t="s">
        <v>602</v>
      </c>
      <c r="BR88" s="201" t="s">
        <v>203</v>
      </c>
      <c r="BS88" s="132" t="s">
        <v>334</v>
      </c>
      <c r="BT88" s="209" t="s">
        <v>205</v>
      </c>
      <c r="BU88" s="209"/>
      <c r="BV88" s="132" t="n">
        <v>1</v>
      </c>
      <c r="BW88" s="201" t="s">
        <v>603</v>
      </c>
      <c r="BX88" s="0"/>
      <c r="BZ88" s="205" t="n">
        <f aca="false">BZ87+CF88</f>
        <v>87</v>
      </c>
      <c r="CA88" s="63" t="s">
        <v>604</v>
      </c>
      <c r="CB88" s="201" t="s">
        <v>207</v>
      </c>
      <c r="CC88" s="132" t="s">
        <v>204</v>
      </c>
      <c r="CD88" s="209" t="s">
        <v>205</v>
      </c>
      <c r="CE88" s="209"/>
      <c r="CF88" s="132" t="n">
        <v>1</v>
      </c>
      <c r="CG88" s="201" t="s">
        <v>605</v>
      </c>
      <c r="CH88" s="0"/>
    </row>
    <row r="89" customFormat="false" ht="12.75" hidden="false" customHeight="false" outlineLevel="0" collapsed="false">
      <c r="A89" s="242"/>
      <c r="B89" s="192" t="e">
        <f aca="false">NextMonth(B88)</f>
        <v>#VALUE!</v>
      </c>
      <c r="C89" s="193" t="n">
        <v>0.073394254415403</v>
      </c>
      <c r="D89" s="248" t="n">
        <v>0.45</v>
      </c>
      <c r="E89" s="248" t="n">
        <v>0.45</v>
      </c>
      <c r="F89" s="248" t="n">
        <v>0.15</v>
      </c>
      <c r="G89" s="248" t="n">
        <v>0.1575</v>
      </c>
      <c r="H89" s="248" t="n">
        <v>0.165</v>
      </c>
      <c r="I89" s="244" t="n">
        <v>2.8275</v>
      </c>
      <c r="J89" s="248" t="n">
        <v>2.8325</v>
      </c>
      <c r="K89" s="193" t="n">
        <v>2.8375</v>
      </c>
      <c r="L89" s="248" t="n">
        <v>-0.056875</v>
      </c>
      <c r="M89" s="193" t="n">
        <v>0.37</v>
      </c>
      <c r="O89" s="189" t="e">
        <f aca="false">(IF(MONTH(B89)&gt;=4,IF(MONTH(B89)&lt;=10,Inputs!$H$2,Inputs!$H$3),Inputs!$H$3))</f>
        <v>#VALUE!</v>
      </c>
      <c r="P89" s="244" t="e">
        <f aca="false">J89+(IF($L$2=TRUE(),IF(MONTH(B89)&gt;=4,IF(MONTH(B89)&lt;=10,L89,M89),M89),0))+(IF('Pricing Inputs'!$AN$3=2,O89,0))</f>
        <v>#VALUE!</v>
      </c>
      <c r="Q89" s="244"/>
      <c r="R89" s="245" t="e">
        <f aca="false">B89</f>
        <v>#VALUE!</v>
      </c>
      <c r="S89" s="246" t="n">
        <f aca="false">T89-$S$16</f>
        <v>0.38</v>
      </c>
      <c r="T89" s="241" t="n">
        <f aca="false">D89</f>
        <v>0.45</v>
      </c>
      <c r="U89" s="247" t="n">
        <f aca="false">$U$16+T89</f>
        <v>0.52</v>
      </c>
      <c r="BP89" s="205" t="n">
        <f aca="false">BP88+BV89</f>
        <v>88</v>
      </c>
      <c r="BQ89" s="206" t="s">
        <v>606</v>
      </c>
      <c r="BR89" s="201" t="s">
        <v>203</v>
      </c>
      <c r="BS89" s="132" t="s">
        <v>334</v>
      </c>
      <c r="BT89" s="209" t="s">
        <v>205</v>
      </c>
      <c r="BU89" s="209"/>
      <c r="BV89" s="132" t="n">
        <v>1</v>
      </c>
      <c r="BW89" s="201" t="s">
        <v>607</v>
      </c>
      <c r="BX89" s="0"/>
      <c r="BZ89" s="205" t="n">
        <f aca="false">BZ88+CF89</f>
        <v>88</v>
      </c>
      <c r="CA89" s="63" t="s">
        <v>608</v>
      </c>
      <c r="CB89" s="201" t="s">
        <v>207</v>
      </c>
      <c r="CC89" s="132" t="s">
        <v>204</v>
      </c>
      <c r="CD89" s="209" t="s">
        <v>205</v>
      </c>
      <c r="CE89" s="209"/>
      <c r="CF89" s="132" t="n">
        <v>1</v>
      </c>
      <c r="CG89" s="201" t="s">
        <v>609</v>
      </c>
      <c r="CH89" s="0"/>
    </row>
    <row r="90" customFormat="false" ht="12.75" hidden="false" customHeight="false" outlineLevel="0" collapsed="false">
      <c r="A90" s="242"/>
      <c r="B90" s="192" t="e">
        <f aca="false">NextMonth(B89)</f>
        <v>#VALUE!</v>
      </c>
      <c r="C90" s="193" t="n">
        <v>0.073418306009727</v>
      </c>
      <c r="D90" s="248" t="n">
        <v>0.5</v>
      </c>
      <c r="E90" s="248" t="n">
        <v>0.5</v>
      </c>
      <c r="F90" s="248" t="n">
        <v>0.15</v>
      </c>
      <c r="G90" s="248" t="n">
        <v>0.1575</v>
      </c>
      <c r="H90" s="248" t="n">
        <v>0.165</v>
      </c>
      <c r="I90" s="244" t="n">
        <v>2.8015</v>
      </c>
      <c r="J90" s="248" t="n">
        <v>2.8065</v>
      </c>
      <c r="K90" s="193" t="n">
        <v>2.8115</v>
      </c>
      <c r="L90" s="248" t="n">
        <v>-0.055625</v>
      </c>
      <c r="M90" s="193" t="n">
        <v>0.2525</v>
      </c>
      <c r="O90" s="189" t="e">
        <f aca="false">(IF(MONTH(B90)&gt;=4,IF(MONTH(B90)&lt;=10,Inputs!$H$2,Inputs!$H$3),Inputs!$H$3))</f>
        <v>#VALUE!</v>
      </c>
      <c r="P90" s="244" t="e">
        <f aca="false">J90+(IF($L$2=TRUE(),IF(MONTH(B90)&gt;=4,IF(MONTH(B90)&lt;=10,L90,M90),M90),0))+(IF('Pricing Inputs'!$AN$3=2,O90,0))</f>
        <v>#VALUE!</v>
      </c>
      <c r="Q90" s="244"/>
      <c r="R90" s="245" t="e">
        <f aca="false">B90</f>
        <v>#VALUE!</v>
      </c>
      <c r="S90" s="246" t="n">
        <f aca="false">T90-$S$16</f>
        <v>0.43</v>
      </c>
      <c r="T90" s="241" t="n">
        <f aca="false">D90</f>
        <v>0.5</v>
      </c>
      <c r="U90" s="247" t="n">
        <f aca="false">$U$16+T90</f>
        <v>0.57</v>
      </c>
      <c r="BP90" s="205" t="n">
        <f aca="false">BP89+BV90</f>
        <v>89</v>
      </c>
      <c r="BQ90" s="206" t="s">
        <v>610</v>
      </c>
      <c r="BR90" s="201" t="s">
        <v>203</v>
      </c>
      <c r="BS90" s="132" t="s">
        <v>334</v>
      </c>
      <c r="BT90" s="209" t="s">
        <v>205</v>
      </c>
      <c r="BU90" s="209"/>
      <c r="BV90" s="132" t="n">
        <v>1</v>
      </c>
      <c r="BW90" s="201" t="s">
        <v>611</v>
      </c>
      <c r="BX90" s="0"/>
      <c r="BZ90" s="205" t="n">
        <f aca="false">BZ89+CF90</f>
        <v>89</v>
      </c>
      <c r="CA90" s="63" t="s">
        <v>612</v>
      </c>
      <c r="CB90" s="201" t="s">
        <v>207</v>
      </c>
      <c r="CC90" s="132" t="s">
        <v>204</v>
      </c>
      <c r="CD90" s="209" t="s">
        <v>205</v>
      </c>
      <c r="CE90" s="209"/>
      <c r="CF90" s="132" t="n">
        <v>1</v>
      </c>
      <c r="CG90" s="201" t="s">
        <v>613</v>
      </c>
      <c r="CH90" s="0"/>
    </row>
    <row r="91" customFormat="false" ht="12.75" hidden="false" customHeight="false" outlineLevel="0" collapsed="false">
      <c r="A91" s="242"/>
      <c r="B91" s="192" t="e">
        <f aca="false">NextMonth(B90)</f>
        <v>#VALUE!</v>
      </c>
      <c r="C91" s="193" t="n">
        <v>0.073443159324063</v>
      </c>
      <c r="D91" s="248" t="n">
        <v>0.5</v>
      </c>
      <c r="E91" s="248" t="n">
        <v>0.5</v>
      </c>
      <c r="F91" s="248" t="n">
        <v>0.15</v>
      </c>
      <c r="G91" s="248" t="n">
        <v>0.1575</v>
      </c>
      <c r="H91" s="248" t="n">
        <v>0.165</v>
      </c>
      <c r="I91" s="244" t="n">
        <v>2.8075</v>
      </c>
      <c r="J91" s="248" t="n">
        <v>2.8125</v>
      </c>
      <c r="K91" s="193" t="n">
        <v>2.8175</v>
      </c>
      <c r="L91" s="248" t="n">
        <v>-0.055625</v>
      </c>
      <c r="M91" s="193" t="n">
        <v>0.2525</v>
      </c>
      <c r="O91" s="189" t="e">
        <f aca="false">(IF(MONTH(B91)&gt;=4,IF(MONTH(B91)&lt;=10,Inputs!$H$2,Inputs!$H$3),Inputs!$H$3))</f>
        <v>#VALUE!</v>
      </c>
      <c r="P91" s="244" t="e">
        <f aca="false">J91+(IF($L$2=TRUE(),IF(MONTH(B91)&gt;=4,IF(MONTH(B91)&lt;=10,L91,M91),M91),0))+(IF('Pricing Inputs'!$AN$3=2,O91,0))</f>
        <v>#VALUE!</v>
      </c>
      <c r="Q91" s="244"/>
      <c r="R91" s="245" t="e">
        <f aca="false">B91</f>
        <v>#VALUE!</v>
      </c>
      <c r="S91" s="246" t="n">
        <f aca="false">T91-$S$16</f>
        <v>0.43</v>
      </c>
      <c r="T91" s="241" t="n">
        <f aca="false">D91</f>
        <v>0.5</v>
      </c>
      <c r="U91" s="247" t="n">
        <f aca="false">$U$16+T91</f>
        <v>0.57</v>
      </c>
      <c r="BP91" s="205" t="n">
        <f aca="false">BP90+BV91</f>
        <v>90</v>
      </c>
      <c r="BQ91" s="206" t="s">
        <v>614</v>
      </c>
      <c r="BR91" s="201" t="s">
        <v>203</v>
      </c>
      <c r="BS91" s="132" t="s">
        <v>334</v>
      </c>
      <c r="BT91" s="209" t="s">
        <v>205</v>
      </c>
      <c r="BU91" s="209"/>
      <c r="BV91" s="132" t="n">
        <v>1</v>
      </c>
      <c r="BW91" s="201" t="s">
        <v>615</v>
      </c>
      <c r="BX91" s="0"/>
      <c r="BZ91" s="205" t="n">
        <f aca="false">BZ90+CF91</f>
        <v>90</v>
      </c>
      <c r="CA91" s="63" t="s">
        <v>616</v>
      </c>
      <c r="CB91" s="201" t="s">
        <v>207</v>
      </c>
      <c r="CC91" s="132" t="s">
        <v>204</v>
      </c>
      <c r="CD91" s="209" t="s">
        <v>205</v>
      </c>
      <c r="CE91" s="209"/>
      <c r="CF91" s="132" t="n">
        <v>1</v>
      </c>
      <c r="CG91" s="201" t="s">
        <v>617</v>
      </c>
      <c r="CH91" s="0"/>
    </row>
    <row r="92" customFormat="false" ht="12.75" hidden="false" customHeight="false" outlineLevel="0" collapsed="false">
      <c r="A92" s="242"/>
      <c r="B92" s="192" t="e">
        <f aca="false">NextMonth(B91)</f>
        <v>#VALUE!</v>
      </c>
      <c r="C92" s="193" t="n">
        <v>0.073467210918776</v>
      </c>
      <c r="D92" s="248" t="n">
        <v>0.5</v>
      </c>
      <c r="E92" s="248" t="n">
        <v>0.5</v>
      </c>
      <c r="F92" s="248" t="n">
        <v>0.15</v>
      </c>
      <c r="G92" s="248" t="n">
        <v>0.1575</v>
      </c>
      <c r="H92" s="248" t="n">
        <v>0.165</v>
      </c>
      <c r="I92" s="244" t="n">
        <v>2.8175</v>
      </c>
      <c r="J92" s="248" t="n">
        <v>2.8225</v>
      </c>
      <c r="K92" s="193" t="n">
        <v>2.8275</v>
      </c>
      <c r="L92" s="248" t="n">
        <v>-0.055</v>
      </c>
      <c r="M92" s="193" t="n">
        <v>0.2575</v>
      </c>
      <c r="O92" s="189" t="e">
        <f aca="false">(IF(MONTH(B92)&gt;=4,IF(MONTH(B92)&lt;=10,Inputs!$H$2,Inputs!$H$3),Inputs!$H$3))</f>
        <v>#VALUE!</v>
      </c>
      <c r="P92" s="244" t="e">
        <f aca="false">J92+(IF($L$2=TRUE(),IF(MONTH(B92)&gt;=4,IF(MONTH(B92)&lt;=10,L92,M92),M92),0))+(IF('Pricing Inputs'!$AN$3=2,O92,0))</f>
        <v>#VALUE!</v>
      </c>
      <c r="Q92" s="244"/>
      <c r="R92" s="245" t="e">
        <f aca="false">B92</f>
        <v>#VALUE!</v>
      </c>
      <c r="S92" s="246" t="n">
        <f aca="false">T92-$S$16</f>
        <v>0.43</v>
      </c>
      <c r="T92" s="241" t="n">
        <f aca="false">D92</f>
        <v>0.5</v>
      </c>
      <c r="U92" s="247" t="n">
        <f aca="false">$U$16+T92</f>
        <v>0.57</v>
      </c>
      <c r="BP92" s="205" t="n">
        <f aca="false">BP91+BV92</f>
        <v>91</v>
      </c>
      <c r="BQ92" s="206" t="s">
        <v>618</v>
      </c>
      <c r="BR92" s="201" t="s">
        <v>203</v>
      </c>
      <c r="BS92" s="132" t="s">
        <v>334</v>
      </c>
      <c r="BT92" s="209" t="s">
        <v>205</v>
      </c>
      <c r="BU92" s="209"/>
      <c r="BV92" s="132" t="n">
        <v>1</v>
      </c>
      <c r="BW92" s="201" t="s">
        <v>619</v>
      </c>
      <c r="BX92" s="0"/>
      <c r="BZ92" s="205" t="n">
        <f aca="false">BZ91+CF92</f>
        <v>91</v>
      </c>
      <c r="CA92" s="63" t="s">
        <v>620</v>
      </c>
      <c r="CB92" s="201" t="s">
        <v>207</v>
      </c>
      <c r="CC92" s="132" t="s">
        <v>204</v>
      </c>
      <c r="CD92" s="209" t="s">
        <v>205</v>
      </c>
      <c r="CE92" s="209"/>
      <c r="CF92" s="132" t="n">
        <v>1</v>
      </c>
      <c r="CG92" s="201" t="s">
        <v>621</v>
      </c>
      <c r="CH92" s="0"/>
    </row>
    <row r="93" customFormat="false" ht="12.75" hidden="false" customHeight="false" outlineLevel="0" collapsed="false">
      <c r="A93" s="242"/>
      <c r="B93" s="192" t="e">
        <f aca="false">NextMonth(B92)</f>
        <v>#VALUE!</v>
      </c>
      <c r="C93" s="193" t="n">
        <v>0.073492064233513</v>
      </c>
      <c r="D93" s="248" t="n">
        <v>0.6</v>
      </c>
      <c r="E93" s="248" t="n">
        <v>0.6</v>
      </c>
      <c r="F93" s="248" t="n">
        <v>0.15</v>
      </c>
      <c r="G93" s="248" t="n">
        <v>0.1575</v>
      </c>
      <c r="H93" s="248" t="n">
        <v>0.165</v>
      </c>
      <c r="I93" s="244" t="n">
        <v>2.8245</v>
      </c>
      <c r="J93" s="248" t="n">
        <v>2.8295</v>
      </c>
      <c r="K93" s="193" t="n">
        <v>2.8345</v>
      </c>
      <c r="L93" s="248" t="n">
        <v>-0.055</v>
      </c>
      <c r="M93" s="193" t="n">
        <v>0.2575</v>
      </c>
      <c r="O93" s="189" t="e">
        <f aca="false">(IF(MONTH(B93)&gt;=4,IF(MONTH(B93)&lt;=10,Inputs!$H$2,Inputs!$H$3),Inputs!$H$3))</f>
        <v>#VALUE!</v>
      </c>
      <c r="P93" s="244" t="e">
        <f aca="false">J93+(IF($L$2=TRUE(),IF(MONTH(B93)&gt;=4,IF(MONTH(B93)&lt;=10,L93,M93),M93),0))+(IF('Pricing Inputs'!$AN$3=2,O93,0))</f>
        <v>#VALUE!</v>
      </c>
      <c r="Q93" s="244"/>
      <c r="R93" s="245" t="e">
        <f aca="false">B93</f>
        <v>#VALUE!</v>
      </c>
      <c r="S93" s="246" t="n">
        <f aca="false">T93-$S$16</f>
        <v>0.53</v>
      </c>
      <c r="T93" s="241" t="n">
        <f aca="false">D93</f>
        <v>0.6</v>
      </c>
      <c r="U93" s="247" t="n">
        <f aca="false">$U$16+T93</f>
        <v>0.67</v>
      </c>
      <c r="BP93" s="205" t="n">
        <f aca="false">BP92+BV93</f>
        <v>92</v>
      </c>
      <c r="BQ93" s="206" t="s">
        <v>622</v>
      </c>
      <c r="BR93" s="201" t="s">
        <v>203</v>
      </c>
      <c r="BS93" s="132" t="s">
        <v>334</v>
      </c>
      <c r="BT93" s="209" t="s">
        <v>205</v>
      </c>
      <c r="BU93" s="209"/>
      <c r="BV93" s="132" t="n">
        <v>1</v>
      </c>
      <c r="BW93" s="201" t="s">
        <v>623</v>
      </c>
      <c r="BX93" s="0"/>
      <c r="BZ93" s="205" t="n">
        <f aca="false">BZ92+CF93</f>
        <v>92</v>
      </c>
      <c r="CA93" s="63" t="s">
        <v>624</v>
      </c>
      <c r="CB93" s="201" t="s">
        <v>207</v>
      </c>
      <c r="CC93" s="132" t="s">
        <v>204</v>
      </c>
      <c r="CD93" s="209" t="s">
        <v>205</v>
      </c>
      <c r="CE93" s="209"/>
      <c r="CF93" s="132" t="n">
        <v>1</v>
      </c>
      <c r="CG93" s="201" t="s">
        <v>625</v>
      </c>
      <c r="CH93" s="0"/>
    </row>
    <row r="94" customFormat="false" ht="12.75" hidden="false" customHeight="false" outlineLevel="0" collapsed="false">
      <c r="A94" s="242"/>
      <c r="B94" s="192" t="e">
        <f aca="false">NextMonth(B93)</f>
        <v>#VALUE!</v>
      </c>
      <c r="C94" s="193" t="n">
        <v>0.073516917548453</v>
      </c>
      <c r="D94" s="248" t="n">
        <v>0.6</v>
      </c>
      <c r="E94" s="248" t="n">
        <v>0.6</v>
      </c>
      <c r="F94" s="248" t="n">
        <v>0.15</v>
      </c>
      <c r="G94" s="248" t="n">
        <v>0.1575</v>
      </c>
      <c r="H94" s="248" t="n">
        <v>0.165</v>
      </c>
      <c r="I94" s="244" t="n">
        <v>2.8315</v>
      </c>
      <c r="J94" s="248" t="n">
        <v>2.8365</v>
      </c>
      <c r="K94" s="193" t="n">
        <v>2.8415</v>
      </c>
      <c r="L94" s="248" t="n">
        <v>-0.055625</v>
      </c>
      <c r="M94" s="193" t="n">
        <v>0.2525</v>
      </c>
      <c r="O94" s="189" t="e">
        <f aca="false">(IF(MONTH(B94)&gt;=4,IF(MONTH(B94)&lt;=10,Inputs!$H$2,Inputs!$H$3),Inputs!$H$3))</f>
        <v>#VALUE!</v>
      </c>
      <c r="P94" s="244" t="e">
        <f aca="false">J94+(IF($L$2=TRUE(),IF(MONTH(B94)&gt;=4,IF(MONTH(B94)&lt;=10,L94,M94),M94),0))+(IF('Pricing Inputs'!$AN$3=2,O94,0))</f>
        <v>#VALUE!</v>
      </c>
      <c r="Q94" s="244"/>
      <c r="R94" s="245" t="e">
        <f aca="false">B94</f>
        <v>#VALUE!</v>
      </c>
      <c r="S94" s="246" t="n">
        <f aca="false">T94-$S$16</f>
        <v>0.53</v>
      </c>
      <c r="T94" s="241" t="n">
        <f aca="false">D94</f>
        <v>0.6</v>
      </c>
      <c r="U94" s="247" t="n">
        <f aca="false">$U$16+T94</f>
        <v>0.67</v>
      </c>
      <c r="BP94" s="205" t="n">
        <f aca="false">BP93+BV94</f>
        <v>93</v>
      </c>
      <c r="BQ94" s="206" t="s">
        <v>626</v>
      </c>
      <c r="BR94" s="201" t="s">
        <v>203</v>
      </c>
      <c r="BS94" s="132" t="s">
        <v>334</v>
      </c>
      <c r="BT94" s="209" t="s">
        <v>205</v>
      </c>
      <c r="BU94" s="209"/>
      <c r="BV94" s="132" t="n">
        <v>1</v>
      </c>
      <c r="BW94" s="201" t="s">
        <v>627</v>
      </c>
      <c r="BX94" s="0"/>
      <c r="BZ94" s="205" t="n">
        <f aca="false">BZ93+CF94</f>
        <v>93</v>
      </c>
      <c r="CA94" s="63" t="s">
        <v>628</v>
      </c>
      <c r="CB94" s="201" t="s">
        <v>207</v>
      </c>
      <c r="CC94" s="132" t="s">
        <v>204</v>
      </c>
      <c r="CD94" s="209" t="s">
        <v>205</v>
      </c>
      <c r="CE94" s="209"/>
      <c r="CF94" s="132" t="n">
        <v>1</v>
      </c>
      <c r="CG94" s="201" t="s">
        <v>629</v>
      </c>
      <c r="CH94" s="0"/>
    </row>
    <row r="95" customFormat="false" ht="12.75" hidden="false" customHeight="false" outlineLevel="0" collapsed="false">
      <c r="A95" s="242"/>
      <c r="B95" s="192" t="e">
        <f aca="false">NextMonth(B94)</f>
        <v>#VALUE!</v>
      </c>
      <c r="C95" s="193" t="n">
        <v>0.073540969143751</v>
      </c>
      <c r="D95" s="248" t="n">
        <v>0.65</v>
      </c>
      <c r="E95" s="248" t="n">
        <v>0.65</v>
      </c>
      <c r="F95" s="248" t="n">
        <v>0.15</v>
      </c>
      <c r="G95" s="248" t="n">
        <v>0.1575</v>
      </c>
      <c r="H95" s="248" t="n">
        <v>0.165</v>
      </c>
      <c r="I95" s="244" t="n">
        <v>2.8575</v>
      </c>
      <c r="J95" s="248" t="n">
        <v>2.8625</v>
      </c>
      <c r="K95" s="193" t="n">
        <v>2.8675</v>
      </c>
      <c r="L95" s="248" t="n">
        <v>-0.055625</v>
      </c>
      <c r="M95" s="193" t="n">
        <v>0.255</v>
      </c>
      <c r="O95" s="189" t="e">
        <f aca="false">(IF(MONTH(B95)&gt;=4,IF(MONTH(B95)&lt;=10,Inputs!$H$2,Inputs!$H$3),Inputs!$H$3))</f>
        <v>#VALUE!</v>
      </c>
      <c r="P95" s="244" t="e">
        <f aca="false">J95+(IF($L$2=TRUE(),IF(MONTH(B95)&gt;=4,IF(MONTH(B95)&lt;=10,L95,M95),M95),0))+(IF('Pricing Inputs'!$AN$3=2,O95,0))</f>
        <v>#VALUE!</v>
      </c>
      <c r="Q95" s="244"/>
      <c r="R95" s="245" t="e">
        <f aca="false">B95</f>
        <v>#VALUE!</v>
      </c>
      <c r="S95" s="246" t="n">
        <f aca="false">T95-$S$16</f>
        <v>0.58</v>
      </c>
      <c r="T95" s="241" t="n">
        <f aca="false">D95</f>
        <v>0.65</v>
      </c>
      <c r="U95" s="247" t="n">
        <f aca="false">$U$16+T95</f>
        <v>0.72</v>
      </c>
      <c r="BP95" s="205" t="n">
        <f aca="false">BP94+BV95</f>
        <v>94</v>
      </c>
      <c r="BQ95" s="206" t="s">
        <v>630</v>
      </c>
      <c r="BR95" s="201" t="s">
        <v>203</v>
      </c>
      <c r="BS95" s="132" t="s">
        <v>334</v>
      </c>
      <c r="BT95" s="209" t="s">
        <v>205</v>
      </c>
      <c r="BU95" s="209"/>
      <c r="BV95" s="132" t="n">
        <v>1</v>
      </c>
      <c r="BW95" s="201" t="s">
        <v>631</v>
      </c>
      <c r="BX95" s="0"/>
      <c r="BZ95" s="205" t="n">
        <f aca="false">BZ94+CF95</f>
        <v>94</v>
      </c>
      <c r="CA95" s="63" t="s">
        <v>632</v>
      </c>
      <c r="CB95" s="201" t="s">
        <v>207</v>
      </c>
      <c r="CC95" s="132" t="s">
        <v>204</v>
      </c>
      <c r="CD95" s="209" t="s">
        <v>205</v>
      </c>
      <c r="CE95" s="209"/>
      <c r="CF95" s="132" t="n">
        <v>1</v>
      </c>
      <c r="CG95" s="201" t="s">
        <v>633</v>
      </c>
      <c r="CH95" s="0"/>
    </row>
    <row r="96" customFormat="false" ht="12.75" hidden="false" customHeight="false" outlineLevel="0" collapsed="false">
      <c r="A96" s="242"/>
      <c r="B96" s="192" t="e">
        <f aca="false">NextMonth(B95)</f>
        <v>#VALUE!</v>
      </c>
      <c r="C96" s="193" t="n">
        <v>0.073565822459093</v>
      </c>
      <c r="D96" s="248" t="n">
        <v>0.95</v>
      </c>
      <c r="E96" s="248" t="n">
        <v>0.95</v>
      </c>
      <c r="F96" s="248" t="n">
        <v>0.15</v>
      </c>
      <c r="G96" s="248" t="n">
        <v>0.1575</v>
      </c>
      <c r="H96" s="248" t="n">
        <v>0.165</v>
      </c>
      <c r="I96" s="244" t="n">
        <v>2.9925</v>
      </c>
      <c r="J96" s="248" t="n">
        <v>2.9975</v>
      </c>
      <c r="K96" s="193" t="n">
        <v>3.0025</v>
      </c>
      <c r="L96" s="248" t="n">
        <v>-0.0675</v>
      </c>
      <c r="M96" s="193" t="n">
        <v>0.715</v>
      </c>
      <c r="O96" s="189" t="e">
        <f aca="false">(IF(MONTH(B96)&gt;=4,IF(MONTH(B96)&lt;=10,Inputs!$H$2,Inputs!$H$3),Inputs!$H$3))</f>
        <v>#VALUE!</v>
      </c>
      <c r="P96" s="244" t="e">
        <f aca="false">J96+(IF($L$2=TRUE(),IF(MONTH(B96)&gt;=4,IF(MONTH(B96)&lt;=10,L96,M96),M96),0))+(IF('Pricing Inputs'!$AN$3=2,O96,0))</f>
        <v>#VALUE!</v>
      </c>
      <c r="Q96" s="244"/>
      <c r="R96" s="245" t="e">
        <f aca="false">B96</f>
        <v>#VALUE!</v>
      </c>
      <c r="S96" s="246" t="n">
        <f aca="false">T96-$S$16</f>
        <v>0.88</v>
      </c>
      <c r="T96" s="241" t="n">
        <f aca="false">D96</f>
        <v>0.95</v>
      </c>
      <c r="U96" s="247" t="n">
        <f aca="false">$U$16+T96</f>
        <v>1.02</v>
      </c>
      <c r="BP96" s="205" t="n">
        <f aca="false">BP95+BV96</f>
        <v>95</v>
      </c>
      <c r="BQ96" s="206" t="s">
        <v>634</v>
      </c>
      <c r="BR96" s="201" t="s">
        <v>203</v>
      </c>
      <c r="BS96" s="132" t="s">
        <v>334</v>
      </c>
      <c r="BT96" s="209" t="s">
        <v>205</v>
      </c>
      <c r="BU96" s="209"/>
      <c r="BV96" s="132" t="n">
        <v>1</v>
      </c>
      <c r="BW96" s="201" t="s">
        <v>635</v>
      </c>
      <c r="BX96" s="0"/>
      <c r="BZ96" s="205" t="n">
        <f aca="false">BZ95+CF96</f>
        <v>95</v>
      </c>
      <c r="CA96" s="63" t="s">
        <v>636</v>
      </c>
      <c r="CB96" s="201" t="s">
        <v>207</v>
      </c>
      <c r="CC96" s="132" t="s">
        <v>204</v>
      </c>
      <c r="CD96" s="209" t="s">
        <v>205</v>
      </c>
      <c r="CE96" s="209"/>
      <c r="CF96" s="132" t="n">
        <v>1</v>
      </c>
      <c r="CG96" s="201" t="s">
        <v>637</v>
      </c>
      <c r="CH96" s="0"/>
    </row>
    <row r="97" customFormat="false" ht="12.75" hidden="false" customHeight="false" outlineLevel="0" collapsed="false">
      <c r="A97" s="242"/>
      <c r="B97" s="192" t="e">
        <f aca="false">NextMonth(B96)</f>
        <v>#VALUE!</v>
      </c>
      <c r="C97" s="193" t="n">
        <v>0.073589874054779</v>
      </c>
      <c r="D97" s="248" t="n">
        <v>1.25</v>
      </c>
      <c r="E97" s="248" t="n">
        <v>1.25</v>
      </c>
      <c r="F97" s="248" t="n">
        <v>0.15</v>
      </c>
      <c r="G97" s="248" t="n">
        <v>0.1575</v>
      </c>
      <c r="H97" s="248" t="n">
        <v>0.165</v>
      </c>
      <c r="I97" s="244" t="n">
        <v>3.1165</v>
      </c>
      <c r="J97" s="248" t="n">
        <v>3.1215</v>
      </c>
      <c r="K97" s="193" t="n">
        <v>3.1265</v>
      </c>
      <c r="L97" s="248" t="n">
        <v>-0.07375</v>
      </c>
      <c r="M97" s="193" t="n">
        <v>1.03</v>
      </c>
      <c r="O97" s="189" t="e">
        <f aca="false">(IF(MONTH(B97)&gt;=4,IF(MONTH(B97)&lt;=10,Inputs!$H$2,Inputs!$H$3),Inputs!$H$3))</f>
        <v>#VALUE!</v>
      </c>
      <c r="P97" s="244" t="e">
        <f aca="false">J97+(IF($L$2=TRUE(),IF(MONTH(B97)&gt;=4,IF(MONTH(B97)&lt;=10,L97,M97),M97),0))+(IF('Pricing Inputs'!$AN$3=2,O97,0))</f>
        <v>#VALUE!</v>
      </c>
      <c r="Q97" s="244"/>
      <c r="R97" s="245" t="e">
        <f aca="false">B97</f>
        <v>#VALUE!</v>
      </c>
      <c r="S97" s="246" t="n">
        <f aca="false">T97-$S$16</f>
        <v>1.18</v>
      </c>
      <c r="T97" s="241" t="n">
        <f aca="false">D97</f>
        <v>1.25</v>
      </c>
      <c r="U97" s="247" t="n">
        <f aca="false">$U$16+T97</f>
        <v>1.32</v>
      </c>
      <c r="BP97" s="205" t="n">
        <f aca="false">BP96+BV97</f>
        <v>96</v>
      </c>
      <c r="BQ97" s="206" t="s">
        <v>638</v>
      </c>
      <c r="BR97" s="201" t="s">
        <v>203</v>
      </c>
      <c r="BS97" s="132" t="s">
        <v>334</v>
      </c>
      <c r="BT97" s="209" t="s">
        <v>205</v>
      </c>
      <c r="BU97" s="209"/>
      <c r="BV97" s="132" t="n">
        <v>1</v>
      </c>
      <c r="BW97" s="201" t="s">
        <v>639</v>
      </c>
      <c r="BX97" s="0"/>
      <c r="BZ97" s="205" t="n">
        <f aca="false">BZ96+CF97</f>
        <v>96</v>
      </c>
      <c r="CA97" s="63" t="s">
        <v>640</v>
      </c>
      <c r="CB97" s="201" t="s">
        <v>207</v>
      </c>
      <c r="CC97" s="132" t="s">
        <v>204</v>
      </c>
      <c r="CD97" s="209" t="s">
        <v>205</v>
      </c>
      <c r="CE97" s="209"/>
      <c r="CF97" s="132" t="n">
        <v>1</v>
      </c>
      <c r="CG97" s="201" t="s">
        <v>641</v>
      </c>
      <c r="CH97" s="0"/>
    </row>
    <row r="98" customFormat="false" ht="12.75" hidden="false" customHeight="false" outlineLevel="0" collapsed="false">
      <c r="A98" s="242"/>
      <c r="B98" s="192" t="e">
        <f aca="false">NextMonth(B97)</f>
        <v>#VALUE!</v>
      </c>
      <c r="C98" s="193" t="n">
        <v>0.073614727370523</v>
      </c>
      <c r="D98" s="248" t="n">
        <v>1.45</v>
      </c>
      <c r="E98" s="248" t="n">
        <v>1.45</v>
      </c>
      <c r="F98" s="248" t="n">
        <v>0.15</v>
      </c>
      <c r="G98" s="248" t="n">
        <v>0.1575</v>
      </c>
      <c r="H98" s="248" t="n">
        <v>0.165</v>
      </c>
      <c r="I98" s="244" t="n">
        <v>3.175</v>
      </c>
      <c r="J98" s="248" t="n">
        <v>3.18</v>
      </c>
      <c r="K98" s="193" t="n">
        <v>3.185</v>
      </c>
      <c r="L98" s="248" t="n">
        <v>-0.07375</v>
      </c>
      <c r="M98" s="193" t="n">
        <v>1.495</v>
      </c>
      <c r="O98" s="189" t="e">
        <f aca="false">(IF(MONTH(B98)&gt;=4,IF(MONTH(B98)&lt;=10,Inputs!$H$2,Inputs!$H$3),Inputs!$H$3))</f>
        <v>#VALUE!</v>
      </c>
      <c r="P98" s="244" t="e">
        <f aca="false">J98+(IF($L$2=TRUE(),IF(MONTH(B98)&gt;=4,IF(MONTH(B98)&lt;=10,L98,M98),M98),0))+(IF('Pricing Inputs'!$AN$3=2,O98,0))</f>
        <v>#VALUE!</v>
      </c>
      <c r="Q98" s="244"/>
      <c r="R98" s="245" t="e">
        <f aca="false">B98</f>
        <v>#VALUE!</v>
      </c>
      <c r="S98" s="246" t="n">
        <f aca="false">T98-$S$16</f>
        <v>1.38</v>
      </c>
      <c r="T98" s="241" t="n">
        <f aca="false">D98</f>
        <v>1.45</v>
      </c>
      <c r="U98" s="247" t="n">
        <f aca="false">$U$16+T98</f>
        <v>1.52</v>
      </c>
      <c r="BP98" s="205" t="n">
        <f aca="false">BP97+BV98</f>
        <v>97</v>
      </c>
      <c r="BQ98" s="206" t="s">
        <v>642</v>
      </c>
      <c r="BR98" s="201" t="s">
        <v>203</v>
      </c>
      <c r="BS98" s="132" t="s">
        <v>334</v>
      </c>
      <c r="BT98" s="209" t="s">
        <v>205</v>
      </c>
      <c r="BU98" s="209"/>
      <c r="BV98" s="132" t="n">
        <v>1</v>
      </c>
      <c r="BW98" s="201" t="s">
        <v>643</v>
      </c>
      <c r="BX98" s="0"/>
      <c r="BZ98" s="205" t="n">
        <f aca="false">BZ97+CF98</f>
        <v>97</v>
      </c>
      <c r="CA98" s="63" t="s">
        <v>644</v>
      </c>
      <c r="CB98" s="201" t="s">
        <v>207</v>
      </c>
      <c r="CC98" s="132" t="s">
        <v>204</v>
      </c>
      <c r="CD98" s="209" t="s">
        <v>205</v>
      </c>
      <c r="CE98" s="209"/>
      <c r="CF98" s="132" t="n">
        <v>1</v>
      </c>
      <c r="CG98" s="201" t="s">
        <v>645</v>
      </c>
      <c r="CH98" s="0"/>
    </row>
    <row r="99" customFormat="false" ht="12.75" hidden="false" customHeight="false" outlineLevel="0" collapsed="false">
      <c r="A99" s="242"/>
      <c r="B99" s="192" t="e">
        <f aca="false">NextMonth(B98)</f>
        <v>#VALUE!</v>
      </c>
      <c r="C99" s="193" t="n">
        <v>0.07363958068647</v>
      </c>
      <c r="D99" s="248" t="n">
        <v>1.45</v>
      </c>
      <c r="E99" s="248" t="n">
        <v>1.45</v>
      </c>
      <c r="F99" s="248" t="n">
        <v>0.15</v>
      </c>
      <c r="G99" s="248" t="n">
        <v>0.1575</v>
      </c>
      <c r="H99" s="248" t="n">
        <v>0.165</v>
      </c>
      <c r="I99" s="244" t="n">
        <v>3.057</v>
      </c>
      <c r="J99" s="248" t="n">
        <v>3.062</v>
      </c>
      <c r="K99" s="193" t="n">
        <v>3.067</v>
      </c>
      <c r="L99" s="248" t="n">
        <v>-0.071875</v>
      </c>
      <c r="M99" s="193" t="n">
        <v>1.395</v>
      </c>
      <c r="O99" s="189" t="e">
        <f aca="false">(IF(MONTH(B99)&gt;=4,IF(MONTH(B99)&lt;=10,Inputs!$H$2,Inputs!$H$3),Inputs!$H$3))</f>
        <v>#VALUE!</v>
      </c>
      <c r="P99" s="244" t="e">
        <f aca="false">J99+(IF($L$2=TRUE(),IF(MONTH(B99)&gt;=4,IF(MONTH(B99)&lt;=10,L99,M99),M99),0))+(IF('Pricing Inputs'!$AN$3=2,O99,0))</f>
        <v>#VALUE!</v>
      </c>
      <c r="Q99" s="244"/>
      <c r="R99" s="245" t="e">
        <f aca="false">B99</f>
        <v>#VALUE!</v>
      </c>
      <c r="S99" s="246" t="n">
        <f aca="false">T99-$S$16</f>
        <v>1.38</v>
      </c>
      <c r="T99" s="241" t="n">
        <f aca="false">D99</f>
        <v>1.45</v>
      </c>
      <c r="U99" s="247" t="n">
        <f aca="false">$U$16+T99</f>
        <v>1.52</v>
      </c>
      <c r="BP99" s="205" t="n">
        <f aca="false">BP98+BV99</f>
        <v>98</v>
      </c>
      <c r="BQ99" s="206" t="s">
        <v>646</v>
      </c>
      <c r="BR99" s="201" t="s">
        <v>203</v>
      </c>
      <c r="BS99" s="132" t="s">
        <v>334</v>
      </c>
      <c r="BT99" s="209" t="s">
        <v>205</v>
      </c>
      <c r="BU99" s="209"/>
      <c r="BV99" s="132" t="n">
        <v>1</v>
      </c>
      <c r="BW99" s="201" t="s">
        <v>647</v>
      </c>
      <c r="BX99" s="0"/>
      <c r="BZ99" s="205" t="n">
        <f aca="false">BZ98+CF99</f>
        <v>98</v>
      </c>
      <c r="CA99" s="63" t="s">
        <v>648</v>
      </c>
      <c r="CB99" s="201" t="s">
        <v>207</v>
      </c>
      <c r="CC99" s="132" t="s">
        <v>204</v>
      </c>
      <c r="CD99" s="209" t="s">
        <v>205</v>
      </c>
      <c r="CE99" s="209"/>
      <c r="CF99" s="132" t="n">
        <v>1</v>
      </c>
      <c r="CG99" s="201" t="s">
        <v>649</v>
      </c>
      <c r="CH99" s="0"/>
    </row>
    <row r="100" customFormat="false" ht="12.75" hidden="false" customHeight="false" outlineLevel="0" collapsed="false">
      <c r="A100" s="242"/>
      <c r="B100" s="192" t="e">
        <f aca="false">NextMonth(B99)</f>
        <v>#VALUE!</v>
      </c>
      <c r="C100" s="193" t="n">
        <v>0.073662028842985</v>
      </c>
      <c r="D100" s="248" t="n">
        <v>1</v>
      </c>
      <c r="E100" s="248" t="n">
        <v>1</v>
      </c>
      <c r="F100" s="248" t="n">
        <v>0.15</v>
      </c>
      <c r="G100" s="248" t="n">
        <v>0.1575</v>
      </c>
      <c r="H100" s="248" t="n">
        <v>0.165</v>
      </c>
      <c r="I100" s="244" t="n">
        <v>2.937</v>
      </c>
      <c r="J100" s="248" t="n">
        <v>2.942</v>
      </c>
      <c r="K100" s="193" t="n">
        <v>2.947</v>
      </c>
      <c r="L100" s="248" t="n">
        <v>-0.06625</v>
      </c>
      <c r="M100" s="193" t="n">
        <v>0.865</v>
      </c>
      <c r="O100" s="189" t="e">
        <f aca="false">(IF(MONTH(B100)&gt;=4,IF(MONTH(B100)&lt;=10,Inputs!$H$2,Inputs!$H$3),Inputs!$H$3))</f>
        <v>#VALUE!</v>
      </c>
      <c r="P100" s="244" t="e">
        <f aca="false">J100+(IF($L$2=TRUE(),IF(MONTH(B100)&gt;=4,IF(MONTH(B100)&lt;=10,L100,M100),M100),0))+(IF('Pricing Inputs'!$AN$3=2,O100,0))</f>
        <v>#VALUE!</v>
      </c>
      <c r="Q100" s="244"/>
      <c r="R100" s="245" t="e">
        <f aca="false">B100</f>
        <v>#VALUE!</v>
      </c>
      <c r="S100" s="246" t="n">
        <f aca="false">T100-$S$16</f>
        <v>0.93</v>
      </c>
      <c r="T100" s="241" t="n">
        <f aca="false">D100</f>
        <v>1</v>
      </c>
      <c r="U100" s="247" t="n">
        <f aca="false">$U$16+T100</f>
        <v>1.07</v>
      </c>
      <c r="BP100" s="205" t="n">
        <f aca="false">BP99+BV100</f>
        <v>99</v>
      </c>
      <c r="BQ100" s="206" t="s">
        <v>650</v>
      </c>
      <c r="BR100" s="201" t="s">
        <v>203</v>
      </c>
      <c r="BS100" s="132" t="s">
        <v>334</v>
      </c>
      <c r="BT100" s="209" t="s">
        <v>205</v>
      </c>
      <c r="BU100" s="209"/>
      <c r="BV100" s="132" t="n">
        <v>1</v>
      </c>
      <c r="BW100" s="201" t="s">
        <v>651</v>
      </c>
      <c r="BX100" s="0"/>
      <c r="BZ100" s="205" t="n">
        <f aca="false">BZ99+CF100</f>
        <v>99</v>
      </c>
      <c r="CA100" s="63" t="s">
        <v>652</v>
      </c>
      <c r="CB100" s="201" t="s">
        <v>207</v>
      </c>
      <c r="CC100" s="132" t="s">
        <v>204</v>
      </c>
      <c r="CD100" s="209" t="s">
        <v>205</v>
      </c>
      <c r="CE100" s="209"/>
      <c r="CF100" s="132" t="n">
        <v>1</v>
      </c>
      <c r="CG100" s="201" t="s">
        <v>653</v>
      </c>
      <c r="CH100" s="0"/>
    </row>
    <row r="101" customFormat="false" ht="12.75" hidden="false" customHeight="false" outlineLevel="0" collapsed="false">
      <c r="A101" s="242"/>
      <c r="B101" s="192" t="e">
        <f aca="false">NextMonth(B100)</f>
        <v>#VALUE!</v>
      </c>
      <c r="C101" s="193" t="n">
        <v>0.073678548860932</v>
      </c>
      <c r="D101" s="248" t="n">
        <v>0.45</v>
      </c>
      <c r="E101" s="248" t="n">
        <v>0.45</v>
      </c>
      <c r="F101" s="248" t="n">
        <v>0.15</v>
      </c>
      <c r="G101" s="248" t="n">
        <v>0.1575</v>
      </c>
      <c r="H101" s="248" t="n">
        <v>0.165</v>
      </c>
      <c r="I101" s="244" t="n">
        <v>2.8875</v>
      </c>
      <c r="J101" s="248" t="n">
        <v>2.8925</v>
      </c>
      <c r="K101" s="193" t="n">
        <v>2.8975</v>
      </c>
      <c r="L101" s="248" t="n">
        <v>-0.05375584025</v>
      </c>
      <c r="M101" s="193" t="n">
        <v>0.37</v>
      </c>
      <c r="O101" s="189" t="e">
        <f aca="false">(IF(MONTH(B101)&gt;=4,IF(MONTH(B101)&lt;=10,Inputs!$H$2,Inputs!$H$3),Inputs!$H$3))</f>
        <v>#VALUE!</v>
      </c>
      <c r="P101" s="244" t="e">
        <f aca="false">J101+(IF($L$2=TRUE(),IF(MONTH(B101)&gt;=4,IF(MONTH(B101)&lt;=10,L101,M101),M101),0))+(IF('Pricing Inputs'!$AN$3=2,O101,0))</f>
        <v>#VALUE!</v>
      </c>
      <c r="Q101" s="244"/>
      <c r="R101" s="245" t="e">
        <f aca="false">B101</f>
        <v>#VALUE!</v>
      </c>
      <c r="S101" s="246" t="n">
        <f aca="false">T101-$S$16</f>
        <v>0.38</v>
      </c>
      <c r="T101" s="241" t="n">
        <f aca="false">D101</f>
        <v>0.45</v>
      </c>
      <c r="U101" s="247" t="n">
        <f aca="false">$U$16+T101</f>
        <v>0.52</v>
      </c>
      <c r="BP101" s="205" t="n">
        <f aca="false">BP100+BV101</f>
        <v>100</v>
      </c>
      <c r="BQ101" s="206" t="s">
        <v>654</v>
      </c>
      <c r="BR101" s="201" t="s">
        <v>203</v>
      </c>
      <c r="BS101" s="132" t="s">
        <v>334</v>
      </c>
      <c r="BT101" s="209" t="s">
        <v>205</v>
      </c>
      <c r="BU101" s="209"/>
      <c r="BV101" s="132" t="n">
        <v>1</v>
      </c>
      <c r="BW101" s="201" t="s">
        <v>655</v>
      </c>
      <c r="BX101" s="0"/>
      <c r="BZ101" s="205" t="n">
        <f aca="false">BZ100+CF101</f>
        <v>100</v>
      </c>
      <c r="CA101" s="63" t="s">
        <v>656</v>
      </c>
      <c r="CB101" s="201" t="s">
        <v>207</v>
      </c>
      <c r="CC101" s="132" t="s">
        <v>204</v>
      </c>
      <c r="CD101" s="209" t="s">
        <v>205</v>
      </c>
      <c r="CE101" s="209"/>
      <c r="CF101" s="132" t="n">
        <v>1</v>
      </c>
      <c r="CG101" s="201" t="s">
        <v>657</v>
      </c>
      <c r="CH101" s="0"/>
    </row>
    <row r="102" customFormat="false" ht="12.75" hidden="false" customHeight="false" outlineLevel="0" collapsed="false">
      <c r="A102" s="242"/>
      <c r="B102" s="192" t="e">
        <f aca="false">NextMonth(B101)</f>
        <v>#VALUE!</v>
      </c>
      <c r="C102" s="193" t="n">
        <v>0.073693341237035</v>
      </c>
      <c r="D102" s="248" t="n">
        <v>0.5</v>
      </c>
      <c r="E102" s="248" t="n">
        <v>0.5</v>
      </c>
      <c r="F102" s="248" t="n">
        <v>0.15</v>
      </c>
      <c r="G102" s="248" t="n">
        <v>0.1575</v>
      </c>
      <c r="H102" s="248" t="n">
        <v>0.165</v>
      </c>
      <c r="I102" s="244" t="n">
        <v>2.8615</v>
      </c>
      <c r="J102" s="248" t="n">
        <v>2.8665</v>
      </c>
      <c r="K102" s="193" t="n">
        <v>2.8715</v>
      </c>
      <c r="L102" s="248" t="n">
        <v>-0.053757969</v>
      </c>
      <c r="M102" s="193" t="n">
        <v>0.2525</v>
      </c>
      <c r="O102" s="189" t="e">
        <f aca="false">(IF(MONTH(B102)&gt;=4,IF(MONTH(B102)&lt;=10,Inputs!$H$2,Inputs!$H$3),Inputs!$H$3))</f>
        <v>#VALUE!</v>
      </c>
      <c r="P102" s="244" t="e">
        <f aca="false">J102+(IF($L$2=TRUE(),IF(MONTH(B102)&gt;=4,IF(MONTH(B102)&lt;=10,L102,M102),M102),0))+(IF('Pricing Inputs'!$AN$3=2,O102,0))</f>
        <v>#VALUE!</v>
      </c>
      <c r="Q102" s="244"/>
      <c r="R102" s="245" t="e">
        <f aca="false">B102</f>
        <v>#VALUE!</v>
      </c>
      <c r="S102" s="246" t="n">
        <f aca="false">T102-$S$16</f>
        <v>0.43</v>
      </c>
      <c r="T102" s="241" t="n">
        <f aca="false">D102</f>
        <v>0.5</v>
      </c>
      <c r="U102" s="247" t="n">
        <f aca="false">$U$16+T102</f>
        <v>0.57</v>
      </c>
      <c r="BP102" s="205" t="n">
        <f aca="false">BP101+BV102</f>
        <v>101</v>
      </c>
      <c r="BQ102" s="206" t="s">
        <v>658</v>
      </c>
      <c r="BR102" s="201" t="s">
        <v>203</v>
      </c>
      <c r="BS102" s="132" t="s">
        <v>334</v>
      </c>
      <c r="BT102" s="209" t="s">
        <v>205</v>
      </c>
      <c r="BU102" s="209"/>
      <c r="BV102" s="132" t="n">
        <v>1</v>
      </c>
      <c r="BW102" s="201" t="s">
        <v>659</v>
      </c>
      <c r="BX102" s="0"/>
      <c r="BZ102" s="205" t="n">
        <f aca="false">BZ101+CF102</f>
        <v>101</v>
      </c>
      <c r="CA102" s="63" t="s">
        <v>660</v>
      </c>
      <c r="CB102" s="201" t="s">
        <v>207</v>
      </c>
      <c r="CC102" s="132" t="s">
        <v>204</v>
      </c>
      <c r="CD102" s="209" t="s">
        <v>205</v>
      </c>
      <c r="CE102" s="209"/>
      <c r="CF102" s="132" t="n">
        <v>1</v>
      </c>
      <c r="CG102" s="201" t="s">
        <v>661</v>
      </c>
      <c r="CH102" s="0"/>
    </row>
    <row r="103" customFormat="false" ht="12.75" hidden="false" customHeight="false" outlineLevel="0" collapsed="false">
      <c r="A103" s="242"/>
      <c r="B103" s="192" t="e">
        <f aca="false">NextMonth(B102)</f>
        <v>#VALUE!</v>
      </c>
      <c r="C103" s="193" t="n">
        <v>0.073708626692418</v>
      </c>
      <c r="D103" s="248" t="n">
        <v>0.5</v>
      </c>
      <c r="E103" s="248" t="n">
        <v>0.5</v>
      </c>
      <c r="F103" s="248" t="n">
        <v>0.15</v>
      </c>
      <c r="G103" s="248" t="n">
        <v>0.1575</v>
      </c>
      <c r="H103" s="248" t="n">
        <v>0.165</v>
      </c>
      <c r="I103" s="244" t="n">
        <v>2.8675</v>
      </c>
      <c r="J103" s="248" t="n">
        <v>2.8725</v>
      </c>
      <c r="K103" s="193" t="n">
        <v>2.8775</v>
      </c>
      <c r="L103" s="248" t="n">
        <v>-0.053757969</v>
      </c>
      <c r="M103" s="193" t="n">
        <v>0.2525</v>
      </c>
      <c r="O103" s="189" t="e">
        <f aca="false">(IF(MONTH(B103)&gt;=4,IF(MONTH(B103)&lt;=10,Inputs!$H$2,Inputs!$H$3),Inputs!$H$3))</f>
        <v>#VALUE!</v>
      </c>
      <c r="P103" s="244" t="e">
        <f aca="false">J103+(IF($L$2=TRUE(),IF(MONTH(B103)&gt;=4,IF(MONTH(B103)&lt;=10,L103,M103),M103),0))+(IF('Pricing Inputs'!$AN$3=2,O103,0))</f>
        <v>#VALUE!</v>
      </c>
      <c r="Q103" s="244"/>
      <c r="R103" s="245" t="e">
        <f aca="false">B103</f>
        <v>#VALUE!</v>
      </c>
      <c r="S103" s="246" t="n">
        <f aca="false">T103-$S$16</f>
        <v>0.43</v>
      </c>
      <c r="T103" s="241" t="n">
        <f aca="false">D103</f>
        <v>0.5</v>
      </c>
      <c r="U103" s="247" t="n">
        <f aca="false">$U$16+T103</f>
        <v>0.57</v>
      </c>
      <c r="BP103" s="205" t="n">
        <f aca="false">BP102+BV103</f>
        <v>102</v>
      </c>
      <c r="BQ103" s="206" t="s">
        <v>662</v>
      </c>
      <c r="BR103" s="201" t="s">
        <v>203</v>
      </c>
      <c r="BS103" s="132" t="s">
        <v>334</v>
      </c>
      <c r="BT103" s="209" t="s">
        <v>205</v>
      </c>
      <c r="BU103" s="209"/>
      <c r="BV103" s="132" t="n">
        <v>1</v>
      </c>
      <c r="BW103" s="201" t="s">
        <v>663</v>
      </c>
      <c r="BX103" s="0"/>
      <c r="BZ103" s="205" t="n">
        <f aca="false">BZ102+CF103</f>
        <v>102</v>
      </c>
      <c r="CA103" s="63" t="s">
        <v>664</v>
      </c>
      <c r="CB103" s="201" t="s">
        <v>207</v>
      </c>
      <c r="CC103" s="132" t="s">
        <v>204</v>
      </c>
      <c r="CD103" s="209" t="s">
        <v>205</v>
      </c>
      <c r="CE103" s="209"/>
      <c r="CF103" s="132" t="n">
        <v>1</v>
      </c>
      <c r="CG103" s="201" t="s">
        <v>665</v>
      </c>
      <c r="CH103" s="0"/>
    </row>
    <row r="104" customFormat="false" ht="12.75" hidden="false" customHeight="false" outlineLevel="0" collapsed="false">
      <c r="A104" s="242"/>
      <c r="B104" s="192" t="e">
        <f aca="false">NextMonth(B103)</f>
        <v>#VALUE!</v>
      </c>
      <c r="C104" s="193" t="n">
        <v>0.073723419068669</v>
      </c>
      <c r="D104" s="248" t="n">
        <v>0.5</v>
      </c>
      <c r="E104" s="248" t="n">
        <v>0.5</v>
      </c>
      <c r="F104" s="248" t="n">
        <v>0.15</v>
      </c>
      <c r="G104" s="248" t="n">
        <v>0.1575</v>
      </c>
      <c r="H104" s="248" t="n">
        <v>0.165</v>
      </c>
      <c r="I104" s="244" t="n">
        <v>2.8775</v>
      </c>
      <c r="J104" s="248" t="n">
        <v>2.8825</v>
      </c>
      <c r="K104" s="193" t="n">
        <v>2.8875</v>
      </c>
      <c r="L104" s="248" t="n">
        <v>-0.053757969</v>
      </c>
      <c r="M104" s="193" t="n">
        <v>0.2575</v>
      </c>
      <c r="O104" s="189" t="e">
        <f aca="false">(IF(MONTH(B104)&gt;=4,IF(MONTH(B104)&lt;=10,Inputs!$H$2,Inputs!$H$3),Inputs!$H$3))</f>
        <v>#VALUE!</v>
      </c>
      <c r="P104" s="244" t="e">
        <f aca="false">J104+(IF($L$2=TRUE(),IF(MONTH(B104)&gt;=4,IF(MONTH(B104)&lt;=10,L104,M104),M104),0))+(IF('Pricing Inputs'!$AN$3=2,O104,0))</f>
        <v>#VALUE!</v>
      </c>
      <c r="Q104" s="244"/>
      <c r="R104" s="245" t="e">
        <f aca="false">B104</f>
        <v>#VALUE!</v>
      </c>
      <c r="S104" s="246" t="n">
        <f aca="false">T104-$S$16</f>
        <v>0.43</v>
      </c>
      <c r="T104" s="241" t="n">
        <f aca="false">D104</f>
        <v>0.5</v>
      </c>
      <c r="U104" s="247" t="n">
        <f aca="false">$U$16+T104</f>
        <v>0.57</v>
      </c>
      <c r="BP104" s="205" t="n">
        <f aca="false">BP103+BV104</f>
        <v>103</v>
      </c>
      <c r="BQ104" s="206" t="s">
        <v>666</v>
      </c>
      <c r="BR104" s="201" t="s">
        <v>203</v>
      </c>
      <c r="BS104" s="132" t="s">
        <v>334</v>
      </c>
      <c r="BT104" s="209" t="s">
        <v>205</v>
      </c>
      <c r="BU104" s="209"/>
      <c r="BV104" s="132" t="n">
        <v>1</v>
      </c>
      <c r="BW104" s="201" t="s">
        <v>667</v>
      </c>
      <c r="BX104" s="0"/>
      <c r="BZ104" s="205" t="n">
        <f aca="false">BZ103+CF104</f>
        <v>103</v>
      </c>
      <c r="CA104" s="63" t="s">
        <v>668</v>
      </c>
      <c r="CB104" s="201" t="s">
        <v>207</v>
      </c>
      <c r="CC104" s="132" t="s">
        <v>204</v>
      </c>
      <c r="CD104" s="209" t="s">
        <v>205</v>
      </c>
      <c r="CE104" s="209"/>
      <c r="CF104" s="132" t="n">
        <v>1</v>
      </c>
      <c r="CG104" s="201" t="s">
        <v>669</v>
      </c>
      <c r="CH104" s="0"/>
    </row>
    <row r="105" customFormat="false" ht="12.75" hidden="false" customHeight="false" outlineLevel="0" collapsed="false">
      <c r="A105" s="242"/>
      <c r="B105" s="192" t="e">
        <f aca="false">NextMonth(B104)</f>
        <v>#VALUE!</v>
      </c>
      <c r="C105" s="193" t="n">
        <v>0.073738704524204</v>
      </c>
      <c r="D105" s="248" t="n">
        <v>0.6</v>
      </c>
      <c r="E105" s="248" t="n">
        <v>0.6</v>
      </c>
      <c r="F105" s="248" t="n">
        <v>0.15</v>
      </c>
      <c r="G105" s="248" t="n">
        <v>0.1575</v>
      </c>
      <c r="H105" s="248" t="n">
        <v>0.165</v>
      </c>
      <c r="I105" s="244" t="n">
        <v>2.8845</v>
      </c>
      <c r="J105" s="248" t="n">
        <v>2.8895</v>
      </c>
      <c r="K105" s="193" t="n">
        <v>2.8945</v>
      </c>
      <c r="L105" s="248" t="n">
        <v>-0.053757969</v>
      </c>
      <c r="M105" s="193" t="n">
        <v>0.2575</v>
      </c>
      <c r="O105" s="189" t="e">
        <f aca="false">(IF(MONTH(B105)&gt;=4,IF(MONTH(B105)&lt;=10,Inputs!$H$2,Inputs!$H$3),Inputs!$H$3))</f>
        <v>#VALUE!</v>
      </c>
      <c r="P105" s="244" t="e">
        <f aca="false">J105+(IF($L$2=TRUE(),IF(MONTH(B105)&gt;=4,IF(MONTH(B105)&lt;=10,L105,M105),M105),0))+(IF('Pricing Inputs'!$AN$3=2,O105,0))</f>
        <v>#VALUE!</v>
      </c>
      <c r="Q105" s="244"/>
      <c r="R105" s="245" t="e">
        <f aca="false">B105</f>
        <v>#VALUE!</v>
      </c>
      <c r="S105" s="246" t="n">
        <f aca="false">T105-$S$16</f>
        <v>0.53</v>
      </c>
      <c r="T105" s="241" t="n">
        <f aca="false">D105</f>
        <v>0.6</v>
      </c>
      <c r="U105" s="247" t="n">
        <f aca="false">$U$16+T105</f>
        <v>0.67</v>
      </c>
      <c r="BP105" s="205" t="n">
        <f aca="false">BP104+BV105</f>
        <v>104</v>
      </c>
      <c r="BQ105" s="206" t="s">
        <v>344</v>
      </c>
      <c r="BR105" s="201" t="s">
        <v>203</v>
      </c>
      <c r="BS105" s="132" t="s">
        <v>204</v>
      </c>
      <c r="BT105" s="209" t="s">
        <v>205</v>
      </c>
      <c r="BU105" s="209"/>
      <c r="BV105" s="132" t="n">
        <v>1</v>
      </c>
      <c r="BW105" s="201" t="s">
        <v>670</v>
      </c>
      <c r="BX105" s="0"/>
      <c r="BZ105" s="205" t="n">
        <f aca="false">BZ104+CF105</f>
        <v>104</v>
      </c>
      <c r="CA105" s="63" t="s">
        <v>671</v>
      </c>
      <c r="CB105" s="201" t="s">
        <v>207</v>
      </c>
      <c r="CC105" s="132" t="s">
        <v>204</v>
      </c>
      <c r="CD105" s="209" t="s">
        <v>205</v>
      </c>
      <c r="CE105" s="209"/>
      <c r="CF105" s="132" t="n">
        <v>1</v>
      </c>
      <c r="CG105" s="201" t="s">
        <v>672</v>
      </c>
      <c r="CH105" s="0"/>
    </row>
    <row r="106" customFormat="false" ht="12.75" hidden="false" customHeight="false" outlineLevel="0" collapsed="false">
      <c r="A106" s="242"/>
      <c r="B106" s="192" t="e">
        <f aca="false">NextMonth(B105)</f>
        <v>#VALUE!</v>
      </c>
      <c r="C106" s="193" t="n">
        <v>0.073753989979815</v>
      </c>
      <c r="D106" s="248" t="n">
        <v>0.6</v>
      </c>
      <c r="E106" s="248" t="n">
        <v>0.6</v>
      </c>
      <c r="F106" s="248" t="n">
        <v>0.15</v>
      </c>
      <c r="G106" s="248" t="n">
        <v>0.1575</v>
      </c>
      <c r="H106" s="248" t="n">
        <v>0.165</v>
      </c>
      <c r="I106" s="244" t="n">
        <v>2.8915</v>
      </c>
      <c r="J106" s="248" t="n">
        <v>2.8965</v>
      </c>
      <c r="K106" s="193" t="n">
        <v>2.9015</v>
      </c>
      <c r="L106" s="248" t="n">
        <v>-0.053757969</v>
      </c>
      <c r="M106" s="193" t="n">
        <v>0.2525</v>
      </c>
      <c r="O106" s="189" t="e">
        <f aca="false">(IF(MONTH(B106)&gt;=4,IF(MONTH(B106)&lt;=10,Inputs!$H$2,Inputs!$H$3),Inputs!$H$3))</f>
        <v>#VALUE!</v>
      </c>
      <c r="P106" s="244" t="e">
        <f aca="false">J106+(IF($L$2=TRUE(),IF(MONTH(B106)&gt;=4,IF(MONTH(B106)&lt;=10,L106,M106),M106),0))+(IF('Pricing Inputs'!$AN$3=2,O106,0))</f>
        <v>#VALUE!</v>
      </c>
      <c r="Q106" s="244"/>
      <c r="R106" s="245" t="e">
        <f aca="false">B106</f>
        <v>#VALUE!</v>
      </c>
      <c r="S106" s="246" t="n">
        <f aca="false">T106-$S$16</f>
        <v>0.53</v>
      </c>
      <c r="T106" s="241" t="n">
        <f aca="false">D106</f>
        <v>0.6</v>
      </c>
      <c r="U106" s="247" t="n">
        <f aca="false">$U$16+T106</f>
        <v>0.67</v>
      </c>
      <c r="BP106" s="205" t="n">
        <f aca="false">BP105+BV106</f>
        <v>105</v>
      </c>
      <c r="BQ106" s="206" t="s">
        <v>673</v>
      </c>
      <c r="BR106" s="201" t="s">
        <v>203</v>
      </c>
      <c r="BS106" s="132" t="s">
        <v>334</v>
      </c>
      <c r="BT106" s="209" t="s">
        <v>205</v>
      </c>
      <c r="BU106" s="209"/>
      <c r="BV106" s="132" t="n">
        <v>1</v>
      </c>
      <c r="BW106" s="201" t="s">
        <v>674</v>
      </c>
      <c r="BX106" s="0"/>
      <c r="BZ106" s="205" t="n">
        <f aca="false">BZ105+CF106</f>
        <v>105</v>
      </c>
      <c r="CA106" s="63" t="s">
        <v>675</v>
      </c>
      <c r="CB106" s="201" t="s">
        <v>207</v>
      </c>
      <c r="CC106" s="132" t="s">
        <v>204</v>
      </c>
      <c r="CD106" s="209" t="s">
        <v>205</v>
      </c>
      <c r="CE106" s="209"/>
      <c r="CF106" s="132" t="n">
        <v>1</v>
      </c>
      <c r="CG106" s="201" t="s">
        <v>676</v>
      </c>
      <c r="CH106" s="0"/>
    </row>
    <row r="107" customFormat="false" ht="12.75" hidden="false" customHeight="false" outlineLevel="0" collapsed="false">
      <c r="A107" s="242"/>
      <c r="B107" s="192" t="e">
        <f aca="false">NextMonth(B106)</f>
        <v>#VALUE!</v>
      </c>
      <c r="C107" s="193" t="n">
        <v>0.073768782356288</v>
      </c>
      <c r="D107" s="248" t="n">
        <v>0.65</v>
      </c>
      <c r="E107" s="248" t="n">
        <v>0.65</v>
      </c>
      <c r="F107" s="248" t="n">
        <v>0.15</v>
      </c>
      <c r="G107" s="248" t="n">
        <v>0.1575</v>
      </c>
      <c r="H107" s="248" t="n">
        <v>0.165</v>
      </c>
      <c r="I107" s="244" t="n">
        <v>2.9175</v>
      </c>
      <c r="J107" s="248" t="n">
        <v>2.9225</v>
      </c>
      <c r="K107" s="193" t="n">
        <v>2.9275</v>
      </c>
      <c r="L107" s="248" t="n">
        <v>-0.053757969</v>
      </c>
      <c r="M107" s="193" t="n">
        <v>0.255</v>
      </c>
      <c r="O107" s="189" t="e">
        <f aca="false">(IF(MONTH(B107)&gt;=4,IF(MONTH(B107)&lt;=10,Inputs!$H$2,Inputs!$H$3),Inputs!$H$3))</f>
        <v>#VALUE!</v>
      </c>
      <c r="P107" s="244" t="e">
        <f aca="false">J107+(IF($L$2=TRUE(),IF(MONTH(B107)&gt;=4,IF(MONTH(B107)&lt;=10,L107,M107),M107),0))+(IF('Pricing Inputs'!$AN$3=2,O107,0))</f>
        <v>#VALUE!</v>
      </c>
      <c r="Q107" s="244"/>
      <c r="R107" s="245" t="e">
        <f aca="false">B107</f>
        <v>#VALUE!</v>
      </c>
      <c r="S107" s="246" t="n">
        <f aca="false">T107-$S$16</f>
        <v>0.58</v>
      </c>
      <c r="T107" s="241" t="n">
        <f aca="false">D107</f>
        <v>0.65</v>
      </c>
      <c r="U107" s="247" t="n">
        <f aca="false">$U$16+T107</f>
        <v>0.72</v>
      </c>
      <c r="BP107" s="205" t="n">
        <f aca="false">BP106+BV107</f>
        <v>106</v>
      </c>
      <c r="BQ107" s="206" t="s">
        <v>677</v>
      </c>
      <c r="BR107" s="201" t="s">
        <v>203</v>
      </c>
      <c r="BS107" s="132" t="s">
        <v>334</v>
      </c>
      <c r="BT107" s="209" t="s">
        <v>205</v>
      </c>
      <c r="BU107" s="209"/>
      <c r="BV107" s="132" t="n">
        <v>1</v>
      </c>
      <c r="BW107" s="201" t="s">
        <v>678</v>
      </c>
      <c r="BX107" s="0"/>
      <c r="BZ107" s="205" t="n">
        <f aca="false">BZ106+CF107</f>
        <v>106</v>
      </c>
      <c r="CA107" s="63" t="s">
        <v>679</v>
      </c>
      <c r="CB107" s="201" t="s">
        <v>207</v>
      </c>
      <c r="CC107" s="132" t="s">
        <v>204</v>
      </c>
      <c r="CD107" s="209" t="s">
        <v>205</v>
      </c>
      <c r="CE107" s="209"/>
      <c r="CF107" s="132" t="n">
        <v>1</v>
      </c>
      <c r="CG107" s="201" t="s">
        <v>680</v>
      </c>
      <c r="CH107" s="0"/>
    </row>
    <row r="108" customFormat="false" ht="12.75" hidden="false" customHeight="false" outlineLevel="0" collapsed="false">
      <c r="A108" s="242"/>
      <c r="B108" s="192" t="e">
        <f aca="false">NextMonth(B107)</f>
        <v>#VALUE!</v>
      </c>
      <c r="C108" s="193" t="n">
        <v>0.073784067812051</v>
      </c>
      <c r="D108" s="248" t="n">
        <v>0.95</v>
      </c>
      <c r="E108" s="248" t="n">
        <v>0.95</v>
      </c>
      <c r="F108" s="248" t="n">
        <v>0.15</v>
      </c>
      <c r="G108" s="248" t="n">
        <v>0.1575</v>
      </c>
      <c r="H108" s="248" t="n">
        <v>0.165</v>
      </c>
      <c r="I108" s="244" t="n">
        <v>3.0525</v>
      </c>
      <c r="J108" s="248" t="n">
        <v>3.0575</v>
      </c>
      <c r="K108" s="193" t="n">
        <v>3.0625</v>
      </c>
      <c r="L108" s="248" t="n">
        <v>-0.06999717825</v>
      </c>
      <c r="M108" s="193" t="n">
        <v>0.715</v>
      </c>
      <c r="O108" s="189" t="e">
        <f aca="false">(IF(MONTH(B108)&gt;=4,IF(MONTH(B108)&lt;=10,Inputs!$H$2,Inputs!$H$3),Inputs!$H$3))</f>
        <v>#VALUE!</v>
      </c>
      <c r="P108" s="244" t="e">
        <f aca="false">J108+(IF($L$2=TRUE(),IF(MONTH(B108)&gt;=4,IF(MONTH(B108)&lt;=10,L108,M108),M108),0))+(IF('Pricing Inputs'!$AN$3=2,O108,0))</f>
        <v>#VALUE!</v>
      </c>
      <c r="Q108" s="244"/>
      <c r="R108" s="245" t="e">
        <f aca="false">B108</f>
        <v>#VALUE!</v>
      </c>
      <c r="S108" s="246" t="n">
        <f aca="false">T108-$S$16</f>
        <v>0.88</v>
      </c>
      <c r="T108" s="241" t="n">
        <f aca="false">D108</f>
        <v>0.95</v>
      </c>
      <c r="U108" s="247" t="n">
        <f aca="false">$U$16+T108</f>
        <v>1.02</v>
      </c>
      <c r="BP108" s="205" t="n">
        <f aca="false">BP107+BV108</f>
        <v>107</v>
      </c>
      <c r="BQ108" s="206" t="s">
        <v>681</v>
      </c>
      <c r="BR108" s="201" t="s">
        <v>203</v>
      </c>
      <c r="BS108" s="132" t="s">
        <v>334</v>
      </c>
      <c r="BT108" s="209" t="s">
        <v>205</v>
      </c>
      <c r="BU108" s="209"/>
      <c r="BV108" s="132" t="n">
        <v>1</v>
      </c>
      <c r="BW108" s="201" t="s">
        <v>682</v>
      </c>
      <c r="BX108" s="0"/>
      <c r="BZ108" s="205" t="n">
        <f aca="false">BZ107+CF108</f>
        <v>107</v>
      </c>
      <c r="CA108" s="63" t="s">
        <v>683</v>
      </c>
      <c r="CB108" s="201" t="s">
        <v>207</v>
      </c>
      <c r="CC108" s="132" t="s">
        <v>204</v>
      </c>
      <c r="CD108" s="209" t="s">
        <v>205</v>
      </c>
      <c r="CE108" s="209"/>
      <c r="CF108" s="132" t="n">
        <v>1</v>
      </c>
      <c r="CG108" s="201" t="s">
        <v>684</v>
      </c>
      <c r="CH108" s="0"/>
    </row>
    <row r="109" customFormat="false" ht="12.75" hidden="false" customHeight="false" outlineLevel="0" collapsed="false">
      <c r="A109" s="242"/>
      <c r="B109" s="192" t="e">
        <f aca="false">NextMonth(B108)</f>
        <v>#VALUE!</v>
      </c>
      <c r="C109" s="193" t="n">
        <v>0.07379886018867</v>
      </c>
      <c r="D109" s="248" t="n">
        <v>1.25</v>
      </c>
      <c r="E109" s="248" t="n">
        <v>1.25</v>
      </c>
      <c r="F109" s="248" t="n">
        <v>0.15</v>
      </c>
      <c r="G109" s="248" t="n">
        <v>0.1575</v>
      </c>
      <c r="H109" s="248" t="n">
        <v>0.165</v>
      </c>
      <c r="I109" s="244" t="n">
        <v>3.1765</v>
      </c>
      <c r="J109" s="248" t="n">
        <v>3.1815</v>
      </c>
      <c r="K109" s="193" t="n">
        <v>3.1865</v>
      </c>
      <c r="L109" s="248" t="n">
        <v>-0.0737379845</v>
      </c>
      <c r="M109" s="193" t="n">
        <v>1.03</v>
      </c>
      <c r="O109" s="189" t="e">
        <f aca="false">(IF(MONTH(B109)&gt;=4,IF(MONTH(B109)&lt;=10,Inputs!$H$2,Inputs!$H$3),Inputs!$H$3))</f>
        <v>#VALUE!</v>
      </c>
      <c r="P109" s="244" t="e">
        <f aca="false">J109+(IF($L$2=TRUE(),IF(MONTH(B109)&gt;=4,IF(MONTH(B109)&lt;=10,L109,M109),M109),0))+(IF('Pricing Inputs'!$AN$3=2,O109,0))</f>
        <v>#VALUE!</v>
      </c>
      <c r="Q109" s="244"/>
      <c r="R109" s="245" t="e">
        <f aca="false">B109</f>
        <v>#VALUE!</v>
      </c>
      <c r="S109" s="246" t="n">
        <f aca="false">T109-$S$16</f>
        <v>1.18</v>
      </c>
      <c r="T109" s="241" t="n">
        <f aca="false">D109</f>
        <v>1.25</v>
      </c>
      <c r="U109" s="247" t="n">
        <f aca="false">$U$16+T109</f>
        <v>1.32</v>
      </c>
      <c r="BP109" s="205" t="n">
        <f aca="false">BP108+BV109</f>
        <v>108</v>
      </c>
      <c r="BQ109" s="206" t="s">
        <v>685</v>
      </c>
      <c r="BR109" s="201" t="s">
        <v>203</v>
      </c>
      <c r="BS109" s="132" t="s">
        <v>334</v>
      </c>
      <c r="BT109" s="209" t="s">
        <v>205</v>
      </c>
      <c r="BU109" s="209"/>
      <c r="BV109" s="132" t="n">
        <v>1</v>
      </c>
      <c r="BW109" s="201" t="s">
        <v>686</v>
      </c>
      <c r="BX109" s="0"/>
      <c r="BZ109" s="205" t="n">
        <f aca="false">BZ108+CF109</f>
        <v>108</v>
      </c>
      <c r="CA109" s="63" t="s">
        <v>687</v>
      </c>
      <c r="CB109" s="201" t="s">
        <v>207</v>
      </c>
      <c r="CC109" s="132" t="s">
        <v>204</v>
      </c>
      <c r="CD109" s="209" t="s">
        <v>205</v>
      </c>
      <c r="CE109" s="209"/>
      <c r="CF109" s="132" t="n">
        <v>1</v>
      </c>
      <c r="CG109" s="201" t="s">
        <v>688</v>
      </c>
      <c r="CH109" s="0"/>
    </row>
    <row r="110" customFormat="false" ht="12.75" hidden="false" customHeight="false" outlineLevel="0" collapsed="false">
      <c r="A110" s="242"/>
      <c r="B110" s="192" t="e">
        <f aca="false">NextMonth(B109)</f>
        <v>#VALUE!</v>
      </c>
      <c r="C110" s="193" t="n">
        <v>0.073814145644586</v>
      </c>
      <c r="D110" s="248" t="n">
        <v>1.45</v>
      </c>
      <c r="E110" s="248" t="n">
        <v>1.45</v>
      </c>
      <c r="F110" s="248" t="n">
        <v>0.15</v>
      </c>
      <c r="G110" s="248" t="n">
        <v>0.1575</v>
      </c>
      <c r="H110" s="248" t="n">
        <v>0.165</v>
      </c>
      <c r="I110" s="244" t="n">
        <v>3.24</v>
      </c>
      <c r="J110" s="248" t="n">
        <v>3.245</v>
      </c>
      <c r="K110" s="193" t="n">
        <v>3.25</v>
      </c>
      <c r="L110" s="248" t="n">
        <v>-0.073738796</v>
      </c>
      <c r="M110" s="193" t="n">
        <v>1.495</v>
      </c>
      <c r="O110" s="189" t="e">
        <f aca="false">(IF(MONTH(B110)&gt;=4,IF(MONTH(B110)&lt;=10,Inputs!$H$2,Inputs!$H$3),Inputs!$H$3))</f>
        <v>#VALUE!</v>
      </c>
      <c r="P110" s="244" t="e">
        <f aca="false">J110+(IF($L$2=TRUE(),IF(MONTH(B110)&gt;=4,IF(MONTH(B110)&lt;=10,L110,M110),M110),0))+(IF('Pricing Inputs'!$AN$3=2,O110,0))</f>
        <v>#VALUE!</v>
      </c>
      <c r="Q110" s="244"/>
      <c r="R110" s="245" t="e">
        <f aca="false">B110</f>
        <v>#VALUE!</v>
      </c>
      <c r="S110" s="246" t="n">
        <f aca="false">T110-$S$16</f>
        <v>1.38</v>
      </c>
      <c r="T110" s="241" t="n">
        <f aca="false">D110</f>
        <v>1.45</v>
      </c>
      <c r="U110" s="247" t="n">
        <f aca="false">$U$16+T110</f>
        <v>1.52</v>
      </c>
      <c r="BP110" s="205" t="n">
        <f aca="false">BP109+BV110</f>
        <v>109</v>
      </c>
      <c r="BQ110" s="206" t="s">
        <v>689</v>
      </c>
      <c r="BR110" s="201" t="s">
        <v>203</v>
      </c>
      <c r="BS110" s="132" t="s">
        <v>334</v>
      </c>
      <c r="BT110" s="209" t="s">
        <v>205</v>
      </c>
      <c r="BU110" s="209"/>
      <c r="BV110" s="132" t="n">
        <v>1</v>
      </c>
      <c r="BW110" s="201" t="s">
        <v>690</v>
      </c>
      <c r="BX110" s="0"/>
      <c r="BZ110" s="205" t="n">
        <f aca="false">BZ109+CF110</f>
        <v>109</v>
      </c>
      <c r="CA110" s="63" t="s">
        <v>691</v>
      </c>
      <c r="CB110" s="201" t="s">
        <v>207</v>
      </c>
      <c r="CC110" s="132" t="s">
        <v>204</v>
      </c>
      <c r="CD110" s="209" t="s">
        <v>205</v>
      </c>
      <c r="CE110" s="209"/>
      <c r="CF110" s="132" t="n">
        <v>1</v>
      </c>
      <c r="CG110" s="201" t="s">
        <v>692</v>
      </c>
      <c r="CH110" s="0"/>
    </row>
    <row r="111" customFormat="false" ht="12.75" hidden="false" customHeight="false" outlineLevel="0" collapsed="false">
      <c r="A111" s="242"/>
      <c r="B111" s="192" t="e">
        <f aca="false">NextMonth(B110)</f>
        <v>#VALUE!</v>
      </c>
      <c r="C111" s="193" t="n">
        <v>0.073829431100578</v>
      </c>
      <c r="D111" s="248" t="n">
        <v>1.45</v>
      </c>
      <c r="E111" s="248" t="n">
        <v>1.45</v>
      </c>
      <c r="F111" s="248" t="n">
        <v>0.15</v>
      </c>
      <c r="G111" s="248" t="n">
        <v>0.1575</v>
      </c>
      <c r="H111" s="248" t="n">
        <v>0.165</v>
      </c>
      <c r="I111" s="244" t="n">
        <v>3.122</v>
      </c>
      <c r="J111" s="248" t="n">
        <v>3.127</v>
      </c>
      <c r="K111" s="193" t="n">
        <v>3.132</v>
      </c>
      <c r="L111" s="248" t="n">
        <v>-0.06748935575</v>
      </c>
      <c r="M111" s="193" t="n">
        <v>1.395</v>
      </c>
      <c r="O111" s="189" t="e">
        <f aca="false">(IF(MONTH(B111)&gt;=4,IF(MONTH(B111)&lt;=10,Inputs!$H$2,Inputs!$H$3),Inputs!$H$3))</f>
        <v>#VALUE!</v>
      </c>
      <c r="P111" s="244" t="e">
        <f aca="false">J111+(IF($L$2=TRUE(),IF(MONTH(B111)&gt;=4,IF(MONTH(B111)&lt;=10,L111,M111),M111),0))+(IF('Pricing Inputs'!$AN$3=2,O111,0))</f>
        <v>#VALUE!</v>
      </c>
      <c r="Q111" s="244"/>
      <c r="R111" s="245" t="e">
        <f aca="false">B111</f>
        <v>#VALUE!</v>
      </c>
      <c r="S111" s="246" t="n">
        <f aca="false">T111-$S$16</f>
        <v>1.38</v>
      </c>
      <c r="T111" s="241" t="n">
        <f aca="false">D111</f>
        <v>1.45</v>
      </c>
      <c r="U111" s="247" t="n">
        <f aca="false">$U$16+T111</f>
        <v>1.52</v>
      </c>
      <c r="BP111" s="205" t="n">
        <f aca="false">BP110+BV111</f>
        <v>110</v>
      </c>
      <c r="BQ111" s="206" t="s">
        <v>693</v>
      </c>
      <c r="BR111" s="201" t="s">
        <v>203</v>
      </c>
      <c r="BS111" s="132" t="s">
        <v>334</v>
      </c>
      <c r="BT111" s="209" t="s">
        <v>205</v>
      </c>
      <c r="BU111" s="209"/>
      <c r="BV111" s="132" t="n">
        <v>1</v>
      </c>
      <c r="BW111" s="201" t="s">
        <v>694</v>
      </c>
      <c r="BX111" s="0"/>
      <c r="BZ111" s="205" t="n">
        <f aca="false">BZ110+CF111</f>
        <v>110</v>
      </c>
      <c r="CA111" s="63" t="s">
        <v>695</v>
      </c>
      <c r="CB111" s="201" t="s">
        <v>207</v>
      </c>
      <c r="CC111" s="132" t="s">
        <v>204</v>
      </c>
      <c r="CD111" s="209" t="s">
        <v>205</v>
      </c>
      <c r="CE111" s="209"/>
      <c r="CF111" s="132" t="n">
        <v>1</v>
      </c>
      <c r="CG111" s="201" t="s">
        <v>696</v>
      </c>
      <c r="CH111" s="0"/>
    </row>
    <row r="112" customFormat="false" ht="12.75" hidden="false" customHeight="false" outlineLevel="0" collapsed="false">
      <c r="A112" s="242"/>
      <c r="B112" s="192" t="e">
        <f aca="false">NextMonth(B111)</f>
        <v>#VALUE!</v>
      </c>
      <c r="C112" s="193" t="n">
        <v>0.07384373039819</v>
      </c>
      <c r="D112" s="248" t="n">
        <v>1</v>
      </c>
      <c r="E112" s="248" t="n">
        <v>1</v>
      </c>
      <c r="F112" s="248" t="n">
        <v>0.15</v>
      </c>
      <c r="G112" s="248" t="n">
        <v>0.1575</v>
      </c>
      <c r="H112" s="248" t="n">
        <v>0.165</v>
      </c>
      <c r="I112" s="244" t="n">
        <v>3.002</v>
      </c>
      <c r="J112" s="248" t="n">
        <v>3.007</v>
      </c>
      <c r="K112" s="193" t="n">
        <v>3.012</v>
      </c>
      <c r="L112" s="248" t="n">
        <v>-0.06498935575</v>
      </c>
      <c r="M112" s="193" t="n">
        <v>0.865</v>
      </c>
      <c r="O112" s="189" t="e">
        <f aca="false">(IF(MONTH(B112)&gt;=4,IF(MONTH(B112)&lt;=10,Inputs!$H$2,Inputs!$H$3),Inputs!$H$3))</f>
        <v>#VALUE!</v>
      </c>
      <c r="P112" s="244" t="e">
        <f aca="false">J112+(IF($L$2=TRUE(),IF(MONTH(B112)&gt;=4,IF(MONTH(B112)&lt;=10,L112,M112),M112),0))+(IF('Pricing Inputs'!$AN$3=2,O112,0))</f>
        <v>#VALUE!</v>
      </c>
      <c r="Q112" s="244"/>
      <c r="R112" s="245" t="e">
        <f aca="false">B112</f>
        <v>#VALUE!</v>
      </c>
      <c r="S112" s="246" t="n">
        <f aca="false">T112-$S$16</f>
        <v>0.93</v>
      </c>
      <c r="T112" s="241" t="n">
        <f aca="false">D112</f>
        <v>1</v>
      </c>
      <c r="U112" s="247" t="n">
        <f aca="false">$U$16+T112</f>
        <v>1.07</v>
      </c>
      <c r="BP112" s="205" t="n">
        <f aca="false">BP111+BV112</f>
        <v>111</v>
      </c>
      <c r="BQ112" s="206" t="s">
        <v>697</v>
      </c>
      <c r="BR112" s="201" t="s">
        <v>203</v>
      </c>
      <c r="BS112" s="132" t="s">
        <v>334</v>
      </c>
      <c r="BT112" s="209" t="s">
        <v>205</v>
      </c>
      <c r="BU112" s="209"/>
      <c r="BV112" s="132" t="n">
        <v>1</v>
      </c>
      <c r="BW112" s="201" t="s">
        <v>698</v>
      </c>
      <c r="BX112" s="0"/>
      <c r="BZ112" s="205" t="n">
        <f aca="false">BZ111+CF112</f>
        <v>111</v>
      </c>
      <c r="CA112" s="63" t="s">
        <v>699</v>
      </c>
      <c r="CB112" s="201" t="s">
        <v>207</v>
      </c>
      <c r="CC112" s="132" t="s">
        <v>204</v>
      </c>
      <c r="CD112" s="209" t="s">
        <v>205</v>
      </c>
      <c r="CE112" s="209"/>
      <c r="CF112" s="132" t="n">
        <v>1</v>
      </c>
      <c r="CG112" s="201" t="s">
        <v>700</v>
      </c>
      <c r="CH112" s="0"/>
    </row>
    <row r="113" customFormat="false" ht="12.75" hidden="false" customHeight="false" outlineLevel="0" collapsed="false">
      <c r="A113" s="242"/>
      <c r="B113" s="192" t="e">
        <f aca="false">NextMonth(B112)</f>
        <v>#VALUE!</v>
      </c>
      <c r="C113" s="193" t="n">
        <v>0.073859015854331</v>
      </c>
      <c r="D113" s="248" t="n">
        <v>0.45</v>
      </c>
      <c r="E113" s="248" t="n">
        <v>0.45</v>
      </c>
      <c r="F113" s="248" t="n">
        <v>0.15</v>
      </c>
      <c r="G113" s="248" t="n">
        <v>0.1575</v>
      </c>
      <c r="H113" s="248" t="n">
        <v>0.165</v>
      </c>
      <c r="I113" s="244" t="n">
        <v>2.9525</v>
      </c>
      <c r="J113" s="248" t="n">
        <v>2.9575</v>
      </c>
      <c r="K113" s="193" t="n">
        <v>2.9625</v>
      </c>
      <c r="L113" s="248" t="n">
        <v>-0.05188084025</v>
      </c>
      <c r="M113" s="193" t="n">
        <v>0.37</v>
      </c>
      <c r="O113" s="189" t="e">
        <f aca="false">(IF(MONTH(B113)&gt;=4,IF(MONTH(B113)&lt;=10,Inputs!$H$2,Inputs!$H$3),Inputs!$H$3))</f>
        <v>#VALUE!</v>
      </c>
      <c r="P113" s="244" t="e">
        <f aca="false">J113+(IF($L$2=TRUE(),IF(MONTH(B113)&gt;=4,IF(MONTH(B113)&lt;=10,L113,M113),M113),0))+(IF('Pricing Inputs'!$AN$3=2,O113,0))</f>
        <v>#VALUE!</v>
      </c>
      <c r="Q113" s="244"/>
      <c r="R113" s="245" t="e">
        <f aca="false">B113</f>
        <v>#VALUE!</v>
      </c>
      <c r="S113" s="246" t="n">
        <f aca="false">T113-$S$16</f>
        <v>0.38</v>
      </c>
      <c r="T113" s="241" t="n">
        <f aca="false">D113</f>
        <v>0.45</v>
      </c>
      <c r="U113" s="247" t="n">
        <f aca="false">$U$16+T113</f>
        <v>0.52</v>
      </c>
      <c r="BP113" s="205" t="n">
        <f aca="false">BP112+BV113</f>
        <v>112</v>
      </c>
      <c r="BQ113" s="206" t="s">
        <v>701</v>
      </c>
      <c r="BR113" s="201" t="s">
        <v>203</v>
      </c>
      <c r="BS113" s="132" t="s">
        <v>334</v>
      </c>
      <c r="BT113" s="209" t="s">
        <v>205</v>
      </c>
      <c r="BU113" s="209"/>
      <c r="BV113" s="132" t="n">
        <v>1</v>
      </c>
      <c r="BW113" s="201" t="s">
        <v>702</v>
      </c>
      <c r="BX113" s="0"/>
      <c r="BZ113" s="205" t="n">
        <f aca="false">BZ112+CF113</f>
        <v>112</v>
      </c>
      <c r="CA113" s="63" t="s">
        <v>703</v>
      </c>
      <c r="CB113" s="201" t="s">
        <v>207</v>
      </c>
      <c r="CC113" s="132" t="s">
        <v>204</v>
      </c>
      <c r="CD113" s="209" t="s">
        <v>205</v>
      </c>
      <c r="CE113" s="209"/>
      <c r="CF113" s="132" t="n">
        <v>1</v>
      </c>
      <c r="CG113" s="201" t="s">
        <v>704</v>
      </c>
      <c r="CH113" s="0"/>
    </row>
    <row r="114" customFormat="false" ht="12.75" hidden="false" customHeight="false" outlineLevel="0" collapsed="false">
      <c r="A114" s="242"/>
      <c r="B114" s="192" t="e">
        <f aca="false">NextMonth(B113)</f>
        <v>#VALUE!</v>
      </c>
      <c r="C114" s="193" t="n">
        <v>0.073873808231316</v>
      </c>
      <c r="D114" s="248" t="n">
        <v>0.5</v>
      </c>
      <c r="E114" s="248" t="n">
        <v>0.5</v>
      </c>
      <c r="F114" s="248" t="n">
        <v>0.15</v>
      </c>
      <c r="G114" s="248" t="n">
        <v>0.1575</v>
      </c>
      <c r="H114" s="248" t="n">
        <v>0.165</v>
      </c>
      <c r="I114" s="244" t="n">
        <v>2.9265</v>
      </c>
      <c r="J114" s="248" t="n">
        <v>2.9315</v>
      </c>
      <c r="K114" s="193" t="n">
        <v>2.9365</v>
      </c>
      <c r="L114" s="248" t="n">
        <v>-0.051882969</v>
      </c>
      <c r="M114" s="193" t="n">
        <v>0.2525</v>
      </c>
      <c r="O114" s="189" t="e">
        <f aca="false">(IF(MONTH(B114)&gt;=4,IF(MONTH(B114)&lt;=10,Inputs!$H$2,Inputs!$H$3),Inputs!$H$3))</f>
        <v>#VALUE!</v>
      </c>
      <c r="P114" s="244" t="e">
        <f aca="false">J114+(IF($L$2=TRUE(),IF(MONTH(B114)&gt;=4,IF(MONTH(B114)&lt;=10,L114,M114),M114),0))+(IF('Pricing Inputs'!$AN$3=2,O114,0))</f>
        <v>#VALUE!</v>
      </c>
      <c r="Q114" s="244"/>
      <c r="R114" s="245" t="e">
        <f aca="false">B114</f>
        <v>#VALUE!</v>
      </c>
      <c r="S114" s="246" t="n">
        <f aca="false">T114-$S$16</f>
        <v>0.43</v>
      </c>
      <c r="T114" s="241" t="n">
        <f aca="false">D114</f>
        <v>0.5</v>
      </c>
      <c r="U114" s="247" t="n">
        <f aca="false">$U$16+T114</f>
        <v>0.57</v>
      </c>
      <c r="BP114" s="205" t="n">
        <f aca="false">BP113+BV114</f>
        <v>113</v>
      </c>
      <c r="BQ114" s="206" t="s">
        <v>705</v>
      </c>
      <c r="BR114" s="201" t="s">
        <v>203</v>
      </c>
      <c r="BS114" s="132" t="s">
        <v>334</v>
      </c>
      <c r="BT114" s="209" t="s">
        <v>205</v>
      </c>
      <c r="BU114" s="209"/>
      <c r="BV114" s="132" t="n">
        <v>1</v>
      </c>
      <c r="BW114" s="201" t="s">
        <v>706</v>
      </c>
      <c r="BX114" s="0"/>
      <c r="BZ114" s="205" t="n">
        <f aca="false">BZ113+CF114</f>
        <v>113</v>
      </c>
      <c r="CA114" s="63" t="s">
        <v>707</v>
      </c>
      <c r="CB114" s="201" t="s">
        <v>207</v>
      </c>
      <c r="CC114" s="132" t="s">
        <v>204</v>
      </c>
      <c r="CD114" s="209" t="s">
        <v>205</v>
      </c>
      <c r="CE114" s="209"/>
      <c r="CF114" s="132" t="n">
        <v>1</v>
      </c>
      <c r="CG114" s="201" t="s">
        <v>708</v>
      </c>
      <c r="CH114" s="0"/>
    </row>
    <row r="115" customFormat="false" ht="12.75" hidden="false" customHeight="false" outlineLevel="0" collapsed="false">
      <c r="A115" s="242"/>
      <c r="B115" s="192" t="e">
        <f aca="false">NextMonth(B114)</f>
        <v>#VALUE!</v>
      </c>
      <c r="C115" s="193" t="n">
        <v>0.073889093687609</v>
      </c>
      <c r="D115" s="248" t="n">
        <v>0.5</v>
      </c>
      <c r="E115" s="248" t="n">
        <v>0.5</v>
      </c>
      <c r="F115" s="248" t="n">
        <v>0.15</v>
      </c>
      <c r="G115" s="248" t="n">
        <v>0.1575</v>
      </c>
      <c r="H115" s="248" t="n">
        <v>0.165</v>
      </c>
      <c r="I115" s="244" t="n">
        <v>2.9325</v>
      </c>
      <c r="J115" s="248" t="n">
        <v>2.9375</v>
      </c>
      <c r="K115" s="193" t="n">
        <v>2.9425</v>
      </c>
      <c r="L115" s="248" t="n">
        <v>-0.051882969</v>
      </c>
      <c r="M115" s="193" t="n">
        <v>0.2525</v>
      </c>
      <c r="O115" s="189" t="e">
        <f aca="false">(IF(MONTH(B115)&gt;=4,IF(MONTH(B115)&lt;=10,Inputs!$H$2,Inputs!$H$3),Inputs!$H$3))</f>
        <v>#VALUE!</v>
      </c>
      <c r="P115" s="244" t="e">
        <f aca="false">J115+(IF($L$2=TRUE(),IF(MONTH(B115)&gt;=4,IF(MONTH(B115)&lt;=10,L115,M115),M115),0))+(IF('Pricing Inputs'!$AN$3=2,O115,0))</f>
        <v>#VALUE!</v>
      </c>
      <c r="Q115" s="244"/>
      <c r="R115" s="245" t="e">
        <f aca="false">B115</f>
        <v>#VALUE!</v>
      </c>
      <c r="S115" s="246" t="n">
        <f aca="false">T115-$S$16</f>
        <v>0.43</v>
      </c>
      <c r="T115" s="241" t="n">
        <f aca="false">D115</f>
        <v>0.5</v>
      </c>
      <c r="U115" s="247" t="n">
        <f aca="false">$U$16+T115</f>
        <v>0.57</v>
      </c>
      <c r="BP115" s="205" t="n">
        <f aca="false">BP114+BV115</f>
        <v>114</v>
      </c>
      <c r="BQ115" s="206" t="s">
        <v>709</v>
      </c>
      <c r="BR115" s="201" t="s">
        <v>203</v>
      </c>
      <c r="BS115" s="132" t="s">
        <v>334</v>
      </c>
      <c r="BT115" s="209" t="s">
        <v>205</v>
      </c>
      <c r="BU115" s="209"/>
      <c r="BV115" s="132" t="n">
        <v>1</v>
      </c>
      <c r="BW115" s="201" t="s">
        <v>710</v>
      </c>
      <c r="BX115" s="0"/>
      <c r="BZ115" s="205" t="n">
        <f aca="false">BZ114+CF115</f>
        <v>114</v>
      </c>
      <c r="CA115" s="63" t="s">
        <v>711</v>
      </c>
      <c r="CB115" s="201" t="s">
        <v>207</v>
      </c>
      <c r="CC115" s="132" t="s">
        <v>204</v>
      </c>
      <c r="CD115" s="209" t="s">
        <v>205</v>
      </c>
      <c r="CE115" s="209"/>
      <c r="CF115" s="132" t="n">
        <v>1</v>
      </c>
      <c r="CG115" s="201" t="s">
        <v>712</v>
      </c>
      <c r="CH115" s="0"/>
    </row>
    <row r="116" customFormat="false" ht="12.75" hidden="false" customHeight="false" outlineLevel="0" collapsed="false">
      <c r="A116" s="242"/>
      <c r="B116" s="192" t="e">
        <f aca="false">NextMonth(B115)</f>
        <v>#VALUE!</v>
      </c>
      <c r="C116" s="193" t="n">
        <v>0.073903886064741</v>
      </c>
      <c r="D116" s="248" t="n">
        <v>0.5</v>
      </c>
      <c r="E116" s="248" t="n">
        <v>0.5</v>
      </c>
      <c r="F116" s="248" t="n">
        <v>0.15</v>
      </c>
      <c r="G116" s="248" t="n">
        <v>0.1575</v>
      </c>
      <c r="H116" s="248" t="n">
        <v>0.165</v>
      </c>
      <c r="I116" s="244" t="n">
        <v>2.9425</v>
      </c>
      <c r="J116" s="248" t="n">
        <v>2.9475</v>
      </c>
      <c r="K116" s="193" t="n">
        <v>2.9525</v>
      </c>
      <c r="L116" s="248" t="n">
        <v>-0.051882969</v>
      </c>
      <c r="M116" s="193" t="n">
        <v>0.2575</v>
      </c>
      <c r="O116" s="189" t="e">
        <f aca="false">(IF(MONTH(B116)&gt;=4,IF(MONTH(B116)&lt;=10,Inputs!$H$2,Inputs!$H$3),Inputs!$H$3))</f>
        <v>#VALUE!</v>
      </c>
      <c r="P116" s="244" t="e">
        <f aca="false">J116+(IF($L$2=TRUE(),IF(MONTH(B116)&gt;=4,IF(MONTH(B116)&lt;=10,L116,M116),M116),0))+(IF('Pricing Inputs'!$AN$3=2,O116,0))</f>
        <v>#VALUE!</v>
      </c>
      <c r="Q116" s="244"/>
      <c r="R116" s="245" t="e">
        <f aca="false">B116</f>
        <v>#VALUE!</v>
      </c>
      <c r="S116" s="246" t="n">
        <f aca="false">T116-$S$16</f>
        <v>0.43</v>
      </c>
      <c r="T116" s="241" t="n">
        <f aca="false">D116</f>
        <v>0.5</v>
      </c>
      <c r="U116" s="247" t="n">
        <f aca="false">$U$16+T116</f>
        <v>0.57</v>
      </c>
      <c r="BP116" s="205" t="n">
        <f aca="false">BP115+BV116</f>
        <v>115</v>
      </c>
      <c r="BQ116" s="206" t="s">
        <v>713</v>
      </c>
      <c r="BR116" s="201" t="s">
        <v>203</v>
      </c>
      <c r="BS116" s="132" t="s">
        <v>334</v>
      </c>
      <c r="BT116" s="209" t="s">
        <v>205</v>
      </c>
      <c r="BU116" s="209"/>
      <c r="BV116" s="132" t="n">
        <v>1</v>
      </c>
      <c r="BW116" s="201" t="s">
        <v>714</v>
      </c>
      <c r="BX116" s="0"/>
      <c r="BZ116" s="205" t="n">
        <f aca="false">BZ115+CF116</f>
        <v>115</v>
      </c>
      <c r="CA116" s="63" t="s">
        <v>715</v>
      </c>
      <c r="CB116" s="201" t="s">
        <v>207</v>
      </c>
      <c r="CC116" s="132" t="s">
        <v>204</v>
      </c>
      <c r="CD116" s="209" t="s">
        <v>205</v>
      </c>
      <c r="CE116" s="209"/>
      <c r="CF116" s="132" t="n">
        <v>1</v>
      </c>
      <c r="CG116" s="201" t="s">
        <v>716</v>
      </c>
      <c r="CH116" s="0"/>
    </row>
    <row r="117" customFormat="false" ht="12.75" hidden="false" customHeight="false" outlineLevel="0" collapsed="false">
      <c r="A117" s="242"/>
      <c r="B117" s="192" t="e">
        <f aca="false">NextMonth(B116)</f>
        <v>#VALUE!</v>
      </c>
      <c r="C117" s="193" t="n">
        <v>0.073919171521186</v>
      </c>
      <c r="D117" s="248" t="n">
        <v>0.6</v>
      </c>
      <c r="E117" s="248" t="n">
        <v>0.6</v>
      </c>
      <c r="F117" s="248" t="n">
        <v>0.15</v>
      </c>
      <c r="G117" s="248" t="n">
        <v>0.1575</v>
      </c>
      <c r="H117" s="248" t="n">
        <v>0.165</v>
      </c>
      <c r="I117" s="244" t="n">
        <v>2.9495</v>
      </c>
      <c r="J117" s="248" t="n">
        <v>2.9545</v>
      </c>
      <c r="K117" s="193" t="n">
        <v>2.9595</v>
      </c>
      <c r="L117" s="248" t="n">
        <v>-0.051882969</v>
      </c>
      <c r="M117" s="193" t="n">
        <v>0.2575</v>
      </c>
      <c r="O117" s="189" t="e">
        <f aca="false">(IF(MONTH(B117)&gt;=4,IF(MONTH(B117)&lt;=10,Inputs!$H$2,Inputs!$H$3),Inputs!$H$3))</f>
        <v>#VALUE!</v>
      </c>
      <c r="P117" s="244" t="e">
        <f aca="false">J117+(IF($L$2=TRUE(),IF(MONTH(B117)&gt;=4,IF(MONTH(B117)&lt;=10,L117,M117),M117),0))+(IF('Pricing Inputs'!$AN$3=2,O117,0))</f>
        <v>#VALUE!</v>
      </c>
      <c r="Q117" s="244"/>
      <c r="R117" s="245" t="e">
        <f aca="false">B117</f>
        <v>#VALUE!</v>
      </c>
      <c r="S117" s="246" t="n">
        <f aca="false">T117-$S$16</f>
        <v>0.53</v>
      </c>
      <c r="T117" s="241" t="n">
        <f aca="false">D117</f>
        <v>0.6</v>
      </c>
      <c r="U117" s="247" t="n">
        <f aca="false">$U$16+T117</f>
        <v>0.67</v>
      </c>
      <c r="BP117" s="205" t="n">
        <f aca="false">BP116+BV117</f>
        <v>116</v>
      </c>
      <c r="BQ117" s="206" t="s">
        <v>717</v>
      </c>
      <c r="BR117" s="201" t="s">
        <v>203</v>
      </c>
      <c r="BS117" s="132" t="s">
        <v>334</v>
      </c>
      <c r="BT117" s="209" t="s">
        <v>205</v>
      </c>
      <c r="BU117" s="209"/>
      <c r="BV117" s="132" t="n">
        <v>1</v>
      </c>
      <c r="BW117" s="201" t="s">
        <v>718</v>
      </c>
      <c r="BX117" s="0"/>
      <c r="BZ117" s="205" t="n">
        <f aca="false">BZ116+CF117</f>
        <v>116</v>
      </c>
      <c r="CA117" s="63" t="s">
        <v>719</v>
      </c>
      <c r="CB117" s="201" t="s">
        <v>207</v>
      </c>
      <c r="CC117" s="132" t="s">
        <v>204</v>
      </c>
      <c r="CD117" s="209" t="s">
        <v>205</v>
      </c>
      <c r="CE117" s="209"/>
      <c r="CF117" s="132" t="n">
        <v>1</v>
      </c>
      <c r="CG117" s="201" t="s">
        <v>720</v>
      </c>
      <c r="CH117" s="0"/>
    </row>
    <row r="118" customFormat="false" ht="12.75" hidden="false" customHeight="false" outlineLevel="0" collapsed="false">
      <c r="A118" s="242"/>
      <c r="B118" s="192" t="e">
        <f aca="false">NextMonth(B117)</f>
        <v>#VALUE!</v>
      </c>
      <c r="C118" s="193" t="n">
        <v>0.073934456977709</v>
      </c>
      <c r="D118" s="248" t="n">
        <v>0.6</v>
      </c>
      <c r="E118" s="248" t="n">
        <v>0.6</v>
      </c>
      <c r="F118" s="248" t="n">
        <v>0.15</v>
      </c>
      <c r="G118" s="248" t="n">
        <v>0.1575</v>
      </c>
      <c r="H118" s="248" t="n">
        <v>0.165</v>
      </c>
      <c r="I118" s="244" t="n">
        <v>2.9565</v>
      </c>
      <c r="J118" s="248" t="n">
        <v>2.9615</v>
      </c>
      <c r="K118" s="193" t="n">
        <v>2.9665</v>
      </c>
      <c r="L118" s="248" t="n">
        <v>-0.051882969</v>
      </c>
      <c r="M118" s="193" t="n">
        <v>0.2525</v>
      </c>
      <c r="O118" s="189" t="e">
        <f aca="false">(IF(MONTH(B118)&gt;=4,IF(MONTH(B118)&lt;=10,Inputs!$H$2,Inputs!$H$3),Inputs!$H$3))</f>
        <v>#VALUE!</v>
      </c>
      <c r="P118" s="244" t="e">
        <f aca="false">J118+(IF($L$2=TRUE(),IF(MONTH(B118)&gt;=4,IF(MONTH(B118)&lt;=10,L118,M118),M118),0))+(IF('Pricing Inputs'!$AN$3=2,O118,0))</f>
        <v>#VALUE!</v>
      </c>
      <c r="Q118" s="244"/>
      <c r="R118" s="245" t="e">
        <f aca="false">B118</f>
        <v>#VALUE!</v>
      </c>
      <c r="S118" s="246" t="n">
        <f aca="false">T118-$S$16</f>
        <v>0.53</v>
      </c>
      <c r="T118" s="241" t="n">
        <f aca="false">D118</f>
        <v>0.6</v>
      </c>
      <c r="U118" s="247" t="n">
        <f aca="false">$U$16+T118</f>
        <v>0.67</v>
      </c>
      <c r="BP118" s="205" t="n">
        <f aca="false">BP117+BV118</f>
        <v>117</v>
      </c>
      <c r="BQ118" s="206" t="s">
        <v>721</v>
      </c>
      <c r="BR118" s="201" t="s">
        <v>203</v>
      </c>
      <c r="BS118" s="132" t="s">
        <v>334</v>
      </c>
      <c r="BT118" s="209" t="s">
        <v>205</v>
      </c>
      <c r="BU118" s="209"/>
      <c r="BV118" s="132" t="n">
        <v>1</v>
      </c>
      <c r="BW118" s="201" t="s">
        <v>722</v>
      </c>
      <c r="BX118" s="0"/>
      <c r="BZ118" s="205" t="n">
        <f aca="false">BZ117+CF118</f>
        <v>117</v>
      </c>
      <c r="CA118" s="63" t="s">
        <v>723</v>
      </c>
      <c r="CB118" s="201" t="s">
        <v>207</v>
      </c>
      <c r="CC118" s="132" t="s">
        <v>204</v>
      </c>
      <c r="CD118" s="209" t="s">
        <v>205</v>
      </c>
      <c r="CE118" s="209"/>
      <c r="CF118" s="132" t="n">
        <v>1</v>
      </c>
      <c r="CG118" s="201" t="s">
        <v>724</v>
      </c>
      <c r="CH118" s="0"/>
    </row>
    <row r="119" customFormat="false" ht="12.75" hidden="false" customHeight="false" outlineLevel="0" collapsed="false">
      <c r="A119" s="242"/>
      <c r="B119" s="192" t="e">
        <f aca="false">NextMonth(B118)</f>
        <v>#VALUE!</v>
      </c>
      <c r="C119" s="193" t="n">
        <v>0.073949249355061</v>
      </c>
      <c r="D119" s="248" t="n">
        <v>0.65</v>
      </c>
      <c r="E119" s="248" t="n">
        <v>0.65</v>
      </c>
      <c r="F119" s="248" t="n">
        <v>0.15</v>
      </c>
      <c r="G119" s="248" t="n">
        <v>0.1575</v>
      </c>
      <c r="H119" s="248" t="n">
        <v>0.165</v>
      </c>
      <c r="I119" s="244" t="n">
        <v>2.9825</v>
      </c>
      <c r="J119" s="248" t="n">
        <v>2.9875</v>
      </c>
      <c r="K119" s="193" t="n">
        <v>2.9925</v>
      </c>
      <c r="L119" s="248" t="n">
        <v>-0.051882969</v>
      </c>
      <c r="M119" s="193" t="n">
        <v>0.255</v>
      </c>
      <c r="O119" s="189" t="e">
        <f aca="false">(IF(MONTH(B119)&gt;=4,IF(MONTH(B119)&lt;=10,Inputs!$H$2,Inputs!$H$3),Inputs!$H$3))</f>
        <v>#VALUE!</v>
      </c>
      <c r="P119" s="244" t="e">
        <f aca="false">J119+(IF($L$2=TRUE(),IF(MONTH(B119)&gt;=4,IF(MONTH(B119)&lt;=10,L119,M119),M119),0))+(IF('Pricing Inputs'!$AN$3=2,O119,0))</f>
        <v>#VALUE!</v>
      </c>
      <c r="Q119" s="244"/>
      <c r="R119" s="245" t="e">
        <f aca="false">B119</f>
        <v>#VALUE!</v>
      </c>
      <c r="S119" s="246" t="n">
        <f aca="false">T119-$S$16</f>
        <v>0.58</v>
      </c>
      <c r="T119" s="241" t="n">
        <f aca="false">D119</f>
        <v>0.65</v>
      </c>
      <c r="U119" s="247" t="n">
        <f aca="false">$U$16+T119</f>
        <v>0.72</v>
      </c>
      <c r="BP119" s="205" t="n">
        <f aca="false">BP118+BV119</f>
        <v>118</v>
      </c>
      <c r="BQ119" s="206" t="s">
        <v>725</v>
      </c>
      <c r="BR119" s="201" t="s">
        <v>203</v>
      </c>
      <c r="BS119" s="132" t="s">
        <v>334</v>
      </c>
      <c r="BT119" s="209" t="s">
        <v>205</v>
      </c>
      <c r="BU119" s="209"/>
      <c r="BV119" s="132" t="n">
        <v>1</v>
      </c>
      <c r="BW119" s="201" t="s">
        <v>726</v>
      </c>
      <c r="BX119" s="0"/>
      <c r="BZ119" s="205" t="n">
        <f aca="false">BZ118+CF119</f>
        <v>118</v>
      </c>
      <c r="CA119" s="63" t="s">
        <v>727</v>
      </c>
      <c r="CB119" s="201" t="s">
        <v>207</v>
      </c>
      <c r="CC119" s="132" t="s">
        <v>204</v>
      </c>
      <c r="CD119" s="209" t="s">
        <v>205</v>
      </c>
      <c r="CE119" s="209"/>
      <c r="CF119" s="132" t="n">
        <v>1</v>
      </c>
      <c r="CG119" s="201" t="s">
        <v>728</v>
      </c>
      <c r="CH119" s="0"/>
    </row>
    <row r="120" customFormat="false" ht="12.75" hidden="false" customHeight="false" outlineLevel="0" collapsed="false">
      <c r="A120" s="242"/>
      <c r="B120" s="192" t="e">
        <f aca="false">NextMonth(B119)</f>
        <v>#VALUE!</v>
      </c>
      <c r="C120" s="193" t="n">
        <v>0.073964534811736</v>
      </c>
      <c r="D120" s="248" t="n">
        <v>0.95</v>
      </c>
      <c r="E120" s="248" t="n">
        <v>0.95</v>
      </c>
      <c r="F120" s="248" t="n">
        <v>0.15</v>
      </c>
      <c r="G120" s="248" t="n">
        <v>0.1575</v>
      </c>
      <c r="H120" s="248" t="n">
        <v>0.165</v>
      </c>
      <c r="I120" s="244" t="n">
        <v>3.1175</v>
      </c>
      <c r="J120" s="248" t="n">
        <v>3.1225</v>
      </c>
      <c r="K120" s="193" t="n">
        <v>3.1275</v>
      </c>
      <c r="L120" s="248" t="n">
        <v>-0.06812217825</v>
      </c>
      <c r="M120" s="193" t="n">
        <v>0.715</v>
      </c>
      <c r="O120" s="189" t="e">
        <f aca="false">(IF(MONTH(B120)&gt;=4,IF(MONTH(B120)&lt;=10,Inputs!$H$2,Inputs!$H$3),Inputs!$H$3))</f>
        <v>#VALUE!</v>
      </c>
      <c r="P120" s="244" t="e">
        <f aca="false">J120+(IF($L$2=TRUE(),IF(MONTH(B120)&gt;=4,IF(MONTH(B120)&lt;=10,L120,M120),M120),0))+(IF('Pricing Inputs'!$AN$3=2,O120,0))</f>
        <v>#VALUE!</v>
      </c>
      <c r="Q120" s="244"/>
      <c r="R120" s="245" t="e">
        <f aca="false">B120</f>
        <v>#VALUE!</v>
      </c>
      <c r="S120" s="246" t="n">
        <f aca="false">T120-$S$16</f>
        <v>0.88</v>
      </c>
      <c r="T120" s="241" t="n">
        <f aca="false">D120</f>
        <v>0.95</v>
      </c>
      <c r="U120" s="247" t="n">
        <f aca="false">$U$16+T120</f>
        <v>1.02</v>
      </c>
      <c r="BP120" s="205" t="n">
        <f aca="false">BP119+BV120</f>
        <v>119</v>
      </c>
      <c r="BQ120" s="206" t="s">
        <v>729</v>
      </c>
      <c r="BR120" s="201" t="s">
        <v>203</v>
      </c>
      <c r="BS120" s="132" t="s">
        <v>334</v>
      </c>
      <c r="BT120" s="209" t="s">
        <v>205</v>
      </c>
      <c r="BU120" s="209"/>
      <c r="BV120" s="132" t="n">
        <v>1</v>
      </c>
      <c r="BW120" s="201" t="s">
        <v>730</v>
      </c>
      <c r="BX120" s="0"/>
      <c r="BZ120" s="205" t="n">
        <f aca="false">BZ119+CF120</f>
        <v>119</v>
      </c>
      <c r="CA120" s="63" t="s">
        <v>731</v>
      </c>
      <c r="CB120" s="201" t="s">
        <v>207</v>
      </c>
      <c r="CC120" s="132" t="s">
        <v>204</v>
      </c>
      <c r="CD120" s="209" t="s">
        <v>205</v>
      </c>
      <c r="CE120" s="209"/>
      <c r="CF120" s="132" t="n">
        <v>1</v>
      </c>
      <c r="CG120" s="201" t="s">
        <v>732</v>
      </c>
      <c r="CH120" s="0"/>
    </row>
    <row r="121" customFormat="false" ht="12.75" hidden="false" customHeight="false" outlineLevel="0" collapsed="false">
      <c r="A121" s="242"/>
      <c r="B121" s="192" t="e">
        <f aca="false">NextMonth(B120)</f>
        <v>#VALUE!</v>
      </c>
      <c r="C121" s="193" t="n">
        <v>0.073979327189236</v>
      </c>
      <c r="D121" s="248" t="n">
        <v>1.25</v>
      </c>
      <c r="E121" s="248" t="n">
        <v>1.25</v>
      </c>
      <c r="F121" s="248" t="n">
        <v>0.15</v>
      </c>
      <c r="G121" s="248" t="n">
        <v>0.1575</v>
      </c>
      <c r="H121" s="248" t="n">
        <v>0.165</v>
      </c>
      <c r="I121" s="244" t="n">
        <v>3.2415</v>
      </c>
      <c r="J121" s="248" t="n">
        <v>3.2465</v>
      </c>
      <c r="K121" s="193" t="n">
        <v>3.2515</v>
      </c>
      <c r="L121" s="248" t="n">
        <v>-0.0718629845</v>
      </c>
      <c r="M121" s="193" t="n">
        <v>1.03</v>
      </c>
      <c r="O121" s="189" t="e">
        <f aca="false">(IF(MONTH(B121)&gt;=4,IF(MONTH(B121)&lt;=10,Inputs!$H$2,Inputs!$H$3),Inputs!$H$3))</f>
        <v>#VALUE!</v>
      </c>
      <c r="P121" s="244" t="e">
        <f aca="false">J121+(IF($L$2=TRUE(),IF(MONTH(B121)&gt;=4,IF(MONTH(B121)&lt;=10,L121,M121),M121),0))+(IF('Pricing Inputs'!$AN$3=2,O121,0))</f>
        <v>#VALUE!</v>
      </c>
      <c r="Q121" s="244"/>
      <c r="R121" s="245" t="e">
        <f aca="false">B121</f>
        <v>#VALUE!</v>
      </c>
      <c r="S121" s="246" t="n">
        <f aca="false">T121-$S$16</f>
        <v>1.18</v>
      </c>
      <c r="T121" s="241" t="n">
        <f aca="false">D121</f>
        <v>1.25</v>
      </c>
      <c r="U121" s="247" t="n">
        <f aca="false">$U$16+T121</f>
        <v>1.32</v>
      </c>
      <c r="BP121" s="205" t="n">
        <f aca="false">BP120+BV121</f>
        <v>120</v>
      </c>
      <c r="BQ121" s="206" t="s">
        <v>733</v>
      </c>
      <c r="BR121" s="201" t="s">
        <v>203</v>
      </c>
      <c r="BS121" s="132" t="s">
        <v>334</v>
      </c>
      <c r="BT121" s="209" t="s">
        <v>205</v>
      </c>
      <c r="BU121" s="209"/>
      <c r="BV121" s="132" t="n">
        <v>1</v>
      </c>
      <c r="BW121" s="201" t="s">
        <v>734</v>
      </c>
      <c r="BX121" s="0"/>
      <c r="BZ121" s="205" t="n">
        <f aca="false">BZ120+CF121</f>
        <v>120</v>
      </c>
      <c r="CA121" s="63" t="s">
        <v>735</v>
      </c>
      <c r="CB121" s="201" t="s">
        <v>207</v>
      </c>
      <c r="CC121" s="132" t="s">
        <v>204</v>
      </c>
      <c r="CD121" s="209" t="s">
        <v>205</v>
      </c>
      <c r="CE121" s="209"/>
      <c r="CF121" s="132" t="n">
        <v>1</v>
      </c>
      <c r="CG121" s="201" t="s">
        <v>736</v>
      </c>
      <c r="CH121" s="0"/>
    </row>
    <row r="122" customFormat="false" ht="12.75" hidden="false" customHeight="false" outlineLevel="0" collapsed="false">
      <c r="A122" s="242"/>
      <c r="B122" s="192" t="e">
        <f aca="false">NextMonth(B121)</f>
        <v>#VALUE!</v>
      </c>
      <c r="C122" s="193" t="n">
        <v>0.073994612646061</v>
      </c>
      <c r="D122" s="248" t="n">
        <v>1.45</v>
      </c>
      <c r="E122" s="248" t="n">
        <v>1.45</v>
      </c>
      <c r="F122" s="248" t="n">
        <v>0.15</v>
      </c>
      <c r="G122" s="248" t="n">
        <v>0.1575</v>
      </c>
      <c r="H122" s="248" t="n">
        <v>0.165</v>
      </c>
      <c r="I122" s="244" t="n">
        <v>3.31</v>
      </c>
      <c r="J122" s="248" t="n">
        <v>3.315</v>
      </c>
      <c r="K122" s="193" t="n">
        <v>3.32</v>
      </c>
      <c r="L122" s="248" t="n">
        <v>-0.071863796</v>
      </c>
      <c r="M122" s="193" t="n">
        <v>1.495</v>
      </c>
      <c r="O122" s="189" t="e">
        <f aca="false">(IF(MONTH(B122)&gt;=4,IF(MONTH(B122)&lt;=10,Inputs!$H$2,Inputs!$H$3),Inputs!$H$3))</f>
        <v>#VALUE!</v>
      </c>
      <c r="P122" s="244" t="e">
        <f aca="false">J122+(IF($L$2=TRUE(),IF(MONTH(B122)&gt;=4,IF(MONTH(B122)&lt;=10,L122,M122),M122),0))+(IF('Pricing Inputs'!$AN$3=2,O122,0))</f>
        <v>#VALUE!</v>
      </c>
      <c r="Q122" s="244"/>
      <c r="R122" s="245" t="e">
        <f aca="false">B122</f>
        <v>#VALUE!</v>
      </c>
      <c r="S122" s="246" t="n">
        <f aca="false">T122-$S$16</f>
        <v>1.38</v>
      </c>
      <c r="T122" s="241" t="n">
        <f aca="false">D122</f>
        <v>1.45</v>
      </c>
      <c r="U122" s="247" t="n">
        <f aca="false">$U$16+T122</f>
        <v>1.52</v>
      </c>
      <c r="BP122" s="205" t="n">
        <f aca="false">BP121+BV122</f>
        <v>121</v>
      </c>
      <c r="BQ122" s="206" t="s">
        <v>737</v>
      </c>
      <c r="BR122" s="201" t="s">
        <v>203</v>
      </c>
      <c r="BS122" s="132" t="s">
        <v>334</v>
      </c>
      <c r="BT122" s="209" t="s">
        <v>205</v>
      </c>
      <c r="BU122" s="209"/>
      <c r="BV122" s="132" t="n">
        <v>1</v>
      </c>
      <c r="BW122" s="201" t="s">
        <v>738</v>
      </c>
      <c r="BX122" s="0"/>
      <c r="BZ122" s="205" t="n">
        <f aca="false">BZ121+CF122</f>
        <v>121</v>
      </c>
      <c r="CA122" s="63" t="s">
        <v>739</v>
      </c>
      <c r="CB122" s="201" t="s">
        <v>207</v>
      </c>
      <c r="CC122" s="132" t="s">
        <v>204</v>
      </c>
      <c r="CD122" s="209" t="s">
        <v>205</v>
      </c>
      <c r="CE122" s="209"/>
      <c r="CF122" s="132" t="n">
        <v>1</v>
      </c>
      <c r="CG122" s="201" t="s">
        <v>740</v>
      </c>
      <c r="CH122" s="0"/>
    </row>
    <row r="123" customFormat="false" ht="12.75" hidden="false" customHeight="false" outlineLevel="0" collapsed="false">
      <c r="A123" s="242"/>
      <c r="B123" s="192" t="e">
        <f aca="false">NextMonth(B122)</f>
        <v>#VALUE!</v>
      </c>
      <c r="C123" s="193" t="n">
        <v>0.074009898102964</v>
      </c>
      <c r="D123" s="248" t="n">
        <v>1.45</v>
      </c>
      <c r="E123" s="248" t="n">
        <v>1.45</v>
      </c>
      <c r="F123" s="248" t="n">
        <v>0.15</v>
      </c>
      <c r="G123" s="248" t="n">
        <v>0.1575</v>
      </c>
      <c r="H123" s="248" t="n">
        <v>0.165</v>
      </c>
      <c r="I123" s="244" t="n">
        <v>3.192</v>
      </c>
      <c r="J123" s="248" t="n">
        <v>3.197</v>
      </c>
      <c r="K123" s="193" t="n">
        <v>3.202</v>
      </c>
      <c r="L123" s="248" t="n">
        <v>-0.06561435575</v>
      </c>
      <c r="M123" s="193" t="n">
        <v>1.395</v>
      </c>
      <c r="O123" s="189" t="e">
        <f aca="false">(IF(MONTH(B123)&gt;=4,IF(MONTH(B123)&lt;=10,Inputs!$H$2,Inputs!$H$3),Inputs!$H$3))</f>
        <v>#VALUE!</v>
      </c>
      <c r="P123" s="244" t="e">
        <f aca="false">J123+(IF($L$2=TRUE(),IF(MONTH(B123)&gt;=4,IF(MONTH(B123)&lt;=10,L123,M123),M123),0))+(IF('Pricing Inputs'!$AN$3=2,O123,0))</f>
        <v>#VALUE!</v>
      </c>
      <c r="Q123" s="244"/>
      <c r="R123" s="245" t="e">
        <f aca="false">B123</f>
        <v>#VALUE!</v>
      </c>
      <c r="S123" s="246" t="n">
        <f aca="false">T123-$S$16</f>
        <v>1.38</v>
      </c>
      <c r="T123" s="241" t="n">
        <f aca="false">D123</f>
        <v>1.45</v>
      </c>
      <c r="U123" s="247" t="n">
        <f aca="false">$U$16+T123</f>
        <v>1.52</v>
      </c>
      <c r="BP123" s="205" t="n">
        <f aca="false">BP122+BV123</f>
        <v>122</v>
      </c>
      <c r="BQ123" s="206" t="s">
        <v>741</v>
      </c>
      <c r="BR123" s="201" t="s">
        <v>203</v>
      </c>
      <c r="BS123" s="132" t="s">
        <v>334</v>
      </c>
      <c r="BT123" s="209" t="s">
        <v>205</v>
      </c>
      <c r="BU123" s="209"/>
      <c r="BV123" s="132" t="n">
        <v>1</v>
      </c>
      <c r="BW123" s="201" t="s">
        <v>742</v>
      </c>
      <c r="BX123" s="0"/>
      <c r="BZ123" s="205" t="n">
        <f aca="false">BZ122+CF123</f>
        <v>122</v>
      </c>
      <c r="CA123" s="63" t="s">
        <v>743</v>
      </c>
      <c r="CB123" s="201" t="s">
        <v>207</v>
      </c>
      <c r="CC123" s="132" t="s">
        <v>204</v>
      </c>
      <c r="CD123" s="209" t="s">
        <v>205</v>
      </c>
      <c r="CE123" s="209"/>
      <c r="CF123" s="132" t="n">
        <v>1</v>
      </c>
      <c r="CG123" s="201" t="s">
        <v>744</v>
      </c>
      <c r="CH123" s="0"/>
    </row>
    <row r="124" customFormat="false" ht="12.75" hidden="false" customHeight="false" outlineLevel="0" collapsed="false">
      <c r="A124" s="242"/>
      <c r="B124" s="192" t="e">
        <f aca="false">NextMonth(B123)</f>
        <v>#VALUE!</v>
      </c>
      <c r="C124" s="193" t="n">
        <v>0.074023704322169</v>
      </c>
      <c r="D124" s="248" t="n">
        <v>1</v>
      </c>
      <c r="E124" s="248" t="n">
        <v>1</v>
      </c>
      <c r="F124" s="248" t="n">
        <v>0.15</v>
      </c>
      <c r="G124" s="248" t="n">
        <v>0.1575</v>
      </c>
      <c r="H124" s="248" t="n">
        <v>0.165</v>
      </c>
      <c r="I124" s="244" t="n">
        <v>3.072</v>
      </c>
      <c r="J124" s="248" t="n">
        <v>3.077</v>
      </c>
      <c r="K124" s="193" t="n">
        <v>3.082</v>
      </c>
      <c r="L124" s="248" t="n">
        <v>-0.06311435575</v>
      </c>
      <c r="M124" s="193" t="n">
        <v>0.865</v>
      </c>
      <c r="O124" s="189" t="e">
        <f aca="false">(IF(MONTH(B124)&gt;=4,IF(MONTH(B124)&lt;=10,Inputs!$H$2,Inputs!$H$3),Inputs!$H$3))</f>
        <v>#VALUE!</v>
      </c>
      <c r="P124" s="244" t="e">
        <f aca="false">J124+(IF($L$2=TRUE(),IF(MONTH(B124)&gt;=4,IF(MONTH(B124)&lt;=10,L124,M124),M124),0))+(IF('Pricing Inputs'!$AN$3=2,O124,0))</f>
        <v>#VALUE!</v>
      </c>
      <c r="Q124" s="244"/>
      <c r="R124" s="245" t="e">
        <f aca="false">B124</f>
        <v>#VALUE!</v>
      </c>
      <c r="S124" s="246" t="n">
        <f aca="false">T124-$S$16</f>
        <v>0.93</v>
      </c>
      <c r="T124" s="241" t="n">
        <f aca="false">D124</f>
        <v>1</v>
      </c>
      <c r="U124" s="247" t="n">
        <f aca="false">$U$16+T124</f>
        <v>1.07</v>
      </c>
      <c r="BP124" s="205" t="n">
        <f aca="false">BP123+BV124</f>
        <v>123</v>
      </c>
      <c r="BQ124" s="206" t="s">
        <v>745</v>
      </c>
      <c r="BR124" s="201" t="s">
        <v>203</v>
      </c>
      <c r="BS124" s="132" t="s">
        <v>334</v>
      </c>
      <c r="BT124" s="209" t="s">
        <v>205</v>
      </c>
      <c r="BU124" s="209"/>
      <c r="BV124" s="132" t="n">
        <v>1</v>
      </c>
      <c r="BW124" s="201" t="s">
        <v>746</v>
      </c>
      <c r="BX124" s="0"/>
      <c r="BZ124" s="205" t="n">
        <f aca="false">BZ123+CF124</f>
        <v>123</v>
      </c>
      <c r="CA124" s="63" t="s">
        <v>747</v>
      </c>
      <c r="CB124" s="201" t="s">
        <v>207</v>
      </c>
      <c r="CC124" s="132" t="s">
        <v>204</v>
      </c>
      <c r="CD124" s="209" t="s">
        <v>205</v>
      </c>
      <c r="CE124" s="209"/>
      <c r="CF124" s="132" t="n">
        <v>1</v>
      </c>
      <c r="CG124" s="201" t="s">
        <v>748</v>
      </c>
      <c r="CH124" s="0"/>
    </row>
    <row r="125" customFormat="false" ht="12.75" hidden="false" customHeight="false" outlineLevel="0" collapsed="false">
      <c r="A125" s="242"/>
      <c r="B125" s="192" t="e">
        <f aca="false">NextMonth(B124)</f>
        <v>#VALUE!</v>
      </c>
      <c r="C125" s="193" t="n">
        <v>0.074038989779218</v>
      </c>
      <c r="D125" s="248" t="n">
        <v>0.45</v>
      </c>
      <c r="E125" s="248" t="n">
        <v>0.45</v>
      </c>
      <c r="F125" s="248" t="n">
        <v>0.15</v>
      </c>
      <c r="G125" s="248" t="n">
        <v>0.1575</v>
      </c>
      <c r="H125" s="248" t="n">
        <v>0.165</v>
      </c>
      <c r="I125" s="244" t="n">
        <v>3.0225</v>
      </c>
      <c r="J125" s="248" t="n">
        <v>3.0275</v>
      </c>
      <c r="K125" s="193" t="n">
        <v>3.0325</v>
      </c>
      <c r="L125" s="248" t="n">
        <v>-0.05000584025</v>
      </c>
      <c r="M125" s="193" t="n">
        <v>0.37</v>
      </c>
      <c r="O125" s="189" t="e">
        <f aca="false">(IF(MONTH(B125)&gt;=4,IF(MONTH(B125)&lt;=10,Inputs!$H$2,Inputs!$H$3),Inputs!$H$3))</f>
        <v>#VALUE!</v>
      </c>
      <c r="P125" s="244" t="e">
        <f aca="false">J125+(IF($L$2=TRUE(),IF(MONTH(B125)&gt;=4,IF(MONTH(B125)&lt;=10,L125,M125),M125),0))+(IF('Pricing Inputs'!$AN$3=2,O125,0))</f>
        <v>#VALUE!</v>
      </c>
      <c r="Q125" s="244"/>
      <c r="R125" s="245" t="e">
        <f aca="false">B125</f>
        <v>#VALUE!</v>
      </c>
      <c r="S125" s="246" t="n">
        <f aca="false">T125-$S$16</f>
        <v>0.38</v>
      </c>
      <c r="T125" s="241" t="n">
        <f aca="false">D125</f>
        <v>0.45</v>
      </c>
      <c r="U125" s="247" t="n">
        <f aca="false">$U$16+T125</f>
        <v>0.52</v>
      </c>
      <c r="BP125" s="205" t="n">
        <f aca="false">BP124+BV125</f>
        <v>124</v>
      </c>
      <c r="BQ125" s="206" t="s">
        <v>749</v>
      </c>
      <c r="BR125" s="201" t="s">
        <v>203</v>
      </c>
      <c r="BS125" s="132" t="s">
        <v>334</v>
      </c>
      <c r="BT125" s="209" t="s">
        <v>205</v>
      </c>
      <c r="BU125" s="209"/>
      <c r="BV125" s="132" t="n">
        <v>1</v>
      </c>
      <c r="BW125" s="201" t="s">
        <v>750</v>
      </c>
      <c r="BX125" s="0"/>
      <c r="BZ125" s="205" t="n">
        <f aca="false">BZ124+CF125</f>
        <v>124</v>
      </c>
      <c r="CA125" s="63" t="s">
        <v>751</v>
      </c>
      <c r="CB125" s="201" t="s">
        <v>207</v>
      </c>
      <c r="CC125" s="132" t="s">
        <v>204</v>
      </c>
      <c r="CD125" s="209" t="s">
        <v>205</v>
      </c>
      <c r="CE125" s="209"/>
      <c r="CF125" s="132" t="n">
        <v>1</v>
      </c>
      <c r="CG125" s="201" t="s">
        <v>752</v>
      </c>
      <c r="CH125" s="0"/>
    </row>
    <row r="126" customFormat="false" ht="12.75" hidden="false" customHeight="false" outlineLevel="0" collapsed="false">
      <c r="A126" s="242"/>
      <c r="B126" s="192" t="e">
        <f aca="false">NextMonth(B125)</f>
        <v>#VALUE!</v>
      </c>
      <c r="C126" s="193" t="n">
        <v>0.074053782157082</v>
      </c>
      <c r="D126" s="248" t="n">
        <v>0.5</v>
      </c>
      <c r="E126" s="248" t="n">
        <v>0.5</v>
      </c>
      <c r="F126" s="248" t="n">
        <v>0.15</v>
      </c>
      <c r="G126" s="248" t="n">
        <v>0.1575</v>
      </c>
      <c r="H126" s="248" t="n">
        <v>0.165</v>
      </c>
      <c r="I126" s="244" t="n">
        <v>2.9965</v>
      </c>
      <c r="J126" s="248" t="n">
        <v>3.0015</v>
      </c>
      <c r="K126" s="193" t="n">
        <v>3.0065</v>
      </c>
      <c r="L126" s="248" t="n">
        <v>-0.050007969</v>
      </c>
      <c r="M126" s="193" t="n">
        <v>0.2525</v>
      </c>
      <c r="O126" s="189" t="e">
        <f aca="false">(IF(MONTH(B126)&gt;=4,IF(MONTH(B126)&lt;=10,Inputs!$H$2,Inputs!$H$3),Inputs!$H$3))</f>
        <v>#VALUE!</v>
      </c>
      <c r="P126" s="244" t="e">
        <f aca="false">J126+(IF($L$2=TRUE(),IF(MONTH(B126)&gt;=4,IF(MONTH(B126)&lt;=10,L126,M126),M126),0))+(IF('Pricing Inputs'!$AN$3=2,O126,0))</f>
        <v>#VALUE!</v>
      </c>
      <c r="Q126" s="244"/>
      <c r="R126" s="245" t="e">
        <f aca="false">B126</f>
        <v>#VALUE!</v>
      </c>
      <c r="S126" s="246" t="n">
        <f aca="false">T126-$S$16</f>
        <v>0.43</v>
      </c>
      <c r="T126" s="241" t="n">
        <f aca="false">D126</f>
        <v>0.5</v>
      </c>
      <c r="U126" s="247" t="n">
        <f aca="false">$U$16+T126</f>
        <v>0.57</v>
      </c>
      <c r="BP126" s="205" t="n">
        <f aca="false">BP125+BV126</f>
        <v>125</v>
      </c>
      <c r="BQ126" s="206" t="s">
        <v>753</v>
      </c>
      <c r="BR126" s="201" t="s">
        <v>203</v>
      </c>
      <c r="BS126" s="132" t="s">
        <v>334</v>
      </c>
      <c r="BT126" s="209" t="s">
        <v>205</v>
      </c>
      <c r="BU126" s="209"/>
      <c r="BV126" s="132" t="n">
        <v>1</v>
      </c>
      <c r="BW126" s="201" t="s">
        <v>754</v>
      </c>
      <c r="BX126" s="0"/>
      <c r="BZ126" s="205" t="n">
        <f aca="false">BZ125+CF126</f>
        <v>125</v>
      </c>
      <c r="CA126" s="63" t="s">
        <v>755</v>
      </c>
      <c r="CB126" s="201" t="s">
        <v>207</v>
      </c>
      <c r="CC126" s="132" t="s">
        <v>204</v>
      </c>
      <c r="CD126" s="209" t="s">
        <v>205</v>
      </c>
      <c r="CE126" s="209"/>
      <c r="CF126" s="132" t="n">
        <v>1</v>
      </c>
      <c r="CG126" s="201" t="s">
        <v>756</v>
      </c>
      <c r="CH126" s="0"/>
    </row>
    <row r="127" customFormat="false" ht="12.75" hidden="false" customHeight="false" outlineLevel="0" collapsed="false">
      <c r="A127" s="242"/>
      <c r="B127" s="192" t="e">
        <f aca="false">NextMonth(B126)</f>
        <v>#VALUE!</v>
      </c>
      <c r="C127" s="193" t="n">
        <v>0.074069067614284</v>
      </c>
      <c r="D127" s="248" t="n">
        <v>0.5</v>
      </c>
      <c r="E127" s="248" t="n">
        <v>0.5</v>
      </c>
      <c r="F127" s="248" t="n">
        <v>0.15</v>
      </c>
      <c r="G127" s="248" t="n">
        <v>0.1575</v>
      </c>
      <c r="H127" s="248" t="n">
        <v>0.165</v>
      </c>
      <c r="I127" s="244" t="n">
        <v>3.0025</v>
      </c>
      <c r="J127" s="248" t="n">
        <v>3.0075</v>
      </c>
      <c r="K127" s="193" t="n">
        <v>3.0125</v>
      </c>
      <c r="L127" s="248" t="n">
        <v>-0.050007969</v>
      </c>
      <c r="M127" s="193" t="n">
        <v>0.2525</v>
      </c>
      <c r="O127" s="189" t="e">
        <f aca="false">(IF(MONTH(B127)&gt;=4,IF(MONTH(B127)&lt;=10,Inputs!$H$2,Inputs!$H$3),Inputs!$H$3))</f>
        <v>#VALUE!</v>
      </c>
      <c r="P127" s="244" t="e">
        <f aca="false">J127+(IF($L$2=TRUE(),IF(MONTH(B127)&gt;=4,IF(MONTH(B127)&lt;=10,L127,M127),M127),0))+(IF('Pricing Inputs'!$AN$3=2,O127,0))</f>
        <v>#VALUE!</v>
      </c>
      <c r="Q127" s="244"/>
      <c r="R127" s="245" t="e">
        <f aca="false">B127</f>
        <v>#VALUE!</v>
      </c>
      <c r="S127" s="246" t="n">
        <f aca="false">T127-$S$16</f>
        <v>0.43</v>
      </c>
      <c r="T127" s="241" t="n">
        <f aca="false">D127</f>
        <v>0.5</v>
      </c>
      <c r="U127" s="247" t="n">
        <f aca="false">$U$16+T127</f>
        <v>0.57</v>
      </c>
      <c r="BP127" s="205" t="n">
        <f aca="false">BP126+BV127</f>
        <v>126</v>
      </c>
      <c r="BQ127" s="206" t="s">
        <v>757</v>
      </c>
      <c r="BR127" s="201" t="s">
        <v>203</v>
      </c>
      <c r="BS127" s="132" t="s">
        <v>334</v>
      </c>
      <c r="BT127" s="209" t="s">
        <v>205</v>
      </c>
      <c r="BU127" s="209"/>
      <c r="BV127" s="132" t="n">
        <v>1</v>
      </c>
      <c r="BW127" s="201" t="s">
        <v>758</v>
      </c>
      <c r="BX127" s="0"/>
      <c r="BZ127" s="205" t="n">
        <f aca="false">BZ126+CF127</f>
        <v>126</v>
      </c>
      <c r="CA127" s="63" t="s">
        <v>759</v>
      </c>
      <c r="CB127" s="201" t="s">
        <v>207</v>
      </c>
      <c r="CC127" s="132" t="s">
        <v>204</v>
      </c>
      <c r="CD127" s="209" t="s">
        <v>205</v>
      </c>
      <c r="CE127" s="209"/>
      <c r="CF127" s="132" t="n">
        <v>1</v>
      </c>
      <c r="CG127" s="201" t="s">
        <v>760</v>
      </c>
      <c r="CH127" s="0"/>
    </row>
    <row r="128" customFormat="false" ht="12.75" hidden="false" customHeight="false" outlineLevel="0" collapsed="false">
      <c r="A128" s="242"/>
      <c r="B128" s="192" t="e">
        <f aca="false">NextMonth(B127)</f>
        <v>#VALUE!</v>
      </c>
      <c r="C128" s="193" t="n">
        <v>0.074083859992294</v>
      </c>
      <c r="D128" s="248" t="n">
        <v>0.5</v>
      </c>
      <c r="E128" s="248" t="n">
        <v>0.5</v>
      </c>
      <c r="F128" s="248" t="n">
        <v>0.15</v>
      </c>
      <c r="G128" s="248" t="n">
        <v>0.1575</v>
      </c>
      <c r="H128" s="248" t="n">
        <v>0.165</v>
      </c>
      <c r="I128" s="244" t="n">
        <v>3.0125</v>
      </c>
      <c r="J128" s="248" t="n">
        <v>3.0175</v>
      </c>
      <c r="K128" s="193" t="n">
        <v>3.0225</v>
      </c>
      <c r="L128" s="248" t="n">
        <v>-0.050007969</v>
      </c>
      <c r="M128" s="193" t="n">
        <v>0.2575</v>
      </c>
      <c r="O128" s="189" t="e">
        <f aca="false">(IF(MONTH(B128)&gt;=4,IF(MONTH(B128)&lt;=10,Inputs!$H$2,Inputs!$H$3),Inputs!$H$3))</f>
        <v>#VALUE!</v>
      </c>
      <c r="P128" s="244" t="e">
        <f aca="false">J128+(IF($L$2=TRUE(),IF(MONTH(B128)&gt;=4,IF(MONTH(B128)&lt;=10,L128,M128),M128),0))+(IF('Pricing Inputs'!$AN$3=2,O128,0))</f>
        <v>#VALUE!</v>
      </c>
      <c r="Q128" s="244"/>
      <c r="R128" s="245" t="e">
        <f aca="false">B128</f>
        <v>#VALUE!</v>
      </c>
      <c r="S128" s="246" t="n">
        <f aca="false">T128-$S$16</f>
        <v>0.43</v>
      </c>
      <c r="T128" s="241" t="n">
        <f aca="false">D128</f>
        <v>0.5</v>
      </c>
      <c r="U128" s="247" t="n">
        <f aca="false">$U$16+T128</f>
        <v>0.57</v>
      </c>
      <c r="BP128" s="205" t="n">
        <f aca="false">BP127+BV128</f>
        <v>127</v>
      </c>
      <c r="BQ128" s="206" t="s">
        <v>761</v>
      </c>
      <c r="BR128" s="201" t="s">
        <v>203</v>
      </c>
      <c r="BS128" s="132" t="s">
        <v>334</v>
      </c>
      <c r="BT128" s="209" t="s">
        <v>205</v>
      </c>
      <c r="BU128" s="209"/>
      <c r="BV128" s="132" t="n">
        <v>1</v>
      </c>
      <c r="BW128" s="201" t="s">
        <v>762</v>
      </c>
      <c r="BX128" s="0"/>
      <c r="BZ128" s="205" t="n">
        <f aca="false">BZ127+CF128</f>
        <v>127</v>
      </c>
      <c r="CA128" s="63" t="s">
        <v>763</v>
      </c>
      <c r="CB128" s="201" t="s">
        <v>207</v>
      </c>
      <c r="CC128" s="132" t="s">
        <v>204</v>
      </c>
      <c r="CD128" s="209" t="s">
        <v>205</v>
      </c>
      <c r="CE128" s="209"/>
      <c r="CF128" s="132" t="n">
        <v>1</v>
      </c>
      <c r="CG128" s="201" t="s">
        <v>764</v>
      </c>
      <c r="CH128" s="0"/>
    </row>
    <row r="129" customFormat="false" ht="12.75" hidden="false" customHeight="false" outlineLevel="0" collapsed="false">
      <c r="A129" s="242"/>
      <c r="B129" s="192" t="e">
        <f aca="false">NextMonth(B128)</f>
        <v>#VALUE!</v>
      </c>
      <c r="C129" s="193" t="n">
        <v>0.074099145449646</v>
      </c>
      <c r="D129" s="248" t="n">
        <v>0.6</v>
      </c>
      <c r="E129" s="248" t="n">
        <v>0.6</v>
      </c>
      <c r="F129" s="248" t="n">
        <v>0.15</v>
      </c>
      <c r="G129" s="248" t="n">
        <v>0.1575</v>
      </c>
      <c r="H129" s="248" t="n">
        <v>0.165</v>
      </c>
      <c r="I129" s="244" t="n">
        <v>3.0195</v>
      </c>
      <c r="J129" s="248" t="n">
        <v>3.0245</v>
      </c>
      <c r="K129" s="193" t="n">
        <v>3.0295</v>
      </c>
      <c r="L129" s="248" t="n">
        <v>-0.050007969</v>
      </c>
      <c r="M129" s="193" t="n">
        <v>0.2575</v>
      </c>
      <c r="O129" s="189" t="e">
        <f aca="false">(IF(MONTH(B129)&gt;=4,IF(MONTH(B129)&lt;=10,Inputs!$H$2,Inputs!$H$3),Inputs!$H$3))</f>
        <v>#VALUE!</v>
      </c>
      <c r="P129" s="244" t="e">
        <f aca="false">J129+(IF($L$2=TRUE(),IF(MONTH(B129)&gt;=4,IF(MONTH(B129)&lt;=10,L129,M129),M129),0))+(IF('Pricing Inputs'!$AN$3=2,O129,0))</f>
        <v>#VALUE!</v>
      </c>
      <c r="Q129" s="244"/>
      <c r="R129" s="245" t="e">
        <f aca="false">B129</f>
        <v>#VALUE!</v>
      </c>
      <c r="S129" s="246" t="n">
        <f aca="false">T129-$S$16</f>
        <v>0.53</v>
      </c>
      <c r="T129" s="241" t="n">
        <f aca="false">D129</f>
        <v>0.6</v>
      </c>
      <c r="U129" s="247" t="n">
        <f aca="false">$U$16+T129</f>
        <v>0.67</v>
      </c>
      <c r="BP129" s="205" t="n">
        <f aca="false">BP128+BV129</f>
        <v>128</v>
      </c>
      <c r="BQ129" s="206" t="s">
        <v>765</v>
      </c>
      <c r="BR129" s="201" t="s">
        <v>203</v>
      </c>
      <c r="BS129" s="132" t="s">
        <v>334</v>
      </c>
      <c r="BT129" s="209" t="s">
        <v>205</v>
      </c>
      <c r="BU129" s="209"/>
      <c r="BV129" s="132" t="n">
        <v>1</v>
      </c>
      <c r="BW129" s="201" t="s">
        <v>766</v>
      </c>
      <c r="BX129" s="0"/>
      <c r="BZ129" s="205" t="n">
        <f aca="false">BZ128+CF129</f>
        <v>128</v>
      </c>
      <c r="CA129" s="63" t="s">
        <v>767</v>
      </c>
      <c r="CB129" s="201" t="s">
        <v>207</v>
      </c>
      <c r="CC129" s="132" t="s">
        <v>204</v>
      </c>
      <c r="CD129" s="209" t="s">
        <v>205</v>
      </c>
      <c r="CE129" s="209"/>
      <c r="CF129" s="132" t="n">
        <v>1</v>
      </c>
      <c r="CG129" s="201" t="s">
        <v>768</v>
      </c>
      <c r="CH129" s="0"/>
    </row>
    <row r="130" customFormat="false" ht="12.75" hidden="false" customHeight="false" outlineLevel="0" collapsed="false">
      <c r="A130" s="242"/>
      <c r="B130" s="192" t="e">
        <f aca="false">NextMonth(B129)</f>
        <v>#VALUE!</v>
      </c>
      <c r="C130" s="193" t="n">
        <v>0.074114430907077</v>
      </c>
      <c r="D130" s="248" t="n">
        <v>0.6</v>
      </c>
      <c r="E130" s="248" t="n">
        <v>0.6</v>
      </c>
      <c r="F130" s="248" t="n">
        <v>0.15</v>
      </c>
      <c r="G130" s="248" t="n">
        <v>0.1575</v>
      </c>
      <c r="H130" s="248" t="n">
        <v>0.165</v>
      </c>
      <c r="I130" s="244" t="n">
        <v>3.0265</v>
      </c>
      <c r="J130" s="248" t="n">
        <v>3.0315</v>
      </c>
      <c r="K130" s="193" t="n">
        <v>3.0365</v>
      </c>
      <c r="L130" s="248" t="n">
        <v>-0.050007969</v>
      </c>
      <c r="M130" s="193" t="n">
        <v>0.2525</v>
      </c>
      <c r="O130" s="189" t="e">
        <f aca="false">(IF(MONTH(B130)&gt;=4,IF(MONTH(B130)&lt;=10,Inputs!$H$2,Inputs!$H$3),Inputs!$H$3))</f>
        <v>#VALUE!</v>
      </c>
      <c r="P130" s="244" t="e">
        <f aca="false">J130+(IF($L$2=TRUE(),IF(MONTH(B130)&gt;=4,IF(MONTH(B130)&lt;=10,L130,M130),M130),0))+(IF('Pricing Inputs'!$AN$3=2,O130,0))</f>
        <v>#VALUE!</v>
      </c>
      <c r="Q130" s="244"/>
      <c r="R130" s="245" t="e">
        <f aca="false">B130</f>
        <v>#VALUE!</v>
      </c>
      <c r="S130" s="246" t="n">
        <f aca="false">T130-$S$16</f>
        <v>0.53</v>
      </c>
      <c r="T130" s="241" t="n">
        <f aca="false">D130</f>
        <v>0.6</v>
      </c>
      <c r="U130" s="247" t="n">
        <f aca="false">$U$16+T130</f>
        <v>0.67</v>
      </c>
      <c r="BP130" s="205" t="n">
        <f aca="false">BP129+BV130</f>
        <v>129</v>
      </c>
      <c r="BQ130" s="206" t="s">
        <v>769</v>
      </c>
      <c r="BR130" s="201" t="s">
        <v>203</v>
      </c>
      <c r="BS130" s="132" t="s">
        <v>334</v>
      </c>
      <c r="BT130" s="209" t="s">
        <v>205</v>
      </c>
      <c r="BU130" s="209"/>
      <c r="BV130" s="132" t="n">
        <v>1</v>
      </c>
      <c r="BW130" s="201" t="s">
        <v>770</v>
      </c>
      <c r="BX130" s="0"/>
      <c r="BZ130" s="205" t="n">
        <f aca="false">BZ129+CF130</f>
        <v>129</v>
      </c>
      <c r="CA130" s="63" t="s">
        <v>771</v>
      </c>
      <c r="CB130" s="201" t="s">
        <v>207</v>
      </c>
      <c r="CC130" s="132" t="s">
        <v>204</v>
      </c>
      <c r="CD130" s="209" t="s">
        <v>205</v>
      </c>
      <c r="CE130" s="209"/>
      <c r="CF130" s="132" t="n">
        <v>1</v>
      </c>
      <c r="CG130" s="201" t="s">
        <v>772</v>
      </c>
      <c r="CH130" s="0"/>
    </row>
    <row r="131" customFormat="false" ht="12.75" hidden="false" customHeight="false" outlineLevel="0" collapsed="false">
      <c r="A131" s="242"/>
      <c r="B131" s="192" t="e">
        <f aca="false">NextMonth(B130)</f>
        <v>#VALUE!</v>
      </c>
      <c r="C131" s="193" t="n">
        <v>0.074129223285309</v>
      </c>
      <c r="D131" s="248" t="n">
        <v>0.65</v>
      </c>
      <c r="E131" s="248" t="n">
        <v>0.65</v>
      </c>
      <c r="F131" s="248" t="n">
        <v>0.15</v>
      </c>
      <c r="G131" s="248" t="n">
        <v>0.1575</v>
      </c>
      <c r="H131" s="248" t="n">
        <v>0.165</v>
      </c>
      <c r="I131" s="244" t="n">
        <v>3.0525</v>
      </c>
      <c r="J131" s="248" t="n">
        <v>3.0575</v>
      </c>
      <c r="K131" s="193" t="n">
        <v>3.0625</v>
      </c>
      <c r="L131" s="248" t="n">
        <v>-0.050007969</v>
      </c>
      <c r="M131" s="193" t="n">
        <v>0.255</v>
      </c>
      <c r="O131" s="189" t="e">
        <f aca="false">(IF(MONTH(B131)&gt;=4,IF(MONTH(B131)&lt;=10,Inputs!$H$2,Inputs!$H$3),Inputs!$H$3))</f>
        <v>#VALUE!</v>
      </c>
      <c r="P131" s="244" t="e">
        <f aca="false">J131+(IF($L$2=TRUE(),IF(MONTH(B131)&gt;=4,IF(MONTH(B131)&lt;=10,L131,M131),M131),0))+(IF('Pricing Inputs'!$AN$3=2,O131,0))</f>
        <v>#VALUE!</v>
      </c>
      <c r="Q131" s="244"/>
      <c r="R131" s="245" t="e">
        <f aca="false">B131</f>
        <v>#VALUE!</v>
      </c>
      <c r="S131" s="246" t="n">
        <f aca="false">T131-$S$16</f>
        <v>0.58</v>
      </c>
      <c r="T131" s="241" t="n">
        <f aca="false">D131</f>
        <v>0.65</v>
      </c>
      <c r="U131" s="247" t="n">
        <f aca="false">$U$16+T131</f>
        <v>0.72</v>
      </c>
      <c r="BP131" s="205" t="n">
        <f aca="false">BP130+BV131</f>
        <v>130</v>
      </c>
      <c r="BQ131" s="206" t="s">
        <v>773</v>
      </c>
      <c r="BR131" s="201" t="s">
        <v>203</v>
      </c>
      <c r="BS131" s="132" t="s">
        <v>334</v>
      </c>
      <c r="BT131" s="209" t="s">
        <v>205</v>
      </c>
      <c r="BU131" s="209"/>
      <c r="BV131" s="132" t="n">
        <v>1</v>
      </c>
      <c r="BW131" s="201" t="s">
        <v>774</v>
      </c>
      <c r="BX131" s="0"/>
      <c r="BZ131" s="205" t="n">
        <f aca="false">BZ130+CF131</f>
        <v>130</v>
      </c>
      <c r="CA131" s="63" t="s">
        <v>775</v>
      </c>
      <c r="CB131" s="201" t="s">
        <v>207</v>
      </c>
      <c r="CC131" s="132" t="s">
        <v>204</v>
      </c>
      <c r="CD131" s="209" t="s">
        <v>205</v>
      </c>
      <c r="CE131" s="209"/>
      <c r="CF131" s="132" t="n">
        <v>1</v>
      </c>
      <c r="CG131" s="201" t="s">
        <v>776</v>
      </c>
      <c r="CH131" s="0"/>
    </row>
    <row r="132" customFormat="false" ht="12.75" hidden="false" customHeight="false" outlineLevel="0" collapsed="false">
      <c r="A132" s="242"/>
      <c r="B132" s="192" t="e">
        <f aca="false">NextMonth(B131)</f>
        <v>#VALUE!</v>
      </c>
      <c r="C132" s="193" t="n">
        <v>0.07414450874289</v>
      </c>
      <c r="D132" s="248" t="n">
        <v>0.95</v>
      </c>
      <c r="E132" s="248" t="n">
        <v>0.95</v>
      </c>
      <c r="F132" s="248" t="n">
        <v>0.15</v>
      </c>
      <c r="G132" s="248" t="n">
        <v>0.1575</v>
      </c>
      <c r="H132" s="248" t="n">
        <v>0.165</v>
      </c>
      <c r="I132" s="244" t="n">
        <v>3.1875</v>
      </c>
      <c r="J132" s="248" t="n">
        <v>3.1925</v>
      </c>
      <c r="K132" s="193" t="n">
        <v>3.1975</v>
      </c>
      <c r="L132" s="248" t="n">
        <v>-0.06587217825</v>
      </c>
      <c r="M132" s="193" t="n">
        <v>0.715</v>
      </c>
      <c r="O132" s="189" t="e">
        <f aca="false">(IF(MONTH(B132)&gt;=4,IF(MONTH(B132)&lt;=10,Inputs!$H$2,Inputs!$H$3),Inputs!$H$3))</f>
        <v>#VALUE!</v>
      </c>
      <c r="P132" s="244" t="e">
        <f aca="false">J132+(IF($L$2=TRUE(),IF(MONTH(B132)&gt;=4,IF(MONTH(B132)&lt;=10,L132,M132),M132),0))+(IF('Pricing Inputs'!$AN$3=2,O132,0))</f>
        <v>#VALUE!</v>
      </c>
      <c r="Q132" s="244"/>
      <c r="R132" s="245" t="e">
        <f aca="false">B132</f>
        <v>#VALUE!</v>
      </c>
      <c r="S132" s="246" t="n">
        <f aca="false">T132-$S$16</f>
        <v>0.88</v>
      </c>
      <c r="T132" s="241" t="n">
        <f aca="false">D132</f>
        <v>0.95</v>
      </c>
      <c r="U132" s="247" t="n">
        <f aca="false">$U$16+T132</f>
        <v>1.02</v>
      </c>
      <c r="BP132" s="205" t="n">
        <f aca="false">BP131+BV132</f>
        <v>131</v>
      </c>
      <c r="BQ132" s="206" t="s">
        <v>777</v>
      </c>
      <c r="BR132" s="201" t="s">
        <v>203</v>
      </c>
      <c r="BS132" s="132" t="s">
        <v>334</v>
      </c>
      <c r="BT132" s="209" t="s">
        <v>205</v>
      </c>
      <c r="BU132" s="209"/>
      <c r="BV132" s="132" t="n">
        <v>1</v>
      </c>
      <c r="BW132" s="201" t="s">
        <v>778</v>
      </c>
      <c r="BX132" s="0"/>
      <c r="BZ132" s="205" t="n">
        <f aca="false">BZ131+CF132</f>
        <v>131</v>
      </c>
      <c r="CA132" s="63" t="s">
        <v>779</v>
      </c>
      <c r="CB132" s="201" t="s">
        <v>207</v>
      </c>
      <c r="CC132" s="132" t="s">
        <v>204</v>
      </c>
      <c r="CD132" s="209" t="s">
        <v>205</v>
      </c>
      <c r="CE132" s="209"/>
      <c r="CF132" s="132" t="n">
        <v>1</v>
      </c>
      <c r="CG132" s="201" t="s">
        <v>780</v>
      </c>
      <c r="CH132" s="0"/>
    </row>
    <row r="133" customFormat="false" ht="12.75" hidden="false" customHeight="false" outlineLevel="0" collapsed="false">
      <c r="A133" s="242"/>
      <c r="B133" s="192" t="e">
        <f aca="false">NextMonth(B132)</f>
        <v>#VALUE!</v>
      </c>
      <c r="C133" s="193" t="n">
        <v>0.074159301121269</v>
      </c>
      <c r="D133" s="248" t="n">
        <v>1.25</v>
      </c>
      <c r="E133" s="248" t="n">
        <v>1.25</v>
      </c>
      <c r="F133" s="248" t="n">
        <v>0.1475</v>
      </c>
      <c r="G133" s="248" t="n">
        <v>0.155</v>
      </c>
      <c r="H133" s="248" t="n">
        <v>0.1625</v>
      </c>
      <c r="I133" s="244" t="n">
        <v>3.3115</v>
      </c>
      <c r="J133" s="248" t="n">
        <v>3.3165</v>
      </c>
      <c r="K133" s="193" t="n">
        <v>3.3215</v>
      </c>
      <c r="L133" s="248" t="n">
        <v>-0.0696129845</v>
      </c>
      <c r="M133" s="193" t="n">
        <v>1.03</v>
      </c>
      <c r="O133" s="189" t="e">
        <f aca="false">(IF(MONTH(B133)&gt;=4,IF(MONTH(B133)&lt;=10,Inputs!$H$2,Inputs!$H$3),Inputs!$H$3))</f>
        <v>#VALUE!</v>
      </c>
      <c r="P133" s="244" t="e">
        <f aca="false">J133+(IF($L$2=TRUE(),IF(MONTH(B133)&gt;=4,IF(MONTH(B133)&lt;=10,L133,M133),M133),0))+(IF('Pricing Inputs'!$AN$3=2,O133,0))</f>
        <v>#VALUE!</v>
      </c>
      <c r="Q133" s="244"/>
      <c r="R133" s="245" t="e">
        <f aca="false">B133</f>
        <v>#VALUE!</v>
      </c>
      <c r="S133" s="246" t="n">
        <f aca="false">T133-$S$16</f>
        <v>1.18</v>
      </c>
      <c r="T133" s="241" t="n">
        <f aca="false">D133</f>
        <v>1.25</v>
      </c>
      <c r="U133" s="247" t="n">
        <f aca="false">$U$16+T133</f>
        <v>1.32</v>
      </c>
      <c r="BP133" s="205" t="n">
        <f aca="false">BP132+BV133</f>
        <v>132</v>
      </c>
      <c r="BQ133" s="206" t="s">
        <v>781</v>
      </c>
      <c r="BR133" s="201" t="s">
        <v>203</v>
      </c>
      <c r="BS133" s="132" t="s">
        <v>334</v>
      </c>
      <c r="BT133" s="209" t="s">
        <v>205</v>
      </c>
      <c r="BU133" s="209"/>
      <c r="BV133" s="132" t="n">
        <v>1</v>
      </c>
      <c r="BW133" s="201" t="s">
        <v>782</v>
      </c>
      <c r="BX133" s="0"/>
      <c r="BZ133" s="205" t="n">
        <f aca="false">BZ132+CF133</f>
        <v>132</v>
      </c>
      <c r="CA133" s="63" t="s">
        <v>783</v>
      </c>
      <c r="CB133" s="201" t="s">
        <v>207</v>
      </c>
      <c r="CC133" s="132" t="s">
        <v>204</v>
      </c>
      <c r="CD133" s="209" t="s">
        <v>205</v>
      </c>
      <c r="CE133" s="209"/>
      <c r="CF133" s="132" t="n">
        <v>1</v>
      </c>
      <c r="CG133" s="201" t="s">
        <v>784</v>
      </c>
      <c r="CH133" s="0"/>
    </row>
    <row r="134" customFormat="false" ht="12.75" hidden="false" customHeight="false" outlineLevel="0" collapsed="false">
      <c r="A134" s="242"/>
      <c r="B134" s="192" t="e">
        <f aca="false">NextMonth(B133)</f>
        <v>#VALUE!</v>
      </c>
      <c r="C134" s="193" t="n">
        <v>0.074174586579002</v>
      </c>
      <c r="D134" s="248" t="n">
        <v>1.45</v>
      </c>
      <c r="E134" s="248" t="n">
        <v>1.45</v>
      </c>
      <c r="F134" s="248" t="n">
        <v>0.1425</v>
      </c>
      <c r="G134" s="248" t="n">
        <v>0.15</v>
      </c>
      <c r="H134" s="248" t="n">
        <v>0.1575</v>
      </c>
      <c r="I134" s="244" t="n">
        <v>3.385</v>
      </c>
      <c r="J134" s="248" t="n">
        <v>3.39</v>
      </c>
      <c r="K134" s="193" t="n">
        <v>3.395</v>
      </c>
      <c r="L134" s="248" t="n">
        <v>-0.090863796</v>
      </c>
      <c r="M134" s="193" t="n">
        <v>1.495</v>
      </c>
      <c r="O134" s="189" t="e">
        <f aca="false">(IF(MONTH(B134)&gt;=4,IF(MONTH(B134)&lt;=10,Inputs!$H$2,Inputs!$H$3),Inputs!$H$3))</f>
        <v>#VALUE!</v>
      </c>
      <c r="P134" s="244" t="e">
        <f aca="false">J134+(IF($L$2=TRUE(),IF(MONTH(B134)&gt;=4,IF(MONTH(B134)&lt;=10,L134,M134),M134),0))+(IF('Pricing Inputs'!$AN$3=2,O134,0))</f>
        <v>#VALUE!</v>
      </c>
      <c r="Q134" s="244"/>
      <c r="R134" s="245" t="e">
        <f aca="false">B134</f>
        <v>#VALUE!</v>
      </c>
      <c r="S134" s="246" t="n">
        <f aca="false">T134-$S$16</f>
        <v>1.38</v>
      </c>
      <c r="T134" s="241" t="n">
        <f aca="false">D134</f>
        <v>1.45</v>
      </c>
      <c r="U134" s="247" t="n">
        <f aca="false">$U$16+T134</f>
        <v>1.52</v>
      </c>
      <c r="BP134" s="205" t="n">
        <f aca="false">BP133+BV134</f>
        <v>133</v>
      </c>
      <c r="BQ134" s="206" t="s">
        <v>785</v>
      </c>
      <c r="BR134" s="201" t="s">
        <v>203</v>
      </c>
      <c r="BS134" s="132" t="s">
        <v>334</v>
      </c>
      <c r="BT134" s="209" t="s">
        <v>205</v>
      </c>
      <c r="BU134" s="209"/>
      <c r="BV134" s="132" t="n">
        <v>1</v>
      </c>
      <c r="BW134" s="201" t="s">
        <v>786</v>
      </c>
      <c r="BX134" s="0"/>
      <c r="BZ134" s="205" t="n">
        <f aca="false">BZ133+CF134</f>
        <v>133</v>
      </c>
      <c r="CA134" s="63" t="s">
        <v>787</v>
      </c>
      <c r="CB134" s="201" t="s">
        <v>207</v>
      </c>
      <c r="CC134" s="132" t="s">
        <v>204</v>
      </c>
      <c r="CD134" s="209" t="s">
        <v>205</v>
      </c>
      <c r="CE134" s="209"/>
      <c r="CF134" s="132" t="n">
        <v>1</v>
      </c>
      <c r="CG134" s="201" t="s">
        <v>788</v>
      </c>
      <c r="CH134" s="0"/>
    </row>
    <row r="135" customFormat="false" ht="12.75" hidden="false" customHeight="false" outlineLevel="0" collapsed="false">
      <c r="A135" s="242"/>
      <c r="B135" s="192" t="e">
        <f aca="false">NextMonth(B134)</f>
        <v>#VALUE!</v>
      </c>
      <c r="C135" s="193" t="n">
        <v>0.074189872036813</v>
      </c>
      <c r="D135" s="248" t="n">
        <v>1.45</v>
      </c>
      <c r="E135" s="248" t="n">
        <v>1.45</v>
      </c>
      <c r="F135" s="248" t="n">
        <v>0.1425</v>
      </c>
      <c r="G135" s="248" t="n">
        <v>0.15</v>
      </c>
      <c r="H135" s="248" t="n">
        <v>0.1575</v>
      </c>
      <c r="I135" s="244" t="n">
        <v>3.267</v>
      </c>
      <c r="J135" s="248" t="n">
        <v>3.272</v>
      </c>
      <c r="K135" s="193" t="n">
        <v>3.277</v>
      </c>
      <c r="L135" s="248" t="n">
        <v>-0.08461435575</v>
      </c>
      <c r="M135" s="193" t="n">
        <v>1.395</v>
      </c>
      <c r="O135" s="189" t="e">
        <f aca="false">(IF(MONTH(B135)&gt;=4,IF(MONTH(B135)&lt;=10,Inputs!$H$2,Inputs!$H$3),Inputs!$H$3))</f>
        <v>#VALUE!</v>
      </c>
      <c r="P135" s="244" t="e">
        <f aca="false">J135+(IF($L$2=TRUE(),IF(MONTH(B135)&gt;=4,IF(MONTH(B135)&lt;=10,L135,M135),M135),0))+(IF('Pricing Inputs'!$AN$3=2,O135,0))</f>
        <v>#VALUE!</v>
      </c>
      <c r="Q135" s="244"/>
      <c r="R135" s="245" t="e">
        <f aca="false">B135</f>
        <v>#VALUE!</v>
      </c>
      <c r="S135" s="246" t="n">
        <f aca="false">T135-$S$16</f>
        <v>1.38</v>
      </c>
      <c r="T135" s="241" t="n">
        <f aca="false">D135</f>
        <v>1.45</v>
      </c>
      <c r="U135" s="247" t="n">
        <f aca="false">$U$16+T135</f>
        <v>1.52</v>
      </c>
      <c r="BP135" s="205" t="n">
        <f aca="false">BP134+BV135</f>
        <v>134</v>
      </c>
      <c r="BQ135" s="206" t="s">
        <v>789</v>
      </c>
      <c r="BR135" s="201" t="s">
        <v>203</v>
      </c>
      <c r="BS135" s="132" t="s">
        <v>334</v>
      </c>
      <c r="BT135" s="209" t="s">
        <v>205</v>
      </c>
      <c r="BU135" s="209"/>
      <c r="BV135" s="132" t="n">
        <v>1</v>
      </c>
      <c r="BW135" s="201" t="s">
        <v>790</v>
      </c>
      <c r="BX135" s="0"/>
      <c r="BZ135" s="205" t="n">
        <f aca="false">BZ134+CF135</f>
        <v>134</v>
      </c>
      <c r="CA135" s="63" t="s">
        <v>791</v>
      </c>
      <c r="CB135" s="201" t="s">
        <v>207</v>
      </c>
      <c r="CC135" s="132" t="s">
        <v>204</v>
      </c>
      <c r="CD135" s="209" t="s">
        <v>205</v>
      </c>
      <c r="CE135" s="209"/>
      <c r="CF135" s="132" t="n">
        <v>1</v>
      </c>
      <c r="CG135" s="201" t="s">
        <v>792</v>
      </c>
      <c r="CH135" s="0"/>
    </row>
    <row r="136" customFormat="false" ht="12.75" hidden="false" customHeight="false" outlineLevel="0" collapsed="false">
      <c r="A136" s="242"/>
      <c r="B136" s="192" t="e">
        <f aca="false">NextMonth(B135)</f>
        <v>#VALUE!</v>
      </c>
      <c r="C136" s="193" t="n">
        <v>0.074203678256838</v>
      </c>
      <c r="D136" s="248" t="n">
        <v>1</v>
      </c>
      <c r="E136" s="248" t="n">
        <v>1</v>
      </c>
      <c r="F136" s="248" t="n">
        <v>0.1425</v>
      </c>
      <c r="G136" s="248" t="n">
        <v>0.15</v>
      </c>
      <c r="H136" s="248" t="n">
        <v>0.1575</v>
      </c>
      <c r="I136" s="244" t="n">
        <v>3.147</v>
      </c>
      <c r="J136" s="248" t="n">
        <v>3.152</v>
      </c>
      <c r="K136" s="193" t="n">
        <v>3.157</v>
      </c>
      <c r="L136" s="248" t="n">
        <v>-0.08211435575</v>
      </c>
      <c r="M136" s="193" t="n">
        <v>0.865</v>
      </c>
      <c r="O136" s="189" t="e">
        <f aca="false">(IF(MONTH(B136)&gt;=4,IF(MONTH(B136)&lt;=10,Inputs!$H$2,Inputs!$H$3),Inputs!$H$3))</f>
        <v>#VALUE!</v>
      </c>
      <c r="P136" s="244" t="e">
        <f aca="false">J136+(IF($L$2=TRUE(),IF(MONTH(B136)&gt;=4,IF(MONTH(B136)&lt;=10,L136,M136),M136),0))+(IF('Pricing Inputs'!$AN$3=2,O136,0))</f>
        <v>#VALUE!</v>
      </c>
      <c r="Q136" s="244"/>
      <c r="R136" s="245" t="e">
        <f aca="false">B136</f>
        <v>#VALUE!</v>
      </c>
      <c r="S136" s="246" t="n">
        <f aca="false">T136-$S$16</f>
        <v>0.93</v>
      </c>
      <c r="T136" s="241" t="n">
        <f aca="false">D136</f>
        <v>1</v>
      </c>
      <c r="U136" s="247" t="n">
        <f aca="false">$U$16+T136</f>
        <v>1.07</v>
      </c>
      <c r="BP136" s="205" t="n">
        <f aca="false">BP135+BV136</f>
        <v>135</v>
      </c>
      <c r="BQ136" s="206" t="s">
        <v>793</v>
      </c>
      <c r="BR136" s="201" t="s">
        <v>203</v>
      </c>
      <c r="BS136" s="132" t="s">
        <v>334</v>
      </c>
      <c r="BT136" s="209" t="s">
        <v>205</v>
      </c>
      <c r="BU136" s="209"/>
      <c r="BV136" s="132" t="n">
        <v>1</v>
      </c>
      <c r="BW136" s="201" t="s">
        <v>794</v>
      </c>
      <c r="BX136" s="0"/>
      <c r="BZ136" s="205" t="n">
        <f aca="false">BZ135+CF136</f>
        <v>135</v>
      </c>
      <c r="CA136" s="63" t="s">
        <v>795</v>
      </c>
      <c r="CB136" s="201" t="s">
        <v>207</v>
      </c>
      <c r="CC136" s="132" t="s">
        <v>204</v>
      </c>
      <c r="CD136" s="209" t="s">
        <v>205</v>
      </c>
      <c r="CE136" s="209"/>
      <c r="CF136" s="132" t="n">
        <v>1</v>
      </c>
      <c r="CG136" s="201" t="s">
        <v>796</v>
      </c>
      <c r="CH136" s="0"/>
    </row>
    <row r="137" customFormat="false" ht="12.75" hidden="false" customHeight="false" outlineLevel="0" collapsed="false">
      <c r="A137" s="242"/>
      <c r="B137" s="192" t="e">
        <f aca="false">NextMonth(B136)</f>
        <v>#VALUE!</v>
      </c>
      <c r="C137" s="193" t="n">
        <v>0.074204388711588</v>
      </c>
      <c r="D137" s="248" t="n">
        <v>0.45</v>
      </c>
      <c r="E137" s="248" t="n">
        <v>0.45</v>
      </c>
      <c r="F137" s="248" t="n">
        <v>0.1425</v>
      </c>
      <c r="G137" s="248" t="n">
        <v>0.15</v>
      </c>
      <c r="H137" s="248" t="n">
        <v>0.1575</v>
      </c>
      <c r="I137" s="244" t="n">
        <v>3.0975</v>
      </c>
      <c r="J137" s="248" t="n">
        <v>3.1025</v>
      </c>
      <c r="K137" s="193" t="n">
        <v>3.1075</v>
      </c>
      <c r="L137" s="248" t="n">
        <v>-0.06900584025</v>
      </c>
      <c r="M137" s="193" t="n">
        <v>0.37</v>
      </c>
      <c r="O137" s="189" t="e">
        <f aca="false">(IF(MONTH(B137)&gt;=4,IF(MONTH(B137)&lt;=10,Inputs!$H$2,Inputs!$H$3),Inputs!$H$3))</f>
        <v>#VALUE!</v>
      </c>
      <c r="P137" s="244" t="e">
        <f aca="false">J137+(IF($L$2=TRUE(),IF(MONTH(B137)&gt;=4,IF(MONTH(B137)&lt;=10,L137,M137),M137),0))+(IF('Pricing Inputs'!$AN$3=2,O137,0))</f>
        <v>#VALUE!</v>
      </c>
      <c r="Q137" s="244"/>
      <c r="R137" s="245" t="e">
        <f aca="false">B137</f>
        <v>#VALUE!</v>
      </c>
      <c r="S137" s="246" t="n">
        <f aca="false">T137-$S$16</f>
        <v>0.38</v>
      </c>
      <c r="T137" s="241" t="n">
        <f aca="false">D137</f>
        <v>0.45</v>
      </c>
      <c r="U137" s="247" t="n">
        <f aca="false">$U$16+T137</f>
        <v>0.52</v>
      </c>
      <c r="BP137" s="205" t="n">
        <f aca="false">BP136+BV137</f>
        <v>136</v>
      </c>
      <c r="BQ137" s="206" t="s">
        <v>797</v>
      </c>
      <c r="BR137" s="201" t="s">
        <v>203</v>
      </c>
      <c r="BS137" s="132" t="s">
        <v>334</v>
      </c>
      <c r="BT137" s="209" t="s">
        <v>205</v>
      </c>
      <c r="BU137" s="209"/>
      <c r="BV137" s="132" t="n">
        <v>1</v>
      </c>
      <c r="BW137" s="201" t="s">
        <v>798</v>
      </c>
      <c r="BX137" s="0"/>
      <c r="BZ137" s="205" t="n">
        <f aca="false">BZ136+CF137</f>
        <v>136</v>
      </c>
      <c r="CA137" s="63" t="s">
        <v>799</v>
      </c>
      <c r="CB137" s="201" t="s">
        <v>207</v>
      </c>
      <c r="CC137" s="132" t="s">
        <v>204</v>
      </c>
      <c r="CD137" s="209" t="s">
        <v>205</v>
      </c>
      <c r="CE137" s="209"/>
      <c r="CF137" s="132" t="n">
        <v>1</v>
      </c>
      <c r="CG137" s="201" t="s">
        <v>800</v>
      </c>
      <c r="CH137" s="0"/>
    </row>
    <row r="138" customFormat="false" ht="12.75" hidden="false" customHeight="false" outlineLevel="0" collapsed="false">
      <c r="A138" s="242"/>
      <c r="B138" s="192" t="e">
        <f aca="false">NextMonth(B137)</f>
        <v>#VALUE!</v>
      </c>
      <c r="C138" s="193" t="n">
        <v>0.074204103500735</v>
      </c>
      <c r="D138" s="193" t="n">
        <v>0.5</v>
      </c>
      <c r="E138" s="193" t="n">
        <v>0.5</v>
      </c>
      <c r="F138" s="193" t="n">
        <v>0.1425</v>
      </c>
      <c r="G138" s="193" t="n">
        <v>0.15</v>
      </c>
      <c r="H138" s="193" t="n">
        <v>0.1575</v>
      </c>
      <c r="I138" s="218" t="n">
        <v>3.0715</v>
      </c>
      <c r="J138" s="193" t="n">
        <v>3.0765</v>
      </c>
      <c r="K138" s="193" t="n">
        <v>3.0815</v>
      </c>
      <c r="L138" s="193" t="n">
        <v>-0.069007969</v>
      </c>
      <c r="M138" s="193" t="n">
        <v>0.2525</v>
      </c>
      <c r="O138" s="189" t="e">
        <f aca="false">(IF(MONTH(B138)&gt;=4,IF(MONTH(B138)&lt;=10,Inputs!$H$2,Inputs!$H$3),Inputs!$H$3))</f>
        <v>#VALUE!</v>
      </c>
      <c r="P138" s="244" t="e">
        <f aca="false">J138+(IF($L$2=TRUE(),IF(MONTH(B138)&gt;=4,IF(MONTH(B138)&lt;=10,L138,M138),M138),0))+(IF('Pricing Inputs'!$AN$3=2,O138,0))</f>
        <v>#VALUE!</v>
      </c>
      <c r="Q138" s="244"/>
      <c r="R138" s="245" t="e">
        <f aca="false">B138</f>
        <v>#VALUE!</v>
      </c>
      <c r="S138" s="246" t="n">
        <f aca="false">T138-$S$16</f>
        <v>0.43</v>
      </c>
      <c r="T138" s="241" t="n">
        <f aca="false">D138</f>
        <v>0.5</v>
      </c>
      <c r="U138" s="247" t="n">
        <f aca="false">$U$16+T138</f>
        <v>0.57</v>
      </c>
      <c r="BP138" s="205" t="n">
        <f aca="false">BP137+BV138</f>
        <v>137</v>
      </c>
      <c r="BQ138" s="206" t="s">
        <v>801</v>
      </c>
      <c r="BR138" s="201" t="s">
        <v>203</v>
      </c>
      <c r="BS138" s="132" t="s">
        <v>334</v>
      </c>
      <c r="BT138" s="209" t="s">
        <v>205</v>
      </c>
      <c r="BU138" s="209"/>
      <c r="BV138" s="132" t="n">
        <v>1</v>
      </c>
      <c r="BW138" s="201" t="s">
        <v>802</v>
      </c>
      <c r="BX138" s="0"/>
      <c r="BZ138" s="205" t="n">
        <f aca="false">BZ137+CF138</f>
        <v>137</v>
      </c>
      <c r="CA138" s="63" t="s">
        <v>803</v>
      </c>
      <c r="CB138" s="201" t="s">
        <v>207</v>
      </c>
      <c r="CC138" s="132" t="s">
        <v>204</v>
      </c>
      <c r="CD138" s="209" t="s">
        <v>205</v>
      </c>
      <c r="CE138" s="209"/>
      <c r="CF138" s="132" t="n">
        <v>1</v>
      </c>
      <c r="CG138" s="201" t="s">
        <v>804</v>
      </c>
      <c r="CH138" s="0"/>
    </row>
    <row r="139" customFormat="false" ht="12.75" hidden="false" customHeight="false" outlineLevel="0" collapsed="false">
      <c r="A139" s="242"/>
      <c r="B139" s="192" t="e">
        <f aca="false">NextMonth(B138)</f>
        <v>#VALUE!</v>
      </c>
      <c r="C139" s="193" t="n">
        <v>0.074203808782852</v>
      </c>
      <c r="D139" s="193" t="n">
        <v>0.5</v>
      </c>
      <c r="E139" s="193" t="n">
        <v>0.5</v>
      </c>
      <c r="F139" s="193" t="n">
        <v>0.1425</v>
      </c>
      <c r="G139" s="193" t="n">
        <v>0.15</v>
      </c>
      <c r="H139" s="193" t="n">
        <v>0.1575</v>
      </c>
      <c r="I139" s="218" t="n">
        <v>3.0775</v>
      </c>
      <c r="J139" s="193" t="n">
        <v>3.0825</v>
      </c>
      <c r="K139" s="193" t="n">
        <v>3.0875</v>
      </c>
      <c r="L139" s="193" t="n">
        <v>-0.069007969</v>
      </c>
      <c r="M139" s="193" t="n">
        <v>0.2525</v>
      </c>
      <c r="O139" s="189" t="e">
        <f aca="false">(IF(MONTH(B139)&gt;=4,IF(MONTH(B139)&lt;=10,Inputs!$H$2,Inputs!$H$3),Inputs!$H$3))</f>
        <v>#VALUE!</v>
      </c>
      <c r="P139" s="244" t="e">
        <f aca="false">J139+(IF($L$2=TRUE(),IF(MONTH(B139)&gt;=4,IF(MONTH(B139)&lt;=10,L139,M139),M139),0))+(IF('Pricing Inputs'!$AN$3=2,O139,0))</f>
        <v>#VALUE!</v>
      </c>
      <c r="Q139" s="244"/>
      <c r="R139" s="245" t="e">
        <f aca="false">B139</f>
        <v>#VALUE!</v>
      </c>
      <c r="S139" s="246" t="n">
        <f aca="false">T139-$S$16</f>
        <v>0.43</v>
      </c>
      <c r="T139" s="241" t="n">
        <f aca="false">D139</f>
        <v>0.5</v>
      </c>
      <c r="U139" s="247" t="n">
        <f aca="false">$U$16+T139</f>
        <v>0.57</v>
      </c>
      <c r="BP139" s="205" t="n">
        <f aca="false">BP138+BV139</f>
        <v>138</v>
      </c>
      <c r="BQ139" s="206" t="s">
        <v>805</v>
      </c>
      <c r="BR139" s="201" t="s">
        <v>203</v>
      </c>
      <c r="BS139" s="132" t="s">
        <v>334</v>
      </c>
      <c r="BT139" s="209" t="s">
        <v>205</v>
      </c>
      <c r="BU139" s="209"/>
      <c r="BV139" s="132" t="n">
        <v>1</v>
      </c>
      <c r="BW139" s="201" t="s">
        <v>806</v>
      </c>
      <c r="BX139" s="0"/>
      <c r="BZ139" s="205" t="n">
        <f aca="false">BZ138+CF139</f>
        <v>138</v>
      </c>
      <c r="CA139" s="63" t="s">
        <v>807</v>
      </c>
      <c r="CB139" s="201" t="s">
        <v>207</v>
      </c>
      <c r="CC139" s="132" t="s">
        <v>204</v>
      </c>
      <c r="CD139" s="209" t="s">
        <v>205</v>
      </c>
      <c r="CE139" s="209"/>
      <c r="CF139" s="132" t="n">
        <v>1</v>
      </c>
      <c r="CG139" s="201" t="s">
        <v>808</v>
      </c>
      <c r="CH139" s="0"/>
    </row>
    <row r="140" customFormat="false" ht="12.75" hidden="false" customHeight="false" outlineLevel="0" collapsed="false">
      <c r="A140" s="242"/>
      <c r="B140" s="192" t="e">
        <f aca="false">NextMonth(B139)</f>
        <v>#VALUE!</v>
      </c>
      <c r="C140" s="193" t="n">
        <v>0.074203523572</v>
      </c>
      <c r="D140" s="193" t="n">
        <v>0.5</v>
      </c>
      <c r="E140" s="193" t="n">
        <v>0.5</v>
      </c>
      <c r="F140" s="193" t="n">
        <v>0.1425</v>
      </c>
      <c r="G140" s="193" t="n">
        <v>0.15</v>
      </c>
      <c r="H140" s="193" t="n">
        <v>0.1575</v>
      </c>
      <c r="I140" s="218" t="n">
        <v>3.0875</v>
      </c>
      <c r="J140" s="193" t="n">
        <v>3.0925</v>
      </c>
      <c r="K140" s="193" t="n">
        <v>3.0975</v>
      </c>
      <c r="L140" s="193" t="n">
        <v>-0.069007969</v>
      </c>
      <c r="M140" s="193" t="n">
        <v>0.2575</v>
      </c>
      <c r="O140" s="189" t="e">
        <f aca="false">(IF(MONTH(B140)&gt;=4,IF(MONTH(B140)&lt;=10,Inputs!$H$2,Inputs!$H$3),Inputs!$H$3))</f>
        <v>#VALUE!</v>
      </c>
      <c r="P140" s="244" t="e">
        <f aca="false">J140+(IF($L$2=TRUE(),IF(MONTH(B140)&gt;=4,IF(MONTH(B140)&lt;=10,L140,M140),M140),0))+(IF('Pricing Inputs'!$AN$3=2,O140,0))</f>
        <v>#VALUE!</v>
      </c>
      <c r="Q140" s="244"/>
      <c r="R140" s="245" t="e">
        <f aca="false">B140</f>
        <v>#VALUE!</v>
      </c>
      <c r="S140" s="246" t="n">
        <f aca="false">T140-$S$16</f>
        <v>0.43</v>
      </c>
      <c r="T140" s="241" t="n">
        <f aca="false">D140</f>
        <v>0.5</v>
      </c>
      <c r="U140" s="247" t="n">
        <f aca="false">$U$16+T140</f>
        <v>0.57</v>
      </c>
      <c r="BP140" s="205" t="n">
        <f aca="false">BP139+BV140</f>
        <v>139</v>
      </c>
      <c r="BQ140" s="206" t="s">
        <v>809</v>
      </c>
      <c r="BR140" s="201" t="s">
        <v>203</v>
      </c>
      <c r="BS140" s="132" t="s">
        <v>334</v>
      </c>
      <c r="BT140" s="209" t="s">
        <v>205</v>
      </c>
      <c r="BU140" s="209"/>
      <c r="BV140" s="132" t="n">
        <v>1</v>
      </c>
      <c r="BW140" s="201" t="s">
        <v>810</v>
      </c>
      <c r="BX140" s="0"/>
      <c r="BZ140" s="205" t="n">
        <f aca="false">BZ139+CF140</f>
        <v>139</v>
      </c>
      <c r="CA140" s="63" t="s">
        <v>811</v>
      </c>
      <c r="CB140" s="201" t="s">
        <v>207</v>
      </c>
      <c r="CC140" s="132" t="s">
        <v>204</v>
      </c>
      <c r="CD140" s="209" t="s">
        <v>205</v>
      </c>
      <c r="CE140" s="209"/>
      <c r="CF140" s="132" t="n">
        <v>1</v>
      </c>
      <c r="CG140" s="201" t="s">
        <v>812</v>
      </c>
      <c r="CH140" s="0"/>
    </row>
    <row r="141" customFormat="false" ht="12.75" hidden="false" customHeight="false" outlineLevel="0" collapsed="false">
      <c r="A141" s="242"/>
      <c r="B141" s="192" t="e">
        <f aca="false">NextMonth(B140)</f>
        <v>#VALUE!</v>
      </c>
      <c r="C141" s="193" t="n">
        <v>0.074203228854116</v>
      </c>
      <c r="D141" s="193" t="n">
        <v>0.6</v>
      </c>
      <c r="E141" s="193" t="n">
        <v>0.6</v>
      </c>
      <c r="F141" s="193" t="n">
        <v>0.1425</v>
      </c>
      <c r="G141" s="193" t="n">
        <v>0.15</v>
      </c>
      <c r="H141" s="193" t="n">
        <v>0.1575</v>
      </c>
      <c r="I141" s="218" t="n">
        <v>3.0945</v>
      </c>
      <c r="J141" s="193" t="n">
        <v>3.0995</v>
      </c>
      <c r="K141" s="193" t="n">
        <v>3.1045</v>
      </c>
      <c r="L141" s="193" t="n">
        <v>-0.069007969</v>
      </c>
      <c r="M141" s="193" t="n">
        <v>0.2575</v>
      </c>
      <c r="O141" s="189" t="e">
        <f aca="false">(IF(MONTH(B141)&gt;=4,IF(MONTH(B141)&lt;=10,Inputs!$H$2,Inputs!$H$3),Inputs!$H$3))</f>
        <v>#VALUE!</v>
      </c>
      <c r="P141" s="244" t="e">
        <f aca="false">J141+(IF($L$2=TRUE(),IF(MONTH(B141)&gt;=4,IF(MONTH(B141)&lt;=10,L141,M141),M141),0))+(IF('Pricing Inputs'!$AN$3=2,O141,0))</f>
        <v>#VALUE!</v>
      </c>
      <c r="Q141" s="244"/>
      <c r="R141" s="245" t="e">
        <f aca="false">B141</f>
        <v>#VALUE!</v>
      </c>
      <c r="S141" s="246" t="n">
        <f aca="false">T141-$S$16</f>
        <v>0.53</v>
      </c>
      <c r="T141" s="241" t="n">
        <f aca="false">D141</f>
        <v>0.6</v>
      </c>
      <c r="U141" s="247" t="n">
        <f aca="false">$U$16+T141</f>
        <v>0.67</v>
      </c>
      <c r="BP141" s="205" t="n">
        <f aca="false">BP140+BV141</f>
        <v>140</v>
      </c>
      <c r="BQ141" s="206" t="s">
        <v>813</v>
      </c>
      <c r="BR141" s="201" t="s">
        <v>203</v>
      </c>
      <c r="BS141" s="132" t="s">
        <v>334</v>
      </c>
      <c r="BT141" s="209" t="s">
        <v>205</v>
      </c>
      <c r="BU141" s="209"/>
      <c r="BV141" s="132" t="n">
        <v>1</v>
      </c>
      <c r="BW141" s="201" t="s">
        <v>814</v>
      </c>
      <c r="BX141" s="0"/>
      <c r="BZ141" s="205" t="n">
        <f aca="false">BZ140+CF141</f>
        <v>140</v>
      </c>
      <c r="CA141" s="63" t="s">
        <v>815</v>
      </c>
      <c r="CB141" s="201" t="s">
        <v>207</v>
      </c>
      <c r="CC141" s="132" t="s">
        <v>204</v>
      </c>
      <c r="CD141" s="209" t="s">
        <v>205</v>
      </c>
      <c r="CE141" s="209"/>
      <c r="CF141" s="132" t="n">
        <v>1</v>
      </c>
      <c r="CG141" s="201" t="s">
        <v>816</v>
      </c>
      <c r="CH141" s="0"/>
    </row>
    <row r="142" customFormat="false" ht="12.75" hidden="false" customHeight="false" outlineLevel="0" collapsed="false">
      <c r="A142" s="242"/>
      <c r="B142" s="192" t="e">
        <f aca="false">NextMonth(B141)</f>
        <v>#VALUE!</v>
      </c>
      <c r="C142" s="193" t="n">
        <v>0.074202934136234</v>
      </c>
      <c r="D142" s="193" t="n">
        <v>0.6</v>
      </c>
      <c r="E142" s="193" t="n">
        <v>0.6</v>
      </c>
      <c r="F142" s="193" t="n">
        <v>0.1425</v>
      </c>
      <c r="G142" s="193" t="n">
        <v>0.15</v>
      </c>
      <c r="H142" s="193" t="n">
        <v>0.1575</v>
      </c>
      <c r="I142" s="218" t="n">
        <v>3.1015</v>
      </c>
      <c r="J142" s="193" t="n">
        <v>3.1065</v>
      </c>
      <c r="K142" s="193" t="n">
        <v>3.1115</v>
      </c>
      <c r="L142" s="193" t="n">
        <v>-0.069007969</v>
      </c>
      <c r="M142" s="193" t="n">
        <v>0.2525</v>
      </c>
      <c r="O142" s="189" t="e">
        <f aca="false">(IF(MONTH(B142)&gt;=4,IF(MONTH(B142)&lt;=10,Inputs!$H$2,Inputs!$H$3),Inputs!$H$3))</f>
        <v>#VALUE!</v>
      </c>
      <c r="P142" s="244" t="e">
        <f aca="false">J142+(IF($L$2=TRUE(),IF(MONTH(B142)&gt;=4,IF(MONTH(B142)&lt;=10,L142,M142),M142),0))+(IF('Pricing Inputs'!$AN$3=2,O142,0))</f>
        <v>#VALUE!</v>
      </c>
      <c r="Q142" s="244"/>
      <c r="R142" s="245" t="e">
        <f aca="false">B142</f>
        <v>#VALUE!</v>
      </c>
      <c r="S142" s="246" t="n">
        <f aca="false">T142-$S$16</f>
        <v>0.53</v>
      </c>
      <c r="T142" s="241" t="n">
        <f aca="false">D142</f>
        <v>0.6</v>
      </c>
      <c r="U142" s="247" t="n">
        <f aca="false">$U$16+T142</f>
        <v>0.67</v>
      </c>
      <c r="BP142" s="205" t="n">
        <f aca="false">BP141+BV142</f>
        <v>141</v>
      </c>
      <c r="BQ142" s="206" t="s">
        <v>817</v>
      </c>
      <c r="BR142" s="201" t="s">
        <v>203</v>
      </c>
      <c r="BS142" s="132" t="s">
        <v>334</v>
      </c>
      <c r="BT142" s="209" t="s">
        <v>205</v>
      </c>
      <c r="BU142" s="209"/>
      <c r="BV142" s="132" t="n">
        <v>1</v>
      </c>
      <c r="BW142" s="201" t="s">
        <v>818</v>
      </c>
      <c r="BX142" s="0"/>
      <c r="BZ142" s="205" t="n">
        <f aca="false">BZ141+CF142</f>
        <v>141</v>
      </c>
      <c r="CA142" s="63" t="s">
        <v>819</v>
      </c>
      <c r="CB142" s="201" t="s">
        <v>207</v>
      </c>
      <c r="CC142" s="132" t="s">
        <v>204</v>
      </c>
      <c r="CD142" s="209" t="s">
        <v>205</v>
      </c>
      <c r="CE142" s="209"/>
      <c r="CF142" s="132" t="n">
        <v>1</v>
      </c>
      <c r="CG142" s="201" t="s">
        <v>820</v>
      </c>
      <c r="CH142" s="0"/>
    </row>
    <row r="143" customFormat="false" ht="12.75" hidden="false" customHeight="false" outlineLevel="0" collapsed="false">
      <c r="A143" s="242"/>
      <c r="B143" s="192" t="e">
        <f aca="false">NextMonth(B142)</f>
        <v>#VALUE!</v>
      </c>
      <c r="C143" s="193" t="n">
        <v>0.074202648925381</v>
      </c>
      <c r="D143" s="193" t="n">
        <v>0.65</v>
      </c>
      <c r="E143" s="193" t="n">
        <v>0.65</v>
      </c>
      <c r="F143" s="193" t="n">
        <v>0.1425</v>
      </c>
      <c r="G143" s="193" t="n">
        <v>0.15</v>
      </c>
      <c r="H143" s="193" t="n">
        <v>0.1575</v>
      </c>
      <c r="I143" s="218" t="n">
        <v>3.1275</v>
      </c>
      <c r="J143" s="193" t="n">
        <v>3.1325</v>
      </c>
      <c r="K143" s="193" t="n">
        <v>3.1375</v>
      </c>
      <c r="L143" s="193" t="n">
        <v>-0.069007969</v>
      </c>
      <c r="M143" s="193" t="n">
        <v>0.255</v>
      </c>
      <c r="O143" s="189" t="e">
        <f aca="false">(IF(MONTH(B143)&gt;=4,IF(MONTH(B143)&lt;=10,Inputs!$H$2,Inputs!$H$3),Inputs!$H$3))</f>
        <v>#VALUE!</v>
      </c>
      <c r="P143" s="244" t="e">
        <f aca="false">J143+(IF($L$2=TRUE(),IF(MONTH(B143)&gt;=4,IF(MONTH(B143)&lt;=10,L143,M143),M143),0))+(IF('Pricing Inputs'!$AN$3=2,O143,0))</f>
        <v>#VALUE!</v>
      </c>
      <c r="Q143" s="244"/>
      <c r="R143" s="245" t="e">
        <f aca="false">B143</f>
        <v>#VALUE!</v>
      </c>
      <c r="S143" s="246" t="n">
        <f aca="false">T143-$S$16</f>
        <v>0.58</v>
      </c>
      <c r="T143" s="241" t="n">
        <f aca="false">D143</f>
        <v>0.65</v>
      </c>
      <c r="U143" s="247" t="n">
        <f aca="false">$U$16+T143</f>
        <v>0.72</v>
      </c>
      <c r="BP143" s="205" t="n">
        <f aca="false">BP142+BV143</f>
        <v>142</v>
      </c>
      <c r="BQ143" s="206" t="s">
        <v>821</v>
      </c>
      <c r="BR143" s="201" t="s">
        <v>203</v>
      </c>
      <c r="BS143" s="132" t="s">
        <v>334</v>
      </c>
      <c r="BT143" s="209" t="s">
        <v>205</v>
      </c>
      <c r="BU143" s="209"/>
      <c r="BV143" s="132" t="n">
        <v>1</v>
      </c>
      <c r="BW143" s="201" t="s">
        <v>822</v>
      </c>
      <c r="BX143" s="0"/>
      <c r="BZ143" s="205" t="n">
        <f aca="false">BZ142+CF143</f>
        <v>142</v>
      </c>
      <c r="CA143" s="63" t="s">
        <v>823</v>
      </c>
      <c r="CB143" s="201" t="s">
        <v>207</v>
      </c>
      <c r="CC143" s="132" t="s">
        <v>204</v>
      </c>
      <c r="CD143" s="209" t="s">
        <v>205</v>
      </c>
      <c r="CE143" s="209"/>
      <c r="CF143" s="132" t="n">
        <v>1</v>
      </c>
      <c r="CG143" s="201" t="s">
        <v>824</v>
      </c>
      <c r="CH143" s="0"/>
    </row>
    <row r="144" customFormat="false" ht="12.75" hidden="false" customHeight="false" outlineLevel="0" collapsed="false">
      <c r="A144" s="242"/>
      <c r="B144" s="192" t="e">
        <f aca="false">NextMonth(B143)</f>
        <v>#VALUE!</v>
      </c>
      <c r="C144" s="193" t="n">
        <v>0.074202354207498</v>
      </c>
      <c r="D144" s="193" t="n">
        <v>0.95</v>
      </c>
      <c r="E144" s="193" t="n">
        <v>0.95</v>
      </c>
      <c r="F144" s="193" t="n">
        <v>0.1425</v>
      </c>
      <c r="G144" s="193" t="n">
        <v>0.15</v>
      </c>
      <c r="H144" s="193" t="n">
        <v>0.1575</v>
      </c>
      <c r="I144" s="218" t="n">
        <v>3.2625</v>
      </c>
      <c r="J144" s="193" t="n">
        <v>3.2675</v>
      </c>
      <c r="K144" s="193" t="n">
        <v>3.2725</v>
      </c>
      <c r="L144" s="193" t="n">
        <v>-0.08487217825</v>
      </c>
      <c r="M144" s="193" t="n">
        <v>0.715</v>
      </c>
      <c r="O144" s="189" t="e">
        <f aca="false">(IF(MONTH(B144)&gt;=4,IF(MONTH(B144)&lt;=10,Inputs!$H$2,Inputs!$H$3),Inputs!$H$3))</f>
        <v>#VALUE!</v>
      </c>
      <c r="P144" s="244" t="e">
        <f aca="false">J144+(IF($L$2=TRUE(),IF(MONTH(B144)&gt;=4,IF(MONTH(B144)&lt;=10,L144,M144),M144),0))+(IF('Pricing Inputs'!$AN$3=2,O144,0))</f>
        <v>#VALUE!</v>
      </c>
      <c r="Q144" s="244"/>
      <c r="R144" s="245" t="e">
        <f aca="false">B144</f>
        <v>#VALUE!</v>
      </c>
      <c r="S144" s="246" t="n">
        <f aca="false">T144-$S$16</f>
        <v>0.88</v>
      </c>
      <c r="T144" s="241" t="n">
        <f aca="false">D144</f>
        <v>0.95</v>
      </c>
      <c r="U144" s="247" t="n">
        <f aca="false">$U$16+T144</f>
        <v>1.02</v>
      </c>
      <c r="BP144" s="205" t="n">
        <f aca="false">BP143+BV144</f>
        <v>143</v>
      </c>
      <c r="BQ144" s="206" t="s">
        <v>825</v>
      </c>
      <c r="BR144" s="201" t="s">
        <v>203</v>
      </c>
      <c r="BS144" s="132" t="s">
        <v>334</v>
      </c>
      <c r="BT144" s="209" t="s">
        <v>205</v>
      </c>
      <c r="BU144" s="209"/>
      <c r="BV144" s="132" t="n">
        <v>1</v>
      </c>
      <c r="BW144" s="201" t="s">
        <v>826</v>
      </c>
      <c r="BX144" s="0"/>
      <c r="BZ144" s="205" t="n">
        <f aca="false">BZ143+CF144</f>
        <v>143</v>
      </c>
      <c r="CA144" s="63" t="s">
        <v>827</v>
      </c>
      <c r="CB144" s="201" t="s">
        <v>207</v>
      </c>
      <c r="CC144" s="132" t="s">
        <v>204</v>
      </c>
      <c r="CD144" s="209" t="s">
        <v>205</v>
      </c>
      <c r="CE144" s="209"/>
      <c r="CF144" s="132" t="n">
        <v>1</v>
      </c>
      <c r="CG144" s="201" t="s">
        <v>828</v>
      </c>
      <c r="CH144" s="0"/>
    </row>
    <row r="145" customFormat="false" ht="12.75" hidden="false" customHeight="false" outlineLevel="0" collapsed="false">
      <c r="A145" s="242"/>
      <c r="B145" s="192" t="e">
        <f aca="false">NextMonth(B144)</f>
        <v>#VALUE!</v>
      </c>
      <c r="C145" s="193" t="n">
        <v>0.074202068996644</v>
      </c>
      <c r="D145" s="193" t="n">
        <v>1.25</v>
      </c>
      <c r="E145" s="193" t="n">
        <v>1.25</v>
      </c>
      <c r="F145" s="193" t="n">
        <v>0.1425</v>
      </c>
      <c r="G145" s="193" t="n">
        <v>0.15</v>
      </c>
      <c r="H145" s="193" t="n">
        <v>0.1575</v>
      </c>
      <c r="I145" s="218" t="n">
        <v>3.3865</v>
      </c>
      <c r="J145" s="193" t="n">
        <v>3.3915</v>
      </c>
      <c r="K145" s="193" t="n">
        <v>3.3965</v>
      </c>
      <c r="L145" s="193" t="n">
        <v>-0.0886129845</v>
      </c>
      <c r="M145" s="193" t="n">
        <v>1.03</v>
      </c>
      <c r="O145" s="189" t="e">
        <f aca="false">(IF(MONTH(B145)&gt;=4,IF(MONTH(B145)&lt;=10,Inputs!$H$2,Inputs!$H$3),Inputs!$H$3))</f>
        <v>#VALUE!</v>
      </c>
      <c r="P145" s="244" t="e">
        <f aca="false">J145+(IF($L$2=TRUE(),IF(MONTH(B145)&gt;=4,IF(MONTH(B145)&lt;=10,L145,M145),M145),0))+(IF('Pricing Inputs'!$AN$3=2,O145,0))</f>
        <v>#VALUE!</v>
      </c>
      <c r="Q145" s="244"/>
      <c r="R145" s="245" t="e">
        <f aca="false">B145</f>
        <v>#VALUE!</v>
      </c>
      <c r="S145" s="246" t="n">
        <f aca="false">T145-$S$16</f>
        <v>1.18</v>
      </c>
      <c r="T145" s="241" t="n">
        <f aca="false">D145</f>
        <v>1.25</v>
      </c>
      <c r="U145" s="247" t="n">
        <f aca="false">$U$16+T145</f>
        <v>1.32</v>
      </c>
      <c r="BP145" s="205" t="n">
        <f aca="false">BP144+BV145</f>
        <v>144</v>
      </c>
      <c r="BQ145" s="206" t="s">
        <v>829</v>
      </c>
      <c r="BR145" s="201" t="s">
        <v>203</v>
      </c>
      <c r="BS145" s="132" t="s">
        <v>334</v>
      </c>
      <c r="BT145" s="209" t="s">
        <v>205</v>
      </c>
      <c r="BU145" s="209"/>
      <c r="BV145" s="132" t="n">
        <v>1</v>
      </c>
      <c r="BW145" s="201" t="s">
        <v>830</v>
      </c>
      <c r="BX145" s="0"/>
      <c r="BZ145" s="205" t="n">
        <f aca="false">BZ144+CF145</f>
        <v>144</v>
      </c>
      <c r="CA145" s="63" t="s">
        <v>831</v>
      </c>
      <c r="CB145" s="201" t="s">
        <v>207</v>
      </c>
      <c r="CC145" s="132" t="s">
        <v>204</v>
      </c>
      <c r="CD145" s="209" t="s">
        <v>205</v>
      </c>
      <c r="CE145" s="209"/>
      <c r="CF145" s="132" t="n">
        <v>1</v>
      </c>
      <c r="CG145" s="201" t="s">
        <v>832</v>
      </c>
      <c r="CH145" s="0"/>
    </row>
    <row r="146" customFormat="false" ht="12.75" hidden="false" customHeight="false" outlineLevel="0" collapsed="false">
      <c r="A146" s="242"/>
      <c r="B146" s="192" t="e">
        <f aca="false">NextMonth(B145)</f>
        <v>#VALUE!</v>
      </c>
      <c r="C146" s="193" t="n">
        <v>0.074201774278762</v>
      </c>
      <c r="D146" s="193" t="n">
        <v>1.45</v>
      </c>
      <c r="E146" s="193" t="n">
        <v>1.45</v>
      </c>
      <c r="F146" s="193" t="n">
        <v>0.1485</v>
      </c>
      <c r="G146" s="193" t="n">
        <v>0.15</v>
      </c>
      <c r="H146" s="193" t="n">
        <v>0.1635</v>
      </c>
      <c r="I146" s="218" t="n">
        <v>3.465</v>
      </c>
      <c r="J146" s="193" t="n">
        <v>3.47</v>
      </c>
      <c r="K146" s="193" t="n">
        <v>3.475</v>
      </c>
      <c r="L146" s="193" t="n">
        <v>-0.087363796</v>
      </c>
      <c r="M146" s="193" t="n">
        <v>1.495</v>
      </c>
      <c r="O146" s="189" t="e">
        <f aca="false">(IF(MONTH(B146)&gt;=4,IF(MONTH(B146)&lt;=10,Inputs!$H$2,Inputs!$H$3),Inputs!$H$3))</f>
        <v>#VALUE!</v>
      </c>
      <c r="P146" s="244" t="e">
        <f aca="false">J146+(IF($L$2=TRUE(),IF(MONTH(B146)&gt;=4,IF(MONTH(B146)&lt;=10,L146,M146),M146),0))+(IF('Pricing Inputs'!$AN$3=2,O146,0))</f>
        <v>#VALUE!</v>
      </c>
      <c r="Q146" s="244"/>
      <c r="R146" s="245" t="e">
        <f aca="false">B146</f>
        <v>#VALUE!</v>
      </c>
      <c r="S146" s="246" t="n">
        <f aca="false">T146-$S$16</f>
        <v>1.38</v>
      </c>
      <c r="T146" s="241" t="n">
        <f aca="false">D146</f>
        <v>1.45</v>
      </c>
      <c r="U146" s="247" t="n">
        <f aca="false">$U$16+T146</f>
        <v>1.52</v>
      </c>
      <c r="BP146" s="205" t="n">
        <f aca="false">BP145+BV146</f>
        <v>145</v>
      </c>
      <c r="BQ146" s="206" t="s">
        <v>833</v>
      </c>
      <c r="BR146" s="201" t="s">
        <v>203</v>
      </c>
      <c r="BS146" s="132" t="s">
        <v>334</v>
      </c>
      <c r="BT146" s="209" t="s">
        <v>205</v>
      </c>
      <c r="BU146" s="209"/>
      <c r="BV146" s="132" t="n">
        <v>1</v>
      </c>
      <c r="BW146" s="201" t="s">
        <v>834</v>
      </c>
      <c r="BX146" s="0"/>
      <c r="BZ146" s="205" t="n">
        <f aca="false">BZ145+CF146</f>
        <v>145</v>
      </c>
      <c r="CA146" s="63" t="s">
        <v>835</v>
      </c>
      <c r="CB146" s="201" t="s">
        <v>207</v>
      </c>
      <c r="CC146" s="132" t="s">
        <v>204</v>
      </c>
      <c r="CD146" s="209" t="s">
        <v>205</v>
      </c>
      <c r="CE146" s="209"/>
      <c r="CF146" s="132" t="n">
        <v>1</v>
      </c>
      <c r="CG146" s="201" t="s">
        <v>836</v>
      </c>
      <c r="CH146" s="0"/>
    </row>
    <row r="147" customFormat="false" ht="12.75" hidden="false" customHeight="false" outlineLevel="0" collapsed="false">
      <c r="A147" s="242"/>
      <c r="B147" s="192" t="e">
        <f aca="false">NextMonth(B146)</f>
        <v>#VALUE!</v>
      </c>
      <c r="C147" s="193" t="n">
        <v>0.074201479560881</v>
      </c>
      <c r="D147" s="193" t="n">
        <v>1.45</v>
      </c>
      <c r="E147" s="193" t="n">
        <v>1.45</v>
      </c>
      <c r="F147" s="193" t="n">
        <v>0.1485</v>
      </c>
      <c r="G147" s="193" t="n">
        <v>0.15</v>
      </c>
      <c r="H147" s="193" t="n">
        <v>0.1635</v>
      </c>
      <c r="I147" s="218" t="n">
        <v>3.347</v>
      </c>
      <c r="J147" s="193" t="n">
        <v>3.352</v>
      </c>
      <c r="K147" s="193" t="n">
        <v>3.357</v>
      </c>
      <c r="L147" s="193" t="n">
        <v>-0.08111435575</v>
      </c>
      <c r="M147" s="193" t="n">
        <v>1.395</v>
      </c>
      <c r="O147" s="189" t="e">
        <f aca="false">(IF(MONTH(B147)&gt;=4,IF(MONTH(B147)&lt;=10,Inputs!$H$2,Inputs!$H$3),Inputs!$H$3))</f>
        <v>#VALUE!</v>
      </c>
      <c r="P147" s="244" t="e">
        <f aca="false">J147+(IF($L$2=TRUE(),IF(MONTH(B147)&gt;=4,IF(MONTH(B147)&lt;=10,L147,M147),M147),0))+(IF('Pricing Inputs'!$AN$3=2,O147,0))</f>
        <v>#VALUE!</v>
      </c>
      <c r="Q147" s="244"/>
      <c r="R147" s="245" t="e">
        <f aca="false">B147</f>
        <v>#VALUE!</v>
      </c>
      <c r="S147" s="246" t="n">
        <f aca="false">T147-$S$16</f>
        <v>1.38</v>
      </c>
      <c r="T147" s="241" t="n">
        <f aca="false">D147</f>
        <v>1.45</v>
      </c>
      <c r="U147" s="247" t="n">
        <f aca="false">$U$16+T147</f>
        <v>1.52</v>
      </c>
      <c r="BP147" s="205" t="n">
        <f aca="false">BP146+BV147</f>
        <v>146</v>
      </c>
      <c r="BQ147" s="206" t="s">
        <v>837</v>
      </c>
      <c r="BR147" s="201" t="s">
        <v>203</v>
      </c>
      <c r="BS147" s="132" t="s">
        <v>334</v>
      </c>
      <c r="BT147" s="209" t="s">
        <v>205</v>
      </c>
      <c r="BU147" s="209"/>
      <c r="BV147" s="132" t="n">
        <v>1</v>
      </c>
      <c r="BW147" s="201" t="s">
        <v>838</v>
      </c>
      <c r="BX147" s="0"/>
      <c r="BZ147" s="205" t="n">
        <f aca="false">BZ146+CF147</f>
        <v>146</v>
      </c>
      <c r="CA147" s="63" t="s">
        <v>839</v>
      </c>
      <c r="CB147" s="201" t="s">
        <v>207</v>
      </c>
      <c r="CC147" s="132" t="s">
        <v>204</v>
      </c>
      <c r="CD147" s="209" t="s">
        <v>205</v>
      </c>
      <c r="CE147" s="209"/>
      <c r="CF147" s="132" t="n">
        <v>1</v>
      </c>
      <c r="CG147" s="201" t="s">
        <v>840</v>
      </c>
      <c r="CH147" s="0"/>
    </row>
    <row r="148" customFormat="false" ht="12.75" hidden="false" customHeight="false" outlineLevel="0" collapsed="false">
      <c r="A148" s="242"/>
      <c r="B148" s="192" t="e">
        <f aca="false">NextMonth(B147)</f>
        <v>#VALUE!</v>
      </c>
      <c r="C148" s="193" t="n">
        <v>0.074201213364084</v>
      </c>
      <c r="D148" s="193" t="n">
        <v>1</v>
      </c>
      <c r="E148" s="193" t="n">
        <v>1</v>
      </c>
      <c r="F148" s="193" t="n">
        <v>0.1485</v>
      </c>
      <c r="G148" s="193" t="n">
        <v>0.15</v>
      </c>
      <c r="H148" s="193" t="n">
        <v>0.1635</v>
      </c>
      <c r="I148" s="218" t="n">
        <v>3.227</v>
      </c>
      <c r="J148" s="193" t="n">
        <v>3.232</v>
      </c>
      <c r="K148" s="193" t="n">
        <v>3.237</v>
      </c>
      <c r="L148" s="193" t="n">
        <v>-0.07861435575</v>
      </c>
      <c r="M148" s="193" t="n">
        <v>0.865</v>
      </c>
      <c r="O148" s="189" t="e">
        <f aca="false">(IF(MONTH(B148)&gt;=4,IF(MONTH(B148)&lt;=10,Inputs!$H$2,Inputs!$H$3),Inputs!$H$3))</f>
        <v>#VALUE!</v>
      </c>
      <c r="P148" s="244" t="e">
        <f aca="false">J148+(IF($L$2=TRUE(),IF(MONTH(B148)&gt;=4,IF(MONTH(B148)&lt;=10,L148,M148),M148),0))+(IF('Pricing Inputs'!$AN$3=2,O148,0))</f>
        <v>#VALUE!</v>
      </c>
      <c r="Q148" s="244"/>
      <c r="R148" s="245" t="e">
        <f aca="false">B148</f>
        <v>#VALUE!</v>
      </c>
      <c r="S148" s="246" t="n">
        <f aca="false">T148-$S$16</f>
        <v>0.93</v>
      </c>
      <c r="T148" s="241" t="n">
        <f aca="false">D148</f>
        <v>1</v>
      </c>
      <c r="U148" s="247" t="n">
        <f aca="false">$U$16+T148</f>
        <v>1.07</v>
      </c>
      <c r="BP148" s="205" t="n">
        <f aca="false">BP147+BV148</f>
        <v>147</v>
      </c>
      <c r="BQ148" s="206" t="s">
        <v>841</v>
      </c>
      <c r="BR148" s="201" t="s">
        <v>203</v>
      </c>
      <c r="BS148" s="132" t="s">
        <v>334</v>
      </c>
      <c r="BT148" s="209" t="s">
        <v>205</v>
      </c>
      <c r="BU148" s="209"/>
      <c r="BV148" s="132" t="n">
        <v>1</v>
      </c>
      <c r="BW148" s="201" t="s">
        <v>842</v>
      </c>
      <c r="BX148" s="0"/>
      <c r="BZ148" s="205" t="n">
        <f aca="false">BZ147+CF148</f>
        <v>147</v>
      </c>
      <c r="CA148" s="63" t="s">
        <v>843</v>
      </c>
      <c r="CB148" s="201" t="s">
        <v>207</v>
      </c>
      <c r="CC148" s="132" t="s">
        <v>204</v>
      </c>
      <c r="CD148" s="209" t="s">
        <v>205</v>
      </c>
      <c r="CE148" s="209"/>
      <c r="CF148" s="132" t="n">
        <v>1</v>
      </c>
      <c r="CG148" s="201" t="s">
        <v>844</v>
      </c>
      <c r="CH148" s="0"/>
    </row>
    <row r="149" customFormat="false" ht="12.75" hidden="false" customHeight="false" outlineLevel="0" collapsed="false">
      <c r="A149" s="242"/>
      <c r="B149" s="192" t="e">
        <f aca="false">NextMonth(B148)</f>
        <v>#VALUE!</v>
      </c>
      <c r="C149" s="193" t="n">
        <v>0.074200918646202</v>
      </c>
      <c r="D149" s="193" t="n">
        <v>0.45</v>
      </c>
      <c r="E149" s="193" t="n">
        <v>0.45</v>
      </c>
      <c r="F149" s="193" t="n">
        <v>0.1485</v>
      </c>
      <c r="G149" s="193" t="n">
        <v>0.15</v>
      </c>
      <c r="H149" s="193" t="n">
        <v>0.1635</v>
      </c>
      <c r="I149" s="218" t="n">
        <v>3.1775</v>
      </c>
      <c r="J149" s="193" t="n">
        <v>3.1825</v>
      </c>
      <c r="K149" s="193" t="n">
        <v>3.1875</v>
      </c>
      <c r="L149" s="193" t="n">
        <v>-0.06550584025</v>
      </c>
      <c r="M149" s="193" t="n">
        <v>0.37</v>
      </c>
      <c r="O149" s="189" t="e">
        <f aca="false">(IF(MONTH(B149)&gt;=4,IF(MONTH(B149)&lt;=10,Inputs!$H$2,Inputs!$H$3),Inputs!$H$3))</f>
        <v>#VALUE!</v>
      </c>
      <c r="P149" s="244" t="e">
        <f aca="false">J149+(IF($L$2=TRUE(),IF(MONTH(B149)&gt;=4,IF(MONTH(B149)&lt;=10,L149,M149),M149),0))+(IF('Pricing Inputs'!$AN$3=2,O149,0))</f>
        <v>#VALUE!</v>
      </c>
      <c r="Q149" s="244"/>
      <c r="R149" s="245" t="e">
        <f aca="false">B149</f>
        <v>#VALUE!</v>
      </c>
      <c r="S149" s="246" t="n">
        <f aca="false">T149-$S$16</f>
        <v>0.38</v>
      </c>
      <c r="T149" s="241" t="n">
        <f aca="false">D149</f>
        <v>0.45</v>
      </c>
      <c r="U149" s="247" t="n">
        <f aca="false">$U$16+T149</f>
        <v>0.52</v>
      </c>
      <c r="BP149" s="205" t="n">
        <f aca="false">BP148+BV149</f>
        <v>148</v>
      </c>
      <c r="BQ149" s="206" t="s">
        <v>845</v>
      </c>
      <c r="BR149" s="201" t="s">
        <v>203</v>
      </c>
      <c r="BS149" s="132" t="s">
        <v>334</v>
      </c>
      <c r="BT149" s="209" t="s">
        <v>205</v>
      </c>
      <c r="BU149" s="209"/>
      <c r="BV149" s="132" t="n">
        <v>1</v>
      </c>
      <c r="BW149" s="201" t="s">
        <v>846</v>
      </c>
      <c r="BX149" s="0"/>
      <c r="BZ149" s="205" t="n">
        <f aca="false">BZ148+CF149</f>
        <v>148</v>
      </c>
      <c r="CA149" s="63" t="s">
        <v>847</v>
      </c>
      <c r="CB149" s="201" t="s">
        <v>207</v>
      </c>
      <c r="CC149" s="132" t="s">
        <v>204</v>
      </c>
      <c r="CD149" s="209" t="s">
        <v>205</v>
      </c>
      <c r="CE149" s="209"/>
      <c r="CF149" s="132" t="n">
        <v>1</v>
      </c>
      <c r="CG149" s="201" t="s">
        <v>848</v>
      </c>
      <c r="CH149" s="0"/>
    </row>
    <row r="150" customFormat="false" ht="12.75" hidden="false" customHeight="false" outlineLevel="0" collapsed="false">
      <c r="A150" s="242"/>
      <c r="B150" s="192" t="e">
        <f aca="false">NextMonth(B149)</f>
        <v>#VALUE!</v>
      </c>
      <c r="C150" s="193" t="n">
        <v>0.074200633435348</v>
      </c>
      <c r="D150" s="193" t="n">
        <v>0.5</v>
      </c>
      <c r="E150" s="193" t="n">
        <v>0.5</v>
      </c>
      <c r="F150" s="193" t="n">
        <v>0.1485</v>
      </c>
      <c r="G150" s="193" t="n">
        <v>0.15</v>
      </c>
      <c r="H150" s="193" t="n">
        <v>0.1635</v>
      </c>
      <c r="I150" s="218" t="n">
        <v>3.1515</v>
      </c>
      <c r="J150" s="193" t="n">
        <v>3.1565</v>
      </c>
      <c r="K150" s="193" t="n">
        <v>3.1615</v>
      </c>
      <c r="L150" s="193" t="n">
        <v>-0.065507969</v>
      </c>
      <c r="M150" s="193" t="n">
        <v>0.2525</v>
      </c>
      <c r="O150" s="189" t="e">
        <f aca="false">(IF(MONTH(B150)&gt;=4,IF(MONTH(B150)&lt;=10,Inputs!$H$2,Inputs!$H$3),Inputs!$H$3))</f>
        <v>#VALUE!</v>
      </c>
      <c r="P150" s="244" t="e">
        <f aca="false">J150+(IF($L$2=TRUE(),IF(MONTH(B150)&gt;=4,IF(MONTH(B150)&lt;=10,L150,M150),M150),0))+(IF('Pricing Inputs'!$AN$3=2,O150,0))</f>
        <v>#VALUE!</v>
      </c>
      <c r="Q150" s="244"/>
      <c r="R150" s="245" t="e">
        <f aca="false">B150</f>
        <v>#VALUE!</v>
      </c>
      <c r="S150" s="246" t="n">
        <f aca="false">T150-$S$16</f>
        <v>0.43</v>
      </c>
      <c r="T150" s="241" t="n">
        <f aca="false">D150</f>
        <v>0.5</v>
      </c>
      <c r="U150" s="247" t="n">
        <f aca="false">$U$16+T150</f>
        <v>0.57</v>
      </c>
      <c r="BP150" s="205" t="n">
        <f aca="false">BP149+BV150</f>
        <v>149</v>
      </c>
      <c r="BQ150" s="206" t="s">
        <v>849</v>
      </c>
      <c r="BR150" s="201" t="s">
        <v>203</v>
      </c>
      <c r="BS150" s="132" t="s">
        <v>334</v>
      </c>
      <c r="BT150" s="209" t="s">
        <v>205</v>
      </c>
      <c r="BU150" s="209"/>
      <c r="BV150" s="132" t="n">
        <v>1</v>
      </c>
      <c r="BW150" s="201" t="s">
        <v>850</v>
      </c>
      <c r="BX150" s="0"/>
      <c r="BZ150" s="205" t="n">
        <f aca="false">BZ149+CF150</f>
        <v>149</v>
      </c>
      <c r="CA150" s="63" t="s">
        <v>851</v>
      </c>
      <c r="CB150" s="201" t="s">
        <v>207</v>
      </c>
      <c r="CC150" s="132" t="s">
        <v>204</v>
      </c>
      <c r="CD150" s="209" t="s">
        <v>205</v>
      </c>
      <c r="CE150" s="209"/>
      <c r="CF150" s="132" t="n">
        <v>1</v>
      </c>
      <c r="CG150" s="201" t="s">
        <v>852</v>
      </c>
      <c r="CH150" s="0"/>
    </row>
    <row r="151" customFormat="false" ht="12.75" hidden="false" customHeight="false" outlineLevel="0" collapsed="false">
      <c r="A151" s="242"/>
      <c r="B151" s="192" t="e">
        <f aca="false">NextMonth(B150)</f>
        <v>#VALUE!</v>
      </c>
      <c r="C151" s="193" t="n">
        <v>0.074200338717466</v>
      </c>
      <c r="D151" s="193" t="n">
        <v>0.5</v>
      </c>
      <c r="E151" s="193" t="n">
        <v>0.5</v>
      </c>
      <c r="F151" s="193" t="n">
        <v>0.1485</v>
      </c>
      <c r="G151" s="193" t="n">
        <v>0.15</v>
      </c>
      <c r="H151" s="193" t="n">
        <v>0.1635</v>
      </c>
      <c r="I151" s="218" t="n">
        <v>3.1575</v>
      </c>
      <c r="J151" s="193" t="n">
        <v>3.1625</v>
      </c>
      <c r="K151" s="193" t="n">
        <v>3.1675</v>
      </c>
      <c r="L151" s="193" t="n">
        <v>-0.065507969</v>
      </c>
      <c r="M151" s="193" t="n">
        <v>0.2525</v>
      </c>
      <c r="O151" s="189" t="e">
        <f aca="false">(IF(MONTH(B151)&gt;=4,IF(MONTH(B151)&lt;=10,Inputs!$H$2,Inputs!$H$3),Inputs!$H$3))</f>
        <v>#VALUE!</v>
      </c>
      <c r="P151" s="244" t="e">
        <f aca="false">J151+(IF($L$2=TRUE(),IF(MONTH(B151)&gt;=4,IF(MONTH(B151)&lt;=10,L151,M151),M151),0))+(IF('Pricing Inputs'!$AN$3=2,O151,0))</f>
        <v>#VALUE!</v>
      </c>
      <c r="Q151" s="244"/>
      <c r="R151" s="245" t="e">
        <f aca="false">B151</f>
        <v>#VALUE!</v>
      </c>
      <c r="S151" s="246" t="n">
        <f aca="false">T151-$S$16</f>
        <v>0.43</v>
      </c>
      <c r="T151" s="241" t="n">
        <f aca="false">D151</f>
        <v>0.5</v>
      </c>
      <c r="U151" s="247" t="n">
        <f aca="false">$U$16+T151</f>
        <v>0.57</v>
      </c>
      <c r="BP151" s="205" t="n">
        <f aca="false">BP150+BV151</f>
        <v>150</v>
      </c>
      <c r="BQ151" s="206" t="s">
        <v>853</v>
      </c>
      <c r="BR151" s="201" t="s">
        <v>203</v>
      </c>
      <c r="BS151" s="132" t="s">
        <v>334</v>
      </c>
      <c r="BT151" s="209" t="s">
        <v>205</v>
      </c>
      <c r="BU151" s="209"/>
      <c r="BV151" s="132" t="n">
        <v>1</v>
      </c>
      <c r="BW151" s="201" t="s">
        <v>854</v>
      </c>
      <c r="BX151" s="0"/>
      <c r="BZ151" s="205" t="n">
        <f aca="false">BZ150+CF151</f>
        <v>150</v>
      </c>
      <c r="CA151" s="63" t="s">
        <v>855</v>
      </c>
      <c r="CB151" s="201" t="s">
        <v>207</v>
      </c>
      <c r="CC151" s="132" t="s">
        <v>204</v>
      </c>
      <c r="CD151" s="209" t="s">
        <v>205</v>
      </c>
      <c r="CE151" s="209"/>
      <c r="CF151" s="132" t="n">
        <v>1</v>
      </c>
      <c r="CG151" s="201" t="s">
        <v>856</v>
      </c>
      <c r="CH151" s="0"/>
    </row>
    <row r="152" customFormat="false" ht="12.75" hidden="false" customHeight="false" outlineLevel="0" collapsed="false">
      <c r="A152" s="242"/>
      <c r="B152" s="192" t="e">
        <f aca="false">NextMonth(B151)</f>
        <v>#VALUE!</v>
      </c>
      <c r="C152" s="193" t="n">
        <v>0.074200053506613</v>
      </c>
      <c r="D152" s="193" t="n">
        <v>0.5</v>
      </c>
      <c r="E152" s="193" t="n">
        <v>0.5</v>
      </c>
      <c r="F152" s="193" t="n">
        <v>0.1485</v>
      </c>
      <c r="G152" s="193" t="n">
        <v>0.15</v>
      </c>
      <c r="H152" s="193" t="n">
        <v>0.1635</v>
      </c>
      <c r="I152" s="218" t="n">
        <v>3.1675</v>
      </c>
      <c r="J152" s="193" t="n">
        <v>3.1725</v>
      </c>
      <c r="K152" s="193" t="n">
        <v>3.1775</v>
      </c>
      <c r="L152" s="193" t="n">
        <v>-0.065507969</v>
      </c>
      <c r="M152" s="193" t="n">
        <v>0.2575</v>
      </c>
      <c r="O152" s="189" t="e">
        <f aca="false">(IF(MONTH(B152)&gt;=4,IF(MONTH(B152)&lt;=10,Inputs!$H$2,Inputs!$H$3),Inputs!$H$3))</f>
        <v>#VALUE!</v>
      </c>
      <c r="P152" s="244" t="e">
        <f aca="false">J152+(IF($L$2=TRUE(),IF(MONTH(B152)&gt;=4,IF(MONTH(B152)&lt;=10,L152,M152),M152),0))+(IF('Pricing Inputs'!$AN$3=2,O152,0))</f>
        <v>#VALUE!</v>
      </c>
      <c r="Q152" s="244"/>
      <c r="R152" s="245" t="e">
        <f aca="false">B152</f>
        <v>#VALUE!</v>
      </c>
      <c r="S152" s="246" t="n">
        <f aca="false">T152-$S$16</f>
        <v>0.43</v>
      </c>
      <c r="T152" s="241" t="n">
        <f aca="false">D152</f>
        <v>0.5</v>
      </c>
      <c r="U152" s="247" t="n">
        <f aca="false">$U$16+T152</f>
        <v>0.57</v>
      </c>
      <c r="BP152" s="205" t="n">
        <f aca="false">BP151+BV152</f>
        <v>151</v>
      </c>
      <c r="BQ152" s="206" t="s">
        <v>857</v>
      </c>
      <c r="BR152" s="201" t="s">
        <v>203</v>
      </c>
      <c r="BS152" s="132" t="s">
        <v>334</v>
      </c>
      <c r="BT152" s="209" t="s">
        <v>205</v>
      </c>
      <c r="BU152" s="209"/>
      <c r="BV152" s="132" t="n">
        <v>1</v>
      </c>
      <c r="BW152" s="201" t="s">
        <v>858</v>
      </c>
      <c r="BX152" s="0"/>
      <c r="BZ152" s="205" t="n">
        <f aca="false">BZ151+CF152</f>
        <v>151</v>
      </c>
      <c r="CA152" s="63" t="s">
        <v>859</v>
      </c>
      <c r="CB152" s="201" t="s">
        <v>207</v>
      </c>
      <c r="CC152" s="132" t="s">
        <v>204</v>
      </c>
      <c r="CD152" s="209" t="s">
        <v>205</v>
      </c>
      <c r="CE152" s="209"/>
      <c r="CF152" s="132" t="n">
        <v>1</v>
      </c>
      <c r="CG152" s="201" t="s">
        <v>860</v>
      </c>
      <c r="CH152" s="0"/>
    </row>
    <row r="153" customFormat="false" ht="12.75" hidden="false" customHeight="false" outlineLevel="0" collapsed="false">
      <c r="A153" s="242"/>
      <c r="B153" s="192" t="e">
        <f aca="false">NextMonth(B152)</f>
        <v>#VALUE!</v>
      </c>
      <c r="C153" s="193" t="n">
        <v>0.074199758788731</v>
      </c>
      <c r="D153" s="193" t="n">
        <v>0.6</v>
      </c>
      <c r="E153" s="193" t="n">
        <v>0.6</v>
      </c>
      <c r="F153" s="193" t="n">
        <v>0.1485</v>
      </c>
      <c r="G153" s="193" t="n">
        <v>0.15</v>
      </c>
      <c r="H153" s="193" t="n">
        <v>0.1635</v>
      </c>
      <c r="I153" s="218" t="n">
        <v>3.1745</v>
      </c>
      <c r="J153" s="193" t="n">
        <v>3.1795</v>
      </c>
      <c r="K153" s="193" t="n">
        <v>3.1845</v>
      </c>
      <c r="L153" s="193" t="n">
        <v>-0.065507969</v>
      </c>
      <c r="M153" s="193" t="n">
        <v>0.2575</v>
      </c>
      <c r="O153" s="189" t="e">
        <f aca="false">(IF(MONTH(B153)&gt;=4,IF(MONTH(B153)&lt;=10,Inputs!$H$2,Inputs!$H$3),Inputs!$H$3))</f>
        <v>#VALUE!</v>
      </c>
      <c r="P153" s="244" t="e">
        <f aca="false">J153+(IF($L$2=TRUE(),IF(MONTH(B153)&gt;=4,IF(MONTH(B153)&lt;=10,L153,M153),M153),0))+(IF('Pricing Inputs'!$AN$3=2,O153,0))</f>
        <v>#VALUE!</v>
      </c>
      <c r="Q153" s="244"/>
      <c r="R153" s="245" t="e">
        <f aca="false">B153</f>
        <v>#VALUE!</v>
      </c>
      <c r="S153" s="246" t="n">
        <f aca="false">T153-$S$16</f>
        <v>0.53</v>
      </c>
      <c r="T153" s="241" t="n">
        <f aca="false">D153</f>
        <v>0.6</v>
      </c>
      <c r="U153" s="247" t="n">
        <f aca="false">$U$16+T153</f>
        <v>0.67</v>
      </c>
      <c r="BP153" s="205" t="n">
        <f aca="false">BP152+BV153</f>
        <v>152</v>
      </c>
      <c r="BQ153" s="206" t="s">
        <v>861</v>
      </c>
      <c r="BR153" s="201" t="s">
        <v>203</v>
      </c>
      <c r="BS153" s="132" t="s">
        <v>334</v>
      </c>
      <c r="BT153" s="209" t="s">
        <v>205</v>
      </c>
      <c r="BU153" s="209"/>
      <c r="BV153" s="132" t="n">
        <v>1</v>
      </c>
      <c r="BW153" s="201" t="s">
        <v>862</v>
      </c>
      <c r="BX153" s="0"/>
      <c r="BZ153" s="205" t="n">
        <f aca="false">BZ152+CF153</f>
        <v>152</v>
      </c>
      <c r="CA153" s="63" t="s">
        <v>863</v>
      </c>
      <c r="CB153" s="201" t="s">
        <v>207</v>
      </c>
      <c r="CC153" s="132" t="s">
        <v>204</v>
      </c>
      <c r="CD153" s="209" t="s">
        <v>205</v>
      </c>
      <c r="CE153" s="209"/>
      <c r="CF153" s="132" t="n">
        <v>1</v>
      </c>
      <c r="CG153" s="201" t="s">
        <v>864</v>
      </c>
      <c r="CH153" s="0"/>
    </row>
    <row r="154" customFormat="false" ht="12.75" hidden="false" customHeight="false" outlineLevel="0" collapsed="false">
      <c r="A154" s="242"/>
      <c r="B154" s="192" t="e">
        <f aca="false">NextMonth(B153)</f>
        <v>#VALUE!</v>
      </c>
      <c r="C154" s="193" t="n">
        <v>0.074199464070849</v>
      </c>
      <c r="D154" s="193" t="n">
        <v>0.6</v>
      </c>
      <c r="E154" s="193" t="n">
        <v>0.6</v>
      </c>
      <c r="F154" s="193" t="n">
        <v>0.1485</v>
      </c>
      <c r="G154" s="193" t="n">
        <v>0.15</v>
      </c>
      <c r="H154" s="193" t="n">
        <v>0.1635</v>
      </c>
      <c r="I154" s="218" t="n">
        <v>3.1815</v>
      </c>
      <c r="J154" s="193" t="n">
        <v>3.1865</v>
      </c>
      <c r="K154" s="193" t="n">
        <v>3.1915</v>
      </c>
      <c r="L154" s="193" t="n">
        <v>-0.065507969</v>
      </c>
      <c r="M154" s="193" t="n">
        <v>0.2525</v>
      </c>
      <c r="O154" s="189" t="e">
        <f aca="false">(IF(MONTH(B154)&gt;=4,IF(MONTH(B154)&lt;=10,Inputs!$H$2,Inputs!$H$3),Inputs!$H$3))</f>
        <v>#VALUE!</v>
      </c>
      <c r="P154" s="244" t="e">
        <f aca="false">J154+(IF($L$2=TRUE(),IF(MONTH(B154)&gt;=4,IF(MONTH(B154)&lt;=10,L154,M154),M154),0))+(IF('Pricing Inputs'!$AN$3=2,O154,0))</f>
        <v>#VALUE!</v>
      </c>
      <c r="Q154" s="244"/>
      <c r="R154" s="245" t="e">
        <f aca="false">B154</f>
        <v>#VALUE!</v>
      </c>
      <c r="S154" s="246" t="n">
        <f aca="false">T154-$S$16</f>
        <v>0.53</v>
      </c>
      <c r="T154" s="241" t="n">
        <f aca="false">D154</f>
        <v>0.6</v>
      </c>
      <c r="U154" s="247" t="n">
        <f aca="false">$U$16+T154</f>
        <v>0.67</v>
      </c>
      <c r="BP154" s="205" t="n">
        <f aca="false">BP153+BV154</f>
        <v>153</v>
      </c>
      <c r="BQ154" s="206" t="s">
        <v>865</v>
      </c>
      <c r="BR154" s="201" t="s">
        <v>203</v>
      </c>
      <c r="BS154" s="132" t="s">
        <v>334</v>
      </c>
      <c r="BT154" s="209" t="s">
        <v>205</v>
      </c>
      <c r="BU154" s="209"/>
      <c r="BV154" s="132" t="n">
        <v>1</v>
      </c>
      <c r="BW154" s="201" t="s">
        <v>866</v>
      </c>
      <c r="BX154" s="0"/>
      <c r="BZ154" s="205" t="n">
        <f aca="false">BZ153+CF154</f>
        <v>153</v>
      </c>
      <c r="CA154" s="63" t="s">
        <v>867</v>
      </c>
      <c r="CB154" s="201" t="s">
        <v>207</v>
      </c>
      <c r="CC154" s="132" t="s">
        <v>204</v>
      </c>
      <c r="CD154" s="209" t="s">
        <v>205</v>
      </c>
      <c r="CE154" s="209"/>
      <c r="CF154" s="132" t="n">
        <v>1</v>
      </c>
      <c r="CG154" s="201" t="s">
        <v>868</v>
      </c>
      <c r="CH154" s="0"/>
    </row>
    <row r="155" customFormat="false" ht="12.75" hidden="false" customHeight="false" outlineLevel="0" collapsed="false">
      <c r="A155" s="242"/>
      <c r="B155" s="192" t="e">
        <f aca="false">NextMonth(B154)</f>
        <v>#VALUE!</v>
      </c>
      <c r="C155" s="193" t="n">
        <v>0.07419917886</v>
      </c>
      <c r="D155" s="193" t="n">
        <v>0.65</v>
      </c>
      <c r="E155" s="193" t="n">
        <v>0.65</v>
      </c>
      <c r="F155" s="193" t="n">
        <v>0.1485</v>
      </c>
      <c r="G155" s="193" t="n">
        <v>0.15</v>
      </c>
      <c r="H155" s="193" t="n">
        <v>0.1635</v>
      </c>
      <c r="I155" s="218" t="n">
        <v>3.2075</v>
      </c>
      <c r="J155" s="193" t="n">
        <v>3.2125</v>
      </c>
      <c r="K155" s="193" t="n">
        <v>3.2175</v>
      </c>
      <c r="L155" s="193" t="n">
        <v>-0.065507969</v>
      </c>
      <c r="M155" s="193" t="n">
        <v>0.255</v>
      </c>
      <c r="O155" s="189" t="e">
        <f aca="false">(IF(MONTH(B155)&gt;=4,IF(MONTH(B155)&lt;=10,Inputs!$H$2,Inputs!$H$3),Inputs!$H$3))</f>
        <v>#VALUE!</v>
      </c>
      <c r="P155" s="244" t="e">
        <f aca="false">J155+(IF($L$2=TRUE(),IF(MONTH(B155)&gt;=4,IF(MONTH(B155)&lt;=10,L155,M155),M155),0))+(IF('Pricing Inputs'!$AN$3=2,O155,0))</f>
        <v>#VALUE!</v>
      </c>
      <c r="Q155" s="244"/>
      <c r="R155" s="245" t="e">
        <f aca="false">B155</f>
        <v>#VALUE!</v>
      </c>
      <c r="S155" s="246" t="n">
        <f aca="false">T155-$S$16</f>
        <v>0.58</v>
      </c>
      <c r="T155" s="241" t="n">
        <f aca="false">D155</f>
        <v>0.65</v>
      </c>
      <c r="U155" s="247" t="n">
        <f aca="false">$U$16+T155</f>
        <v>0.72</v>
      </c>
      <c r="BP155" s="205" t="n">
        <f aca="false">BP154+BV155</f>
        <v>154</v>
      </c>
      <c r="BQ155" s="206" t="s">
        <v>869</v>
      </c>
      <c r="BR155" s="201" t="s">
        <v>203</v>
      </c>
      <c r="BS155" s="132" t="s">
        <v>334</v>
      </c>
      <c r="BT155" s="209" t="s">
        <v>205</v>
      </c>
      <c r="BU155" s="209"/>
      <c r="BV155" s="132" t="n">
        <v>1</v>
      </c>
      <c r="BW155" s="201" t="s">
        <v>870</v>
      </c>
      <c r="BX155" s="0"/>
      <c r="BZ155" s="205" t="n">
        <f aca="false">BZ154+CF155</f>
        <v>154</v>
      </c>
      <c r="CA155" s="63" t="s">
        <v>871</v>
      </c>
      <c r="CB155" s="201" t="s">
        <v>207</v>
      </c>
      <c r="CC155" s="132" t="s">
        <v>204</v>
      </c>
      <c r="CD155" s="209" t="s">
        <v>205</v>
      </c>
      <c r="CE155" s="209"/>
      <c r="CF155" s="132" t="n">
        <v>1</v>
      </c>
      <c r="CG155" s="201" t="s">
        <v>872</v>
      </c>
      <c r="CH155" s="0"/>
    </row>
    <row r="156" customFormat="false" ht="12.75" hidden="false" customHeight="false" outlineLevel="0" collapsed="false">
      <c r="A156" s="242"/>
      <c r="B156" s="192" t="e">
        <f aca="false">NextMonth(B155)</f>
        <v>#VALUE!</v>
      </c>
      <c r="C156" s="193" t="n">
        <v>0.074198884142115</v>
      </c>
      <c r="D156" s="193" t="n">
        <v>0.95</v>
      </c>
      <c r="E156" s="193" t="n">
        <v>0.95</v>
      </c>
      <c r="F156" s="193" t="n">
        <v>0.1485</v>
      </c>
      <c r="G156" s="193" t="n">
        <v>0.15</v>
      </c>
      <c r="H156" s="193" t="n">
        <v>0.1635</v>
      </c>
      <c r="I156" s="218" t="n">
        <v>3.3425</v>
      </c>
      <c r="J156" s="193" t="n">
        <v>3.3475</v>
      </c>
      <c r="K156" s="193" t="n">
        <v>3.3525</v>
      </c>
      <c r="L156" s="193" t="n">
        <v>-0.06512217825</v>
      </c>
      <c r="M156" s="193" t="n">
        <v>0.715</v>
      </c>
      <c r="O156" s="189" t="e">
        <f aca="false">(IF(MONTH(B156)&gt;=4,IF(MONTH(B156)&lt;=10,Inputs!$H$2,Inputs!$H$3),Inputs!$H$3))</f>
        <v>#VALUE!</v>
      </c>
      <c r="P156" s="244" t="e">
        <f aca="false">J156+(IF($L$2=TRUE(),IF(MONTH(B156)&gt;=4,IF(MONTH(B156)&lt;=10,L156,M156),M156),0))+(IF('Pricing Inputs'!$AN$3=2,O156,0))</f>
        <v>#VALUE!</v>
      </c>
      <c r="Q156" s="244"/>
      <c r="R156" s="245" t="e">
        <f aca="false">B156</f>
        <v>#VALUE!</v>
      </c>
      <c r="S156" s="246" t="n">
        <f aca="false">T156-$S$16</f>
        <v>0.88</v>
      </c>
      <c r="T156" s="241" t="n">
        <f aca="false">D156</f>
        <v>0.95</v>
      </c>
      <c r="U156" s="247" t="n">
        <f aca="false">$U$16+T156</f>
        <v>1.02</v>
      </c>
      <c r="BP156" s="205" t="n">
        <f aca="false">BP155+BV156</f>
        <v>155</v>
      </c>
      <c r="BQ156" s="206" t="s">
        <v>873</v>
      </c>
      <c r="BR156" s="201" t="s">
        <v>203</v>
      </c>
      <c r="BS156" s="132" t="s">
        <v>334</v>
      </c>
      <c r="BT156" s="209" t="s">
        <v>205</v>
      </c>
      <c r="BU156" s="209"/>
      <c r="BV156" s="132" t="n">
        <v>1</v>
      </c>
      <c r="BW156" s="201" t="s">
        <v>874</v>
      </c>
      <c r="BX156" s="0"/>
      <c r="BZ156" s="205" t="n">
        <f aca="false">BZ155+CF156</f>
        <v>155</v>
      </c>
      <c r="CA156" s="63" t="s">
        <v>875</v>
      </c>
      <c r="CB156" s="201" t="s">
        <v>207</v>
      </c>
      <c r="CC156" s="132" t="s">
        <v>204</v>
      </c>
      <c r="CD156" s="209" t="s">
        <v>205</v>
      </c>
      <c r="CE156" s="209"/>
      <c r="CF156" s="132" t="n">
        <v>1</v>
      </c>
      <c r="CG156" s="201" t="s">
        <v>876</v>
      </c>
      <c r="CH156" s="0"/>
    </row>
    <row r="157" customFormat="false" ht="12.75" hidden="false" customHeight="false" outlineLevel="0" collapsed="false">
      <c r="A157" s="242"/>
      <c r="B157" s="192" t="e">
        <f aca="false">NextMonth(B156)</f>
        <v>#VALUE!</v>
      </c>
      <c r="C157" s="193" t="n">
        <v>0.074198598931261</v>
      </c>
      <c r="D157" s="193" t="n">
        <v>1.25</v>
      </c>
      <c r="E157" s="193" t="n">
        <v>1.25</v>
      </c>
      <c r="F157" s="193" t="n">
        <v>0.1485</v>
      </c>
      <c r="G157" s="193" t="n">
        <v>0.15</v>
      </c>
      <c r="H157" s="193" t="n">
        <v>0.1635</v>
      </c>
      <c r="I157" s="218" t="n">
        <v>3.4665</v>
      </c>
      <c r="J157" s="193" t="n">
        <v>3.4715</v>
      </c>
      <c r="K157" s="193" t="n">
        <v>3.4765</v>
      </c>
      <c r="L157" s="193" t="n">
        <v>-0.0688629845</v>
      </c>
      <c r="M157" s="193" t="n">
        <v>1.03</v>
      </c>
      <c r="O157" s="189" t="e">
        <f aca="false">(IF(MONTH(B157)&gt;=4,IF(MONTH(B157)&lt;=10,Inputs!$H$2,Inputs!$H$3),Inputs!$H$3))</f>
        <v>#VALUE!</v>
      </c>
      <c r="P157" s="244" t="e">
        <f aca="false">J157+(IF($L$2=TRUE(),IF(MONTH(B157)&gt;=4,IF(MONTH(B157)&lt;=10,L157,M157),M157),0))+(IF('Pricing Inputs'!$AN$3=2,O157,0))</f>
        <v>#VALUE!</v>
      </c>
      <c r="Q157" s="244"/>
      <c r="R157" s="245" t="e">
        <f aca="false">B157</f>
        <v>#VALUE!</v>
      </c>
      <c r="S157" s="246" t="n">
        <f aca="false">T157-$S$16</f>
        <v>1.18</v>
      </c>
      <c r="T157" s="241" t="n">
        <f aca="false">D157</f>
        <v>1.25</v>
      </c>
      <c r="U157" s="247" t="n">
        <f aca="false">$U$16+T157</f>
        <v>1.32</v>
      </c>
      <c r="BP157" s="205" t="n">
        <f aca="false">BP156+BV157</f>
        <v>156</v>
      </c>
      <c r="BQ157" s="206" t="s">
        <v>877</v>
      </c>
      <c r="BR157" s="201" t="s">
        <v>203</v>
      </c>
      <c r="BS157" s="132" t="s">
        <v>334</v>
      </c>
      <c r="BT157" s="209" t="s">
        <v>205</v>
      </c>
      <c r="BU157" s="209"/>
      <c r="BV157" s="132" t="n">
        <v>1</v>
      </c>
      <c r="BW157" s="201" t="s">
        <v>878</v>
      </c>
      <c r="BX157" s="0"/>
      <c r="BZ157" s="205" t="n">
        <f aca="false">BZ156+CF157</f>
        <v>156</v>
      </c>
      <c r="CA157" s="63" t="s">
        <v>879</v>
      </c>
      <c r="CB157" s="201" t="s">
        <v>207</v>
      </c>
      <c r="CC157" s="132" t="s">
        <v>204</v>
      </c>
      <c r="CD157" s="209" t="s">
        <v>205</v>
      </c>
      <c r="CE157" s="209"/>
      <c r="CF157" s="132" t="n">
        <v>1</v>
      </c>
      <c r="CG157" s="201" t="s">
        <v>880</v>
      </c>
      <c r="CH157" s="0"/>
    </row>
    <row r="158" customFormat="false" ht="12.75" hidden="false" customHeight="false" outlineLevel="0" collapsed="false">
      <c r="A158" s="242"/>
      <c r="B158" s="192" t="e">
        <f aca="false">NextMonth(B157)</f>
        <v>#VALUE!</v>
      </c>
      <c r="C158" s="193" t="n">
        <v>0.074198304213379</v>
      </c>
      <c r="D158" s="193" t="n">
        <v>1.45</v>
      </c>
      <c r="E158" s="193" t="n">
        <v>1.45</v>
      </c>
      <c r="F158" s="193" t="n">
        <v>0.1475</v>
      </c>
      <c r="G158" s="193" t="n">
        <v>0.15</v>
      </c>
      <c r="H158" s="193" t="n">
        <v>0.1625</v>
      </c>
      <c r="I158" s="218" t="n">
        <v>3.55</v>
      </c>
      <c r="J158" s="193" t="n">
        <v>3.555</v>
      </c>
      <c r="K158" s="193" t="n">
        <v>3.56</v>
      </c>
      <c r="L158" s="193" t="n">
        <v>-0.067613796</v>
      </c>
      <c r="M158" s="193" t="n">
        <v>1.495</v>
      </c>
      <c r="O158" s="189" t="e">
        <f aca="false">(IF(MONTH(B158)&gt;=4,IF(MONTH(B158)&lt;=10,Inputs!$H$2,Inputs!$H$3),Inputs!$H$3))</f>
        <v>#VALUE!</v>
      </c>
      <c r="P158" s="244" t="e">
        <f aca="false">J158+(IF($L$2=TRUE(),IF(MONTH(B158)&gt;=4,IF(MONTH(B158)&lt;=10,L158,M158),M158),0))+(IF('Pricing Inputs'!$AN$3=2,O158,0))</f>
        <v>#VALUE!</v>
      </c>
      <c r="Q158" s="244"/>
      <c r="R158" s="245" t="e">
        <f aca="false">B158</f>
        <v>#VALUE!</v>
      </c>
      <c r="S158" s="246" t="n">
        <f aca="false">T158-$S$16</f>
        <v>1.38</v>
      </c>
      <c r="T158" s="241" t="n">
        <f aca="false">D158</f>
        <v>1.45</v>
      </c>
      <c r="U158" s="247" t="n">
        <f aca="false">$U$16+T158</f>
        <v>1.52</v>
      </c>
      <c r="BP158" s="205" t="n">
        <f aca="false">BP157+BV158</f>
        <v>157</v>
      </c>
      <c r="BQ158" s="206" t="s">
        <v>881</v>
      </c>
      <c r="BR158" s="201" t="s">
        <v>203</v>
      </c>
      <c r="BS158" s="132" t="s">
        <v>334</v>
      </c>
      <c r="BT158" s="209" t="s">
        <v>205</v>
      </c>
      <c r="BU158" s="209"/>
      <c r="BV158" s="132" t="n">
        <v>1</v>
      </c>
      <c r="BW158" s="201" t="s">
        <v>882</v>
      </c>
      <c r="BX158" s="0"/>
      <c r="BZ158" s="205" t="n">
        <f aca="false">BZ157+CF158</f>
        <v>157</v>
      </c>
      <c r="CA158" s="63" t="s">
        <v>883</v>
      </c>
      <c r="CB158" s="201" t="s">
        <v>207</v>
      </c>
      <c r="CC158" s="132" t="s">
        <v>204</v>
      </c>
      <c r="CD158" s="209" t="s">
        <v>205</v>
      </c>
      <c r="CE158" s="209"/>
      <c r="CF158" s="132" t="n">
        <v>1</v>
      </c>
      <c r="CG158" s="201" t="s">
        <v>884</v>
      </c>
      <c r="CH158" s="0"/>
    </row>
    <row r="159" customFormat="false" ht="12.75" hidden="false" customHeight="false" outlineLevel="0" collapsed="false">
      <c r="A159" s="242"/>
      <c r="B159" s="192" t="e">
        <f aca="false">NextMonth(B158)</f>
        <v>#VALUE!</v>
      </c>
      <c r="C159" s="193" t="n">
        <v>0.074198009495498</v>
      </c>
      <c r="D159" s="193" t="n">
        <v>1.45</v>
      </c>
      <c r="E159" s="193" t="n">
        <v>1.45</v>
      </c>
      <c r="F159" s="193" t="n">
        <v>0.1475</v>
      </c>
      <c r="G159" s="193" t="n">
        <v>0.15</v>
      </c>
      <c r="H159" s="193" t="n">
        <v>0.1625</v>
      </c>
      <c r="I159" s="218" t="n">
        <v>3.432</v>
      </c>
      <c r="J159" s="193" t="n">
        <v>3.437</v>
      </c>
      <c r="K159" s="193" t="n">
        <v>3.442</v>
      </c>
      <c r="L159" s="193" t="n">
        <v>-0.06136435575</v>
      </c>
      <c r="M159" s="193" t="n">
        <v>1.395</v>
      </c>
      <c r="O159" s="189" t="e">
        <f aca="false">(IF(MONTH(B159)&gt;=4,IF(MONTH(B159)&lt;=10,Inputs!$H$2,Inputs!$H$3),Inputs!$H$3))</f>
        <v>#VALUE!</v>
      </c>
      <c r="P159" s="244" t="e">
        <f aca="false">J159+(IF($L$2=TRUE(),IF(MONTH(B159)&gt;=4,IF(MONTH(B159)&lt;=10,L159,M159),M159),0))+(IF('Pricing Inputs'!$AN$3=2,O159,0))</f>
        <v>#VALUE!</v>
      </c>
      <c r="Q159" s="244"/>
      <c r="R159" s="245" t="e">
        <f aca="false">B159</f>
        <v>#VALUE!</v>
      </c>
      <c r="S159" s="246" t="n">
        <f aca="false">T159-$S$16</f>
        <v>1.38</v>
      </c>
      <c r="T159" s="241" t="n">
        <f aca="false">D159</f>
        <v>1.45</v>
      </c>
      <c r="U159" s="247" t="n">
        <f aca="false">$U$16+T159</f>
        <v>1.52</v>
      </c>
      <c r="BP159" s="205" t="n">
        <f aca="false">BP158+BV159</f>
        <v>158</v>
      </c>
      <c r="BQ159" s="206" t="s">
        <v>885</v>
      </c>
      <c r="BR159" s="201" t="s">
        <v>203</v>
      </c>
      <c r="BS159" s="132" t="s">
        <v>334</v>
      </c>
      <c r="BT159" s="209" t="s">
        <v>205</v>
      </c>
      <c r="BU159" s="209"/>
      <c r="BV159" s="132" t="n">
        <v>1</v>
      </c>
      <c r="BW159" s="201" t="s">
        <v>886</v>
      </c>
      <c r="BX159" s="0"/>
      <c r="BZ159" s="205" t="n">
        <f aca="false">BZ158+CF159</f>
        <v>158</v>
      </c>
      <c r="CA159" s="63" t="s">
        <v>887</v>
      </c>
      <c r="CB159" s="201" t="s">
        <v>207</v>
      </c>
      <c r="CC159" s="132" t="s">
        <v>204</v>
      </c>
      <c r="CD159" s="209" t="s">
        <v>205</v>
      </c>
      <c r="CE159" s="209"/>
      <c r="CF159" s="132" t="n">
        <v>1</v>
      </c>
      <c r="CG159" s="201" t="s">
        <v>888</v>
      </c>
      <c r="CH159" s="0"/>
    </row>
    <row r="160" customFormat="false" ht="12.75" hidden="false" customHeight="false" outlineLevel="0" collapsed="false">
      <c r="A160" s="242"/>
      <c r="B160" s="192" t="e">
        <f aca="false">NextMonth(B159)</f>
        <v>#VALUE!</v>
      </c>
      <c r="C160" s="193" t="n">
        <v>0.074197733791673</v>
      </c>
      <c r="D160" s="193" t="n">
        <v>1</v>
      </c>
      <c r="E160" s="193" t="n">
        <v>1</v>
      </c>
      <c r="F160" s="193" t="n">
        <v>0.1475</v>
      </c>
      <c r="G160" s="193" t="n">
        <v>0.15</v>
      </c>
      <c r="H160" s="193" t="n">
        <v>0.1625</v>
      </c>
      <c r="I160" s="218" t="n">
        <v>3.312</v>
      </c>
      <c r="J160" s="193" t="n">
        <v>3.317</v>
      </c>
      <c r="K160" s="193" t="n">
        <v>3.322</v>
      </c>
      <c r="L160" s="193" t="n">
        <v>-0.05886435575</v>
      </c>
      <c r="M160" s="193" t="n">
        <v>0.865</v>
      </c>
      <c r="O160" s="189" t="e">
        <f aca="false">(IF(MONTH(B160)&gt;=4,IF(MONTH(B160)&lt;=10,Inputs!$H$2,Inputs!$H$3),Inputs!$H$3))</f>
        <v>#VALUE!</v>
      </c>
      <c r="P160" s="244" t="e">
        <f aca="false">J160+(IF($L$2=TRUE(),IF(MONTH(B160)&gt;=4,IF(MONTH(B160)&lt;=10,L160,M160),M160),0))+(IF('Pricing Inputs'!$AN$3=2,O160,0))</f>
        <v>#VALUE!</v>
      </c>
      <c r="Q160" s="244"/>
      <c r="R160" s="245" t="e">
        <f aca="false">B160</f>
        <v>#VALUE!</v>
      </c>
      <c r="S160" s="246" t="n">
        <f aca="false">T160-$S$16</f>
        <v>0.93</v>
      </c>
      <c r="T160" s="241" t="n">
        <f aca="false">D160</f>
        <v>1</v>
      </c>
      <c r="U160" s="247" t="n">
        <f aca="false">$U$16+T160</f>
        <v>1.07</v>
      </c>
      <c r="BP160" s="205" t="n">
        <f aca="false">BP159+BV160</f>
        <v>159</v>
      </c>
      <c r="BQ160" s="206" t="s">
        <v>889</v>
      </c>
      <c r="BR160" s="201" t="s">
        <v>203</v>
      </c>
      <c r="BS160" s="132" t="s">
        <v>334</v>
      </c>
      <c r="BT160" s="209" t="s">
        <v>205</v>
      </c>
      <c r="BU160" s="209"/>
      <c r="BV160" s="132" t="n">
        <v>1</v>
      </c>
      <c r="BW160" s="201" t="s">
        <v>890</v>
      </c>
      <c r="BX160" s="0"/>
      <c r="BZ160" s="205" t="n">
        <f aca="false">BZ159+CF160</f>
        <v>159</v>
      </c>
      <c r="CA160" s="63" t="s">
        <v>891</v>
      </c>
      <c r="CB160" s="201" t="s">
        <v>207</v>
      </c>
      <c r="CC160" s="132" t="s">
        <v>204</v>
      </c>
      <c r="CD160" s="209" t="s">
        <v>205</v>
      </c>
      <c r="CE160" s="209"/>
      <c r="CF160" s="132" t="n">
        <v>1</v>
      </c>
      <c r="CG160" s="201" t="s">
        <v>892</v>
      </c>
      <c r="CH160" s="0"/>
    </row>
    <row r="161" customFormat="false" ht="12.75" hidden="false" customHeight="false" outlineLevel="0" collapsed="false">
      <c r="A161" s="242"/>
      <c r="B161" s="192" t="e">
        <f aca="false">NextMonth(B160)</f>
        <v>#VALUE!</v>
      </c>
      <c r="C161" s="193" t="n">
        <v>0.074197439073791</v>
      </c>
      <c r="D161" s="193" t="n">
        <v>0.45</v>
      </c>
      <c r="E161" s="193" t="n">
        <v>0.45</v>
      </c>
      <c r="F161" s="193" t="n">
        <v>0.1475</v>
      </c>
      <c r="G161" s="193" t="n">
        <v>0.15</v>
      </c>
      <c r="H161" s="193" t="n">
        <v>0.1625</v>
      </c>
      <c r="I161" s="218" t="n">
        <v>3.2625</v>
      </c>
      <c r="J161" s="193" t="n">
        <v>3.2675</v>
      </c>
      <c r="K161" s="193" t="n">
        <v>3.2725</v>
      </c>
      <c r="L161" s="193" t="n">
        <v>-0.04575584025</v>
      </c>
      <c r="M161" s="193" t="n">
        <v>0.37</v>
      </c>
      <c r="O161" s="189" t="e">
        <f aca="false">(IF(MONTH(B161)&gt;=4,IF(MONTH(B161)&lt;=10,Inputs!$H$2,Inputs!$H$3),Inputs!$H$3))</f>
        <v>#VALUE!</v>
      </c>
      <c r="P161" s="244" t="e">
        <f aca="false">J161+(IF($L$2=TRUE(),IF(MONTH(B161)&gt;=4,IF(MONTH(B161)&lt;=10,L161,M161),M161),0))+(IF('Pricing Inputs'!$AN$3=2,O161,0))</f>
        <v>#VALUE!</v>
      </c>
      <c r="Q161" s="244"/>
      <c r="R161" s="245" t="e">
        <f aca="false">B161</f>
        <v>#VALUE!</v>
      </c>
      <c r="S161" s="246" t="n">
        <f aca="false">T161-$S$16</f>
        <v>0.38</v>
      </c>
      <c r="T161" s="241" t="n">
        <f aca="false">D161</f>
        <v>0.45</v>
      </c>
      <c r="U161" s="247" t="n">
        <f aca="false">$U$16+T161</f>
        <v>0.52</v>
      </c>
      <c r="BP161" s="205" t="n">
        <f aca="false">BP160+BV161</f>
        <v>160</v>
      </c>
      <c r="BQ161" s="206" t="s">
        <v>893</v>
      </c>
      <c r="BR161" s="201" t="s">
        <v>203</v>
      </c>
      <c r="BS161" s="132" t="s">
        <v>334</v>
      </c>
      <c r="BT161" s="209" t="s">
        <v>205</v>
      </c>
      <c r="BU161" s="209"/>
      <c r="BV161" s="132" t="n">
        <v>1</v>
      </c>
      <c r="BW161" s="201" t="s">
        <v>894</v>
      </c>
      <c r="BX161" s="0"/>
      <c r="BZ161" s="205" t="n">
        <f aca="false">BZ160+CF161</f>
        <v>160</v>
      </c>
      <c r="CA161" s="63" t="s">
        <v>895</v>
      </c>
      <c r="CB161" s="201" t="s">
        <v>207</v>
      </c>
      <c r="CC161" s="132" t="s">
        <v>204</v>
      </c>
      <c r="CD161" s="209" t="s">
        <v>205</v>
      </c>
      <c r="CE161" s="209"/>
      <c r="CF161" s="132" t="n">
        <v>1</v>
      </c>
      <c r="CG161" s="201" t="s">
        <v>896</v>
      </c>
      <c r="CH161" s="0"/>
    </row>
    <row r="162" customFormat="false" ht="12.75" hidden="false" customHeight="false" outlineLevel="0" collapsed="false">
      <c r="A162" s="242"/>
      <c r="B162" s="192" t="e">
        <f aca="false">NextMonth(B161)</f>
        <v>#VALUE!</v>
      </c>
      <c r="C162" s="193" t="n">
        <v>0.074197153862938</v>
      </c>
      <c r="D162" s="193" t="n">
        <v>0.5</v>
      </c>
      <c r="E162" s="193" t="n">
        <v>0.5</v>
      </c>
      <c r="F162" s="193" t="n">
        <v>0.1475</v>
      </c>
      <c r="G162" s="193" t="n">
        <v>0.15</v>
      </c>
      <c r="H162" s="193" t="n">
        <v>0.1625</v>
      </c>
      <c r="I162" s="218" t="n">
        <v>3.2365</v>
      </c>
      <c r="J162" s="193" t="n">
        <v>3.2415</v>
      </c>
      <c r="K162" s="193" t="n">
        <v>3.2465</v>
      </c>
      <c r="L162" s="193" t="n">
        <v>-0.045757969</v>
      </c>
      <c r="M162" s="193" t="n">
        <v>0.2525</v>
      </c>
      <c r="O162" s="189" t="e">
        <f aca="false">(IF(MONTH(B162)&gt;=4,IF(MONTH(B162)&lt;=10,Inputs!$H$2,Inputs!$H$3),Inputs!$H$3))</f>
        <v>#VALUE!</v>
      </c>
      <c r="P162" s="244" t="e">
        <f aca="false">J162+(IF($L$2=TRUE(),IF(MONTH(B162)&gt;=4,IF(MONTH(B162)&lt;=10,L162,M162),M162),0))+(IF('Pricing Inputs'!$AN$3=2,O162,0))</f>
        <v>#VALUE!</v>
      </c>
      <c r="Q162" s="244"/>
      <c r="R162" s="245" t="e">
        <f aca="false">B162</f>
        <v>#VALUE!</v>
      </c>
      <c r="S162" s="246" t="n">
        <f aca="false">T162-$S$16</f>
        <v>0.43</v>
      </c>
      <c r="T162" s="241" t="n">
        <f aca="false">D162</f>
        <v>0.5</v>
      </c>
      <c r="U162" s="247" t="n">
        <f aca="false">$U$16+T162</f>
        <v>0.57</v>
      </c>
      <c r="BP162" s="205" t="n">
        <f aca="false">BP161+BV162</f>
        <v>161</v>
      </c>
      <c r="BQ162" s="206" t="s">
        <v>897</v>
      </c>
      <c r="BR162" s="201" t="s">
        <v>203</v>
      </c>
      <c r="BS162" s="132" t="s">
        <v>334</v>
      </c>
      <c r="BT162" s="209" t="s">
        <v>205</v>
      </c>
      <c r="BU162" s="209"/>
      <c r="BV162" s="132" t="n">
        <v>1</v>
      </c>
      <c r="BW162" s="201" t="s">
        <v>898</v>
      </c>
      <c r="BX162" s="0"/>
      <c r="BZ162" s="205" t="n">
        <f aca="false">BZ161+CF162</f>
        <v>161</v>
      </c>
      <c r="CA162" s="63" t="s">
        <v>899</v>
      </c>
      <c r="CB162" s="201" t="s">
        <v>207</v>
      </c>
      <c r="CC162" s="132" t="s">
        <v>204</v>
      </c>
      <c r="CD162" s="209" t="s">
        <v>205</v>
      </c>
      <c r="CE162" s="209"/>
      <c r="CF162" s="132" t="n">
        <v>1</v>
      </c>
      <c r="CG162" s="201" t="s">
        <v>900</v>
      </c>
      <c r="CH162" s="0"/>
    </row>
    <row r="163" customFormat="false" ht="12.75" hidden="false" customHeight="false" outlineLevel="0" collapsed="false">
      <c r="A163" s="242"/>
      <c r="B163" s="192" t="e">
        <f aca="false">NextMonth(B162)</f>
        <v>#VALUE!</v>
      </c>
      <c r="C163" s="193" t="n">
        <v>0.074196859145056</v>
      </c>
      <c r="D163" s="193" t="n">
        <v>0.5</v>
      </c>
      <c r="E163" s="193" t="n">
        <v>0.5</v>
      </c>
      <c r="F163" s="193" t="n">
        <v>0.1475</v>
      </c>
      <c r="G163" s="193" t="n">
        <v>0.15</v>
      </c>
      <c r="H163" s="193" t="n">
        <v>0.1625</v>
      </c>
      <c r="I163" s="218" t="n">
        <v>3.2425</v>
      </c>
      <c r="J163" s="193" t="n">
        <v>3.2475</v>
      </c>
      <c r="K163" s="193" t="n">
        <v>3.2525</v>
      </c>
      <c r="L163" s="193" t="n">
        <v>-0.045757969</v>
      </c>
      <c r="M163" s="193" t="n">
        <v>0.2525</v>
      </c>
      <c r="O163" s="189" t="e">
        <f aca="false">(IF(MONTH(B163)&gt;=4,IF(MONTH(B163)&lt;=10,Inputs!$H$2,Inputs!$H$3),Inputs!$H$3))</f>
        <v>#VALUE!</v>
      </c>
      <c r="P163" s="244" t="e">
        <f aca="false">J163+(IF($L$2=TRUE(),IF(MONTH(B163)&gt;=4,IF(MONTH(B163)&lt;=10,L163,M163),M163),0))+(IF('Pricing Inputs'!$AN$3=2,O163,0))</f>
        <v>#VALUE!</v>
      </c>
      <c r="Q163" s="244"/>
      <c r="R163" s="245" t="e">
        <f aca="false">B163</f>
        <v>#VALUE!</v>
      </c>
      <c r="S163" s="246" t="n">
        <f aca="false">T163-$S$16</f>
        <v>0.43</v>
      </c>
      <c r="T163" s="241" t="n">
        <f aca="false">D163</f>
        <v>0.5</v>
      </c>
      <c r="U163" s="247" t="n">
        <f aca="false">$U$16+T163</f>
        <v>0.57</v>
      </c>
      <c r="BP163" s="205" t="n">
        <f aca="false">BP162+BV163</f>
        <v>162</v>
      </c>
      <c r="BQ163" s="206" t="s">
        <v>901</v>
      </c>
      <c r="BR163" s="201" t="s">
        <v>203</v>
      </c>
      <c r="BS163" s="132" t="s">
        <v>334</v>
      </c>
      <c r="BT163" s="209" t="s">
        <v>205</v>
      </c>
      <c r="BU163" s="209"/>
      <c r="BV163" s="132" t="n">
        <v>1</v>
      </c>
      <c r="BW163" s="201" t="s">
        <v>902</v>
      </c>
      <c r="BX163" s="0"/>
      <c r="BZ163" s="205" t="n">
        <f aca="false">BZ162+CF163</f>
        <v>162</v>
      </c>
      <c r="CA163" s="63" t="s">
        <v>903</v>
      </c>
      <c r="CB163" s="201" t="s">
        <v>207</v>
      </c>
      <c r="CC163" s="132" t="s">
        <v>204</v>
      </c>
      <c r="CD163" s="209" t="s">
        <v>205</v>
      </c>
      <c r="CE163" s="209"/>
      <c r="CF163" s="132" t="n">
        <v>1</v>
      </c>
      <c r="CG163" s="201" t="s">
        <v>904</v>
      </c>
      <c r="CH163" s="0"/>
    </row>
    <row r="164" customFormat="false" ht="12.75" hidden="false" customHeight="false" outlineLevel="0" collapsed="false">
      <c r="A164" s="242"/>
      <c r="B164" s="192" t="e">
        <f aca="false">NextMonth(B163)</f>
        <v>#VALUE!</v>
      </c>
      <c r="C164" s="193" t="n">
        <v>0.074196573934203</v>
      </c>
      <c r="D164" s="193" t="n">
        <v>0.5</v>
      </c>
      <c r="E164" s="193" t="n">
        <v>0.5</v>
      </c>
      <c r="F164" s="193" t="n">
        <v>0.1475</v>
      </c>
      <c r="G164" s="193" t="n">
        <v>0.15</v>
      </c>
      <c r="H164" s="193" t="n">
        <v>0.1625</v>
      </c>
      <c r="I164" s="218" t="n">
        <v>3.2525</v>
      </c>
      <c r="J164" s="193" t="n">
        <v>3.2575</v>
      </c>
      <c r="K164" s="193" t="n">
        <v>3.2625</v>
      </c>
      <c r="L164" s="193" t="n">
        <v>-0.045757969</v>
      </c>
      <c r="M164" s="193" t="n">
        <v>0.2575</v>
      </c>
      <c r="O164" s="189" t="e">
        <f aca="false">(IF(MONTH(B164)&gt;=4,IF(MONTH(B164)&lt;=10,Inputs!$H$2,Inputs!$H$3),Inputs!$H$3))</f>
        <v>#VALUE!</v>
      </c>
      <c r="P164" s="244" t="e">
        <f aca="false">J164+(IF($L$2=TRUE(),IF(MONTH(B164)&gt;=4,IF(MONTH(B164)&lt;=10,L164,M164),M164),0))+(IF('Pricing Inputs'!$AN$3=2,O164,0))</f>
        <v>#VALUE!</v>
      </c>
      <c r="Q164" s="244"/>
      <c r="R164" s="245" t="e">
        <f aca="false">B164</f>
        <v>#VALUE!</v>
      </c>
      <c r="S164" s="246" t="n">
        <f aca="false">T164-$S$16</f>
        <v>0.43</v>
      </c>
      <c r="T164" s="241" t="n">
        <f aca="false">D164</f>
        <v>0.5</v>
      </c>
      <c r="U164" s="247" t="n">
        <f aca="false">$U$16+T164</f>
        <v>0.57</v>
      </c>
      <c r="BP164" s="205" t="n">
        <f aca="false">BP163+BV164</f>
        <v>163</v>
      </c>
      <c r="BQ164" s="206" t="s">
        <v>905</v>
      </c>
      <c r="BR164" s="201" t="s">
        <v>203</v>
      </c>
      <c r="BS164" s="132" t="s">
        <v>334</v>
      </c>
      <c r="BT164" s="209" t="s">
        <v>205</v>
      </c>
      <c r="BU164" s="209"/>
      <c r="BV164" s="132" t="n">
        <v>1</v>
      </c>
      <c r="BW164" s="201" t="s">
        <v>906</v>
      </c>
      <c r="BX164" s="0"/>
      <c r="BZ164" s="205" t="n">
        <f aca="false">BZ163+CF164</f>
        <v>163</v>
      </c>
      <c r="CA164" s="63" t="s">
        <v>907</v>
      </c>
      <c r="CB164" s="201" t="s">
        <v>207</v>
      </c>
      <c r="CC164" s="132" t="s">
        <v>204</v>
      </c>
      <c r="CD164" s="209" t="s">
        <v>205</v>
      </c>
      <c r="CE164" s="209"/>
      <c r="CF164" s="132" t="n">
        <v>1</v>
      </c>
      <c r="CG164" s="201" t="s">
        <v>908</v>
      </c>
      <c r="CH164" s="0"/>
    </row>
    <row r="165" customFormat="false" ht="12.75" hidden="false" customHeight="false" outlineLevel="0" collapsed="false">
      <c r="A165" s="242"/>
      <c r="B165" s="192" t="e">
        <f aca="false">NextMonth(B164)</f>
        <v>#VALUE!</v>
      </c>
      <c r="C165" s="193" t="n">
        <v>0.074196279216322</v>
      </c>
      <c r="D165" s="193" t="n">
        <v>0.6</v>
      </c>
      <c r="E165" s="193" t="n">
        <v>0.6</v>
      </c>
      <c r="F165" s="193" t="n">
        <v>0.1475</v>
      </c>
      <c r="G165" s="193" t="n">
        <v>0.15</v>
      </c>
      <c r="H165" s="193" t="n">
        <v>0.1625</v>
      </c>
      <c r="I165" s="218" t="n">
        <v>3.2595</v>
      </c>
      <c r="J165" s="193" t="n">
        <v>3.2645</v>
      </c>
      <c r="K165" s="193" t="n">
        <v>3.2695</v>
      </c>
      <c r="L165" s="193" t="n">
        <v>-0.045757969</v>
      </c>
      <c r="M165" s="193" t="n">
        <v>0.2575</v>
      </c>
      <c r="O165" s="189" t="e">
        <f aca="false">(IF(MONTH(B165)&gt;=4,IF(MONTH(B165)&lt;=10,Inputs!$H$2,Inputs!$H$3),Inputs!$H$3))</f>
        <v>#VALUE!</v>
      </c>
      <c r="P165" s="244" t="e">
        <f aca="false">J165+(IF($L$2=TRUE(),IF(MONTH(B165)&gt;=4,IF(MONTH(B165)&lt;=10,L165,M165),M165),0))+(IF('Pricing Inputs'!$AN$3=2,O165,0))</f>
        <v>#VALUE!</v>
      </c>
      <c r="Q165" s="244"/>
      <c r="R165" s="245" t="e">
        <f aca="false">B165</f>
        <v>#VALUE!</v>
      </c>
      <c r="S165" s="246" t="n">
        <f aca="false">T165-$S$16</f>
        <v>0.53</v>
      </c>
      <c r="T165" s="241" t="n">
        <f aca="false">D165</f>
        <v>0.6</v>
      </c>
      <c r="U165" s="247" t="n">
        <f aca="false">$U$16+T165</f>
        <v>0.67</v>
      </c>
      <c r="BP165" s="205" t="n">
        <f aca="false">BP164+BV165</f>
        <v>164</v>
      </c>
      <c r="BQ165" s="206" t="s">
        <v>909</v>
      </c>
      <c r="BR165" s="201" t="s">
        <v>203</v>
      </c>
      <c r="BS165" s="132" t="s">
        <v>334</v>
      </c>
      <c r="BT165" s="209" t="s">
        <v>205</v>
      </c>
      <c r="BU165" s="209"/>
      <c r="BV165" s="132" t="n">
        <v>1</v>
      </c>
      <c r="BW165" s="201" t="s">
        <v>910</v>
      </c>
      <c r="BX165" s="0"/>
      <c r="BZ165" s="205" t="n">
        <f aca="false">BZ164+CF165</f>
        <v>164</v>
      </c>
      <c r="CA165" s="63" t="s">
        <v>911</v>
      </c>
      <c r="CB165" s="201" t="s">
        <v>207</v>
      </c>
      <c r="CC165" s="132" t="s">
        <v>204</v>
      </c>
      <c r="CD165" s="209" t="s">
        <v>205</v>
      </c>
      <c r="CE165" s="209"/>
      <c r="CF165" s="132" t="n">
        <v>1</v>
      </c>
      <c r="CG165" s="201" t="s">
        <v>912</v>
      </c>
      <c r="CH165" s="0"/>
    </row>
    <row r="166" customFormat="false" ht="12.75" hidden="false" customHeight="false" outlineLevel="0" collapsed="false">
      <c r="A166" s="242"/>
      <c r="B166" s="192" t="e">
        <f aca="false">NextMonth(B165)</f>
        <v>#VALUE!</v>
      </c>
      <c r="C166" s="193" t="n">
        <v>0.074195984498441</v>
      </c>
      <c r="D166" s="193" t="n">
        <v>0.6</v>
      </c>
      <c r="E166" s="193" t="n">
        <v>0.6</v>
      </c>
      <c r="F166" s="193" t="n">
        <v>0.1475</v>
      </c>
      <c r="G166" s="193" t="n">
        <v>0.15</v>
      </c>
      <c r="H166" s="193" t="n">
        <v>0.1625</v>
      </c>
      <c r="I166" s="218" t="n">
        <v>3.2665</v>
      </c>
      <c r="J166" s="193" t="n">
        <v>3.2715</v>
      </c>
      <c r="K166" s="193" t="n">
        <v>3.2765</v>
      </c>
      <c r="L166" s="193" t="n">
        <v>-0.045757969</v>
      </c>
      <c r="M166" s="193" t="n">
        <v>0.2525</v>
      </c>
      <c r="O166" s="189" t="e">
        <f aca="false">(IF(MONTH(B166)&gt;=4,IF(MONTH(B166)&lt;=10,Inputs!$H$2,Inputs!$H$3),Inputs!$H$3))</f>
        <v>#VALUE!</v>
      </c>
      <c r="P166" s="244" t="e">
        <f aca="false">J166+(IF($L$2=TRUE(),IF(MONTH(B166)&gt;=4,IF(MONTH(B166)&lt;=10,L166,M166),M166),0))+(IF('Pricing Inputs'!$AN$3=2,O166,0))</f>
        <v>#VALUE!</v>
      </c>
      <c r="Q166" s="244"/>
      <c r="R166" s="245" t="e">
        <f aca="false">B166</f>
        <v>#VALUE!</v>
      </c>
      <c r="S166" s="246" t="n">
        <f aca="false">T166-$S$16</f>
        <v>0.53</v>
      </c>
      <c r="T166" s="241" t="n">
        <f aca="false">D166</f>
        <v>0.6</v>
      </c>
      <c r="U166" s="247" t="n">
        <f aca="false">$U$16+T166</f>
        <v>0.67</v>
      </c>
      <c r="BP166" s="205" t="n">
        <f aca="false">BP165+BV166</f>
        <v>165</v>
      </c>
      <c r="BQ166" s="206" t="s">
        <v>913</v>
      </c>
      <c r="BR166" s="201" t="s">
        <v>203</v>
      </c>
      <c r="BS166" s="132" t="s">
        <v>334</v>
      </c>
      <c r="BT166" s="209" t="s">
        <v>205</v>
      </c>
      <c r="BU166" s="209"/>
      <c r="BV166" s="132" t="n">
        <v>1</v>
      </c>
      <c r="BW166" s="201" t="s">
        <v>914</v>
      </c>
      <c r="BX166" s="0"/>
      <c r="BZ166" s="205" t="n">
        <f aca="false">BZ165+CF166</f>
        <v>165</v>
      </c>
      <c r="CA166" s="63" t="s">
        <v>915</v>
      </c>
      <c r="CB166" s="201" t="s">
        <v>207</v>
      </c>
      <c r="CC166" s="132" t="s">
        <v>204</v>
      </c>
      <c r="CD166" s="209" t="s">
        <v>205</v>
      </c>
      <c r="CE166" s="209"/>
      <c r="CF166" s="132" t="n">
        <v>1</v>
      </c>
      <c r="CG166" s="201" t="s">
        <v>916</v>
      </c>
      <c r="CH166" s="0"/>
    </row>
    <row r="167" customFormat="false" ht="12.75" hidden="false" customHeight="false" outlineLevel="0" collapsed="false">
      <c r="A167" s="242"/>
      <c r="B167" s="192" t="e">
        <f aca="false">NextMonth(B166)</f>
        <v>#VALUE!</v>
      </c>
      <c r="C167" s="193" t="n">
        <v>0.074195699287587</v>
      </c>
      <c r="D167" s="193" t="n">
        <v>0.65</v>
      </c>
      <c r="E167" s="193" t="n">
        <v>0.65</v>
      </c>
      <c r="F167" s="193" t="n">
        <v>0.1475</v>
      </c>
      <c r="G167" s="193" t="n">
        <v>0.15</v>
      </c>
      <c r="H167" s="193" t="n">
        <v>0.1625</v>
      </c>
      <c r="I167" s="218" t="n">
        <v>3.2925</v>
      </c>
      <c r="J167" s="193" t="n">
        <v>3.2975</v>
      </c>
      <c r="K167" s="193" t="n">
        <v>3.3025</v>
      </c>
      <c r="L167" s="193" t="n">
        <v>-0.045757969</v>
      </c>
      <c r="M167" s="193" t="n">
        <v>0.255</v>
      </c>
      <c r="O167" s="189" t="e">
        <f aca="false">(IF(MONTH(B167)&gt;=4,IF(MONTH(B167)&lt;=10,Inputs!$H$2,Inputs!$H$3),Inputs!$H$3))</f>
        <v>#VALUE!</v>
      </c>
      <c r="P167" s="244" t="e">
        <f aca="false">J167+(IF($L$2=TRUE(),IF(MONTH(B167)&gt;=4,IF(MONTH(B167)&lt;=10,L167,M167),M167),0))+(IF('Pricing Inputs'!$AN$3=2,O167,0))</f>
        <v>#VALUE!</v>
      </c>
      <c r="Q167" s="244"/>
      <c r="R167" s="245" t="e">
        <f aca="false">B167</f>
        <v>#VALUE!</v>
      </c>
      <c r="S167" s="246" t="n">
        <f aca="false">T167-$S$16</f>
        <v>0.58</v>
      </c>
      <c r="T167" s="241" t="n">
        <f aca="false">D167</f>
        <v>0.65</v>
      </c>
      <c r="U167" s="247" t="n">
        <f aca="false">$U$16+T167</f>
        <v>0.72</v>
      </c>
      <c r="BP167" s="205" t="n">
        <f aca="false">BP166+BV167</f>
        <v>166</v>
      </c>
      <c r="BQ167" s="206" t="s">
        <v>917</v>
      </c>
      <c r="BR167" s="201" t="s">
        <v>203</v>
      </c>
      <c r="BS167" s="132" t="s">
        <v>334</v>
      </c>
      <c r="BT167" s="209" t="s">
        <v>205</v>
      </c>
      <c r="BU167" s="209"/>
      <c r="BV167" s="132" t="n">
        <v>1</v>
      </c>
      <c r="BW167" s="201" t="s">
        <v>918</v>
      </c>
      <c r="BX167" s="0"/>
      <c r="BZ167" s="205" t="n">
        <f aca="false">BZ166+CF167</f>
        <v>166</v>
      </c>
      <c r="CA167" s="63" t="s">
        <v>919</v>
      </c>
      <c r="CB167" s="201" t="s">
        <v>207</v>
      </c>
      <c r="CC167" s="132" t="s">
        <v>204</v>
      </c>
      <c r="CD167" s="209" t="s">
        <v>205</v>
      </c>
      <c r="CE167" s="209"/>
      <c r="CF167" s="132" t="n">
        <v>1</v>
      </c>
      <c r="CG167" s="201" t="s">
        <v>920</v>
      </c>
      <c r="CH167" s="0"/>
    </row>
    <row r="168" customFormat="false" ht="12.75" hidden="false" customHeight="false" outlineLevel="0" collapsed="false">
      <c r="A168" s="242"/>
      <c r="B168" s="192" t="e">
        <f aca="false">NextMonth(B167)</f>
        <v>#VALUE!</v>
      </c>
      <c r="C168" s="193" t="n">
        <v>0.074195404569706</v>
      </c>
      <c r="D168" s="193" t="n">
        <v>0.95</v>
      </c>
      <c r="E168" s="193" t="n">
        <v>0.95</v>
      </c>
      <c r="F168" s="193" t="n">
        <v>0.1475</v>
      </c>
      <c r="G168" s="193" t="n">
        <v>0.15</v>
      </c>
      <c r="H168" s="193" t="n">
        <v>0.1625</v>
      </c>
      <c r="I168" s="218" t="n">
        <v>3.4275</v>
      </c>
      <c r="J168" s="193" t="n">
        <v>3.4325</v>
      </c>
      <c r="K168" s="193" t="n">
        <v>3.4375</v>
      </c>
      <c r="L168" s="193" t="n">
        <v>-0.06162217825</v>
      </c>
      <c r="M168" s="193" t="n">
        <v>0.715</v>
      </c>
      <c r="O168" s="189" t="e">
        <f aca="false">(IF(MONTH(B168)&gt;=4,IF(MONTH(B168)&lt;=10,Inputs!$H$2,Inputs!$H$3),Inputs!$H$3))</f>
        <v>#VALUE!</v>
      </c>
      <c r="P168" s="244" t="e">
        <f aca="false">J168+(IF($L$2=TRUE(),IF(MONTH(B168)&gt;=4,IF(MONTH(B168)&lt;=10,L168,M168),M168),0))+(IF('Pricing Inputs'!$AN$3=2,O168,0))</f>
        <v>#VALUE!</v>
      </c>
      <c r="Q168" s="244"/>
      <c r="R168" s="245" t="e">
        <f aca="false">B168</f>
        <v>#VALUE!</v>
      </c>
      <c r="S168" s="246" t="n">
        <f aca="false">T168-$S$16</f>
        <v>0.88</v>
      </c>
      <c r="T168" s="241" t="n">
        <f aca="false">D168</f>
        <v>0.95</v>
      </c>
      <c r="U168" s="247" t="n">
        <f aca="false">$U$16+T168</f>
        <v>1.02</v>
      </c>
      <c r="BP168" s="205" t="n">
        <f aca="false">BP167+BV168</f>
        <v>167</v>
      </c>
      <c r="BQ168" s="206" t="s">
        <v>921</v>
      </c>
      <c r="BR168" s="201" t="s">
        <v>203</v>
      </c>
      <c r="BS168" s="132" t="s">
        <v>334</v>
      </c>
      <c r="BT168" s="209" t="s">
        <v>205</v>
      </c>
      <c r="BU168" s="209"/>
      <c r="BV168" s="132" t="n">
        <v>1</v>
      </c>
      <c r="BW168" s="201" t="s">
        <v>922</v>
      </c>
      <c r="BX168" s="0"/>
      <c r="BZ168" s="205" t="n">
        <f aca="false">BZ167+CF168</f>
        <v>167</v>
      </c>
      <c r="CA168" s="63" t="s">
        <v>923</v>
      </c>
      <c r="CB168" s="201" t="s">
        <v>207</v>
      </c>
      <c r="CC168" s="132" t="s">
        <v>204</v>
      </c>
      <c r="CD168" s="209" t="s">
        <v>205</v>
      </c>
      <c r="CE168" s="209"/>
      <c r="CF168" s="132" t="n">
        <v>1</v>
      </c>
      <c r="CG168" s="201" t="s">
        <v>924</v>
      </c>
      <c r="CH168" s="0"/>
    </row>
    <row r="169" customFormat="false" ht="12.75" hidden="false" customHeight="false" outlineLevel="0" collapsed="false">
      <c r="A169" s="242"/>
      <c r="B169" s="192" t="e">
        <f aca="false">NextMonth(B168)</f>
        <v>#VALUE!</v>
      </c>
      <c r="C169" s="193" t="n">
        <v>0.074195119358853</v>
      </c>
      <c r="D169" s="193" t="n">
        <v>1.25</v>
      </c>
      <c r="E169" s="193" t="n">
        <v>1.25</v>
      </c>
      <c r="F169" s="193" t="n">
        <v>0.1475</v>
      </c>
      <c r="G169" s="193" t="n">
        <v>0.15</v>
      </c>
      <c r="H169" s="193" t="n">
        <v>0.1625</v>
      </c>
      <c r="I169" s="218" t="n">
        <v>3.5515</v>
      </c>
      <c r="J169" s="193" t="n">
        <v>3.5565</v>
      </c>
      <c r="K169" s="193" t="n">
        <v>3.5615</v>
      </c>
      <c r="L169" s="193" t="n">
        <v>-0.0653629845</v>
      </c>
      <c r="M169" s="193" t="n">
        <v>1.03</v>
      </c>
      <c r="O169" s="189" t="e">
        <f aca="false">(IF(MONTH(B169)&gt;=4,IF(MONTH(B169)&lt;=10,Inputs!$H$2,Inputs!$H$3),Inputs!$H$3))</f>
        <v>#VALUE!</v>
      </c>
      <c r="P169" s="244" t="e">
        <f aca="false">J169+(IF($L$2=TRUE(),IF(MONTH(B169)&gt;=4,IF(MONTH(B169)&lt;=10,L169,M169),M169),0))+(IF('Pricing Inputs'!$AN$3=2,O169,0))</f>
        <v>#VALUE!</v>
      </c>
      <c r="Q169" s="244"/>
      <c r="R169" s="245" t="e">
        <f aca="false">B169</f>
        <v>#VALUE!</v>
      </c>
      <c r="S169" s="246" t="n">
        <f aca="false">T169-$S$16</f>
        <v>1.18</v>
      </c>
      <c r="T169" s="241" t="n">
        <f aca="false">D169</f>
        <v>1.25</v>
      </c>
      <c r="U169" s="247" t="n">
        <f aca="false">$U$16+T169</f>
        <v>1.32</v>
      </c>
      <c r="BP169" s="205" t="n">
        <f aca="false">BP168+BV169</f>
        <v>168</v>
      </c>
      <c r="BQ169" s="206" t="s">
        <v>925</v>
      </c>
      <c r="BR169" s="201" t="s">
        <v>203</v>
      </c>
      <c r="BS169" s="132" t="s">
        <v>334</v>
      </c>
      <c r="BT169" s="209" t="s">
        <v>205</v>
      </c>
      <c r="BU169" s="209"/>
      <c r="BV169" s="132" t="n">
        <v>1</v>
      </c>
      <c r="BW169" s="201" t="s">
        <v>926</v>
      </c>
      <c r="BX169" s="0"/>
      <c r="BZ169" s="205" t="n">
        <f aca="false">BZ168+CF169</f>
        <v>168</v>
      </c>
      <c r="CA169" s="63" t="s">
        <v>927</v>
      </c>
      <c r="CB169" s="201" t="s">
        <v>207</v>
      </c>
      <c r="CC169" s="132" t="s">
        <v>204</v>
      </c>
      <c r="CD169" s="209" t="s">
        <v>205</v>
      </c>
      <c r="CE169" s="209"/>
      <c r="CF169" s="132" t="n">
        <v>1</v>
      </c>
      <c r="CG169" s="201" t="s">
        <v>928</v>
      </c>
      <c r="CH169" s="0"/>
    </row>
    <row r="170" customFormat="false" ht="12.75" hidden="false" customHeight="false" outlineLevel="0" collapsed="false">
      <c r="A170" s="242"/>
      <c r="B170" s="192" t="e">
        <f aca="false">NextMonth(B169)</f>
        <v>#VALUE!</v>
      </c>
      <c r="C170" s="193" t="n">
        <v>0.074194824640971</v>
      </c>
      <c r="D170" s="193" t="n">
        <v>1.45</v>
      </c>
      <c r="E170" s="193" t="n">
        <v>1.45</v>
      </c>
      <c r="F170" s="193" t="n">
        <v>0.1465</v>
      </c>
      <c r="G170" s="193" t="n">
        <v>0.15</v>
      </c>
      <c r="H170" s="193" t="n">
        <v>0.1615</v>
      </c>
      <c r="I170" s="218" t="n">
        <v>3.64</v>
      </c>
      <c r="J170" s="193" t="n">
        <v>3.645</v>
      </c>
      <c r="K170" s="193" t="n">
        <v>3.65</v>
      </c>
      <c r="L170" s="193" t="n">
        <v>-0.064113796</v>
      </c>
      <c r="M170" s="193" t="n">
        <v>1.495</v>
      </c>
      <c r="O170" s="189" t="e">
        <f aca="false">(IF(MONTH(B170)&gt;=4,IF(MONTH(B170)&lt;=10,Inputs!$H$2,Inputs!$H$3),Inputs!$H$3))</f>
        <v>#VALUE!</v>
      </c>
      <c r="P170" s="244" t="e">
        <f aca="false">J170+(IF($L$2=TRUE(),IF(MONTH(B170)&gt;=4,IF(MONTH(B170)&lt;=10,L170,M170),M170),0))+(IF('Pricing Inputs'!$AN$3=2,O170,0))</f>
        <v>#VALUE!</v>
      </c>
      <c r="Q170" s="244"/>
      <c r="R170" s="245" t="e">
        <f aca="false">B170</f>
        <v>#VALUE!</v>
      </c>
      <c r="S170" s="246" t="n">
        <f aca="false">T170-$S$16</f>
        <v>1.38</v>
      </c>
      <c r="T170" s="241" t="n">
        <f aca="false">D170</f>
        <v>1.45</v>
      </c>
      <c r="U170" s="247" t="n">
        <f aca="false">$U$16+T170</f>
        <v>1.52</v>
      </c>
      <c r="BP170" s="205" t="n">
        <f aca="false">BP169+BV170</f>
        <v>169</v>
      </c>
      <c r="BQ170" s="206" t="s">
        <v>929</v>
      </c>
      <c r="BR170" s="201" t="s">
        <v>203</v>
      </c>
      <c r="BS170" s="132" t="s">
        <v>334</v>
      </c>
      <c r="BT170" s="209" t="s">
        <v>205</v>
      </c>
      <c r="BU170" s="209"/>
      <c r="BV170" s="132" t="n">
        <v>1</v>
      </c>
      <c r="BW170" s="201" t="s">
        <v>930</v>
      </c>
      <c r="BX170" s="0"/>
      <c r="BZ170" s="205" t="n">
        <f aca="false">BZ169+CF170</f>
        <v>169</v>
      </c>
      <c r="CA170" s="63" t="s">
        <v>931</v>
      </c>
      <c r="CB170" s="201" t="s">
        <v>207</v>
      </c>
      <c r="CC170" s="132" t="s">
        <v>204</v>
      </c>
      <c r="CD170" s="209" t="s">
        <v>205</v>
      </c>
      <c r="CE170" s="209"/>
      <c r="CF170" s="132" t="n">
        <v>1</v>
      </c>
      <c r="CG170" s="201" t="s">
        <v>932</v>
      </c>
      <c r="CH170" s="0"/>
    </row>
    <row r="171" customFormat="false" ht="12.75" hidden="false" customHeight="false" outlineLevel="0" collapsed="false">
      <c r="A171" s="242"/>
      <c r="B171" s="192" t="e">
        <f aca="false">NextMonth(B170)</f>
        <v>#VALUE!</v>
      </c>
      <c r="C171" s="193" t="n">
        <v>0.07419452992309</v>
      </c>
      <c r="D171" s="193" t="n">
        <v>1.45</v>
      </c>
      <c r="E171" s="193" t="n">
        <v>1.45</v>
      </c>
      <c r="F171" s="193" t="n">
        <v>0.1465</v>
      </c>
      <c r="G171" s="193" t="n">
        <v>0.15</v>
      </c>
      <c r="H171" s="193" t="n">
        <v>0.1615</v>
      </c>
      <c r="I171" s="218" t="n">
        <v>3.522</v>
      </c>
      <c r="J171" s="193" t="n">
        <v>3.527</v>
      </c>
      <c r="K171" s="193" t="n">
        <v>3.532</v>
      </c>
      <c r="L171" s="193" t="n">
        <v>-0.05786435575</v>
      </c>
      <c r="M171" s="193" t="n">
        <v>1.395</v>
      </c>
      <c r="O171" s="189" t="e">
        <f aca="false">(IF(MONTH(B171)&gt;=4,IF(MONTH(B171)&lt;=10,Inputs!$H$2,Inputs!$H$3),Inputs!$H$3))</f>
        <v>#VALUE!</v>
      </c>
      <c r="P171" s="244" t="e">
        <f aca="false">J171+(IF($L$2=TRUE(),IF(MONTH(B171)&gt;=4,IF(MONTH(B171)&lt;=10,L171,M171),M171),0))+(IF('Pricing Inputs'!$AN$3=2,O171,0))</f>
        <v>#VALUE!</v>
      </c>
      <c r="Q171" s="244"/>
      <c r="R171" s="245" t="e">
        <f aca="false">B171</f>
        <v>#VALUE!</v>
      </c>
      <c r="S171" s="246" t="n">
        <f aca="false">T171-$S$16</f>
        <v>1.38</v>
      </c>
      <c r="T171" s="241" t="n">
        <f aca="false">D171</f>
        <v>1.45</v>
      </c>
      <c r="U171" s="247" t="n">
        <f aca="false">$U$16+T171</f>
        <v>1.52</v>
      </c>
      <c r="BP171" s="205" t="n">
        <f aca="false">BP170+BV171</f>
        <v>170</v>
      </c>
      <c r="BQ171" s="206" t="s">
        <v>933</v>
      </c>
      <c r="BR171" s="201" t="s">
        <v>203</v>
      </c>
      <c r="BS171" s="132" t="s">
        <v>334</v>
      </c>
      <c r="BT171" s="209" t="s">
        <v>205</v>
      </c>
      <c r="BU171" s="209"/>
      <c r="BV171" s="132" t="n">
        <v>1</v>
      </c>
      <c r="BW171" s="201" t="s">
        <v>934</v>
      </c>
      <c r="BX171" s="0"/>
      <c r="BZ171" s="205" t="n">
        <f aca="false">BZ170+CF171</f>
        <v>170</v>
      </c>
      <c r="CA171" s="63" t="s">
        <v>935</v>
      </c>
      <c r="CB171" s="201" t="s">
        <v>207</v>
      </c>
      <c r="CC171" s="132" t="s">
        <v>204</v>
      </c>
      <c r="CD171" s="209" t="s">
        <v>205</v>
      </c>
      <c r="CE171" s="209"/>
      <c r="CF171" s="132" t="n">
        <v>1</v>
      </c>
      <c r="CG171" s="201" t="s">
        <v>936</v>
      </c>
      <c r="CH171" s="0"/>
    </row>
    <row r="172" customFormat="false" ht="12.75" hidden="false" customHeight="false" outlineLevel="0" collapsed="false">
      <c r="A172" s="242"/>
      <c r="B172" s="192" t="e">
        <f aca="false">NextMonth(B171)</f>
        <v>#VALUE!</v>
      </c>
      <c r="C172" s="193" t="n">
        <v>0.074194263726294</v>
      </c>
      <c r="D172" s="193" t="n">
        <v>1</v>
      </c>
      <c r="E172" s="193" t="n">
        <v>1</v>
      </c>
      <c r="F172" s="193" t="n">
        <v>0.1465</v>
      </c>
      <c r="G172" s="193" t="n">
        <v>0.15</v>
      </c>
      <c r="H172" s="193" t="n">
        <v>0.1615</v>
      </c>
      <c r="I172" s="218" t="n">
        <v>3.402</v>
      </c>
      <c r="J172" s="193" t="n">
        <v>3.407</v>
      </c>
      <c r="K172" s="193" t="n">
        <v>3.412</v>
      </c>
      <c r="L172" s="193" t="n">
        <v>-0.05536435575</v>
      </c>
      <c r="M172" s="193" t="n">
        <v>0.865</v>
      </c>
      <c r="O172" s="189" t="e">
        <f aca="false">(IF(MONTH(B172)&gt;=4,IF(MONTH(B172)&lt;=10,Inputs!$H$2,Inputs!$H$3),Inputs!$H$3))</f>
        <v>#VALUE!</v>
      </c>
      <c r="P172" s="244" t="e">
        <f aca="false">J172+(IF($L$2=TRUE(),IF(MONTH(B172)&gt;=4,IF(MONTH(B172)&lt;=10,L172,M172),M172),0))+(IF('Pricing Inputs'!$AN$3=2,O172,0))</f>
        <v>#VALUE!</v>
      </c>
      <c r="Q172" s="244"/>
      <c r="R172" s="245" t="e">
        <f aca="false">B172</f>
        <v>#VALUE!</v>
      </c>
      <c r="S172" s="246" t="n">
        <f aca="false">T172-$S$16</f>
        <v>0.93</v>
      </c>
      <c r="T172" s="241" t="n">
        <f aca="false">D172</f>
        <v>1</v>
      </c>
      <c r="U172" s="247" t="n">
        <f aca="false">$U$16+T172</f>
        <v>1.07</v>
      </c>
      <c r="BP172" s="205" t="n">
        <f aca="false">BP171+BV172</f>
        <v>171</v>
      </c>
      <c r="BQ172" s="206" t="s">
        <v>937</v>
      </c>
      <c r="BR172" s="201" t="s">
        <v>203</v>
      </c>
      <c r="BS172" s="132" t="s">
        <v>334</v>
      </c>
      <c r="BT172" s="209" t="s">
        <v>205</v>
      </c>
      <c r="BU172" s="209"/>
      <c r="BV172" s="132" t="n">
        <v>1</v>
      </c>
      <c r="BW172" s="201" t="s">
        <v>938</v>
      </c>
      <c r="BX172" s="0"/>
      <c r="BZ172" s="205" t="n">
        <f aca="false">BZ171+CF172</f>
        <v>171</v>
      </c>
      <c r="CA172" s="63" t="s">
        <v>939</v>
      </c>
      <c r="CB172" s="201" t="s">
        <v>207</v>
      </c>
      <c r="CC172" s="132" t="s">
        <v>204</v>
      </c>
      <c r="CD172" s="209" t="s">
        <v>205</v>
      </c>
      <c r="CE172" s="209"/>
      <c r="CF172" s="132" t="n">
        <v>1</v>
      </c>
      <c r="CG172" s="201" t="s">
        <v>940</v>
      </c>
      <c r="CH172" s="0"/>
    </row>
    <row r="173" customFormat="false" ht="12.75" hidden="false" customHeight="false" outlineLevel="0" collapsed="false">
      <c r="A173" s="242"/>
      <c r="B173" s="192" t="e">
        <f aca="false">NextMonth(B172)</f>
        <v>#VALUE!</v>
      </c>
      <c r="C173" s="193" t="n">
        <v>0.074193969008413</v>
      </c>
      <c r="D173" s="193" t="n">
        <v>0.45</v>
      </c>
      <c r="E173" s="193" t="n">
        <v>0.45</v>
      </c>
      <c r="F173" s="193" t="n">
        <v>0.1465</v>
      </c>
      <c r="G173" s="193" t="n">
        <v>0.15</v>
      </c>
      <c r="H173" s="193" t="n">
        <v>0.1615</v>
      </c>
      <c r="I173" s="218" t="n">
        <v>3.3525</v>
      </c>
      <c r="J173" s="193" t="n">
        <v>3.3575</v>
      </c>
      <c r="K173" s="193" t="n">
        <v>3.3625</v>
      </c>
      <c r="L173" s="193" t="n">
        <v>-0.04225584025</v>
      </c>
      <c r="M173" s="193" t="n">
        <v>0.37</v>
      </c>
      <c r="O173" s="189" t="e">
        <f aca="false">(IF(MONTH(B173)&gt;=4,IF(MONTH(B173)&lt;=10,Inputs!$H$2,Inputs!$H$3),Inputs!$H$3))</f>
        <v>#VALUE!</v>
      </c>
      <c r="P173" s="244" t="e">
        <f aca="false">J173+(IF($L$2=TRUE(),IF(MONTH(B173)&gt;=4,IF(MONTH(B173)&lt;=10,L173,M173),M173),0))+(IF('Pricing Inputs'!$AN$3=2,O173,0))</f>
        <v>#VALUE!</v>
      </c>
      <c r="Q173" s="244"/>
      <c r="R173" s="245" t="e">
        <f aca="false">B173</f>
        <v>#VALUE!</v>
      </c>
      <c r="S173" s="246" t="n">
        <f aca="false">T173-$S$16</f>
        <v>0.38</v>
      </c>
      <c r="T173" s="241" t="n">
        <f aca="false">D173</f>
        <v>0.45</v>
      </c>
      <c r="U173" s="247" t="n">
        <f aca="false">$U$16+T173</f>
        <v>0.52</v>
      </c>
      <c r="BP173" s="205" t="n">
        <f aca="false">BP172+BV173</f>
        <v>172</v>
      </c>
      <c r="BQ173" s="206" t="s">
        <v>941</v>
      </c>
      <c r="BR173" s="201" t="s">
        <v>203</v>
      </c>
      <c r="BS173" s="132" t="s">
        <v>334</v>
      </c>
      <c r="BT173" s="209" t="s">
        <v>205</v>
      </c>
      <c r="BU173" s="209"/>
      <c r="BV173" s="132" t="n">
        <v>1</v>
      </c>
      <c r="BW173" s="201" t="s">
        <v>942</v>
      </c>
      <c r="BX173" s="0"/>
      <c r="BZ173" s="205" t="n">
        <f aca="false">BZ172+CF173</f>
        <v>172</v>
      </c>
      <c r="CA173" s="63" t="s">
        <v>943</v>
      </c>
      <c r="CB173" s="201" t="s">
        <v>207</v>
      </c>
      <c r="CC173" s="132" t="s">
        <v>204</v>
      </c>
      <c r="CD173" s="209" t="s">
        <v>205</v>
      </c>
      <c r="CE173" s="209"/>
      <c r="CF173" s="132" t="n">
        <v>1</v>
      </c>
      <c r="CG173" s="201" t="s">
        <v>944</v>
      </c>
      <c r="CH173" s="0"/>
    </row>
    <row r="174" customFormat="false" ht="12.75" hidden="false" customHeight="false" outlineLevel="0" collapsed="false">
      <c r="A174" s="242"/>
      <c r="B174" s="192" t="e">
        <f aca="false">NextMonth(B173)</f>
        <v>#VALUE!</v>
      </c>
      <c r="C174" s="193" t="n">
        <v>0.07419368379756</v>
      </c>
      <c r="D174" s="193" t="n">
        <v>0.5</v>
      </c>
      <c r="E174" s="193" t="n">
        <v>0.5</v>
      </c>
      <c r="F174" s="193" t="n">
        <v>0.1465</v>
      </c>
      <c r="G174" s="193" t="n">
        <v>0.15</v>
      </c>
      <c r="H174" s="193" t="n">
        <v>0.1615</v>
      </c>
      <c r="I174" s="218" t="n">
        <v>3.3265</v>
      </c>
      <c r="J174" s="193" t="n">
        <v>3.3315</v>
      </c>
      <c r="K174" s="193" t="n">
        <v>3.3365</v>
      </c>
      <c r="L174" s="193" t="n">
        <v>-0.042257969</v>
      </c>
      <c r="M174" s="193" t="n">
        <v>0.2525</v>
      </c>
      <c r="O174" s="189" t="e">
        <f aca="false">(IF(MONTH(B174)&gt;=4,IF(MONTH(B174)&lt;=10,Inputs!$H$2,Inputs!$H$3),Inputs!$H$3))</f>
        <v>#VALUE!</v>
      </c>
      <c r="P174" s="244" t="e">
        <f aca="false">J174+(IF($L$2=TRUE(),IF(MONTH(B174)&gt;=4,IF(MONTH(B174)&lt;=10,L174,M174),M174),0))+(IF('Pricing Inputs'!$AN$3=2,O174,0))</f>
        <v>#VALUE!</v>
      </c>
      <c r="Q174" s="244"/>
      <c r="R174" s="245" t="e">
        <f aca="false">B174</f>
        <v>#VALUE!</v>
      </c>
      <c r="S174" s="246" t="n">
        <f aca="false">T174-$S$16</f>
        <v>0.43</v>
      </c>
      <c r="T174" s="241" t="n">
        <f aca="false">D174</f>
        <v>0.5</v>
      </c>
      <c r="U174" s="247" t="n">
        <f aca="false">$U$16+T174</f>
        <v>0.57</v>
      </c>
      <c r="BP174" s="205" t="n">
        <f aca="false">BP173+BV174</f>
        <v>173</v>
      </c>
      <c r="BQ174" s="206" t="s">
        <v>945</v>
      </c>
      <c r="BR174" s="201" t="s">
        <v>203</v>
      </c>
      <c r="BS174" s="132" t="s">
        <v>334</v>
      </c>
      <c r="BT174" s="209" t="s">
        <v>205</v>
      </c>
      <c r="BU174" s="209"/>
      <c r="BV174" s="132" t="n">
        <v>1</v>
      </c>
      <c r="BW174" s="201" t="s">
        <v>946</v>
      </c>
      <c r="BX174" s="0"/>
      <c r="BZ174" s="205" t="n">
        <f aca="false">BZ173+CF174</f>
        <v>173</v>
      </c>
      <c r="CA174" s="63" t="s">
        <v>947</v>
      </c>
      <c r="CB174" s="201" t="s">
        <v>207</v>
      </c>
      <c r="CC174" s="132" t="s">
        <v>204</v>
      </c>
      <c r="CD174" s="209" t="s">
        <v>205</v>
      </c>
      <c r="CE174" s="209"/>
      <c r="CF174" s="132" t="n">
        <v>1</v>
      </c>
      <c r="CG174" s="201" t="s">
        <v>948</v>
      </c>
      <c r="CH174" s="0"/>
    </row>
    <row r="175" customFormat="false" ht="12.75" hidden="false" customHeight="false" outlineLevel="0" collapsed="false">
      <c r="A175" s="242"/>
      <c r="B175" s="192" t="e">
        <f aca="false">NextMonth(B174)</f>
        <v>#VALUE!</v>
      </c>
      <c r="C175" s="193" t="n">
        <v>0.074193389079679</v>
      </c>
      <c r="D175" s="193" t="n">
        <v>0.5</v>
      </c>
      <c r="E175" s="193" t="n">
        <v>0.5</v>
      </c>
      <c r="F175" s="193" t="n">
        <v>0.1465</v>
      </c>
      <c r="G175" s="193" t="n">
        <v>0.15</v>
      </c>
      <c r="H175" s="193" t="n">
        <v>0.1615</v>
      </c>
      <c r="I175" s="218" t="n">
        <v>3.3325</v>
      </c>
      <c r="J175" s="193" t="n">
        <v>3.3375</v>
      </c>
      <c r="K175" s="193" t="n">
        <v>3.3425</v>
      </c>
      <c r="L175" s="193" t="n">
        <v>-0.042257969</v>
      </c>
      <c r="M175" s="193" t="n">
        <v>0.2525</v>
      </c>
      <c r="O175" s="189" t="e">
        <f aca="false">(IF(MONTH(B175)&gt;=4,IF(MONTH(B175)&lt;=10,Inputs!$H$2,Inputs!$H$3),Inputs!$H$3))</f>
        <v>#VALUE!</v>
      </c>
      <c r="P175" s="244" t="e">
        <f aca="false">J175+(IF($L$2=TRUE(),IF(MONTH(B175)&gt;=4,IF(MONTH(B175)&lt;=10,L175,M175),M175),0))+(IF('Pricing Inputs'!$AN$3=2,O175,0))</f>
        <v>#VALUE!</v>
      </c>
      <c r="Q175" s="244"/>
      <c r="R175" s="245" t="e">
        <f aca="false">B175</f>
        <v>#VALUE!</v>
      </c>
      <c r="S175" s="246" t="n">
        <f aca="false">T175-$S$16</f>
        <v>0.43</v>
      </c>
      <c r="T175" s="241" t="n">
        <f aca="false">D175</f>
        <v>0.5</v>
      </c>
      <c r="U175" s="247" t="n">
        <f aca="false">$U$16+T175</f>
        <v>0.57</v>
      </c>
      <c r="BP175" s="205" t="n">
        <f aca="false">BP174+BV175</f>
        <v>174</v>
      </c>
      <c r="BQ175" s="206" t="s">
        <v>949</v>
      </c>
      <c r="BR175" s="201" t="s">
        <v>203</v>
      </c>
      <c r="BS175" s="132" t="s">
        <v>334</v>
      </c>
      <c r="BT175" s="209" t="s">
        <v>205</v>
      </c>
      <c r="BU175" s="209"/>
      <c r="BV175" s="132" t="n">
        <v>1</v>
      </c>
      <c r="BW175" s="201" t="s">
        <v>950</v>
      </c>
      <c r="BX175" s="0"/>
      <c r="BZ175" s="205" t="n">
        <f aca="false">BZ174+CF175</f>
        <v>174</v>
      </c>
      <c r="CA175" s="63" t="s">
        <v>951</v>
      </c>
      <c r="CB175" s="201" t="s">
        <v>207</v>
      </c>
      <c r="CC175" s="132" t="s">
        <v>204</v>
      </c>
      <c r="CD175" s="209" t="s">
        <v>205</v>
      </c>
      <c r="CE175" s="209"/>
      <c r="CF175" s="132" t="n">
        <v>1</v>
      </c>
      <c r="CG175" s="201" t="s">
        <v>952</v>
      </c>
      <c r="CH175" s="0"/>
    </row>
    <row r="176" customFormat="false" ht="12.75" hidden="false" customHeight="false" outlineLevel="0" collapsed="false">
      <c r="A176" s="242"/>
      <c r="B176" s="192" t="e">
        <f aca="false">NextMonth(B175)</f>
        <v>#VALUE!</v>
      </c>
      <c r="C176" s="193" t="n">
        <v>0.074193103868826</v>
      </c>
      <c r="D176" s="193" t="n">
        <v>0.5</v>
      </c>
      <c r="E176" s="193" t="n">
        <v>0.5</v>
      </c>
      <c r="F176" s="193" t="n">
        <v>0.1465</v>
      </c>
      <c r="G176" s="193" t="n">
        <v>0.15</v>
      </c>
      <c r="H176" s="193" t="n">
        <v>0.1615</v>
      </c>
      <c r="I176" s="218" t="n">
        <v>3.3425</v>
      </c>
      <c r="J176" s="193" t="n">
        <v>3.3475</v>
      </c>
      <c r="K176" s="193" t="n">
        <v>3.3525</v>
      </c>
      <c r="L176" s="193" t="n">
        <v>-0.042257969</v>
      </c>
      <c r="M176" s="193" t="n">
        <v>0.2575</v>
      </c>
      <c r="O176" s="189" t="e">
        <f aca="false">(IF(MONTH(B176)&gt;=4,IF(MONTH(B176)&lt;=10,Inputs!$H$2,Inputs!$H$3),Inputs!$H$3))</f>
        <v>#VALUE!</v>
      </c>
      <c r="P176" s="244" t="e">
        <f aca="false">J176+(IF($L$2=TRUE(),IF(MONTH(B176)&gt;=4,IF(MONTH(B176)&lt;=10,L176,M176),M176),0))+(IF('Pricing Inputs'!$AN$3=2,O176,0))</f>
        <v>#VALUE!</v>
      </c>
      <c r="Q176" s="244"/>
      <c r="R176" s="245" t="e">
        <f aca="false">B176</f>
        <v>#VALUE!</v>
      </c>
      <c r="S176" s="246" t="n">
        <f aca="false">T176-$S$16</f>
        <v>0.43</v>
      </c>
      <c r="T176" s="241" t="n">
        <f aca="false">D176</f>
        <v>0.5</v>
      </c>
      <c r="U176" s="247" t="n">
        <f aca="false">$U$16+T176</f>
        <v>0.57</v>
      </c>
      <c r="BP176" s="205" t="n">
        <f aca="false">BP175+BV176</f>
        <v>175</v>
      </c>
      <c r="BQ176" s="206" t="s">
        <v>953</v>
      </c>
      <c r="BR176" s="201" t="s">
        <v>203</v>
      </c>
      <c r="BS176" s="132" t="s">
        <v>334</v>
      </c>
      <c r="BT176" s="209" t="s">
        <v>205</v>
      </c>
      <c r="BU176" s="209"/>
      <c r="BV176" s="132" t="n">
        <v>1</v>
      </c>
      <c r="BW176" s="201" t="s">
        <v>954</v>
      </c>
      <c r="BX176" s="0"/>
      <c r="BZ176" s="205" t="n">
        <f aca="false">BZ175+CF176</f>
        <v>175</v>
      </c>
      <c r="CA176" s="63" t="s">
        <v>955</v>
      </c>
      <c r="CB176" s="201" t="s">
        <v>207</v>
      </c>
      <c r="CC176" s="132" t="s">
        <v>204</v>
      </c>
      <c r="CD176" s="209" t="s">
        <v>205</v>
      </c>
      <c r="CE176" s="209"/>
      <c r="CF176" s="132" t="n">
        <v>1</v>
      </c>
      <c r="CG176" s="201" t="s">
        <v>956</v>
      </c>
      <c r="CH176" s="0"/>
    </row>
    <row r="177" customFormat="false" ht="12.75" hidden="false" customHeight="false" outlineLevel="0" collapsed="false">
      <c r="A177" s="242"/>
      <c r="B177" s="192" t="e">
        <f aca="false">NextMonth(B176)</f>
        <v>#VALUE!</v>
      </c>
      <c r="C177" s="193" t="n">
        <v>0.074192809150945</v>
      </c>
      <c r="D177" s="193" t="n">
        <v>0.6</v>
      </c>
      <c r="E177" s="193" t="n">
        <v>0.6</v>
      </c>
      <c r="F177" s="193" t="n">
        <v>0.1465</v>
      </c>
      <c r="G177" s="193" t="n">
        <v>0.15</v>
      </c>
      <c r="H177" s="193" t="n">
        <v>0.1615</v>
      </c>
      <c r="I177" s="218" t="n">
        <v>3.3495</v>
      </c>
      <c r="J177" s="193" t="n">
        <v>3.3545</v>
      </c>
      <c r="K177" s="193" t="n">
        <v>3.3595</v>
      </c>
      <c r="L177" s="193" t="n">
        <v>-0.042257969</v>
      </c>
      <c r="M177" s="193" t="n">
        <v>0.2575</v>
      </c>
      <c r="O177" s="189" t="e">
        <f aca="false">(IF(MONTH(B177)&gt;=4,IF(MONTH(B177)&lt;=10,Inputs!$H$2,Inputs!$H$3),Inputs!$H$3))</f>
        <v>#VALUE!</v>
      </c>
      <c r="P177" s="244" t="e">
        <f aca="false">J177+(IF($L$2=TRUE(),IF(MONTH(B177)&gt;=4,IF(MONTH(B177)&lt;=10,L177,M177),M177),0))+(IF('Pricing Inputs'!$AN$3=2,O177,0))</f>
        <v>#VALUE!</v>
      </c>
      <c r="Q177" s="244"/>
      <c r="R177" s="245" t="e">
        <f aca="false">B177</f>
        <v>#VALUE!</v>
      </c>
      <c r="S177" s="246" t="n">
        <f aca="false">T177-$S$16</f>
        <v>0.53</v>
      </c>
      <c r="T177" s="241" t="n">
        <f aca="false">D177</f>
        <v>0.6</v>
      </c>
      <c r="U177" s="247" t="n">
        <f aca="false">$U$16+T177</f>
        <v>0.67</v>
      </c>
      <c r="BP177" s="205" t="n">
        <f aca="false">BP176+BV177</f>
        <v>176</v>
      </c>
      <c r="BQ177" s="206" t="s">
        <v>957</v>
      </c>
      <c r="BR177" s="201" t="s">
        <v>203</v>
      </c>
      <c r="BS177" s="132" t="s">
        <v>334</v>
      </c>
      <c r="BT177" s="209" t="s">
        <v>205</v>
      </c>
      <c r="BU177" s="209"/>
      <c r="BV177" s="132" t="n">
        <v>1</v>
      </c>
      <c r="BW177" s="201" t="s">
        <v>958</v>
      </c>
      <c r="BX177" s="0"/>
      <c r="BZ177" s="205" t="n">
        <f aca="false">BZ176+CF177</f>
        <v>176</v>
      </c>
      <c r="CA177" s="63" t="s">
        <v>959</v>
      </c>
      <c r="CB177" s="201" t="s">
        <v>207</v>
      </c>
      <c r="CC177" s="132" t="s">
        <v>204</v>
      </c>
      <c r="CD177" s="209" t="s">
        <v>205</v>
      </c>
      <c r="CE177" s="209"/>
      <c r="CF177" s="132" t="n">
        <v>1</v>
      </c>
      <c r="CG177" s="201" t="s">
        <v>960</v>
      </c>
      <c r="CH177" s="0"/>
    </row>
    <row r="178" customFormat="false" ht="12.75" hidden="false" customHeight="false" outlineLevel="0" collapsed="false">
      <c r="A178" s="242"/>
      <c r="B178" s="192" t="e">
        <f aca="false">NextMonth(B177)</f>
        <v>#VALUE!</v>
      </c>
      <c r="C178" s="193" t="n">
        <v>0.074192514433064</v>
      </c>
      <c r="D178" s="193" t="n">
        <v>0.6</v>
      </c>
      <c r="E178" s="193" t="n">
        <v>0.6</v>
      </c>
      <c r="F178" s="193" t="n">
        <v>0.1465</v>
      </c>
      <c r="G178" s="193" t="n">
        <v>0.15</v>
      </c>
      <c r="H178" s="193" t="n">
        <v>0.1615</v>
      </c>
      <c r="I178" s="218" t="n">
        <v>3.3565</v>
      </c>
      <c r="J178" s="193" t="n">
        <v>3.3615</v>
      </c>
      <c r="K178" s="193" t="n">
        <v>3.3665</v>
      </c>
      <c r="L178" s="193" t="n">
        <v>-0.042257969</v>
      </c>
      <c r="M178" s="193" t="n">
        <v>0.2525</v>
      </c>
      <c r="O178" s="189" t="e">
        <f aca="false">(IF(MONTH(B178)&gt;=4,IF(MONTH(B178)&lt;=10,Inputs!$H$2,Inputs!$H$3),Inputs!$H$3))</f>
        <v>#VALUE!</v>
      </c>
      <c r="P178" s="244" t="e">
        <f aca="false">J178+(IF($L$2=TRUE(),IF(MONTH(B178)&gt;=4,IF(MONTH(B178)&lt;=10,L178,M178),M178),0))+(IF('Pricing Inputs'!$AN$3=2,O178,0))</f>
        <v>#VALUE!</v>
      </c>
      <c r="Q178" s="244"/>
      <c r="R178" s="245" t="e">
        <f aca="false">B178</f>
        <v>#VALUE!</v>
      </c>
      <c r="S178" s="246" t="n">
        <f aca="false">T178-$S$16</f>
        <v>0.53</v>
      </c>
      <c r="T178" s="241" t="n">
        <f aca="false">D178</f>
        <v>0.6</v>
      </c>
      <c r="U178" s="247" t="n">
        <f aca="false">$U$16+T178</f>
        <v>0.67</v>
      </c>
      <c r="BP178" s="205" t="n">
        <f aca="false">BP177+BV178</f>
        <v>177</v>
      </c>
      <c r="BQ178" s="206" t="s">
        <v>961</v>
      </c>
      <c r="BR178" s="201" t="s">
        <v>203</v>
      </c>
      <c r="BS178" s="132" t="s">
        <v>334</v>
      </c>
      <c r="BT178" s="209" t="s">
        <v>205</v>
      </c>
      <c r="BU178" s="209"/>
      <c r="BV178" s="132" t="n">
        <v>1</v>
      </c>
      <c r="BW178" s="201" t="s">
        <v>962</v>
      </c>
      <c r="BX178" s="0"/>
      <c r="BZ178" s="205" t="n">
        <f aca="false">BZ177+CF178</f>
        <v>177</v>
      </c>
      <c r="CA178" s="63" t="s">
        <v>963</v>
      </c>
      <c r="CB178" s="201" t="s">
        <v>207</v>
      </c>
      <c r="CC178" s="132" t="s">
        <v>204</v>
      </c>
      <c r="CD178" s="209" t="s">
        <v>205</v>
      </c>
      <c r="CE178" s="209"/>
      <c r="CF178" s="132" t="n">
        <v>1</v>
      </c>
      <c r="CG178" s="201" t="s">
        <v>964</v>
      </c>
      <c r="CH178" s="0"/>
    </row>
    <row r="179" customFormat="false" ht="12.75" hidden="false" customHeight="false" outlineLevel="0" collapsed="false">
      <c r="A179" s="242"/>
      <c r="B179" s="192" t="e">
        <f aca="false">NextMonth(B178)</f>
        <v>#VALUE!</v>
      </c>
      <c r="C179" s="193" t="n">
        <v>0.074192229222211</v>
      </c>
      <c r="D179" s="193" t="n">
        <v>0.65</v>
      </c>
      <c r="E179" s="193" t="n">
        <v>0.65</v>
      </c>
      <c r="F179" s="193" t="n">
        <v>0.1465</v>
      </c>
      <c r="G179" s="193" t="n">
        <v>0.15</v>
      </c>
      <c r="H179" s="193" t="n">
        <v>0.1615</v>
      </c>
      <c r="I179" s="218" t="n">
        <v>3.3825</v>
      </c>
      <c r="J179" s="193" t="n">
        <v>3.3875</v>
      </c>
      <c r="K179" s="193" t="n">
        <v>3.3925</v>
      </c>
      <c r="L179" s="193" t="n">
        <v>-0.042257969</v>
      </c>
      <c r="M179" s="193" t="n">
        <v>0.255</v>
      </c>
      <c r="O179" s="189" t="e">
        <f aca="false">(IF(MONTH(B179)&gt;=4,IF(MONTH(B179)&lt;=10,Inputs!$H$2,Inputs!$H$3),Inputs!$H$3))</f>
        <v>#VALUE!</v>
      </c>
      <c r="P179" s="244" t="e">
        <f aca="false">J179+(IF($L$2=TRUE(),IF(MONTH(B179)&gt;=4,IF(MONTH(B179)&lt;=10,L179,M179),M179),0))+(IF('Pricing Inputs'!$AN$3=2,O179,0))</f>
        <v>#VALUE!</v>
      </c>
      <c r="Q179" s="244"/>
      <c r="R179" s="245" t="e">
        <f aca="false">B179</f>
        <v>#VALUE!</v>
      </c>
      <c r="S179" s="246" t="n">
        <f aca="false">T179-$S$16</f>
        <v>0.58</v>
      </c>
      <c r="T179" s="241" t="n">
        <f aca="false">D179</f>
        <v>0.65</v>
      </c>
      <c r="U179" s="247" t="n">
        <f aca="false">$U$16+T179</f>
        <v>0.72</v>
      </c>
      <c r="BP179" s="205" t="n">
        <f aca="false">BP178+BV179</f>
        <v>178</v>
      </c>
      <c r="BQ179" s="206" t="s">
        <v>965</v>
      </c>
      <c r="BR179" s="201" t="s">
        <v>203</v>
      </c>
      <c r="BS179" s="132" t="s">
        <v>334</v>
      </c>
      <c r="BT179" s="209" t="s">
        <v>205</v>
      </c>
      <c r="BU179" s="209"/>
      <c r="BV179" s="132" t="n">
        <v>1</v>
      </c>
      <c r="BW179" s="201" t="s">
        <v>966</v>
      </c>
      <c r="BX179" s="0"/>
      <c r="BZ179" s="205" t="n">
        <f aca="false">BZ178+CF179</f>
        <v>178</v>
      </c>
      <c r="CA179" s="63" t="s">
        <v>967</v>
      </c>
      <c r="CB179" s="201" t="s">
        <v>207</v>
      </c>
      <c r="CC179" s="132" t="s">
        <v>204</v>
      </c>
      <c r="CD179" s="209" t="s">
        <v>205</v>
      </c>
      <c r="CE179" s="209"/>
      <c r="CF179" s="132" t="n">
        <v>1</v>
      </c>
      <c r="CG179" s="201" t="s">
        <v>968</v>
      </c>
      <c r="CH179" s="0"/>
    </row>
    <row r="180" customFormat="false" ht="12.75" hidden="false" customHeight="false" outlineLevel="0" collapsed="false">
      <c r="A180" s="242"/>
      <c r="B180" s="192" t="e">
        <f aca="false">NextMonth(B179)</f>
        <v>#VALUE!</v>
      </c>
      <c r="C180" s="193" t="n">
        <v>0.07419193450433</v>
      </c>
      <c r="D180" s="193" t="n">
        <v>0.95</v>
      </c>
      <c r="E180" s="193" t="n">
        <v>0.95</v>
      </c>
      <c r="F180" s="193" t="n">
        <v>0.1465</v>
      </c>
      <c r="G180" s="193" t="n">
        <v>0.15</v>
      </c>
      <c r="H180" s="193" t="n">
        <v>0.1615</v>
      </c>
      <c r="I180" s="218" t="n">
        <v>3.5175</v>
      </c>
      <c r="J180" s="193" t="n">
        <v>3.5225</v>
      </c>
      <c r="K180" s="193" t="n">
        <v>3.5275</v>
      </c>
      <c r="L180" s="193" t="n">
        <v>-0.05812217825</v>
      </c>
      <c r="M180" s="193" t="n">
        <v>0.715</v>
      </c>
      <c r="O180" s="189" t="e">
        <f aca="false">(IF(MONTH(B180)&gt;=4,IF(MONTH(B180)&lt;=10,Inputs!$H$2,Inputs!$H$3),Inputs!$H$3))</f>
        <v>#VALUE!</v>
      </c>
      <c r="P180" s="244" t="e">
        <f aca="false">J180+(IF($L$2=TRUE(),IF(MONTH(B180)&gt;=4,IF(MONTH(B180)&lt;=10,L180,M180),M180),0))+(IF('Pricing Inputs'!$AN$3=2,O180,0))</f>
        <v>#VALUE!</v>
      </c>
      <c r="Q180" s="244"/>
      <c r="R180" s="245" t="e">
        <f aca="false">B180</f>
        <v>#VALUE!</v>
      </c>
      <c r="S180" s="246" t="n">
        <f aca="false">T180-$S$16</f>
        <v>0.88</v>
      </c>
      <c r="T180" s="241" t="n">
        <f aca="false">D180</f>
        <v>0.95</v>
      </c>
      <c r="U180" s="247" t="n">
        <f aca="false">$U$16+T180</f>
        <v>1.02</v>
      </c>
      <c r="BP180" s="205" t="n">
        <f aca="false">BP179+BV180</f>
        <v>179</v>
      </c>
      <c r="BQ180" s="206" t="s">
        <v>969</v>
      </c>
      <c r="BR180" s="201" t="s">
        <v>203</v>
      </c>
      <c r="BS180" s="132" t="s">
        <v>334</v>
      </c>
      <c r="BT180" s="209" t="s">
        <v>205</v>
      </c>
      <c r="BU180" s="209"/>
      <c r="BV180" s="132" t="n">
        <v>1</v>
      </c>
      <c r="BW180" s="201" t="s">
        <v>970</v>
      </c>
      <c r="BX180" s="0"/>
      <c r="BZ180" s="205" t="n">
        <f aca="false">BZ179+CF180</f>
        <v>179</v>
      </c>
      <c r="CA180" s="63" t="s">
        <v>971</v>
      </c>
      <c r="CB180" s="201" t="s">
        <v>207</v>
      </c>
      <c r="CC180" s="132" t="s">
        <v>204</v>
      </c>
      <c r="CD180" s="209" t="s">
        <v>205</v>
      </c>
      <c r="CE180" s="209"/>
      <c r="CF180" s="132" t="n">
        <v>1</v>
      </c>
      <c r="CG180" s="201" t="s">
        <v>972</v>
      </c>
      <c r="CH180" s="0"/>
    </row>
    <row r="181" customFormat="false" ht="12.75" hidden="false" customHeight="false" outlineLevel="0" collapsed="false">
      <c r="A181" s="242"/>
      <c r="B181" s="192" t="e">
        <f aca="false">NextMonth(B180)</f>
        <v>#VALUE!</v>
      </c>
      <c r="C181" s="193" t="n">
        <v>0.074191649293478</v>
      </c>
      <c r="D181" s="193" t="n">
        <v>1.25</v>
      </c>
      <c r="E181" s="193" t="n">
        <v>1.25</v>
      </c>
      <c r="F181" s="193" t="n">
        <v>0.1465</v>
      </c>
      <c r="G181" s="193" t="n">
        <v>0.15</v>
      </c>
      <c r="H181" s="193" t="n">
        <v>0.1615</v>
      </c>
      <c r="I181" s="218" t="n">
        <v>3.6415</v>
      </c>
      <c r="J181" s="193" t="n">
        <v>3.6465</v>
      </c>
      <c r="K181" s="193" t="n">
        <v>3.6515</v>
      </c>
      <c r="L181" s="193" t="n">
        <v>-0.0618629845</v>
      </c>
      <c r="M181" s="193" t="n">
        <v>1.03</v>
      </c>
      <c r="O181" s="189" t="e">
        <f aca="false">(IF(MONTH(B181)&gt;=4,IF(MONTH(B181)&lt;=10,Inputs!$H$2,Inputs!$H$3),Inputs!$H$3))</f>
        <v>#VALUE!</v>
      </c>
      <c r="P181" s="244" t="e">
        <f aca="false">J181+(IF($L$2=TRUE(),IF(MONTH(B181)&gt;=4,IF(MONTH(B181)&lt;=10,L181,M181),M181),0))+(IF('Pricing Inputs'!$AN$3=2,O181,0))</f>
        <v>#VALUE!</v>
      </c>
      <c r="Q181" s="244"/>
      <c r="R181" s="245" t="e">
        <f aca="false">B181</f>
        <v>#VALUE!</v>
      </c>
      <c r="S181" s="246" t="n">
        <f aca="false">T181-$S$16</f>
        <v>1.18</v>
      </c>
      <c r="T181" s="241" t="n">
        <f aca="false">D181</f>
        <v>1.25</v>
      </c>
      <c r="U181" s="247" t="n">
        <f aca="false">$U$16+T181</f>
        <v>1.32</v>
      </c>
      <c r="BP181" s="205" t="n">
        <f aca="false">BP180+BV181</f>
        <v>180</v>
      </c>
      <c r="BQ181" s="206" t="s">
        <v>973</v>
      </c>
      <c r="BR181" s="201" t="s">
        <v>203</v>
      </c>
      <c r="BS181" s="132" t="s">
        <v>334</v>
      </c>
      <c r="BT181" s="209" t="s">
        <v>205</v>
      </c>
      <c r="BU181" s="209"/>
      <c r="BV181" s="132" t="n">
        <v>1</v>
      </c>
      <c r="BW181" s="201" t="s">
        <v>974</v>
      </c>
      <c r="BX181" s="0"/>
      <c r="BZ181" s="205" t="n">
        <f aca="false">BZ180+CF181</f>
        <v>180</v>
      </c>
      <c r="CA181" s="63" t="s">
        <v>975</v>
      </c>
      <c r="CB181" s="201" t="s">
        <v>207</v>
      </c>
      <c r="CC181" s="132" t="s">
        <v>204</v>
      </c>
      <c r="CD181" s="209" t="s">
        <v>205</v>
      </c>
      <c r="CE181" s="209"/>
      <c r="CF181" s="132" t="n">
        <v>1</v>
      </c>
      <c r="CG181" s="201" t="s">
        <v>976</v>
      </c>
      <c r="CH181" s="0"/>
    </row>
    <row r="182" customFormat="false" ht="12.75" hidden="false" customHeight="false" outlineLevel="0" collapsed="false">
      <c r="A182" s="242"/>
      <c r="B182" s="192" t="e">
        <f aca="false">NextMonth(B181)</f>
        <v>#VALUE!</v>
      </c>
      <c r="C182" s="193" t="n">
        <v>0.074191354575597</v>
      </c>
      <c r="D182" s="193" t="n">
        <v>1.45</v>
      </c>
      <c r="E182" s="193" t="n">
        <v>1.45</v>
      </c>
      <c r="F182" s="193" t="n">
        <v>0.1455</v>
      </c>
      <c r="G182" s="193" t="n">
        <v>0.15</v>
      </c>
      <c r="H182" s="193" t="n">
        <v>0.1605</v>
      </c>
      <c r="I182" s="218" t="n">
        <v>3.735</v>
      </c>
      <c r="J182" s="193" t="n">
        <v>3.74</v>
      </c>
      <c r="K182" s="193" t="n">
        <v>3.745</v>
      </c>
      <c r="L182" s="193" t="n">
        <v>-0.060613796</v>
      </c>
      <c r="M182" s="193" t="n">
        <v>1.495</v>
      </c>
      <c r="O182" s="189" t="e">
        <f aca="false">(IF(MONTH(B182)&gt;=4,IF(MONTH(B182)&lt;=10,Inputs!$H$2,Inputs!$H$3),Inputs!$H$3))</f>
        <v>#VALUE!</v>
      </c>
      <c r="P182" s="244" t="e">
        <f aca="false">J182+(IF($L$2=TRUE(),IF(MONTH(B182)&gt;=4,IF(MONTH(B182)&lt;=10,L182,M182),M182),0))+(IF('Pricing Inputs'!$AN$3=2,O182,0))</f>
        <v>#VALUE!</v>
      </c>
      <c r="Q182" s="244"/>
      <c r="R182" s="245" t="e">
        <f aca="false">B182</f>
        <v>#VALUE!</v>
      </c>
      <c r="S182" s="246" t="n">
        <f aca="false">T182-$S$16</f>
        <v>1.38</v>
      </c>
      <c r="T182" s="241" t="n">
        <f aca="false">D182</f>
        <v>1.45</v>
      </c>
      <c r="U182" s="247" t="n">
        <f aca="false">$U$16+T182</f>
        <v>1.52</v>
      </c>
      <c r="BP182" s="205" t="n">
        <f aca="false">BP181+BV182</f>
        <v>181</v>
      </c>
      <c r="BQ182" s="206" t="s">
        <v>977</v>
      </c>
      <c r="BR182" s="201" t="s">
        <v>203</v>
      </c>
      <c r="BS182" s="132" t="s">
        <v>334</v>
      </c>
      <c r="BT182" s="209" t="s">
        <v>205</v>
      </c>
      <c r="BU182" s="209"/>
      <c r="BV182" s="132" t="n">
        <v>1</v>
      </c>
      <c r="BW182" s="201" t="s">
        <v>978</v>
      </c>
      <c r="BX182" s="0"/>
      <c r="BZ182" s="205" t="n">
        <f aca="false">BZ181+CF182</f>
        <v>181</v>
      </c>
      <c r="CA182" s="63" t="s">
        <v>979</v>
      </c>
      <c r="CB182" s="201" t="s">
        <v>207</v>
      </c>
      <c r="CC182" s="132" t="s">
        <v>204</v>
      </c>
      <c r="CD182" s="209" t="s">
        <v>205</v>
      </c>
      <c r="CE182" s="209"/>
      <c r="CF182" s="132" t="n">
        <v>1</v>
      </c>
      <c r="CG182" s="201" t="s">
        <v>980</v>
      </c>
      <c r="CH182" s="0"/>
    </row>
    <row r="183" customFormat="false" ht="12.75" hidden="false" customHeight="false" outlineLevel="0" collapsed="false">
      <c r="A183" s="242"/>
      <c r="B183" s="192" t="e">
        <f aca="false">NextMonth(B182)</f>
        <v>#VALUE!</v>
      </c>
      <c r="C183" s="193" t="n">
        <v>0.074191059857715</v>
      </c>
      <c r="D183" s="193" t="n">
        <v>1.45</v>
      </c>
      <c r="E183" s="193" t="n">
        <v>1.45</v>
      </c>
      <c r="F183" s="193" t="n">
        <v>0.1455</v>
      </c>
      <c r="G183" s="193" t="n">
        <v>0.15</v>
      </c>
      <c r="H183" s="193" t="n">
        <v>0.1605</v>
      </c>
      <c r="I183" s="218" t="n">
        <v>3.617</v>
      </c>
      <c r="J183" s="193" t="n">
        <v>3.622</v>
      </c>
      <c r="K183" s="193" t="n">
        <v>3.627</v>
      </c>
      <c r="L183" s="193" t="n">
        <v>-0.05436435575</v>
      </c>
      <c r="M183" s="193" t="n">
        <v>1.395</v>
      </c>
      <c r="O183" s="189" t="e">
        <f aca="false">(IF(MONTH(B183)&gt;=4,IF(MONTH(B183)&lt;=10,Inputs!$H$2,Inputs!$H$3),Inputs!$H$3))</f>
        <v>#VALUE!</v>
      </c>
      <c r="P183" s="244" t="e">
        <f aca="false">J183+(IF($L$2=TRUE(),IF(MONTH(B183)&gt;=4,IF(MONTH(B183)&lt;=10,L183,M183),M183),0))+(IF('Pricing Inputs'!$AN$3=2,O183,0))</f>
        <v>#VALUE!</v>
      </c>
      <c r="Q183" s="244"/>
      <c r="R183" s="245" t="e">
        <f aca="false">B183</f>
        <v>#VALUE!</v>
      </c>
      <c r="S183" s="246" t="n">
        <f aca="false">T183-$S$16</f>
        <v>1.38</v>
      </c>
      <c r="T183" s="241" t="n">
        <f aca="false">D183</f>
        <v>1.45</v>
      </c>
      <c r="U183" s="247" t="n">
        <f aca="false">$U$16+T183</f>
        <v>1.52</v>
      </c>
      <c r="BP183" s="205" t="n">
        <f aca="false">BP182+BV183</f>
        <v>182</v>
      </c>
      <c r="BQ183" s="206" t="s">
        <v>981</v>
      </c>
      <c r="BR183" s="201" t="s">
        <v>203</v>
      </c>
      <c r="BS183" s="132" t="s">
        <v>334</v>
      </c>
      <c r="BT183" s="209" t="s">
        <v>205</v>
      </c>
      <c r="BU183" s="209"/>
      <c r="BV183" s="132" t="n">
        <v>1</v>
      </c>
      <c r="BW183" s="201" t="s">
        <v>982</v>
      </c>
      <c r="BX183" s="0"/>
      <c r="BZ183" s="205" t="n">
        <f aca="false">BZ182+CF183</f>
        <v>182</v>
      </c>
      <c r="CA183" s="63" t="s">
        <v>983</v>
      </c>
      <c r="CB183" s="201" t="s">
        <v>207</v>
      </c>
      <c r="CC183" s="132" t="s">
        <v>204</v>
      </c>
      <c r="CD183" s="209" t="s">
        <v>205</v>
      </c>
      <c r="CE183" s="209"/>
      <c r="CF183" s="132" t="n">
        <v>1</v>
      </c>
      <c r="CG183" s="201" t="s">
        <v>984</v>
      </c>
      <c r="CH183" s="0"/>
    </row>
    <row r="184" customFormat="false" ht="12.75" hidden="false" customHeight="false" outlineLevel="0" collapsed="false">
      <c r="A184" s="242"/>
      <c r="B184" s="192" t="e">
        <f aca="false">NextMonth(B183)</f>
        <v>#VALUE!</v>
      </c>
      <c r="C184" s="193" t="n">
        <v>0.07419079366092</v>
      </c>
      <c r="D184" s="193" t="n">
        <v>1</v>
      </c>
      <c r="E184" s="193" t="n">
        <v>1</v>
      </c>
      <c r="F184" s="193" t="n">
        <v>0.1455</v>
      </c>
      <c r="G184" s="193" t="n">
        <v>0.15</v>
      </c>
      <c r="H184" s="193" t="n">
        <v>0.1605</v>
      </c>
      <c r="I184" s="218" t="n">
        <v>3.497</v>
      </c>
      <c r="J184" s="193" t="n">
        <v>3.502</v>
      </c>
      <c r="K184" s="193" t="n">
        <v>3.507</v>
      </c>
      <c r="L184" s="193" t="n">
        <v>-0.05186435575</v>
      </c>
      <c r="M184" s="193" t="n">
        <v>0.865</v>
      </c>
      <c r="O184" s="189" t="e">
        <f aca="false">(IF(MONTH(B184)&gt;=4,IF(MONTH(B184)&lt;=10,Inputs!$H$2,Inputs!$H$3),Inputs!$H$3))</f>
        <v>#VALUE!</v>
      </c>
      <c r="P184" s="244" t="e">
        <f aca="false">J184+(IF($L$2=TRUE(),IF(MONTH(B184)&gt;=4,IF(MONTH(B184)&lt;=10,L184,M184),M184),0))+(IF('Pricing Inputs'!$AN$3=2,O184,0))</f>
        <v>#VALUE!</v>
      </c>
      <c r="Q184" s="244"/>
      <c r="R184" s="245" t="e">
        <f aca="false">B184</f>
        <v>#VALUE!</v>
      </c>
      <c r="S184" s="246" t="n">
        <f aca="false">T184-$S$16</f>
        <v>0.93</v>
      </c>
      <c r="T184" s="241" t="n">
        <f aca="false">D184</f>
        <v>1</v>
      </c>
      <c r="U184" s="247" t="n">
        <f aca="false">$U$16+T184</f>
        <v>1.07</v>
      </c>
      <c r="BP184" s="205" t="n">
        <f aca="false">BP183+BV184</f>
        <v>183</v>
      </c>
      <c r="BQ184" s="206" t="s">
        <v>985</v>
      </c>
      <c r="BR184" s="201" t="s">
        <v>203</v>
      </c>
      <c r="BS184" s="132" t="s">
        <v>334</v>
      </c>
      <c r="BT184" s="209" t="s">
        <v>205</v>
      </c>
      <c r="BU184" s="209"/>
      <c r="BV184" s="132" t="n">
        <v>1</v>
      </c>
      <c r="BW184" s="201" t="s">
        <v>986</v>
      </c>
      <c r="BX184" s="0"/>
      <c r="BZ184" s="205" t="n">
        <f aca="false">BZ183+CF184</f>
        <v>183</v>
      </c>
      <c r="CA184" s="63" t="s">
        <v>987</v>
      </c>
      <c r="CB184" s="201" t="s">
        <v>207</v>
      </c>
      <c r="CC184" s="132" t="s">
        <v>204</v>
      </c>
      <c r="CD184" s="209" t="s">
        <v>205</v>
      </c>
      <c r="CE184" s="209"/>
      <c r="CF184" s="132" t="n">
        <v>1</v>
      </c>
      <c r="CG184" s="201" t="s">
        <v>988</v>
      </c>
      <c r="CH184" s="0"/>
    </row>
    <row r="185" customFormat="false" ht="12.75" hidden="false" customHeight="false" outlineLevel="0" collapsed="false">
      <c r="A185" s="242"/>
      <c r="B185" s="192" t="e">
        <f aca="false">NextMonth(B184)</f>
        <v>#VALUE!</v>
      </c>
      <c r="C185" s="193" t="n">
        <v>0.074190498943039</v>
      </c>
      <c r="D185" s="193" t="n">
        <v>0.45</v>
      </c>
      <c r="E185" s="193" t="n">
        <v>0.45</v>
      </c>
      <c r="F185" s="193" t="n">
        <v>0.1455</v>
      </c>
      <c r="G185" s="193" t="n">
        <v>0.15</v>
      </c>
      <c r="H185" s="193" t="n">
        <v>0.1605</v>
      </c>
      <c r="I185" s="218" t="n">
        <v>3.4475</v>
      </c>
      <c r="J185" s="193" t="n">
        <v>3.4525</v>
      </c>
      <c r="K185" s="193" t="n">
        <v>3.4575</v>
      </c>
      <c r="L185" s="193" t="n">
        <v>-0.03875584025</v>
      </c>
      <c r="M185" s="193" t="n">
        <v>0.37</v>
      </c>
      <c r="O185" s="189" t="e">
        <f aca="false">(IF(MONTH(B185)&gt;=4,IF(MONTH(B185)&lt;=10,Inputs!$H$2,Inputs!$H$3),Inputs!$H$3))</f>
        <v>#VALUE!</v>
      </c>
      <c r="P185" s="244" t="e">
        <f aca="false">J185+(IF($L$2=TRUE(),IF(MONTH(B185)&gt;=4,IF(MONTH(B185)&lt;=10,L185,M185),M185),0))+(IF('Pricing Inputs'!$AN$3=2,O185,0))</f>
        <v>#VALUE!</v>
      </c>
      <c r="Q185" s="244"/>
      <c r="R185" s="245" t="e">
        <f aca="false">B185</f>
        <v>#VALUE!</v>
      </c>
      <c r="S185" s="246" t="n">
        <f aca="false">T185-$S$16</f>
        <v>0.38</v>
      </c>
      <c r="T185" s="241" t="n">
        <f aca="false">D185</f>
        <v>0.45</v>
      </c>
      <c r="U185" s="247" t="n">
        <f aca="false">$U$16+T185</f>
        <v>0.52</v>
      </c>
      <c r="BP185" s="205" t="n">
        <f aca="false">BP184+BV185</f>
        <v>184</v>
      </c>
      <c r="BQ185" s="206" t="s">
        <v>989</v>
      </c>
      <c r="BR185" s="201" t="s">
        <v>203</v>
      </c>
      <c r="BS185" s="132" t="s">
        <v>334</v>
      </c>
      <c r="BT185" s="209" t="s">
        <v>205</v>
      </c>
      <c r="BU185" s="209"/>
      <c r="BV185" s="132" t="n">
        <v>1</v>
      </c>
      <c r="BW185" s="201" t="s">
        <v>990</v>
      </c>
      <c r="BX185" s="0"/>
      <c r="BZ185" s="205" t="n">
        <f aca="false">BZ184+CF185</f>
        <v>184</v>
      </c>
      <c r="CA185" s="63" t="s">
        <v>991</v>
      </c>
      <c r="CB185" s="201" t="s">
        <v>207</v>
      </c>
      <c r="CC185" s="132" t="s">
        <v>204</v>
      </c>
      <c r="CD185" s="209" t="s">
        <v>205</v>
      </c>
      <c r="CE185" s="209"/>
      <c r="CF185" s="132" t="n">
        <v>1</v>
      </c>
      <c r="CG185" s="201" t="s">
        <v>992</v>
      </c>
      <c r="CH185" s="0"/>
    </row>
    <row r="186" customFormat="false" ht="12.75" hidden="false" customHeight="false" outlineLevel="0" collapsed="false">
      <c r="A186" s="242"/>
      <c r="B186" s="192" t="e">
        <f aca="false">NextMonth(B185)</f>
        <v>#VALUE!</v>
      </c>
      <c r="C186" s="193" t="n">
        <v>0.074190213732186</v>
      </c>
      <c r="D186" s="193" t="n">
        <v>0.5</v>
      </c>
      <c r="E186" s="193" t="n">
        <v>0.5</v>
      </c>
      <c r="F186" s="193" t="n">
        <v>0.1455</v>
      </c>
      <c r="G186" s="193" t="n">
        <v>0.15</v>
      </c>
      <c r="H186" s="193" t="n">
        <v>0.1605</v>
      </c>
      <c r="I186" s="218" t="n">
        <v>3.4215</v>
      </c>
      <c r="J186" s="193" t="n">
        <v>3.4265</v>
      </c>
      <c r="K186" s="193" t="n">
        <v>3.4315</v>
      </c>
      <c r="L186" s="193" t="n">
        <v>-0.038757969</v>
      </c>
      <c r="M186" s="193" t="n">
        <v>0.2525</v>
      </c>
      <c r="O186" s="189" t="e">
        <f aca="false">(IF(MONTH(B186)&gt;=4,IF(MONTH(B186)&lt;=10,Inputs!$H$2,Inputs!$H$3),Inputs!$H$3))</f>
        <v>#VALUE!</v>
      </c>
      <c r="P186" s="244" t="e">
        <f aca="false">J186+(IF($L$2=TRUE(),IF(MONTH(B186)&gt;=4,IF(MONTH(B186)&lt;=10,L186,M186),M186),0))+(IF('Pricing Inputs'!$AN$3=2,O186,0))</f>
        <v>#VALUE!</v>
      </c>
      <c r="Q186" s="244"/>
      <c r="R186" s="245" t="e">
        <f aca="false">B186</f>
        <v>#VALUE!</v>
      </c>
      <c r="S186" s="246" t="n">
        <f aca="false">T186-$S$16</f>
        <v>0.43</v>
      </c>
      <c r="T186" s="241" t="n">
        <f aca="false">D186</f>
        <v>0.5</v>
      </c>
      <c r="U186" s="247" t="n">
        <f aca="false">$U$16+T186</f>
        <v>0.57</v>
      </c>
      <c r="BP186" s="205" t="n">
        <f aca="false">BP185+BV186</f>
        <v>185</v>
      </c>
      <c r="BQ186" s="206" t="s">
        <v>993</v>
      </c>
      <c r="BR186" s="201" t="s">
        <v>203</v>
      </c>
      <c r="BS186" s="132" t="s">
        <v>334</v>
      </c>
      <c r="BT186" s="209" t="s">
        <v>205</v>
      </c>
      <c r="BU186" s="209"/>
      <c r="BV186" s="132" t="n">
        <v>1</v>
      </c>
      <c r="BW186" s="201" t="s">
        <v>994</v>
      </c>
      <c r="BX186" s="0"/>
      <c r="BZ186" s="205" t="n">
        <f aca="false">BZ185+CF186</f>
        <v>185</v>
      </c>
      <c r="CA186" s="63" t="s">
        <v>995</v>
      </c>
      <c r="CB186" s="201" t="s">
        <v>207</v>
      </c>
      <c r="CC186" s="132" t="s">
        <v>204</v>
      </c>
      <c r="CD186" s="209" t="s">
        <v>205</v>
      </c>
      <c r="CE186" s="209"/>
      <c r="CF186" s="132" t="n">
        <v>1</v>
      </c>
      <c r="CG186" s="201" t="s">
        <v>996</v>
      </c>
      <c r="CH186" s="0"/>
    </row>
    <row r="187" customFormat="false" ht="12.75" hidden="false" customHeight="false" outlineLevel="0" collapsed="false">
      <c r="A187" s="242"/>
      <c r="B187" s="192" t="e">
        <f aca="false">NextMonth(B186)</f>
        <v>#VALUE!</v>
      </c>
      <c r="C187" s="193" t="n">
        <v>0.074189919014306</v>
      </c>
      <c r="D187" s="193" t="n">
        <v>0.5</v>
      </c>
      <c r="E187" s="193" t="n">
        <v>0.5</v>
      </c>
      <c r="F187" s="193" t="n">
        <v>0.1455</v>
      </c>
      <c r="G187" s="193" t="n">
        <v>0.15</v>
      </c>
      <c r="H187" s="193" t="n">
        <v>0.1605</v>
      </c>
      <c r="I187" s="218" t="n">
        <v>3.4275</v>
      </c>
      <c r="J187" s="193" t="n">
        <v>3.4325</v>
      </c>
      <c r="K187" s="193" t="n">
        <v>3.4375</v>
      </c>
      <c r="L187" s="193" t="n">
        <v>-0.038757969</v>
      </c>
      <c r="M187" s="193" t="n">
        <v>0.2525</v>
      </c>
      <c r="O187" s="189" t="e">
        <f aca="false">(IF(MONTH(B187)&gt;=4,IF(MONTH(B187)&lt;=10,Inputs!$H$2,Inputs!$H$3),Inputs!$H$3))</f>
        <v>#VALUE!</v>
      </c>
      <c r="P187" s="244" t="e">
        <f aca="false">J187+(IF($L$2=TRUE(),IF(MONTH(B187)&gt;=4,IF(MONTH(B187)&lt;=10,L187,M187),M187),0))+(IF('Pricing Inputs'!$AN$3=2,O187,0))</f>
        <v>#VALUE!</v>
      </c>
      <c r="Q187" s="244"/>
      <c r="R187" s="245" t="e">
        <f aca="false">B187</f>
        <v>#VALUE!</v>
      </c>
      <c r="S187" s="246" t="n">
        <f aca="false">T187-$S$16</f>
        <v>0.43</v>
      </c>
      <c r="T187" s="241" t="n">
        <f aca="false">D187</f>
        <v>0.5</v>
      </c>
      <c r="U187" s="247" t="n">
        <f aca="false">$U$16+T187</f>
        <v>0.57</v>
      </c>
      <c r="BP187" s="205" t="n">
        <f aca="false">BP186+BV187</f>
        <v>186</v>
      </c>
      <c r="BQ187" s="206" t="s">
        <v>997</v>
      </c>
      <c r="BR187" s="201" t="s">
        <v>203</v>
      </c>
      <c r="BS187" s="132" t="s">
        <v>334</v>
      </c>
      <c r="BT187" s="209" t="s">
        <v>205</v>
      </c>
      <c r="BU187" s="209"/>
      <c r="BV187" s="132" t="n">
        <v>1</v>
      </c>
      <c r="BW187" s="201" t="s">
        <v>998</v>
      </c>
      <c r="BX187" s="0"/>
    </row>
    <row r="188" customFormat="false" ht="12.75" hidden="false" customHeight="false" outlineLevel="0" collapsed="false">
      <c r="A188" s="242"/>
      <c r="B188" s="192" t="e">
        <f aca="false">NextMonth(B187)</f>
        <v>#VALUE!</v>
      </c>
      <c r="C188" s="193" t="n">
        <v>0.074189633803453</v>
      </c>
      <c r="D188" s="193" t="n">
        <v>0.5</v>
      </c>
      <c r="E188" s="193" t="n">
        <v>0.5</v>
      </c>
      <c r="F188" s="193" t="n">
        <v>0.1455</v>
      </c>
      <c r="G188" s="193" t="n">
        <v>0.15</v>
      </c>
      <c r="H188" s="193" t="n">
        <v>0.1605</v>
      </c>
      <c r="I188" s="218" t="n">
        <v>3.4375</v>
      </c>
      <c r="J188" s="193" t="n">
        <v>3.4425</v>
      </c>
      <c r="K188" s="193" t="n">
        <v>3.4475</v>
      </c>
      <c r="L188" s="193" t="n">
        <v>-0.038757969</v>
      </c>
      <c r="M188" s="193" t="n">
        <v>0.2575</v>
      </c>
      <c r="O188" s="189" t="e">
        <f aca="false">(IF(MONTH(B188)&gt;=4,IF(MONTH(B188)&lt;=10,Inputs!$H$2,Inputs!$H$3),Inputs!$H$3))</f>
        <v>#VALUE!</v>
      </c>
      <c r="P188" s="244" t="e">
        <f aca="false">J188+(IF($L$2=TRUE(),IF(MONTH(B188)&gt;=4,IF(MONTH(B188)&lt;=10,L188,M188),M188),0))+(IF('Pricing Inputs'!$AN$3=2,O188,0))</f>
        <v>#VALUE!</v>
      </c>
      <c r="Q188" s="244"/>
      <c r="R188" s="245" t="e">
        <f aca="false">B188</f>
        <v>#VALUE!</v>
      </c>
      <c r="S188" s="246" t="n">
        <f aca="false">T188-$S$16</f>
        <v>0.43</v>
      </c>
      <c r="T188" s="241" t="n">
        <f aca="false">D188</f>
        <v>0.5</v>
      </c>
      <c r="U188" s="247" t="n">
        <f aca="false">$U$16+T188</f>
        <v>0.57</v>
      </c>
      <c r="BP188" s="205" t="n">
        <f aca="false">BP187+BV188</f>
        <v>187</v>
      </c>
      <c r="BQ188" s="206" t="s">
        <v>999</v>
      </c>
      <c r="BR188" s="201" t="s">
        <v>203</v>
      </c>
      <c r="BS188" s="132" t="s">
        <v>334</v>
      </c>
      <c r="BT188" s="209" t="s">
        <v>205</v>
      </c>
      <c r="BU188" s="209"/>
      <c r="BV188" s="132" t="n">
        <v>1</v>
      </c>
      <c r="BW188" s="201" t="s">
        <v>1000</v>
      </c>
      <c r="BX188" s="0"/>
    </row>
    <row r="189" customFormat="false" ht="12.75" hidden="false" customHeight="false" outlineLevel="0" collapsed="false">
      <c r="A189" s="242"/>
      <c r="B189" s="192" t="e">
        <f aca="false">NextMonth(B188)</f>
        <v>#VALUE!</v>
      </c>
      <c r="C189" s="193" t="n">
        <v>0.074189339085572</v>
      </c>
      <c r="D189" s="193" t="n">
        <v>0.6</v>
      </c>
      <c r="E189" s="193" t="n">
        <v>0.6</v>
      </c>
      <c r="F189" s="193" t="n">
        <v>0.1455</v>
      </c>
      <c r="G189" s="193" t="n">
        <v>0.15</v>
      </c>
      <c r="H189" s="193" t="n">
        <v>0.1605</v>
      </c>
      <c r="I189" s="218" t="n">
        <v>3.4445</v>
      </c>
      <c r="J189" s="193" t="n">
        <v>3.4495</v>
      </c>
      <c r="K189" s="193" t="n">
        <v>3.4545</v>
      </c>
      <c r="L189" s="193" t="n">
        <v>-0.038757969</v>
      </c>
      <c r="M189" s="193" t="n">
        <v>0.2575</v>
      </c>
      <c r="O189" s="189" t="e">
        <f aca="false">(IF(MONTH(B189)&gt;=4,IF(MONTH(B189)&lt;=10,Inputs!$H$2,Inputs!$H$3),Inputs!$H$3))</f>
        <v>#VALUE!</v>
      </c>
      <c r="P189" s="244" t="e">
        <f aca="false">J189+(IF($L$2=TRUE(),IF(MONTH(B189)&gt;=4,IF(MONTH(B189)&lt;=10,L189,M189),M189),0))+(IF('Pricing Inputs'!$AN$3=2,O189,0))</f>
        <v>#VALUE!</v>
      </c>
      <c r="Q189" s="244"/>
      <c r="R189" s="245" t="e">
        <f aca="false">B189</f>
        <v>#VALUE!</v>
      </c>
      <c r="S189" s="246" t="n">
        <f aca="false">T189-$S$16</f>
        <v>0.53</v>
      </c>
      <c r="T189" s="241" t="n">
        <f aca="false">D189</f>
        <v>0.6</v>
      </c>
      <c r="U189" s="247" t="n">
        <f aca="false">$U$16+T189</f>
        <v>0.67</v>
      </c>
      <c r="BP189" s="205" t="n">
        <f aca="false">BP188+BV189</f>
        <v>188</v>
      </c>
      <c r="BQ189" s="206" t="s">
        <v>1001</v>
      </c>
      <c r="BR189" s="201" t="s">
        <v>203</v>
      </c>
      <c r="BS189" s="132" t="s">
        <v>334</v>
      </c>
      <c r="BT189" s="209" t="s">
        <v>205</v>
      </c>
      <c r="BU189" s="209"/>
      <c r="BV189" s="132" t="n">
        <v>1</v>
      </c>
      <c r="BW189" s="201" t="s">
        <v>1002</v>
      </c>
      <c r="BX189" s="0"/>
    </row>
    <row r="190" customFormat="false" ht="12.75" hidden="false" customHeight="false" outlineLevel="0" collapsed="false">
      <c r="A190" s="242"/>
      <c r="B190" s="192" t="e">
        <f aca="false">NextMonth(B189)</f>
        <v>#VALUE!</v>
      </c>
      <c r="C190" s="193" t="n">
        <v>0.074189044367691</v>
      </c>
      <c r="D190" s="193" t="n">
        <v>0.6</v>
      </c>
      <c r="E190" s="193" t="n">
        <v>0.6</v>
      </c>
      <c r="F190" s="193" t="n">
        <v>0.1455</v>
      </c>
      <c r="G190" s="193" t="n">
        <v>0.15</v>
      </c>
      <c r="H190" s="193" t="n">
        <v>0.1605</v>
      </c>
      <c r="I190" s="218" t="n">
        <v>3.4515</v>
      </c>
      <c r="J190" s="193" t="n">
        <v>3.4565</v>
      </c>
      <c r="K190" s="193" t="n">
        <v>3.4615</v>
      </c>
      <c r="L190" s="193" t="n">
        <v>-0.038757969</v>
      </c>
      <c r="M190" s="193" t="n">
        <v>0.2525</v>
      </c>
      <c r="O190" s="189" t="e">
        <f aca="false">(IF(MONTH(B190)&gt;=4,IF(MONTH(B190)&lt;=10,Inputs!$H$2,Inputs!$H$3),Inputs!$H$3))</f>
        <v>#VALUE!</v>
      </c>
      <c r="P190" s="244" t="e">
        <f aca="false">J190+(IF($L$2=TRUE(),IF(MONTH(B190)&gt;=4,IF(MONTH(B190)&lt;=10,L190,M190),M190),0))+(IF('Pricing Inputs'!$AN$3=2,O190,0))</f>
        <v>#VALUE!</v>
      </c>
      <c r="Q190" s="244"/>
      <c r="R190" s="245" t="e">
        <f aca="false">B190</f>
        <v>#VALUE!</v>
      </c>
      <c r="S190" s="246" t="n">
        <f aca="false">T190-$S$16</f>
        <v>0.53</v>
      </c>
      <c r="T190" s="241" t="n">
        <f aca="false">D190</f>
        <v>0.6</v>
      </c>
      <c r="U190" s="247" t="n">
        <f aca="false">$U$16+T190</f>
        <v>0.67</v>
      </c>
      <c r="BP190" s="205" t="n">
        <f aca="false">BP189+BV190</f>
        <v>189</v>
      </c>
      <c r="BQ190" s="206" t="s">
        <v>1003</v>
      </c>
      <c r="BR190" s="201" t="s">
        <v>203</v>
      </c>
      <c r="BS190" s="132" t="s">
        <v>334</v>
      </c>
      <c r="BT190" s="209" t="s">
        <v>205</v>
      </c>
      <c r="BU190" s="209"/>
      <c r="BV190" s="132" t="n">
        <v>1</v>
      </c>
      <c r="BW190" s="201" t="s">
        <v>1004</v>
      </c>
      <c r="BX190" s="0"/>
    </row>
    <row r="191" customFormat="false" ht="12.75" hidden="false" customHeight="false" outlineLevel="0" collapsed="false">
      <c r="A191" s="242"/>
      <c r="B191" s="192" t="e">
        <f aca="false">NextMonth(B190)</f>
        <v>#VALUE!</v>
      </c>
      <c r="C191" s="193" t="n">
        <v>0.074188759156839</v>
      </c>
      <c r="D191" s="193" t="n">
        <v>0.65</v>
      </c>
      <c r="E191" s="193" t="n">
        <v>0.65</v>
      </c>
      <c r="F191" s="193" t="n">
        <v>0.1455</v>
      </c>
      <c r="G191" s="193" t="n">
        <v>0.15</v>
      </c>
      <c r="H191" s="193" t="n">
        <v>0.1605</v>
      </c>
      <c r="I191" s="218" t="n">
        <v>3.4775</v>
      </c>
      <c r="J191" s="193" t="n">
        <v>3.4825</v>
      </c>
      <c r="K191" s="193" t="n">
        <v>3.4875</v>
      </c>
      <c r="L191" s="193" t="n">
        <v>-0.038757969</v>
      </c>
      <c r="M191" s="193" t="n">
        <v>0.255</v>
      </c>
      <c r="O191" s="189" t="e">
        <f aca="false">(IF(MONTH(B191)&gt;=4,IF(MONTH(B191)&lt;=10,Inputs!$H$2,Inputs!$H$3),Inputs!$H$3))</f>
        <v>#VALUE!</v>
      </c>
      <c r="P191" s="244" t="e">
        <f aca="false">J191+(IF($L$2=TRUE(),IF(MONTH(B191)&gt;=4,IF(MONTH(B191)&lt;=10,L191,M191),M191),0))+(IF('Pricing Inputs'!$AN$3=2,O191,0))</f>
        <v>#VALUE!</v>
      </c>
      <c r="Q191" s="244"/>
      <c r="R191" s="245" t="e">
        <f aca="false">B191</f>
        <v>#VALUE!</v>
      </c>
      <c r="S191" s="246" t="n">
        <f aca="false">T191-$S$16</f>
        <v>0.58</v>
      </c>
      <c r="T191" s="241" t="n">
        <f aca="false">D191</f>
        <v>0.65</v>
      </c>
      <c r="U191" s="247" t="n">
        <f aca="false">$U$16+T191</f>
        <v>0.72</v>
      </c>
      <c r="BP191" s="205" t="n">
        <f aca="false">BP190+BV191</f>
        <v>190</v>
      </c>
      <c r="BQ191" s="206" t="s">
        <v>1005</v>
      </c>
      <c r="BR191" s="201" t="s">
        <v>203</v>
      </c>
      <c r="BS191" s="132" t="s">
        <v>334</v>
      </c>
      <c r="BT191" s="209" t="s">
        <v>205</v>
      </c>
      <c r="BU191" s="209"/>
      <c r="BV191" s="132" t="n">
        <v>1</v>
      </c>
      <c r="BW191" s="201" t="s">
        <v>1006</v>
      </c>
      <c r="BX191" s="0"/>
    </row>
    <row r="192" customFormat="false" ht="12.75" hidden="false" customHeight="false" outlineLevel="0" collapsed="false">
      <c r="A192" s="242"/>
      <c r="B192" s="192" t="e">
        <f aca="false">NextMonth(B191)</f>
        <v>#VALUE!</v>
      </c>
      <c r="C192" s="193" t="n">
        <v>0.074188464438958</v>
      </c>
      <c r="D192" s="193" t="n">
        <v>0.95</v>
      </c>
      <c r="E192" s="193" t="n">
        <v>0.95</v>
      </c>
      <c r="F192" s="193" t="n">
        <v>0.1455</v>
      </c>
      <c r="G192" s="193" t="n">
        <v>0.15</v>
      </c>
      <c r="H192" s="193" t="n">
        <v>0.1605</v>
      </c>
      <c r="I192" s="218" t="n">
        <v>3.6125</v>
      </c>
      <c r="J192" s="193" t="n">
        <v>3.6175</v>
      </c>
      <c r="K192" s="193" t="n">
        <v>3.6225</v>
      </c>
      <c r="L192" s="193" t="n">
        <v>-0.05462217825</v>
      </c>
      <c r="M192" s="193" t="n">
        <v>0.715</v>
      </c>
      <c r="O192" s="189" t="e">
        <f aca="false">(IF(MONTH(B192)&gt;=4,IF(MONTH(B192)&lt;=10,Inputs!$H$2,Inputs!$H$3),Inputs!$H$3))</f>
        <v>#VALUE!</v>
      </c>
      <c r="P192" s="244" t="e">
        <f aca="false">J192+(IF($L$2=TRUE(),IF(MONTH(B192)&gt;=4,IF(MONTH(B192)&lt;=10,L192,M192),M192),0))+(IF('Pricing Inputs'!$AN$3=2,O192,0))</f>
        <v>#VALUE!</v>
      </c>
      <c r="Q192" s="244"/>
      <c r="R192" s="245" t="e">
        <f aca="false">B192</f>
        <v>#VALUE!</v>
      </c>
      <c r="S192" s="246" t="n">
        <f aca="false">T192-$S$16</f>
        <v>0.88</v>
      </c>
      <c r="T192" s="241" t="n">
        <f aca="false">D192</f>
        <v>0.95</v>
      </c>
      <c r="U192" s="247" t="n">
        <f aca="false">$U$16+T192</f>
        <v>1.02</v>
      </c>
      <c r="BP192" s="205" t="n">
        <f aca="false">BP191+BV192</f>
        <v>191</v>
      </c>
      <c r="BQ192" s="206" t="s">
        <v>1007</v>
      </c>
      <c r="BR192" s="201" t="s">
        <v>203</v>
      </c>
      <c r="BS192" s="132" t="s">
        <v>334</v>
      </c>
      <c r="BT192" s="209" t="s">
        <v>205</v>
      </c>
      <c r="BU192" s="209"/>
      <c r="BV192" s="132" t="n">
        <v>1</v>
      </c>
      <c r="BW192" s="201" t="s">
        <v>1008</v>
      </c>
      <c r="BX192" s="0"/>
    </row>
    <row r="193" customFormat="false" ht="12.75" hidden="false" customHeight="false" outlineLevel="0" collapsed="false">
      <c r="A193" s="242"/>
      <c r="B193" s="192" t="e">
        <f aca="false">NextMonth(B192)</f>
        <v>#VALUE!</v>
      </c>
      <c r="C193" s="193" t="n">
        <v>0.074188179228106</v>
      </c>
      <c r="D193" s="193" t="n">
        <v>1.25</v>
      </c>
      <c r="E193" s="193" t="n">
        <v>1.25</v>
      </c>
      <c r="F193" s="193" t="n">
        <v>0.1455</v>
      </c>
      <c r="G193" s="193" t="n">
        <v>0.15</v>
      </c>
      <c r="H193" s="193" t="n">
        <v>0.1605</v>
      </c>
      <c r="I193" s="218" t="n">
        <v>3.7365</v>
      </c>
      <c r="J193" s="193" t="n">
        <v>3.7415</v>
      </c>
      <c r="K193" s="193" t="n">
        <v>3.7465</v>
      </c>
      <c r="L193" s="193" t="n">
        <v>-0.0583629845</v>
      </c>
      <c r="M193" s="193" t="n">
        <v>1.03</v>
      </c>
      <c r="O193" s="189" t="e">
        <f aca="false">(IF(MONTH(B193)&gt;=4,IF(MONTH(B193)&lt;=10,Inputs!$H$2,Inputs!$H$3),Inputs!$H$3))</f>
        <v>#VALUE!</v>
      </c>
      <c r="P193" s="244" t="e">
        <f aca="false">J193+(IF($L$2=TRUE(),IF(MONTH(B193)&gt;=4,IF(MONTH(B193)&lt;=10,L193,M193),M193),0))+(IF('Pricing Inputs'!$AN$3=2,O193,0))</f>
        <v>#VALUE!</v>
      </c>
      <c r="Q193" s="244"/>
      <c r="R193" s="245" t="e">
        <f aca="false">B193</f>
        <v>#VALUE!</v>
      </c>
      <c r="S193" s="246" t="n">
        <f aca="false">T193-$S$16</f>
        <v>1.18</v>
      </c>
      <c r="T193" s="241" t="n">
        <f aca="false">D193</f>
        <v>1.25</v>
      </c>
      <c r="U193" s="247" t="n">
        <f aca="false">$U$16+T193</f>
        <v>1.32</v>
      </c>
      <c r="BP193" s="205" t="n">
        <f aca="false">BP192+BV193</f>
        <v>192</v>
      </c>
      <c r="BQ193" s="206" t="s">
        <v>1009</v>
      </c>
      <c r="BR193" s="201" t="s">
        <v>203</v>
      </c>
      <c r="BS193" s="132" t="s">
        <v>334</v>
      </c>
      <c r="BT193" s="209" t="s">
        <v>205</v>
      </c>
      <c r="BU193" s="209"/>
      <c r="BV193" s="132" t="n">
        <v>1</v>
      </c>
      <c r="BW193" s="201" t="s">
        <v>1010</v>
      </c>
      <c r="BX193" s="0"/>
    </row>
    <row r="194" customFormat="false" ht="12.75" hidden="false" customHeight="false" outlineLevel="0" collapsed="false">
      <c r="A194" s="242"/>
      <c r="B194" s="192" t="e">
        <f aca="false">NextMonth(B193)</f>
        <v>#VALUE!</v>
      </c>
      <c r="C194" s="193" t="n">
        <v>0.074187884510225</v>
      </c>
      <c r="D194" s="193" t="n">
        <v>1.45</v>
      </c>
      <c r="E194" s="193" t="n">
        <v>1.45</v>
      </c>
      <c r="F194" s="193" t="n">
        <v>0.1445</v>
      </c>
      <c r="G194" s="193" t="n">
        <v>0.15</v>
      </c>
      <c r="H194" s="193" t="n">
        <v>0.1595</v>
      </c>
      <c r="I194" s="218" t="n">
        <v>3.835</v>
      </c>
      <c r="J194" s="193" t="n">
        <v>3.84</v>
      </c>
      <c r="K194" s="193" t="n">
        <v>3.845</v>
      </c>
      <c r="L194" s="193" t="n">
        <v>-0.055613796</v>
      </c>
      <c r="M194" s="193" t="n">
        <v>1.495</v>
      </c>
      <c r="O194" s="189" t="e">
        <f aca="false">(IF(MONTH(B194)&gt;=4,IF(MONTH(B194)&lt;=10,Inputs!$H$2,Inputs!$H$3),Inputs!$H$3))</f>
        <v>#VALUE!</v>
      </c>
      <c r="P194" s="244" t="e">
        <f aca="false">J194+(IF($L$2=TRUE(),IF(MONTH(B194)&gt;=4,IF(MONTH(B194)&lt;=10,L194,M194),M194),0))+(IF('Pricing Inputs'!$AN$3=2,O194,0))</f>
        <v>#VALUE!</v>
      </c>
      <c r="Q194" s="244"/>
      <c r="R194" s="245" t="e">
        <f aca="false">B194</f>
        <v>#VALUE!</v>
      </c>
      <c r="S194" s="246" t="n">
        <f aca="false">T194-$S$16</f>
        <v>1.38</v>
      </c>
      <c r="T194" s="241" t="n">
        <f aca="false">D194</f>
        <v>1.45</v>
      </c>
      <c r="U194" s="247" t="n">
        <f aca="false">$U$16+T194</f>
        <v>1.52</v>
      </c>
      <c r="BP194" s="205" t="n">
        <f aca="false">BP193+BV194</f>
        <v>193</v>
      </c>
      <c r="BQ194" s="206" t="s">
        <v>1011</v>
      </c>
      <c r="BR194" s="201" t="s">
        <v>203</v>
      </c>
      <c r="BS194" s="132" t="s">
        <v>334</v>
      </c>
      <c r="BT194" s="209" t="s">
        <v>205</v>
      </c>
      <c r="BU194" s="209"/>
      <c r="BV194" s="132" t="n">
        <v>1</v>
      </c>
      <c r="BW194" s="201" t="s">
        <v>1012</v>
      </c>
      <c r="BX194" s="0"/>
    </row>
    <row r="195" customFormat="false" ht="12.75" hidden="false" customHeight="false" outlineLevel="0" collapsed="false">
      <c r="A195" s="242"/>
      <c r="B195" s="192" t="e">
        <f aca="false">NextMonth(B194)</f>
        <v>#VALUE!</v>
      </c>
      <c r="C195" s="193" t="n">
        <v>0.074187589792344</v>
      </c>
      <c r="D195" s="193" t="n">
        <v>1.45</v>
      </c>
      <c r="E195" s="193" t="n">
        <v>1.45</v>
      </c>
      <c r="F195" s="193" t="n">
        <v>0.1445</v>
      </c>
      <c r="G195" s="193" t="n">
        <v>0.15</v>
      </c>
      <c r="H195" s="193" t="n">
        <v>0.1595</v>
      </c>
      <c r="I195" s="218" t="n">
        <v>3.717</v>
      </c>
      <c r="J195" s="193" t="n">
        <v>3.722</v>
      </c>
      <c r="K195" s="193" t="n">
        <v>3.727</v>
      </c>
      <c r="L195" s="193" t="n">
        <v>-0.04936435575</v>
      </c>
      <c r="M195" s="193" t="n">
        <v>1.395</v>
      </c>
      <c r="O195" s="189" t="e">
        <f aca="false">(IF(MONTH(B195)&gt;=4,IF(MONTH(B195)&lt;=10,Inputs!$H$2,Inputs!$H$3),Inputs!$H$3))</f>
        <v>#VALUE!</v>
      </c>
      <c r="P195" s="244" t="e">
        <f aca="false">J195+(IF($L$2=TRUE(),IF(MONTH(B195)&gt;=4,IF(MONTH(B195)&lt;=10,L195,M195),M195),0))+(IF('Pricing Inputs'!$AN$3=2,O195,0))</f>
        <v>#VALUE!</v>
      </c>
      <c r="Q195" s="244"/>
      <c r="R195" s="245" t="e">
        <f aca="false">B195</f>
        <v>#VALUE!</v>
      </c>
      <c r="S195" s="246" t="n">
        <f aca="false">T195-$S$16</f>
        <v>1.38</v>
      </c>
      <c r="T195" s="241" t="n">
        <f aca="false">D195</f>
        <v>1.45</v>
      </c>
      <c r="U195" s="247" t="n">
        <f aca="false">$U$16+T195</f>
        <v>1.52</v>
      </c>
      <c r="BP195" s="205" t="n">
        <f aca="false">BP194+BV195</f>
        <v>194</v>
      </c>
      <c r="BQ195" s="206" t="s">
        <v>1013</v>
      </c>
      <c r="BR195" s="201" t="s">
        <v>203</v>
      </c>
      <c r="BS195" s="132" t="s">
        <v>334</v>
      </c>
      <c r="BT195" s="209" t="s">
        <v>205</v>
      </c>
      <c r="BU195" s="209"/>
      <c r="BV195" s="132" t="n">
        <v>1</v>
      </c>
      <c r="BW195" s="201" t="s">
        <v>1014</v>
      </c>
      <c r="BX195" s="0"/>
    </row>
    <row r="196" customFormat="false" ht="12.75" hidden="false" customHeight="false" outlineLevel="0" collapsed="false">
      <c r="A196" s="242"/>
      <c r="B196" s="192" t="e">
        <f aca="false">NextMonth(B195)</f>
        <v>#VALUE!</v>
      </c>
      <c r="C196" s="193" t="n">
        <v>0.074187323595549</v>
      </c>
      <c r="D196" s="193" t="n">
        <v>1</v>
      </c>
      <c r="E196" s="193" t="n">
        <v>1</v>
      </c>
      <c r="F196" s="193" t="n">
        <v>0.1445</v>
      </c>
      <c r="G196" s="193" t="n">
        <v>0.15</v>
      </c>
      <c r="H196" s="193" t="n">
        <v>0.1595</v>
      </c>
      <c r="I196" s="218" t="n">
        <v>3.597</v>
      </c>
      <c r="J196" s="193" t="n">
        <v>3.602</v>
      </c>
      <c r="K196" s="193" t="n">
        <v>3.607</v>
      </c>
      <c r="L196" s="193" t="n">
        <v>-0.04686435575</v>
      </c>
      <c r="M196" s="193" t="n">
        <v>0.865</v>
      </c>
      <c r="O196" s="189" t="e">
        <f aca="false">(IF(MONTH(B196)&gt;=4,IF(MONTH(B196)&lt;=10,Inputs!$H$2,Inputs!$H$3),Inputs!$H$3))</f>
        <v>#VALUE!</v>
      </c>
      <c r="P196" s="244" t="e">
        <f aca="false">J196+(IF($L$2=TRUE(),IF(MONTH(B196)&gt;=4,IF(MONTH(B196)&lt;=10,L196,M196),M196),0))+(IF('Pricing Inputs'!$AN$3=2,O196,0))</f>
        <v>#VALUE!</v>
      </c>
      <c r="Q196" s="244"/>
      <c r="R196" s="245" t="e">
        <f aca="false">B196</f>
        <v>#VALUE!</v>
      </c>
      <c r="S196" s="246" t="n">
        <f aca="false">T196-$S$16</f>
        <v>0.93</v>
      </c>
      <c r="T196" s="241" t="n">
        <f aca="false">D196</f>
        <v>1</v>
      </c>
      <c r="U196" s="247" t="n">
        <f aca="false">$U$16+T196</f>
        <v>1.07</v>
      </c>
      <c r="BP196" s="205" t="n">
        <f aca="false">BP195+BV196</f>
        <v>195</v>
      </c>
      <c r="BQ196" s="206" t="s">
        <v>1015</v>
      </c>
      <c r="BR196" s="201" t="s">
        <v>203</v>
      </c>
      <c r="BS196" s="132" t="s">
        <v>334</v>
      </c>
      <c r="BT196" s="209" t="s">
        <v>205</v>
      </c>
      <c r="BU196" s="209"/>
      <c r="BV196" s="132" t="n">
        <v>1</v>
      </c>
      <c r="BW196" s="201" t="s">
        <v>1016</v>
      </c>
      <c r="BX196" s="0"/>
    </row>
    <row r="197" customFormat="false" ht="12.75" hidden="false" customHeight="false" outlineLevel="0" collapsed="false">
      <c r="A197" s="242"/>
      <c r="B197" s="192" t="e">
        <f aca="false">NextMonth(B196)</f>
        <v>#VALUE!</v>
      </c>
      <c r="C197" s="193" t="n">
        <v>0.074187028877669</v>
      </c>
      <c r="D197" s="193" t="n">
        <v>0.45</v>
      </c>
      <c r="E197" s="193" t="n">
        <v>0.45</v>
      </c>
      <c r="F197" s="193" t="n">
        <v>0.1445</v>
      </c>
      <c r="G197" s="193" t="n">
        <v>0.15</v>
      </c>
      <c r="H197" s="193" t="n">
        <v>0.1595</v>
      </c>
      <c r="I197" s="218" t="n">
        <v>3.5475</v>
      </c>
      <c r="J197" s="193" t="n">
        <v>3.5525</v>
      </c>
      <c r="K197" s="193" t="n">
        <v>3.5575</v>
      </c>
      <c r="L197" s="193" t="n">
        <v>-0.03375584025</v>
      </c>
      <c r="M197" s="193" t="n">
        <v>0.37</v>
      </c>
      <c r="O197" s="189" t="e">
        <f aca="false">(IF(MONTH(B197)&gt;=4,IF(MONTH(B197)&lt;=10,Inputs!$H$2,Inputs!$H$3),Inputs!$H$3))</f>
        <v>#VALUE!</v>
      </c>
      <c r="P197" s="244" t="e">
        <f aca="false">J197+(IF($L$2=TRUE(),IF(MONTH(B197)&gt;=4,IF(MONTH(B197)&lt;=10,L197,M197),M197),0))+(IF('Pricing Inputs'!$AN$3=2,O197,0))</f>
        <v>#VALUE!</v>
      </c>
      <c r="Q197" s="244"/>
      <c r="R197" s="245" t="e">
        <f aca="false">B197</f>
        <v>#VALUE!</v>
      </c>
      <c r="S197" s="246" t="n">
        <f aca="false">T197-$S$16</f>
        <v>0.38</v>
      </c>
      <c r="T197" s="241" t="n">
        <f aca="false">D197</f>
        <v>0.45</v>
      </c>
      <c r="U197" s="247" t="n">
        <f aca="false">$U$16+T197</f>
        <v>0.52</v>
      </c>
      <c r="BP197" s="205" t="n">
        <f aca="false">BP196+BV197</f>
        <v>196</v>
      </c>
      <c r="BQ197" s="206" t="s">
        <v>1017</v>
      </c>
      <c r="BR197" s="201" t="s">
        <v>203</v>
      </c>
      <c r="BS197" s="132" t="s">
        <v>334</v>
      </c>
      <c r="BT197" s="209" t="s">
        <v>205</v>
      </c>
      <c r="BU197" s="209"/>
      <c r="BV197" s="132" t="n">
        <v>1</v>
      </c>
      <c r="BW197" s="201" t="s">
        <v>1018</v>
      </c>
      <c r="BX197" s="0"/>
    </row>
    <row r="198" customFormat="false" ht="12.75" hidden="false" customHeight="false" outlineLevel="0" collapsed="false">
      <c r="A198" s="242"/>
      <c r="B198" s="192" t="e">
        <f aca="false">NextMonth(B197)</f>
        <v>#VALUE!</v>
      </c>
      <c r="C198" s="193" t="n">
        <v>0.074186743666816</v>
      </c>
      <c r="D198" s="193" t="n">
        <v>0.5</v>
      </c>
      <c r="E198" s="193" t="n">
        <v>0.5</v>
      </c>
      <c r="F198" s="193" t="n">
        <v>0.1445</v>
      </c>
      <c r="G198" s="193" t="n">
        <v>0.15</v>
      </c>
      <c r="H198" s="193" t="n">
        <v>0.1595</v>
      </c>
      <c r="I198" s="218" t="n">
        <v>3.5215</v>
      </c>
      <c r="J198" s="193" t="n">
        <v>3.5265</v>
      </c>
      <c r="K198" s="193" t="n">
        <v>3.5315</v>
      </c>
      <c r="L198" s="193" t="n">
        <v>-0.033757969</v>
      </c>
      <c r="M198" s="193" t="n">
        <v>0.2525</v>
      </c>
      <c r="O198" s="189" t="e">
        <f aca="false">(IF(MONTH(B198)&gt;=4,IF(MONTH(B198)&lt;=10,Inputs!$H$2,Inputs!$H$3),Inputs!$H$3))</f>
        <v>#VALUE!</v>
      </c>
      <c r="P198" s="244" t="e">
        <f aca="false">J198+(IF($L$2=TRUE(),IF(MONTH(B198)&gt;=4,IF(MONTH(B198)&lt;=10,L198,M198),M198),0))+(IF('Pricing Inputs'!$AN$3=2,O198,0))</f>
        <v>#VALUE!</v>
      </c>
      <c r="Q198" s="244"/>
      <c r="R198" s="245" t="e">
        <f aca="false">B198</f>
        <v>#VALUE!</v>
      </c>
      <c r="S198" s="246" t="n">
        <f aca="false">T198-$S$16</f>
        <v>0.43</v>
      </c>
      <c r="T198" s="241" t="n">
        <f aca="false">D198</f>
        <v>0.5</v>
      </c>
      <c r="U198" s="247" t="n">
        <f aca="false">$U$16+T198</f>
        <v>0.57</v>
      </c>
      <c r="BP198" s="205" t="n">
        <f aca="false">BP197+BV198</f>
        <v>197</v>
      </c>
      <c r="BQ198" s="206" t="s">
        <v>1019</v>
      </c>
      <c r="BR198" s="201" t="s">
        <v>203</v>
      </c>
      <c r="BS198" s="132" t="s">
        <v>334</v>
      </c>
      <c r="BT198" s="209" t="s">
        <v>205</v>
      </c>
      <c r="BU198" s="209"/>
      <c r="BV198" s="132" t="n">
        <v>1</v>
      </c>
      <c r="BW198" s="201" t="s">
        <v>1020</v>
      </c>
      <c r="BX198" s="0"/>
    </row>
    <row r="199" customFormat="false" ht="12.75" hidden="false" customHeight="false" outlineLevel="0" collapsed="false">
      <c r="A199" s="242"/>
      <c r="B199" s="192" t="e">
        <f aca="false">NextMonth(B198)</f>
        <v>#VALUE!</v>
      </c>
      <c r="C199" s="193" t="n">
        <v>0.074186448948936</v>
      </c>
      <c r="D199" s="193" t="n">
        <v>0.5</v>
      </c>
      <c r="E199" s="193" t="n">
        <v>0.5</v>
      </c>
      <c r="F199" s="193" t="n">
        <v>0.1445</v>
      </c>
      <c r="G199" s="193" t="n">
        <v>0.15</v>
      </c>
      <c r="H199" s="193" t="n">
        <v>0.1595</v>
      </c>
      <c r="I199" s="218" t="n">
        <v>3.5275</v>
      </c>
      <c r="J199" s="193" t="n">
        <v>3.5325</v>
      </c>
      <c r="K199" s="193" t="n">
        <v>3.5375</v>
      </c>
      <c r="L199" s="193" t="n">
        <v>-0.033757969</v>
      </c>
      <c r="M199" s="193" t="n">
        <v>0.2525</v>
      </c>
      <c r="O199" s="189" t="e">
        <f aca="false">(IF(MONTH(B199)&gt;=4,IF(MONTH(B199)&lt;=10,Inputs!$H$2,Inputs!$H$3),Inputs!$H$3))</f>
        <v>#VALUE!</v>
      </c>
      <c r="P199" s="244" t="e">
        <f aca="false">J199+(IF($L$2=TRUE(),IF(MONTH(B199)&gt;=4,IF(MONTH(B199)&lt;=10,L199,M199),M199),0))+(IF('Pricing Inputs'!$AN$3=2,O199,0))</f>
        <v>#VALUE!</v>
      </c>
      <c r="Q199" s="244"/>
      <c r="R199" s="245" t="e">
        <f aca="false">B199</f>
        <v>#VALUE!</v>
      </c>
      <c r="S199" s="246" t="n">
        <f aca="false">T199-$S$16</f>
        <v>0.43</v>
      </c>
      <c r="T199" s="241" t="n">
        <f aca="false">D199</f>
        <v>0.5</v>
      </c>
      <c r="U199" s="247" t="n">
        <f aca="false">$U$16+T199</f>
        <v>0.57</v>
      </c>
      <c r="BP199" s="205" t="n">
        <f aca="false">BP198+BV199</f>
        <v>198</v>
      </c>
      <c r="BQ199" s="206" t="s">
        <v>1021</v>
      </c>
      <c r="BR199" s="201" t="s">
        <v>203</v>
      </c>
      <c r="BS199" s="132" t="s">
        <v>334</v>
      </c>
      <c r="BT199" s="209" t="s">
        <v>205</v>
      </c>
      <c r="BU199" s="209"/>
      <c r="BV199" s="132" t="n">
        <v>1</v>
      </c>
      <c r="BW199" s="201" t="s">
        <v>1022</v>
      </c>
      <c r="BX199" s="0"/>
    </row>
    <row r="200" customFormat="false" ht="12.75" hidden="false" customHeight="false" outlineLevel="0" collapsed="false">
      <c r="A200" s="242"/>
      <c r="B200" s="192" t="e">
        <f aca="false">NextMonth(B199)</f>
        <v>#VALUE!</v>
      </c>
      <c r="C200" s="193" t="n">
        <v>0.074186163738084</v>
      </c>
      <c r="D200" s="193" t="n">
        <v>0.5</v>
      </c>
      <c r="E200" s="193" t="n">
        <v>0.5</v>
      </c>
      <c r="F200" s="193" t="n">
        <v>0.1445</v>
      </c>
      <c r="G200" s="193" t="n">
        <v>0.15</v>
      </c>
      <c r="H200" s="193" t="n">
        <v>0.1595</v>
      </c>
      <c r="I200" s="218" t="n">
        <v>3.5375</v>
      </c>
      <c r="J200" s="193" t="n">
        <v>3.5425</v>
      </c>
      <c r="K200" s="193" t="n">
        <v>3.5475</v>
      </c>
      <c r="L200" s="193" t="n">
        <v>-0.033757969</v>
      </c>
      <c r="M200" s="193" t="n">
        <v>0.2575</v>
      </c>
      <c r="O200" s="189" t="e">
        <f aca="false">(IF(MONTH(B200)&gt;=4,IF(MONTH(B200)&lt;=10,Inputs!$H$2,Inputs!$H$3),Inputs!$H$3))</f>
        <v>#VALUE!</v>
      </c>
      <c r="P200" s="244" t="e">
        <f aca="false">J200+(IF($L$2=TRUE(),IF(MONTH(B200)&gt;=4,IF(MONTH(B200)&lt;=10,L200,M200),M200),0))+(IF('Pricing Inputs'!$AN$3=2,O200,0))</f>
        <v>#VALUE!</v>
      </c>
      <c r="Q200" s="244"/>
      <c r="R200" s="245" t="e">
        <f aca="false">B200</f>
        <v>#VALUE!</v>
      </c>
      <c r="S200" s="246" t="n">
        <f aca="false">T200-$S$16</f>
        <v>0.43</v>
      </c>
      <c r="T200" s="241" t="n">
        <f aca="false">D200</f>
        <v>0.5</v>
      </c>
      <c r="U200" s="247" t="n">
        <f aca="false">$U$16+T200</f>
        <v>0.57</v>
      </c>
      <c r="BP200" s="205" t="n">
        <f aca="false">BP199+BV200</f>
        <v>199</v>
      </c>
      <c r="BQ200" s="206" t="s">
        <v>1023</v>
      </c>
      <c r="BR200" s="201" t="s">
        <v>203</v>
      </c>
      <c r="BS200" s="132" t="s">
        <v>334</v>
      </c>
      <c r="BT200" s="209" t="s">
        <v>205</v>
      </c>
      <c r="BU200" s="209"/>
      <c r="BV200" s="132" t="n">
        <v>1</v>
      </c>
      <c r="BW200" s="201" t="s">
        <v>1024</v>
      </c>
      <c r="BX200" s="0"/>
    </row>
    <row r="201" customFormat="false" ht="12.75" hidden="false" customHeight="false" outlineLevel="0" collapsed="false">
      <c r="A201" s="242"/>
      <c r="B201" s="192" t="e">
        <f aca="false">NextMonth(B200)</f>
        <v>#VALUE!</v>
      </c>
      <c r="C201" s="193" t="n">
        <v>0.074185869020203</v>
      </c>
      <c r="D201" s="193" t="n">
        <v>0.6</v>
      </c>
      <c r="E201" s="193" t="n">
        <v>0.6</v>
      </c>
      <c r="F201" s="193" t="n">
        <v>0.1445</v>
      </c>
      <c r="G201" s="193" t="n">
        <v>0.15</v>
      </c>
      <c r="H201" s="193" t="n">
        <v>0.1595</v>
      </c>
      <c r="I201" s="218" t="n">
        <v>3.5445</v>
      </c>
      <c r="J201" s="193" t="n">
        <v>3.5495</v>
      </c>
      <c r="K201" s="193" t="n">
        <v>3.5545</v>
      </c>
      <c r="L201" s="193" t="n">
        <v>-0.033757969</v>
      </c>
      <c r="M201" s="193" t="n">
        <v>0.2575</v>
      </c>
      <c r="O201" s="189" t="e">
        <f aca="false">(IF(MONTH(B201)&gt;=4,IF(MONTH(B201)&lt;=10,Inputs!$H$2,Inputs!$H$3),Inputs!$H$3))</f>
        <v>#VALUE!</v>
      </c>
      <c r="P201" s="244" t="e">
        <f aca="false">J201+(IF($L$2=TRUE(),IF(MONTH(B201)&gt;=4,IF(MONTH(B201)&lt;=10,L201,M201),M201),0))+(IF('Pricing Inputs'!$AN$3=2,O201,0))</f>
        <v>#VALUE!</v>
      </c>
      <c r="Q201" s="244"/>
      <c r="R201" s="245" t="e">
        <f aca="false">B201</f>
        <v>#VALUE!</v>
      </c>
      <c r="S201" s="246" t="n">
        <f aca="false">T201-$S$16</f>
        <v>0.53</v>
      </c>
      <c r="T201" s="241" t="n">
        <f aca="false">D201</f>
        <v>0.6</v>
      </c>
      <c r="U201" s="247" t="n">
        <f aca="false">$U$16+T201</f>
        <v>0.67</v>
      </c>
      <c r="BP201" s="205" t="n">
        <f aca="false">BP200+BV201</f>
        <v>200</v>
      </c>
      <c r="BQ201" s="206" t="s">
        <v>1025</v>
      </c>
      <c r="BR201" s="201" t="s">
        <v>203</v>
      </c>
      <c r="BS201" s="132" t="s">
        <v>334</v>
      </c>
      <c r="BT201" s="209" t="s">
        <v>205</v>
      </c>
      <c r="BU201" s="209"/>
      <c r="BV201" s="132" t="n">
        <v>1</v>
      </c>
      <c r="BW201" s="201" t="s">
        <v>1026</v>
      </c>
      <c r="BX201" s="0"/>
    </row>
    <row r="202" customFormat="false" ht="12.75" hidden="false" customHeight="false" outlineLevel="0" collapsed="false">
      <c r="A202" s="242"/>
      <c r="B202" s="192" t="e">
        <f aca="false">NextMonth(B201)</f>
        <v>#VALUE!</v>
      </c>
      <c r="C202" s="193" t="n">
        <v>0.074185574302323</v>
      </c>
      <c r="D202" s="193" t="n">
        <v>0.6</v>
      </c>
      <c r="E202" s="193" t="n">
        <v>0.6</v>
      </c>
      <c r="F202" s="193" t="n">
        <v>0.1445</v>
      </c>
      <c r="G202" s="193" t="n">
        <v>0.15</v>
      </c>
      <c r="H202" s="193" t="n">
        <v>0.1595</v>
      </c>
      <c r="I202" s="218" t="n">
        <v>3.5515</v>
      </c>
      <c r="J202" s="193" t="n">
        <v>3.5565</v>
      </c>
      <c r="K202" s="193" t="n">
        <v>3.5615</v>
      </c>
      <c r="L202" s="193" t="n">
        <v>0</v>
      </c>
      <c r="M202" s="193" t="n">
        <v>0.2525</v>
      </c>
      <c r="O202" s="189" t="e">
        <f aca="false">(IF(MONTH(B202)&gt;=4,IF(MONTH(B202)&lt;=10,Inputs!$H$2,Inputs!$H$3),Inputs!$H$3))</f>
        <v>#VALUE!</v>
      </c>
      <c r="P202" s="244" t="e">
        <f aca="false">J202+(IF($L$2=TRUE(),IF(MONTH(B202)&gt;=4,IF(MONTH(B202)&lt;=10,L202,M202),M202),0))+(IF('Pricing Inputs'!$AN$3=2,O202,0))</f>
        <v>#VALUE!</v>
      </c>
      <c r="Q202" s="244"/>
      <c r="R202" s="245" t="e">
        <f aca="false">B202</f>
        <v>#VALUE!</v>
      </c>
      <c r="S202" s="246" t="n">
        <f aca="false">T202-$S$16</f>
        <v>0.53</v>
      </c>
      <c r="T202" s="241" t="n">
        <f aca="false">D202</f>
        <v>0.6</v>
      </c>
      <c r="U202" s="247" t="n">
        <f aca="false">$U$16+T202</f>
        <v>0.67</v>
      </c>
      <c r="BP202" s="205" t="n">
        <f aca="false">BP201+BV202</f>
        <v>201</v>
      </c>
      <c r="BQ202" s="206" t="s">
        <v>1027</v>
      </c>
      <c r="BR202" s="201" t="s">
        <v>203</v>
      </c>
      <c r="BS202" s="132" t="s">
        <v>334</v>
      </c>
      <c r="BT202" s="209" t="s">
        <v>205</v>
      </c>
      <c r="BU202" s="209"/>
      <c r="BV202" s="132" t="n">
        <v>1</v>
      </c>
      <c r="BW202" s="201" t="s">
        <v>1028</v>
      </c>
      <c r="BX202" s="0"/>
    </row>
    <row r="203" customFormat="false" ht="12.75" hidden="false" customHeight="false" outlineLevel="0" collapsed="false">
      <c r="A203" s="242"/>
      <c r="B203" s="192" t="e">
        <f aca="false">NextMonth(B202)</f>
        <v>#VALUE!</v>
      </c>
      <c r="C203" s="193" t="n">
        <v>0.074185289091471</v>
      </c>
      <c r="D203" s="193" t="n">
        <v>0.65</v>
      </c>
      <c r="E203" s="193" t="n">
        <v>0.65</v>
      </c>
      <c r="F203" s="193" t="n">
        <v>0.1445</v>
      </c>
      <c r="G203" s="193" t="n">
        <v>0.15</v>
      </c>
      <c r="H203" s="193" t="n">
        <v>0.1595</v>
      </c>
      <c r="I203" s="218" t="n">
        <v>3.5775</v>
      </c>
      <c r="J203" s="193" t="n">
        <v>3.5825</v>
      </c>
      <c r="K203" s="193" t="n">
        <v>3.5875</v>
      </c>
      <c r="L203" s="193" t="n">
        <v>0</v>
      </c>
      <c r="M203" s="193" t="n">
        <v>0.255</v>
      </c>
      <c r="O203" s="189" t="e">
        <f aca="false">(IF(MONTH(B203)&gt;=4,IF(MONTH(B203)&lt;=10,Inputs!$H$2,Inputs!$H$3),Inputs!$H$3))</f>
        <v>#VALUE!</v>
      </c>
      <c r="P203" s="244" t="e">
        <f aca="false">J203+(IF($L$2=TRUE(),IF(MONTH(B203)&gt;=4,IF(MONTH(B203)&lt;=10,L203,M203),M203),0))+(IF('Pricing Inputs'!$AN$3=2,O203,0))</f>
        <v>#VALUE!</v>
      </c>
      <c r="Q203" s="244"/>
      <c r="R203" s="245" t="e">
        <f aca="false">B203</f>
        <v>#VALUE!</v>
      </c>
      <c r="S203" s="246" t="n">
        <f aca="false">T203-$S$16</f>
        <v>0.58</v>
      </c>
      <c r="T203" s="241" t="n">
        <f aca="false">D203</f>
        <v>0.65</v>
      </c>
      <c r="U203" s="247" t="n">
        <f aca="false">$U$16+T203</f>
        <v>0.72</v>
      </c>
      <c r="BP203" s="205" t="n">
        <f aca="false">BP202+BV203</f>
        <v>202</v>
      </c>
      <c r="BQ203" s="206" t="s">
        <v>1029</v>
      </c>
      <c r="BR203" s="201" t="s">
        <v>203</v>
      </c>
      <c r="BS203" s="132" t="s">
        <v>334</v>
      </c>
      <c r="BT203" s="209" t="s">
        <v>205</v>
      </c>
      <c r="BU203" s="209"/>
      <c r="BV203" s="132" t="n">
        <v>1</v>
      </c>
      <c r="BW203" s="201" t="s">
        <v>1030</v>
      </c>
      <c r="BX203" s="0"/>
    </row>
    <row r="204" customFormat="false" ht="12.75" hidden="false" customHeight="false" outlineLevel="0" collapsed="false">
      <c r="A204" s="242"/>
      <c r="B204" s="192" t="e">
        <f aca="false">NextMonth(B203)</f>
        <v>#VALUE!</v>
      </c>
      <c r="C204" s="193" t="n">
        <v>0.07418499437359</v>
      </c>
      <c r="D204" s="193" t="n">
        <v>0.95</v>
      </c>
      <c r="E204" s="193" t="n">
        <v>0.95</v>
      </c>
      <c r="F204" s="193" t="n">
        <v>0.1445</v>
      </c>
      <c r="G204" s="193" t="n">
        <v>0.15</v>
      </c>
      <c r="H204" s="193" t="n">
        <v>0.1595</v>
      </c>
      <c r="I204" s="218" t="n">
        <v>3.7125</v>
      </c>
      <c r="J204" s="193" t="n">
        <v>3.7175</v>
      </c>
      <c r="K204" s="193" t="n">
        <v>3.7225</v>
      </c>
      <c r="L204" s="193" t="n">
        <v>0</v>
      </c>
      <c r="M204" s="193" t="n">
        <v>0.715</v>
      </c>
      <c r="O204" s="189" t="e">
        <f aca="false">(IF(MONTH(B204)&gt;=4,IF(MONTH(B204)&lt;=10,Inputs!$H$2,Inputs!$H$3),Inputs!$H$3))</f>
        <v>#VALUE!</v>
      </c>
      <c r="P204" s="244" t="e">
        <f aca="false">J204+(IF($L$2=TRUE(),IF(MONTH(B204)&gt;=4,IF(MONTH(B204)&lt;=10,L204,M204),M204),0))+(IF('Pricing Inputs'!$AN$3=2,O204,0))</f>
        <v>#VALUE!</v>
      </c>
      <c r="Q204" s="244"/>
      <c r="R204" s="245" t="e">
        <f aca="false">B204</f>
        <v>#VALUE!</v>
      </c>
      <c r="S204" s="246" t="n">
        <f aca="false">T204-$S$16</f>
        <v>0.88</v>
      </c>
      <c r="T204" s="241" t="n">
        <f aca="false">D204</f>
        <v>0.95</v>
      </c>
      <c r="U204" s="247" t="n">
        <f aca="false">$U$16+T204</f>
        <v>1.02</v>
      </c>
      <c r="BP204" s="205" t="n">
        <f aca="false">BP203+BV204</f>
        <v>203</v>
      </c>
      <c r="BQ204" s="206" t="s">
        <v>1031</v>
      </c>
      <c r="BR204" s="201" t="s">
        <v>203</v>
      </c>
      <c r="BS204" s="132" t="s">
        <v>334</v>
      </c>
      <c r="BT204" s="209" t="s">
        <v>205</v>
      </c>
      <c r="BU204" s="209"/>
      <c r="BV204" s="132" t="n">
        <v>1</v>
      </c>
      <c r="BW204" s="201" t="s">
        <v>1032</v>
      </c>
      <c r="BX204" s="0"/>
    </row>
    <row r="205" customFormat="false" ht="12.75" hidden="false" customHeight="false" outlineLevel="0" collapsed="false">
      <c r="A205" s="242"/>
      <c r="B205" s="192" t="e">
        <f aca="false">NextMonth(B204)</f>
        <v>#VALUE!</v>
      </c>
      <c r="C205" s="193" t="n">
        <v>0.074184709162739</v>
      </c>
      <c r="D205" s="193" t="n">
        <v>1.25</v>
      </c>
      <c r="E205" s="193" t="n">
        <v>1.25</v>
      </c>
      <c r="F205" s="193" t="n">
        <v>0.1445</v>
      </c>
      <c r="G205" s="193" t="n">
        <v>0.15</v>
      </c>
      <c r="H205" s="193" t="n">
        <v>0.1595</v>
      </c>
      <c r="I205" s="218" t="n">
        <v>3.8365</v>
      </c>
      <c r="J205" s="193" t="n">
        <v>3.8415</v>
      </c>
      <c r="K205" s="193" t="n">
        <v>3.8465</v>
      </c>
      <c r="L205" s="193" t="n">
        <v>0</v>
      </c>
      <c r="M205" s="193" t="n">
        <v>1.03</v>
      </c>
      <c r="O205" s="189" t="e">
        <f aca="false">(IF(MONTH(B205)&gt;=4,IF(MONTH(B205)&lt;=10,Inputs!$H$2,Inputs!$H$3),Inputs!$H$3))</f>
        <v>#VALUE!</v>
      </c>
      <c r="P205" s="244" t="e">
        <f aca="false">J205+(IF($L$2=TRUE(),IF(MONTH(B205)&gt;=4,IF(MONTH(B205)&lt;=10,L205,M205),M205),0))+(IF('Pricing Inputs'!$AN$3=2,O205,0))</f>
        <v>#VALUE!</v>
      </c>
      <c r="Q205" s="244"/>
      <c r="R205" s="245" t="e">
        <f aca="false">B205</f>
        <v>#VALUE!</v>
      </c>
      <c r="S205" s="246" t="n">
        <f aca="false">T205-$S$16</f>
        <v>1.18</v>
      </c>
      <c r="T205" s="241" t="n">
        <f aca="false">D205</f>
        <v>1.25</v>
      </c>
      <c r="U205" s="247" t="n">
        <f aca="false">$U$16+T205</f>
        <v>1.32</v>
      </c>
      <c r="BP205" s="205" t="n">
        <f aca="false">BP204+BV205</f>
        <v>204</v>
      </c>
      <c r="BQ205" s="206" t="s">
        <v>1033</v>
      </c>
      <c r="BR205" s="201" t="s">
        <v>203</v>
      </c>
      <c r="BS205" s="132" t="s">
        <v>334</v>
      </c>
      <c r="BT205" s="209" t="s">
        <v>205</v>
      </c>
      <c r="BU205" s="209"/>
      <c r="BV205" s="132" t="n">
        <v>1</v>
      </c>
      <c r="BW205" s="201" t="s">
        <v>1034</v>
      </c>
      <c r="BX205" s="0"/>
    </row>
    <row r="206" customFormat="false" ht="12.75" hidden="false" customHeight="false" outlineLevel="0" collapsed="false">
      <c r="A206" s="242"/>
      <c r="B206" s="192" t="e">
        <f aca="false">NextMonth(B205)</f>
        <v>#VALUE!</v>
      </c>
      <c r="C206" s="193" t="n">
        <v>0.074184414444858</v>
      </c>
      <c r="D206" s="193" t="n">
        <v>1.45</v>
      </c>
      <c r="E206" s="193" t="n">
        <v>1.45</v>
      </c>
      <c r="F206" s="193" t="n">
        <v>0.1435</v>
      </c>
      <c r="G206" s="193" t="n">
        <v>0.15</v>
      </c>
      <c r="H206" s="193" t="n">
        <v>0.1585</v>
      </c>
      <c r="I206" s="218" t="n">
        <v>3.94</v>
      </c>
      <c r="J206" s="193" t="n">
        <v>3.945</v>
      </c>
      <c r="K206" s="193" t="n">
        <v>3.95</v>
      </c>
      <c r="L206" s="193" t="n">
        <v>0</v>
      </c>
      <c r="M206" s="193" t="n">
        <v>1.495</v>
      </c>
      <c r="O206" s="189" t="e">
        <f aca="false">(IF(MONTH(B206)&gt;=4,IF(MONTH(B206)&lt;=10,Inputs!$H$2,Inputs!$H$3),Inputs!$H$3))</f>
        <v>#VALUE!</v>
      </c>
      <c r="P206" s="244" t="e">
        <f aca="false">J206+(IF($L$2=TRUE(),IF(MONTH(B206)&gt;=4,IF(MONTH(B206)&lt;=10,L206,M206),M206),0))+(IF('Pricing Inputs'!$AN$3=2,O206,0))</f>
        <v>#VALUE!</v>
      </c>
      <c r="Q206" s="244"/>
      <c r="R206" s="245" t="e">
        <f aca="false">B206</f>
        <v>#VALUE!</v>
      </c>
      <c r="S206" s="246" t="n">
        <f aca="false">T206-$S$16</f>
        <v>1.38</v>
      </c>
      <c r="T206" s="241" t="n">
        <f aca="false">D206</f>
        <v>1.45</v>
      </c>
      <c r="U206" s="247" t="n">
        <f aca="false">$U$16+T206</f>
        <v>1.52</v>
      </c>
      <c r="BP206" s="205" t="n">
        <f aca="false">BP205+BV206</f>
        <v>205</v>
      </c>
      <c r="BQ206" s="206" t="s">
        <v>1035</v>
      </c>
      <c r="BR206" s="201" t="s">
        <v>203</v>
      </c>
      <c r="BS206" s="132" t="s">
        <v>334</v>
      </c>
      <c r="BT206" s="209" t="s">
        <v>205</v>
      </c>
      <c r="BU206" s="209"/>
      <c r="BV206" s="132" t="n">
        <v>1</v>
      </c>
      <c r="BW206" s="201" t="s">
        <v>1036</v>
      </c>
      <c r="BX206" s="0"/>
    </row>
    <row r="207" customFormat="false" ht="12.75" hidden="false" customHeight="false" outlineLevel="0" collapsed="false">
      <c r="A207" s="242"/>
      <c r="B207" s="192" t="e">
        <f aca="false">NextMonth(B206)</f>
        <v>#VALUE!</v>
      </c>
      <c r="C207" s="193" t="n">
        <v>0.074184119726978</v>
      </c>
      <c r="D207" s="193" t="n">
        <v>1.45</v>
      </c>
      <c r="E207" s="193" t="n">
        <v>1.45</v>
      </c>
      <c r="F207" s="193" t="n">
        <v>0.1435</v>
      </c>
      <c r="G207" s="193" t="n">
        <v>0.15</v>
      </c>
      <c r="H207" s="193" t="n">
        <v>0.1585</v>
      </c>
      <c r="I207" s="218" t="n">
        <v>3.822</v>
      </c>
      <c r="J207" s="193" t="n">
        <v>3.827</v>
      </c>
      <c r="K207" s="193" t="n">
        <v>3.832</v>
      </c>
      <c r="L207" s="193" t="n">
        <v>0</v>
      </c>
      <c r="M207" s="193" t="n">
        <v>1.395</v>
      </c>
      <c r="O207" s="189" t="e">
        <f aca="false">(IF(MONTH(B207)&gt;=4,IF(MONTH(B207)&lt;=10,Inputs!$H$2,Inputs!$H$3),Inputs!$H$3))</f>
        <v>#VALUE!</v>
      </c>
      <c r="P207" s="244" t="e">
        <f aca="false">J207+(IF($L$2=TRUE(),IF(MONTH(B207)&gt;=4,IF(MONTH(B207)&lt;=10,L207,M207),M207),0))+(IF('Pricing Inputs'!$AN$3=2,O207,0))</f>
        <v>#VALUE!</v>
      </c>
      <c r="Q207" s="244"/>
      <c r="R207" s="245" t="e">
        <f aca="false">B207</f>
        <v>#VALUE!</v>
      </c>
      <c r="S207" s="246" t="n">
        <f aca="false">T207-$S$16</f>
        <v>1.38</v>
      </c>
      <c r="T207" s="241" t="n">
        <f aca="false">D207</f>
        <v>1.45</v>
      </c>
      <c r="U207" s="247" t="n">
        <f aca="false">$U$16+T207</f>
        <v>1.52</v>
      </c>
      <c r="BP207" s="205" t="n">
        <f aca="false">BP206+BV207</f>
        <v>206</v>
      </c>
      <c r="BQ207" s="206" t="s">
        <v>1037</v>
      </c>
      <c r="BR207" s="201" t="s">
        <v>203</v>
      </c>
      <c r="BS207" s="132" t="s">
        <v>334</v>
      </c>
      <c r="BT207" s="209" t="s">
        <v>205</v>
      </c>
      <c r="BU207" s="209"/>
      <c r="BV207" s="132" t="n">
        <v>1</v>
      </c>
      <c r="BW207" s="201" t="s">
        <v>1038</v>
      </c>
      <c r="BX207" s="0"/>
    </row>
    <row r="208" customFormat="false" ht="12.75" hidden="false" customHeight="false" outlineLevel="0" collapsed="false">
      <c r="A208" s="242"/>
      <c r="B208" s="192" t="e">
        <f aca="false">NextMonth(B207)</f>
        <v>#VALUE!</v>
      </c>
      <c r="C208" s="193" t="n">
        <v>0.074183844023154</v>
      </c>
      <c r="D208" s="193" t="n">
        <v>1</v>
      </c>
      <c r="E208" s="193" t="n">
        <v>1</v>
      </c>
      <c r="F208" s="193" t="n">
        <v>0.1435</v>
      </c>
      <c r="G208" s="193" t="n">
        <v>0.15</v>
      </c>
      <c r="H208" s="193" t="n">
        <v>0.1585</v>
      </c>
      <c r="I208" s="218" t="n">
        <v>3.702</v>
      </c>
      <c r="J208" s="193" t="n">
        <v>3.707</v>
      </c>
      <c r="K208" s="193" t="n">
        <v>3.712</v>
      </c>
      <c r="L208" s="193" t="n">
        <v>0</v>
      </c>
      <c r="M208" s="193" t="n">
        <v>0.865</v>
      </c>
      <c r="O208" s="189" t="e">
        <f aca="false">(IF(MONTH(B208)&gt;=4,IF(MONTH(B208)&lt;=10,Inputs!$H$2,Inputs!$H$3),Inputs!$H$3))</f>
        <v>#VALUE!</v>
      </c>
      <c r="P208" s="244" t="e">
        <f aca="false">J208+(IF($L$2=TRUE(),IF(MONTH(B208)&gt;=4,IF(MONTH(B208)&lt;=10,L208,M208),M208),0))+(IF('Pricing Inputs'!$AN$3=2,O208,0))</f>
        <v>#VALUE!</v>
      </c>
      <c r="Q208" s="244"/>
      <c r="R208" s="245" t="e">
        <f aca="false">B208</f>
        <v>#VALUE!</v>
      </c>
      <c r="S208" s="246" t="n">
        <f aca="false">T208-$S$16</f>
        <v>0.93</v>
      </c>
      <c r="T208" s="241" t="n">
        <f aca="false">D208</f>
        <v>1</v>
      </c>
      <c r="U208" s="247" t="n">
        <f aca="false">$U$16+T208</f>
        <v>1.07</v>
      </c>
      <c r="BP208" s="205" t="n">
        <f aca="false">BP207+BV208</f>
        <v>207</v>
      </c>
      <c r="BQ208" s="206" t="s">
        <v>1039</v>
      </c>
      <c r="BR208" s="201" t="s">
        <v>203</v>
      </c>
      <c r="BS208" s="132" t="s">
        <v>334</v>
      </c>
      <c r="BT208" s="209" t="s">
        <v>205</v>
      </c>
      <c r="BU208" s="209"/>
      <c r="BV208" s="132" t="n">
        <v>1</v>
      </c>
      <c r="BW208" s="201" t="s">
        <v>1040</v>
      </c>
      <c r="BX208" s="0"/>
    </row>
    <row r="209" customFormat="false" ht="12.75" hidden="false" customHeight="false" outlineLevel="0" collapsed="false">
      <c r="A209" s="242"/>
      <c r="B209" s="192" t="e">
        <f aca="false">NextMonth(B208)</f>
        <v>#VALUE!</v>
      </c>
      <c r="C209" s="193" t="n">
        <v>0.074183549305274</v>
      </c>
      <c r="D209" s="193" t="n">
        <v>0.45</v>
      </c>
      <c r="E209" s="193" t="n">
        <v>0.45</v>
      </c>
      <c r="F209" s="193" t="n">
        <v>0.1435</v>
      </c>
      <c r="G209" s="193" t="n">
        <v>0.15</v>
      </c>
      <c r="H209" s="193" t="n">
        <v>0.1585</v>
      </c>
      <c r="I209" s="218" t="n">
        <v>3.6525</v>
      </c>
      <c r="J209" s="193" t="n">
        <v>3.6575</v>
      </c>
      <c r="K209" s="193" t="n">
        <v>3.6625</v>
      </c>
      <c r="L209" s="193" t="n">
        <v>0</v>
      </c>
      <c r="M209" s="193" t="n">
        <v>0.37</v>
      </c>
      <c r="O209" s="189" t="e">
        <f aca="false">(IF(MONTH(B209)&gt;=4,IF(MONTH(B209)&lt;=10,Inputs!$H$2,Inputs!$H$3),Inputs!$H$3))</f>
        <v>#VALUE!</v>
      </c>
      <c r="P209" s="244" t="e">
        <f aca="false">J209+(IF($L$2=TRUE(),IF(MONTH(B209)&gt;=4,IF(MONTH(B209)&lt;=10,L209,M209),M209),0))+(IF('Pricing Inputs'!$AN$3=2,O209,0))</f>
        <v>#VALUE!</v>
      </c>
      <c r="Q209" s="244"/>
      <c r="R209" s="245" t="e">
        <f aca="false">B209</f>
        <v>#VALUE!</v>
      </c>
      <c r="S209" s="246" t="n">
        <f aca="false">T209-$S$16</f>
        <v>0.38</v>
      </c>
      <c r="T209" s="241" t="n">
        <f aca="false">D209</f>
        <v>0.45</v>
      </c>
      <c r="U209" s="247" t="n">
        <f aca="false">$U$16+T209</f>
        <v>0.52</v>
      </c>
      <c r="BP209" s="205" t="n">
        <f aca="false">BP208+BV209</f>
        <v>208</v>
      </c>
      <c r="BQ209" s="206" t="s">
        <v>1041</v>
      </c>
      <c r="BR209" s="201" t="s">
        <v>203</v>
      </c>
      <c r="BS209" s="132" t="s">
        <v>334</v>
      </c>
      <c r="BT209" s="209" t="s">
        <v>205</v>
      </c>
      <c r="BU209" s="209"/>
      <c r="BV209" s="132" t="n">
        <v>1</v>
      </c>
      <c r="BW209" s="201" t="s">
        <v>1042</v>
      </c>
      <c r="BX209" s="0"/>
    </row>
    <row r="210" customFormat="false" ht="12.75" hidden="false" customHeight="false" outlineLevel="0" collapsed="false">
      <c r="A210" s="242"/>
      <c r="B210" s="192" t="e">
        <f aca="false">NextMonth(B209)</f>
        <v>#VALUE!</v>
      </c>
      <c r="C210" s="193" t="n">
        <v>0.074183264094422</v>
      </c>
      <c r="D210" s="193" t="n">
        <v>0.5</v>
      </c>
      <c r="E210" s="193" t="n">
        <v>0.5</v>
      </c>
      <c r="F210" s="193" t="n">
        <v>0.1435</v>
      </c>
      <c r="G210" s="193" t="n">
        <v>0.15</v>
      </c>
      <c r="H210" s="193" t="n">
        <v>0.1585</v>
      </c>
      <c r="I210" s="218" t="n">
        <v>3.6265</v>
      </c>
      <c r="J210" s="193" t="n">
        <v>3.6315</v>
      </c>
      <c r="K210" s="193" t="n">
        <v>3.6365</v>
      </c>
      <c r="L210" s="193" t="n">
        <v>0</v>
      </c>
      <c r="M210" s="193" t="n">
        <v>0.2525</v>
      </c>
      <c r="O210" s="189" t="e">
        <f aca="false">(IF(MONTH(B210)&gt;=4,IF(MONTH(B210)&lt;=10,Inputs!$H$2,Inputs!$H$3),Inputs!$H$3))</f>
        <v>#VALUE!</v>
      </c>
      <c r="P210" s="244" t="e">
        <f aca="false">J210+(IF($L$2=TRUE(),IF(MONTH(B210)&gt;=4,IF(MONTH(B210)&lt;=10,L210,M210),M210),0))+(IF('Pricing Inputs'!$AN$3=2,O210,0))</f>
        <v>#VALUE!</v>
      </c>
      <c r="Q210" s="244"/>
      <c r="R210" s="245" t="e">
        <f aca="false">B210</f>
        <v>#VALUE!</v>
      </c>
      <c r="S210" s="246" t="n">
        <f aca="false">T210-$S$16</f>
        <v>0.43</v>
      </c>
      <c r="T210" s="241" t="n">
        <f aca="false">D210</f>
        <v>0.5</v>
      </c>
      <c r="U210" s="247" t="n">
        <f aca="false">$U$16+T210</f>
        <v>0.57</v>
      </c>
      <c r="BP210" s="205" t="n">
        <f aca="false">BP209+BV210</f>
        <v>209</v>
      </c>
      <c r="BQ210" s="206" t="s">
        <v>1043</v>
      </c>
      <c r="BR210" s="201" t="s">
        <v>203</v>
      </c>
      <c r="BS210" s="132" t="s">
        <v>334</v>
      </c>
      <c r="BT210" s="209" t="s">
        <v>205</v>
      </c>
      <c r="BU210" s="209"/>
      <c r="BV210" s="132" t="n">
        <v>1</v>
      </c>
      <c r="BW210" s="201" t="s">
        <v>1044</v>
      </c>
      <c r="BX210" s="0"/>
    </row>
    <row r="211" customFormat="false" ht="12.75" hidden="false" customHeight="false" outlineLevel="0" collapsed="false">
      <c r="A211" s="242"/>
      <c r="B211" s="192" t="e">
        <f aca="false">NextMonth(B210)</f>
        <v>#VALUE!</v>
      </c>
      <c r="C211" s="193" t="n">
        <v>0.074182969376542</v>
      </c>
      <c r="D211" s="193" t="n">
        <v>0.5</v>
      </c>
      <c r="E211" s="193" t="n">
        <v>0.5</v>
      </c>
      <c r="F211" s="193" t="n">
        <v>0.1435</v>
      </c>
      <c r="G211" s="193" t="n">
        <v>0.15</v>
      </c>
      <c r="H211" s="193" t="n">
        <v>0.1585</v>
      </c>
      <c r="I211" s="218" t="n">
        <v>3.6325</v>
      </c>
      <c r="J211" s="193" t="n">
        <v>3.6375</v>
      </c>
      <c r="K211" s="193" t="n">
        <v>3.6425</v>
      </c>
      <c r="L211" s="193" t="n">
        <v>0</v>
      </c>
      <c r="M211" s="193" t="n">
        <v>0.2525</v>
      </c>
      <c r="O211" s="189" t="e">
        <f aca="false">(IF(MONTH(B211)&gt;=4,IF(MONTH(B211)&lt;=10,Inputs!$H$2,Inputs!$H$3),Inputs!$H$3))</f>
        <v>#VALUE!</v>
      </c>
      <c r="P211" s="244" t="e">
        <f aca="false">J211+(IF($L$2=TRUE(),IF(MONTH(B211)&gt;=4,IF(MONTH(B211)&lt;=10,L211,M211),M211),0))+(IF('Pricing Inputs'!$AN$3=2,O211,0))</f>
        <v>#VALUE!</v>
      </c>
      <c r="Q211" s="244"/>
      <c r="R211" s="245" t="e">
        <f aca="false">B211</f>
        <v>#VALUE!</v>
      </c>
      <c r="S211" s="246" t="n">
        <f aca="false">T211-$S$16</f>
        <v>0.43</v>
      </c>
      <c r="T211" s="241" t="n">
        <f aca="false">D211</f>
        <v>0.5</v>
      </c>
      <c r="U211" s="247" t="n">
        <f aca="false">$U$16+T211</f>
        <v>0.57</v>
      </c>
      <c r="BP211" s="205" t="n">
        <f aca="false">BP210+BV211</f>
        <v>210</v>
      </c>
      <c r="BQ211" s="206" t="s">
        <v>1045</v>
      </c>
      <c r="BR211" s="201" t="s">
        <v>203</v>
      </c>
      <c r="BS211" s="132" t="s">
        <v>334</v>
      </c>
      <c r="BT211" s="209" t="s">
        <v>205</v>
      </c>
      <c r="BU211" s="209"/>
      <c r="BV211" s="132" t="n">
        <v>1</v>
      </c>
      <c r="BW211" s="201" t="s">
        <v>1046</v>
      </c>
      <c r="BX211" s="0"/>
    </row>
    <row r="212" customFormat="false" ht="12.75" hidden="false" customHeight="false" outlineLevel="0" collapsed="false">
      <c r="A212" s="242"/>
      <c r="B212" s="192" t="e">
        <f aca="false">NextMonth(B211)</f>
        <v>#VALUE!</v>
      </c>
      <c r="C212" s="193" t="n">
        <v>0.07418268416569</v>
      </c>
      <c r="D212" s="193" t="n">
        <v>0.5</v>
      </c>
      <c r="E212" s="193" t="n">
        <v>0.5</v>
      </c>
      <c r="F212" s="193" t="n">
        <v>0.1435</v>
      </c>
      <c r="G212" s="193" t="n">
        <v>0.15</v>
      </c>
      <c r="H212" s="193" t="n">
        <v>0.1585</v>
      </c>
      <c r="I212" s="218" t="n">
        <v>3.6425</v>
      </c>
      <c r="J212" s="193" t="n">
        <v>3.6475</v>
      </c>
      <c r="K212" s="193" t="n">
        <v>3.6525</v>
      </c>
      <c r="L212" s="193" t="n">
        <v>0</v>
      </c>
      <c r="M212" s="193" t="n">
        <v>0.2575</v>
      </c>
      <c r="O212" s="189" t="e">
        <f aca="false">(IF(MONTH(B212)&gt;=4,IF(MONTH(B212)&lt;=10,Inputs!$H$2,Inputs!$H$3),Inputs!$H$3))</f>
        <v>#VALUE!</v>
      </c>
      <c r="P212" s="244" t="e">
        <f aca="false">J212+(IF($L$2=TRUE(),IF(MONTH(B212)&gt;=4,IF(MONTH(B212)&lt;=10,L212,M212),M212),0))+(IF('Pricing Inputs'!$AN$3=2,O212,0))</f>
        <v>#VALUE!</v>
      </c>
      <c r="Q212" s="244"/>
      <c r="R212" s="245" t="e">
        <f aca="false">B212</f>
        <v>#VALUE!</v>
      </c>
      <c r="S212" s="246" t="n">
        <f aca="false">T212-$S$16</f>
        <v>0.43</v>
      </c>
      <c r="T212" s="241" t="n">
        <f aca="false">D212</f>
        <v>0.5</v>
      </c>
      <c r="U212" s="247" t="n">
        <f aca="false">$U$16+T212</f>
        <v>0.57</v>
      </c>
      <c r="BP212" s="205" t="n">
        <f aca="false">BP211+BV212</f>
        <v>211</v>
      </c>
      <c r="BQ212" s="206" t="s">
        <v>1047</v>
      </c>
      <c r="BR212" s="201" t="s">
        <v>203</v>
      </c>
      <c r="BS212" s="132" t="s">
        <v>334</v>
      </c>
      <c r="BT212" s="209" t="s">
        <v>205</v>
      </c>
      <c r="BU212" s="209"/>
      <c r="BV212" s="132" t="n">
        <v>1</v>
      </c>
      <c r="BW212" s="201" t="s">
        <v>1048</v>
      </c>
      <c r="BX212" s="0"/>
    </row>
    <row r="213" customFormat="false" ht="12.75" hidden="false" customHeight="false" outlineLevel="0" collapsed="false">
      <c r="A213" s="242"/>
      <c r="B213" s="192" t="e">
        <f aca="false">NextMonth(B212)</f>
        <v>#VALUE!</v>
      </c>
      <c r="C213" s="193" t="n">
        <v>0.07418238944781</v>
      </c>
      <c r="D213" s="193" t="n">
        <v>0.6</v>
      </c>
      <c r="E213" s="193" t="n">
        <v>0.6</v>
      </c>
      <c r="F213" s="193" t="n">
        <v>0.1435</v>
      </c>
      <c r="G213" s="193" t="n">
        <v>0.15</v>
      </c>
      <c r="H213" s="193" t="n">
        <v>0.1585</v>
      </c>
      <c r="I213" s="218" t="n">
        <v>3.6495</v>
      </c>
      <c r="J213" s="193" t="n">
        <v>3.6545</v>
      </c>
      <c r="K213" s="193" t="n">
        <v>3.6595</v>
      </c>
      <c r="L213" s="193" t="n">
        <v>0</v>
      </c>
      <c r="M213" s="193" t="n">
        <v>0.2575</v>
      </c>
      <c r="O213" s="189" t="e">
        <f aca="false">(IF(MONTH(B213)&gt;=4,IF(MONTH(B213)&lt;=10,Inputs!$H$2,Inputs!$H$3),Inputs!$H$3))</f>
        <v>#VALUE!</v>
      </c>
      <c r="P213" s="244" t="e">
        <f aca="false">J213+(IF($L$2=TRUE(),IF(MONTH(B213)&gt;=4,IF(MONTH(B213)&lt;=10,L213,M213),M213),0))+(IF('Pricing Inputs'!$AN$3=2,O213,0))</f>
        <v>#VALUE!</v>
      </c>
      <c r="Q213" s="244"/>
      <c r="R213" s="245" t="e">
        <f aca="false">B213</f>
        <v>#VALUE!</v>
      </c>
      <c r="S213" s="246" t="n">
        <f aca="false">T213-$S$16</f>
        <v>0.53</v>
      </c>
      <c r="T213" s="241" t="n">
        <f aca="false">D213</f>
        <v>0.6</v>
      </c>
      <c r="U213" s="247" t="n">
        <f aca="false">$U$16+T213</f>
        <v>0.67</v>
      </c>
      <c r="BP213" s="205" t="n">
        <f aca="false">BP212+BV213</f>
        <v>212</v>
      </c>
      <c r="BQ213" s="206" t="s">
        <v>1049</v>
      </c>
      <c r="BR213" s="201" t="s">
        <v>203</v>
      </c>
      <c r="BS213" s="132" t="s">
        <v>334</v>
      </c>
      <c r="BT213" s="209" t="s">
        <v>205</v>
      </c>
      <c r="BU213" s="209"/>
      <c r="BV213" s="132" t="n">
        <v>1</v>
      </c>
      <c r="BW213" s="201" t="s">
        <v>1050</v>
      </c>
      <c r="BX213" s="0"/>
    </row>
    <row r="214" customFormat="false" ht="12.75" hidden="false" customHeight="false" outlineLevel="0" collapsed="false">
      <c r="A214" s="242"/>
      <c r="B214" s="192" t="e">
        <f aca="false">NextMonth(B213)</f>
        <v>#VALUE!</v>
      </c>
      <c r="C214" s="193" t="n">
        <v>0.07418209472993</v>
      </c>
      <c r="D214" s="193" t="n">
        <v>0.6</v>
      </c>
      <c r="E214" s="193" t="n">
        <v>0.6</v>
      </c>
      <c r="F214" s="193" t="n">
        <v>0.1435</v>
      </c>
      <c r="G214" s="193" t="n">
        <v>0.15</v>
      </c>
      <c r="H214" s="193" t="n">
        <v>0.1585</v>
      </c>
      <c r="I214" s="218" t="n">
        <v>3.6565</v>
      </c>
      <c r="J214" s="193" t="n">
        <v>3.6615</v>
      </c>
      <c r="K214" s="193" t="n">
        <v>3.6665</v>
      </c>
      <c r="L214" s="193" t="n">
        <v>0</v>
      </c>
      <c r="M214" s="193" t="n">
        <v>0.2525</v>
      </c>
      <c r="O214" s="189" t="e">
        <f aca="false">(IF(MONTH(B214)&gt;=4,IF(MONTH(B214)&lt;=10,Inputs!$H$2,Inputs!$H$3),Inputs!$H$3))</f>
        <v>#VALUE!</v>
      </c>
      <c r="P214" s="244" t="e">
        <f aca="false">J214+(IF($L$2=TRUE(),IF(MONTH(B214)&gt;=4,IF(MONTH(B214)&lt;=10,L214,M214),M214),0))+(IF('Pricing Inputs'!$AN$3=2,O214,0))</f>
        <v>#VALUE!</v>
      </c>
      <c r="Q214" s="244"/>
      <c r="R214" s="245" t="e">
        <f aca="false">B214</f>
        <v>#VALUE!</v>
      </c>
      <c r="S214" s="246" t="n">
        <f aca="false">T214-$S$16</f>
        <v>0.53</v>
      </c>
      <c r="T214" s="241" t="n">
        <f aca="false">D214</f>
        <v>0.6</v>
      </c>
      <c r="U214" s="247" t="n">
        <f aca="false">$U$16+T214</f>
        <v>0.67</v>
      </c>
      <c r="BP214" s="205" t="n">
        <f aca="false">BP213+BV214</f>
        <v>213</v>
      </c>
      <c r="BQ214" s="206" t="s">
        <v>1051</v>
      </c>
      <c r="BR214" s="201" t="s">
        <v>203</v>
      </c>
      <c r="BS214" s="132" t="s">
        <v>334</v>
      </c>
      <c r="BT214" s="209" t="s">
        <v>205</v>
      </c>
      <c r="BU214" s="209"/>
      <c r="BV214" s="132" t="n">
        <v>1</v>
      </c>
      <c r="BW214" s="201" t="s">
        <v>1052</v>
      </c>
      <c r="BX214" s="0"/>
    </row>
    <row r="215" customFormat="false" ht="12.75" hidden="false" customHeight="false" outlineLevel="0" collapsed="false">
      <c r="A215" s="242"/>
      <c r="B215" s="192" t="e">
        <f aca="false">NextMonth(B214)</f>
        <v>#VALUE!</v>
      </c>
      <c r="C215" s="193" t="n">
        <v>0.074181809519078</v>
      </c>
      <c r="D215" s="193" t="n">
        <v>0.65</v>
      </c>
      <c r="E215" s="193" t="n">
        <v>0.65</v>
      </c>
      <c r="F215" s="193" t="n">
        <v>0.1435</v>
      </c>
      <c r="G215" s="193" t="n">
        <v>0.15</v>
      </c>
      <c r="H215" s="193" t="n">
        <v>0.1585</v>
      </c>
      <c r="I215" s="218" t="n">
        <v>3.6825</v>
      </c>
      <c r="J215" s="193" t="n">
        <v>3.6875</v>
      </c>
      <c r="K215" s="193" t="n">
        <v>3.6925</v>
      </c>
      <c r="L215" s="193" t="n">
        <v>0</v>
      </c>
      <c r="M215" s="193" t="n">
        <v>0.255</v>
      </c>
      <c r="O215" s="189" t="e">
        <f aca="false">(IF(MONTH(B215)&gt;=4,IF(MONTH(B215)&lt;=10,Inputs!$H$2,Inputs!$H$3),Inputs!$H$3))</f>
        <v>#VALUE!</v>
      </c>
      <c r="P215" s="244" t="e">
        <f aca="false">J215+(IF($L$2=TRUE(),IF(MONTH(B215)&gt;=4,IF(MONTH(B215)&lt;=10,L215,M215),M215),0))+(IF('Pricing Inputs'!$AN$3=2,O215,0))</f>
        <v>#VALUE!</v>
      </c>
      <c r="Q215" s="244"/>
      <c r="R215" s="245" t="e">
        <f aca="false">B215</f>
        <v>#VALUE!</v>
      </c>
      <c r="S215" s="246" t="n">
        <f aca="false">T215-$S$16</f>
        <v>0.58</v>
      </c>
      <c r="T215" s="241" t="n">
        <f aca="false">D215</f>
        <v>0.65</v>
      </c>
      <c r="U215" s="247" t="n">
        <f aca="false">$U$16+T215</f>
        <v>0.72</v>
      </c>
      <c r="BP215" s="205" t="n">
        <f aca="false">BP214+BV215</f>
        <v>214</v>
      </c>
      <c r="BQ215" s="206" t="s">
        <v>1053</v>
      </c>
      <c r="BR215" s="201" t="s">
        <v>203</v>
      </c>
      <c r="BS215" s="132" t="s">
        <v>334</v>
      </c>
      <c r="BT215" s="209" t="s">
        <v>205</v>
      </c>
      <c r="BU215" s="209"/>
      <c r="BV215" s="132" t="n">
        <v>1</v>
      </c>
      <c r="BW215" s="201" t="s">
        <v>1054</v>
      </c>
      <c r="BX215" s="0"/>
    </row>
    <row r="216" customFormat="false" ht="12.75" hidden="false" customHeight="false" outlineLevel="0" collapsed="false">
      <c r="A216" s="242"/>
      <c r="B216" s="192" t="e">
        <f aca="false">NextMonth(B215)</f>
        <v>#VALUE!</v>
      </c>
      <c r="C216" s="193" t="n">
        <v>0.074181514801198</v>
      </c>
      <c r="D216" s="193" t="n">
        <v>0.95</v>
      </c>
      <c r="E216" s="193" t="n">
        <v>0.95</v>
      </c>
      <c r="F216" s="193" t="n">
        <v>0.1435</v>
      </c>
      <c r="G216" s="193" t="n">
        <v>0.15</v>
      </c>
      <c r="H216" s="193" t="n">
        <v>0.1585</v>
      </c>
      <c r="I216" s="218" t="n">
        <v>3.8175</v>
      </c>
      <c r="J216" s="193" t="n">
        <v>3.8225</v>
      </c>
      <c r="K216" s="193" t="n">
        <v>3.8275</v>
      </c>
      <c r="L216" s="193" t="n">
        <v>0</v>
      </c>
      <c r="M216" s="193" t="n">
        <v>0.715</v>
      </c>
      <c r="O216" s="189" t="e">
        <f aca="false">(IF(MONTH(B216)&gt;=4,IF(MONTH(B216)&lt;=10,Inputs!$H$2,Inputs!$H$3),Inputs!$H$3))</f>
        <v>#VALUE!</v>
      </c>
      <c r="P216" s="244" t="e">
        <f aca="false">J216+(IF($L$2=TRUE(),IF(MONTH(B216)&gt;=4,IF(MONTH(B216)&lt;=10,L216,M216),M216),0))+(IF('Pricing Inputs'!$AN$3=2,O216,0))</f>
        <v>#VALUE!</v>
      </c>
      <c r="Q216" s="244"/>
      <c r="R216" s="245" t="e">
        <f aca="false">B216</f>
        <v>#VALUE!</v>
      </c>
      <c r="S216" s="246" t="n">
        <f aca="false">T216-$S$16</f>
        <v>0.88</v>
      </c>
      <c r="T216" s="241" t="n">
        <f aca="false">D216</f>
        <v>0.95</v>
      </c>
      <c r="U216" s="247" t="n">
        <f aca="false">$U$16+T216</f>
        <v>1.02</v>
      </c>
      <c r="BP216" s="205" t="n">
        <f aca="false">BP215+BV216</f>
        <v>215</v>
      </c>
      <c r="BQ216" s="206" t="s">
        <v>1055</v>
      </c>
      <c r="BR216" s="201" t="s">
        <v>203</v>
      </c>
      <c r="BS216" s="132" t="s">
        <v>334</v>
      </c>
      <c r="BT216" s="209" t="s">
        <v>205</v>
      </c>
      <c r="BU216" s="209"/>
      <c r="BV216" s="132" t="n">
        <v>1</v>
      </c>
      <c r="BW216" s="201" t="s">
        <v>1056</v>
      </c>
      <c r="BX216" s="0"/>
    </row>
    <row r="217" customFormat="false" ht="12.75" hidden="false" customHeight="false" outlineLevel="0" collapsed="false">
      <c r="A217" s="242"/>
      <c r="B217" s="192" t="e">
        <f aca="false">NextMonth(B216)</f>
        <v>#VALUE!</v>
      </c>
      <c r="C217" s="193" t="n">
        <v>0.074181229590346</v>
      </c>
      <c r="D217" s="193" t="n">
        <v>1.25</v>
      </c>
      <c r="E217" s="193" t="n">
        <v>1.25</v>
      </c>
      <c r="F217" s="193" t="n">
        <v>0.1435</v>
      </c>
      <c r="G217" s="193" t="n">
        <v>0.15</v>
      </c>
      <c r="H217" s="193" t="n">
        <v>0.1585</v>
      </c>
      <c r="I217" s="218" t="n">
        <v>3.9415</v>
      </c>
      <c r="J217" s="193" t="n">
        <v>3.9465</v>
      </c>
      <c r="K217" s="193" t="n">
        <v>3.9515</v>
      </c>
      <c r="L217" s="193" t="n">
        <v>0</v>
      </c>
      <c r="M217" s="193" t="n">
        <v>1.03</v>
      </c>
      <c r="O217" s="189" t="e">
        <f aca="false">(IF(MONTH(B217)&gt;=4,IF(MONTH(B217)&lt;=10,Inputs!$H$2,Inputs!$H$3),Inputs!$H$3))</f>
        <v>#VALUE!</v>
      </c>
      <c r="P217" s="244" t="e">
        <f aca="false">J217+(IF($L$2=TRUE(),IF(MONTH(B217)&gt;=4,IF(MONTH(B217)&lt;=10,L217,M217),M217),0))+(IF('Pricing Inputs'!$AN$3=2,O217,0))</f>
        <v>#VALUE!</v>
      </c>
      <c r="Q217" s="244"/>
      <c r="R217" s="245" t="e">
        <f aca="false">B217</f>
        <v>#VALUE!</v>
      </c>
      <c r="S217" s="246" t="n">
        <f aca="false">T217-$S$16</f>
        <v>1.18</v>
      </c>
      <c r="T217" s="241" t="n">
        <f aca="false">D217</f>
        <v>1.25</v>
      </c>
      <c r="U217" s="247" t="n">
        <f aca="false">$U$16+T217</f>
        <v>1.32</v>
      </c>
      <c r="BP217" s="205" t="n">
        <f aca="false">BP216+BV217</f>
        <v>216</v>
      </c>
      <c r="BQ217" s="206" t="s">
        <v>1057</v>
      </c>
      <c r="BR217" s="201" t="s">
        <v>203</v>
      </c>
      <c r="BS217" s="132" t="s">
        <v>334</v>
      </c>
      <c r="BT217" s="209" t="s">
        <v>205</v>
      </c>
      <c r="BU217" s="209"/>
      <c r="BV217" s="132" t="n">
        <v>1</v>
      </c>
      <c r="BW217" s="201" t="s">
        <v>1058</v>
      </c>
      <c r="BX217" s="0"/>
    </row>
    <row r="218" customFormat="false" ht="12.75" hidden="false" customHeight="false" outlineLevel="0" collapsed="false">
      <c r="A218" s="242"/>
      <c r="B218" s="192" t="e">
        <f aca="false">NextMonth(B217)</f>
        <v>#VALUE!</v>
      </c>
      <c r="C218" s="193" t="n">
        <v>0.074180934872467</v>
      </c>
      <c r="D218" s="193" t="n">
        <v>1.45</v>
      </c>
      <c r="E218" s="193" t="n">
        <v>1.45</v>
      </c>
      <c r="F218" s="193" t="n">
        <v>0.1435</v>
      </c>
      <c r="G218" s="193" t="n">
        <v>0.15</v>
      </c>
      <c r="H218" s="193" t="n">
        <v>0.1585</v>
      </c>
      <c r="I218" s="218" t="n">
        <v>4.05</v>
      </c>
      <c r="J218" s="193" t="n">
        <v>4.055</v>
      </c>
      <c r="K218" s="193" t="n">
        <v>4.06</v>
      </c>
      <c r="L218" s="193" t="n">
        <v>0</v>
      </c>
      <c r="M218" s="193" t="n">
        <v>1.495</v>
      </c>
      <c r="O218" s="189" t="e">
        <f aca="false">(IF(MONTH(B218)&gt;=4,IF(MONTH(B218)&lt;=10,Inputs!$H$2,Inputs!$H$3),Inputs!$H$3))</f>
        <v>#VALUE!</v>
      </c>
      <c r="P218" s="244" t="e">
        <f aca="false">J218+(IF($L$2=TRUE(),IF(MONTH(B218)&gt;=4,IF(MONTH(B218)&lt;=10,L218,M218),M218),0))+(IF('Pricing Inputs'!$AN$3=2,O218,0))</f>
        <v>#VALUE!</v>
      </c>
      <c r="Q218" s="244"/>
      <c r="R218" s="245" t="e">
        <f aca="false">B218</f>
        <v>#VALUE!</v>
      </c>
      <c r="S218" s="246" t="n">
        <f aca="false">T218-$S$16</f>
        <v>1.38</v>
      </c>
      <c r="T218" s="241" t="n">
        <f aca="false">D218</f>
        <v>1.45</v>
      </c>
      <c r="U218" s="247" t="n">
        <f aca="false">$U$16+T218</f>
        <v>1.52</v>
      </c>
      <c r="BP218" s="205" t="n">
        <f aca="false">BP217+BV218</f>
        <v>217</v>
      </c>
      <c r="BQ218" s="206" t="s">
        <v>1059</v>
      </c>
      <c r="BR218" s="201" t="s">
        <v>203</v>
      </c>
      <c r="BS218" s="132" t="s">
        <v>334</v>
      </c>
      <c r="BT218" s="209" t="s">
        <v>205</v>
      </c>
      <c r="BU218" s="209"/>
      <c r="BV218" s="132" t="n">
        <v>1</v>
      </c>
      <c r="BW218" s="201" t="s">
        <v>1060</v>
      </c>
      <c r="BX218" s="0"/>
    </row>
    <row r="219" customFormat="false" ht="12.75" hidden="false" customHeight="false" outlineLevel="0" collapsed="false">
      <c r="A219" s="242"/>
      <c r="B219" s="192" t="e">
        <f aca="false">NextMonth(B218)</f>
        <v>#VALUE!</v>
      </c>
      <c r="C219" s="193" t="n">
        <v>0.074180640154587</v>
      </c>
      <c r="D219" s="193" t="n">
        <v>1.45</v>
      </c>
      <c r="E219" s="193" t="n">
        <v>1.45</v>
      </c>
      <c r="F219" s="193" t="n">
        <v>0.1435</v>
      </c>
      <c r="G219" s="193" t="n">
        <v>0.15</v>
      </c>
      <c r="H219" s="193" t="n">
        <v>0.1585</v>
      </c>
      <c r="I219" s="218" t="n">
        <v>3.932</v>
      </c>
      <c r="J219" s="193" t="n">
        <v>3.937</v>
      </c>
      <c r="K219" s="193" t="n">
        <v>3.942</v>
      </c>
      <c r="L219" s="193" t="n">
        <v>0</v>
      </c>
      <c r="M219" s="193" t="n">
        <v>1.395</v>
      </c>
      <c r="O219" s="189" t="e">
        <f aca="false">(IF(MONTH(B219)&gt;=4,IF(MONTH(B219)&lt;=10,Inputs!$H$2,Inputs!$H$3),Inputs!$H$3))</f>
        <v>#VALUE!</v>
      </c>
      <c r="P219" s="244" t="e">
        <f aca="false">J219+(IF($L$2=TRUE(),IF(MONTH(B219)&gt;=4,IF(MONTH(B219)&lt;=10,L219,M219),M219),0))+(IF('Pricing Inputs'!$AN$3=2,O219,0))</f>
        <v>#VALUE!</v>
      </c>
      <c r="Q219" s="244"/>
      <c r="R219" s="245" t="e">
        <f aca="false">B219</f>
        <v>#VALUE!</v>
      </c>
      <c r="S219" s="246" t="n">
        <f aca="false">T219-$S$16</f>
        <v>1.38</v>
      </c>
      <c r="T219" s="241" t="n">
        <f aca="false">D219</f>
        <v>1.45</v>
      </c>
      <c r="U219" s="247" t="n">
        <f aca="false">$U$16+T219</f>
        <v>1.52</v>
      </c>
      <c r="BP219" s="205" t="n">
        <f aca="false">BP218+BV219</f>
        <v>218</v>
      </c>
      <c r="BQ219" s="206" t="s">
        <v>1061</v>
      </c>
      <c r="BR219" s="201" t="s">
        <v>203</v>
      </c>
      <c r="BS219" s="132" t="s">
        <v>334</v>
      </c>
      <c r="BT219" s="209" t="s">
        <v>205</v>
      </c>
      <c r="BU219" s="209"/>
      <c r="BV219" s="132" t="n">
        <v>1</v>
      </c>
      <c r="BW219" s="201" t="s">
        <v>1062</v>
      </c>
      <c r="BX219" s="0"/>
    </row>
    <row r="220" customFormat="false" ht="12.75" hidden="false" customHeight="false" outlineLevel="0" collapsed="false">
      <c r="A220" s="242"/>
      <c r="B220" s="192" t="e">
        <f aca="false">NextMonth(B219)</f>
        <v>#VALUE!</v>
      </c>
      <c r="C220" s="193" t="n">
        <v>0.074180373957792</v>
      </c>
      <c r="D220" s="193" t="n">
        <v>1</v>
      </c>
      <c r="E220" s="193" t="n">
        <v>1</v>
      </c>
      <c r="F220" s="193" t="n">
        <v>0.1435</v>
      </c>
      <c r="G220" s="193" t="n">
        <v>0.15</v>
      </c>
      <c r="H220" s="193" t="n">
        <v>0.1585</v>
      </c>
      <c r="I220" s="218" t="n">
        <v>3.812</v>
      </c>
      <c r="J220" s="193" t="n">
        <v>3.817</v>
      </c>
      <c r="K220" s="193" t="n">
        <v>3.822</v>
      </c>
      <c r="L220" s="193" t="n">
        <v>0</v>
      </c>
      <c r="M220" s="193" t="n">
        <v>0.865</v>
      </c>
      <c r="O220" s="189" t="e">
        <f aca="false">(IF(MONTH(B220)&gt;=4,IF(MONTH(B220)&lt;=10,Inputs!$H$2,Inputs!$H$3),Inputs!$H$3))</f>
        <v>#VALUE!</v>
      </c>
      <c r="P220" s="244" t="e">
        <f aca="false">J220+(IF($L$2=TRUE(),IF(MONTH(B220)&gt;=4,IF(MONTH(B220)&lt;=10,L220,M220),M220),0))+(IF('Pricing Inputs'!$AN$3=2,O220,0))</f>
        <v>#VALUE!</v>
      </c>
      <c r="Q220" s="244"/>
      <c r="R220" s="245" t="e">
        <f aca="false">B220</f>
        <v>#VALUE!</v>
      </c>
      <c r="S220" s="246" t="n">
        <f aca="false">T220-$S$16</f>
        <v>0.93</v>
      </c>
      <c r="T220" s="241" t="n">
        <f aca="false">D220</f>
        <v>1</v>
      </c>
      <c r="U220" s="247" t="n">
        <f aca="false">$U$16+T220</f>
        <v>1.07</v>
      </c>
      <c r="BP220" s="205" t="n">
        <f aca="false">BP219+BV220</f>
        <v>219</v>
      </c>
      <c r="BQ220" s="206" t="s">
        <v>1063</v>
      </c>
      <c r="BR220" s="201" t="s">
        <v>203</v>
      </c>
      <c r="BS220" s="132" t="s">
        <v>334</v>
      </c>
      <c r="BT220" s="209" t="s">
        <v>205</v>
      </c>
      <c r="BU220" s="209"/>
      <c r="BV220" s="132" t="n">
        <v>1</v>
      </c>
      <c r="BW220" s="201" t="s">
        <v>1064</v>
      </c>
      <c r="BX220" s="0"/>
    </row>
    <row r="221" customFormat="false" ht="12.75" hidden="false" customHeight="false" outlineLevel="0" collapsed="false">
      <c r="A221" s="242"/>
      <c r="B221" s="192" t="e">
        <f aca="false">NextMonth(B220)</f>
        <v>#VALUE!</v>
      </c>
      <c r="C221" s="193" t="n">
        <v>0.074180079239912</v>
      </c>
      <c r="D221" s="193" t="n">
        <v>0.45</v>
      </c>
      <c r="E221" s="193" t="n">
        <v>0.45</v>
      </c>
      <c r="F221" s="193" t="n">
        <v>0.1435</v>
      </c>
      <c r="G221" s="193" t="n">
        <v>0.15</v>
      </c>
      <c r="H221" s="193" t="n">
        <v>0.1585</v>
      </c>
      <c r="I221" s="218" t="n">
        <v>3.7625</v>
      </c>
      <c r="J221" s="193" t="n">
        <v>3.7675</v>
      </c>
      <c r="K221" s="193" t="n">
        <v>3.7725</v>
      </c>
      <c r="L221" s="193" t="n">
        <v>0</v>
      </c>
      <c r="M221" s="193" t="n">
        <v>0.37</v>
      </c>
      <c r="O221" s="189" t="e">
        <f aca="false">(IF(MONTH(B221)&gt;=4,IF(MONTH(B221)&lt;=10,Inputs!$H$2,Inputs!$H$3),Inputs!$H$3))</f>
        <v>#VALUE!</v>
      </c>
      <c r="P221" s="244" t="e">
        <f aca="false">J221+(IF($L$2=TRUE(),IF(MONTH(B221)&gt;=4,IF(MONTH(B221)&lt;=10,L221,M221),M221),0))+(IF('Pricing Inputs'!$AN$3=2,O221,0))</f>
        <v>#VALUE!</v>
      </c>
      <c r="Q221" s="244"/>
      <c r="R221" s="245" t="e">
        <f aca="false">B221</f>
        <v>#VALUE!</v>
      </c>
      <c r="S221" s="246" t="n">
        <f aca="false">T221-$S$16</f>
        <v>0.38</v>
      </c>
      <c r="T221" s="241" t="n">
        <f aca="false">D221</f>
        <v>0.45</v>
      </c>
      <c r="U221" s="247" t="n">
        <f aca="false">$U$16+T221</f>
        <v>0.52</v>
      </c>
      <c r="BP221" s="205" t="n">
        <f aca="false">BP220+BV221</f>
        <v>220</v>
      </c>
      <c r="BQ221" s="206" t="s">
        <v>1065</v>
      </c>
      <c r="BR221" s="201" t="s">
        <v>203</v>
      </c>
      <c r="BS221" s="132" t="s">
        <v>334</v>
      </c>
      <c r="BT221" s="209" t="s">
        <v>205</v>
      </c>
      <c r="BU221" s="209"/>
      <c r="BV221" s="132" t="n">
        <v>1</v>
      </c>
      <c r="BW221" s="201" t="s">
        <v>1066</v>
      </c>
      <c r="BX221" s="0"/>
    </row>
    <row r="222" customFormat="false" ht="12.75" hidden="false" customHeight="false" outlineLevel="0" collapsed="false">
      <c r="A222" s="242"/>
      <c r="B222" s="192" t="e">
        <f aca="false">NextMonth(B221)</f>
        <v>#VALUE!</v>
      </c>
      <c r="C222" s="193" t="n">
        <v>0.07417979402906</v>
      </c>
      <c r="D222" s="193" t="n">
        <v>0.5</v>
      </c>
      <c r="E222" s="193" t="n">
        <v>0.5</v>
      </c>
      <c r="F222" s="193" t="n">
        <v>0.1435</v>
      </c>
      <c r="G222" s="193" t="n">
        <v>0.15</v>
      </c>
      <c r="H222" s="193" t="n">
        <v>0.1585</v>
      </c>
      <c r="I222" s="218" t="n">
        <v>3.7365</v>
      </c>
      <c r="J222" s="193" t="n">
        <v>3.7415</v>
      </c>
      <c r="K222" s="193" t="n">
        <v>3.7465</v>
      </c>
      <c r="L222" s="193" t="n">
        <v>0</v>
      </c>
      <c r="M222" s="193" t="n">
        <v>0.2525</v>
      </c>
      <c r="O222" s="189" t="e">
        <f aca="false">(IF(MONTH(B222)&gt;=4,IF(MONTH(B222)&lt;=10,Inputs!$H$2,Inputs!$H$3),Inputs!$H$3))</f>
        <v>#VALUE!</v>
      </c>
      <c r="P222" s="244" t="e">
        <f aca="false">J222+(IF($L$2=TRUE(),IF(MONTH(B222)&gt;=4,IF(MONTH(B222)&lt;=10,L222,M222),M222),0))+(IF('Pricing Inputs'!$AN$3=2,O222,0))</f>
        <v>#VALUE!</v>
      </c>
      <c r="Q222" s="244"/>
      <c r="R222" s="245" t="e">
        <f aca="false">B222</f>
        <v>#VALUE!</v>
      </c>
      <c r="S222" s="246" t="n">
        <f aca="false">T222-$S$16</f>
        <v>0.43</v>
      </c>
      <c r="T222" s="241" t="n">
        <f aca="false">D222</f>
        <v>0.5</v>
      </c>
      <c r="U222" s="247" t="n">
        <f aca="false">$U$16+T222</f>
        <v>0.57</v>
      </c>
      <c r="BP222" s="205" t="n">
        <f aca="false">BP221+BV222</f>
        <v>221</v>
      </c>
      <c r="BQ222" s="206" t="s">
        <v>1067</v>
      </c>
      <c r="BR222" s="201" t="s">
        <v>203</v>
      </c>
      <c r="BS222" s="132" t="s">
        <v>334</v>
      </c>
      <c r="BT222" s="209" t="s">
        <v>205</v>
      </c>
      <c r="BU222" s="209"/>
      <c r="BV222" s="132" t="n">
        <v>1</v>
      </c>
      <c r="BW222" s="201" t="s">
        <v>1068</v>
      </c>
      <c r="BX222" s="0"/>
    </row>
    <row r="223" customFormat="false" ht="12.75" hidden="false" customHeight="false" outlineLevel="0" collapsed="false">
      <c r="A223" s="242"/>
      <c r="B223" s="192" t="e">
        <f aca="false">NextMonth(B222)</f>
        <v>#VALUE!</v>
      </c>
      <c r="C223" s="193" t="n">
        <v>0.07417949931118</v>
      </c>
      <c r="D223" s="193" t="n">
        <v>0.5</v>
      </c>
      <c r="E223" s="193" t="n">
        <v>0.5</v>
      </c>
      <c r="F223" s="193" t="n">
        <v>0.1435</v>
      </c>
      <c r="G223" s="193" t="n">
        <v>0.15</v>
      </c>
      <c r="H223" s="193" t="n">
        <v>0.1585</v>
      </c>
      <c r="I223" s="218" t="n">
        <v>3.7425</v>
      </c>
      <c r="J223" s="193" t="n">
        <v>3.7475</v>
      </c>
      <c r="K223" s="193" t="n">
        <v>3.7525</v>
      </c>
      <c r="L223" s="193" t="n">
        <v>0</v>
      </c>
      <c r="M223" s="193" t="n">
        <v>0.2525</v>
      </c>
      <c r="O223" s="189" t="e">
        <f aca="false">(IF(MONTH(B223)&gt;=4,IF(MONTH(B223)&lt;=10,Inputs!$H$2,Inputs!$H$3),Inputs!$H$3))</f>
        <v>#VALUE!</v>
      </c>
      <c r="P223" s="244" t="e">
        <f aca="false">J223+(IF($L$2=TRUE(),IF(MONTH(B223)&gt;=4,IF(MONTH(B223)&lt;=10,L223,M223),M223),0))+(IF('Pricing Inputs'!$AN$3=2,O223,0))</f>
        <v>#VALUE!</v>
      </c>
      <c r="Q223" s="244"/>
      <c r="R223" s="245" t="e">
        <f aca="false">B223</f>
        <v>#VALUE!</v>
      </c>
      <c r="S223" s="246" t="n">
        <f aca="false">T223-$S$16</f>
        <v>0.43</v>
      </c>
      <c r="T223" s="241" t="n">
        <f aca="false">D223</f>
        <v>0.5</v>
      </c>
      <c r="U223" s="247" t="n">
        <f aca="false">$U$16+T223</f>
        <v>0.57</v>
      </c>
      <c r="BP223" s="205" t="n">
        <f aca="false">BP222+BV223</f>
        <v>222</v>
      </c>
      <c r="BQ223" s="206" t="s">
        <v>1069</v>
      </c>
      <c r="BR223" s="201" t="s">
        <v>203</v>
      </c>
      <c r="BS223" s="132" t="s">
        <v>334</v>
      </c>
      <c r="BT223" s="209" t="s">
        <v>205</v>
      </c>
      <c r="BU223" s="209"/>
      <c r="BV223" s="132" t="n">
        <v>1</v>
      </c>
      <c r="BW223" s="201" t="s">
        <v>1070</v>
      </c>
      <c r="BX223" s="0"/>
    </row>
    <row r="224" customFormat="false" ht="12.75" hidden="false" customHeight="false" outlineLevel="0" collapsed="false">
      <c r="A224" s="242"/>
      <c r="B224" s="192" t="e">
        <f aca="false">NextMonth(B223)</f>
        <v>#VALUE!</v>
      </c>
      <c r="C224" s="193" t="n">
        <v>0.074179214100328</v>
      </c>
      <c r="D224" s="193" t="n">
        <v>0.5</v>
      </c>
      <c r="E224" s="193" t="n">
        <v>0.5</v>
      </c>
      <c r="F224" s="193" t="n">
        <v>0.1435</v>
      </c>
      <c r="G224" s="193" t="n">
        <v>0.15</v>
      </c>
      <c r="H224" s="193" t="n">
        <v>0.1585</v>
      </c>
      <c r="I224" s="218" t="n">
        <v>3.7525</v>
      </c>
      <c r="J224" s="193" t="n">
        <v>3.7575</v>
      </c>
      <c r="K224" s="193" t="n">
        <v>3.7625</v>
      </c>
      <c r="L224" s="193" t="n">
        <v>0</v>
      </c>
      <c r="M224" s="193" t="n">
        <v>0.2575</v>
      </c>
      <c r="O224" s="189" t="e">
        <f aca="false">(IF(MONTH(B224)&gt;=4,IF(MONTH(B224)&lt;=10,Inputs!$H$2,Inputs!$H$3),Inputs!$H$3))</f>
        <v>#VALUE!</v>
      </c>
      <c r="P224" s="244" t="e">
        <f aca="false">J224+(IF($L$2=TRUE(),IF(MONTH(B224)&gt;=4,IF(MONTH(B224)&lt;=10,L224,M224),M224),0))+(IF('Pricing Inputs'!$AN$3=2,O224,0))</f>
        <v>#VALUE!</v>
      </c>
      <c r="Q224" s="244"/>
      <c r="R224" s="245" t="e">
        <f aca="false">B224</f>
        <v>#VALUE!</v>
      </c>
      <c r="S224" s="246" t="n">
        <f aca="false">T224-$S$16</f>
        <v>0.43</v>
      </c>
      <c r="T224" s="241" t="n">
        <f aca="false">D224</f>
        <v>0.5</v>
      </c>
      <c r="U224" s="247" t="n">
        <f aca="false">$U$16+T224</f>
        <v>0.57</v>
      </c>
      <c r="BP224" s="205" t="n">
        <f aca="false">BP223+BV224</f>
        <v>223</v>
      </c>
      <c r="BQ224" s="206" t="s">
        <v>1071</v>
      </c>
      <c r="BR224" s="201" t="s">
        <v>203</v>
      </c>
      <c r="BS224" s="132" t="s">
        <v>334</v>
      </c>
      <c r="BT224" s="209" t="s">
        <v>205</v>
      </c>
      <c r="BU224" s="209"/>
      <c r="BV224" s="132" t="n">
        <v>1</v>
      </c>
      <c r="BW224" s="201" t="s">
        <v>1072</v>
      </c>
      <c r="BX224" s="0"/>
    </row>
    <row r="225" customFormat="false" ht="12.75" hidden="false" customHeight="false" outlineLevel="0" collapsed="false">
      <c r="A225" s="242"/>
      <c r="B225" s="192" t="e">
        <f aca="false">NextMonth(B224)</f>
        <v>#VALUE!</v>
      </c>
      <c r="C225" s="193" t="n">
        <v>0.074178919382449</v>
      </c>
      <c r="D225" s="193" t="n">
        <v>0.6</v>
      </c>
      <c r="E225" s="193" t="n">
        <v>0.6</v>
      </c>
      <c r="F225" s="193" t="n">
        <v>0.1435</v>
      </c>
      <c r="G225" s="193" t="n">
        <v>0.15</v>
      </c>
      <c r="H225" s="193" t="n">
        <v>0.1585</v>
      </c>
      <c r="I225" s="218" t="n">
        <v>3.7595</v>
      </c>
      <c r="J225" s="193" t="n">
        <v>3.7645</v>
      </c>
      <c r="K225" s="193" t="n">
        <v>3.7695</v>
      </c>
      <c r="L225" s="193" t="n">
        <v>0</v>
      </c>
      <c r="M225" s="193" t="n">
        <v>0.2575</v>
      </c>
      <c r="O225" s="189" t="e">
        <f aca="false">(IF(MONTH(B225)&gt;=4,IF(MONTH(B225)&lt;=10,Inputs!$H$2,Inputs!$H$3),Inputs!$H$3))</f>
        <v>#VALUE!</v>
      </c>
      <c r="P225" s="244" t="e">
        <f aca="false">J225+(IF($L$2=TRUE(),IF(MONTH(B225)&gt;=4,IF(MONTH(B225)&lt;=10,L225,M225),M225),0))+(IF('Pricing Inputs'!$AN$3=2,O225,0))</f>
        <v>#VALUE!</v>
      </c>
      <c r="Q225" s="244"/>
      <c r="R225" s="245" t="e">
        <f aca="false">B225</f>
        <v>#VALUE!</v>
      </c>
      <c r="S225" s="246" t="n">
        <f aca="false">T225-$S$16</f>
        <v>0.53</v>
      </c>
      <c r="T225" s="241" t="n">
        <f aca="false">D225</f>
        <v>0.6</v>
      </c>
      <c r="U225" s="247" t="n">
        <f aca="false">$U$16+T225</f>
        <v>0.67</v>
      </c>
      <c r="BP225" s="205" t="n">
        <f aca="false">BP224+BV225</f>
        <v>224</v>
      </c>
      <c r="BQ225" s="206" t="s">
        <v>1073</v>
      </c>
      <c r="BR225" s="201" t="s">
        <v>203</v>
      </c>
      <c r="BS225" s="132" t="s">
        <v>334</v>
      </c>
      <c r="BT225" s="209" t="s">
        <v>205</v>
      </c>
      <c r="BU225" s="209"/>
      <c r="BV225" s="132" t="n">
        <v>1</v>
      </c>
      <c r="BW225" s="201" t="s">
        <v>1074</v>
      </c>
      <c r="BX225" s="0"/>
    </row>
    <row r="226" customFormat="false" ht="12.75" hidden="false" customHeight="false" outlineLevel="0" collapsed="false">
      <c r="A226" s="242"/>
      <c r="B226" s="192" t="e">
        <f aca="false">NextMonth(B225)</f>
        <v>#VALUE!</v>
      </c>
      <c r="C226" s="193" t="n">
        <v>0.074178624664569</v>
      </c>
      <c r="D226" s="193" t="n">
        <v>0.6</v>
      </c>
      <c r="E226" s="193" t="n">
        <v>0.6</v>
      </c>
      <c r="F226" s="193" t="n">
        <v>0.1435</v>
      </c>
      <c r="G226" s="193" t="n">
        <v>0.15</v>
      </c>
      <c r="H226" s="193" t="n">
        <v>0.1585</v>
      </c>
      <c r="I226" s="218" t="n">
        <v>3.7665</v>
      </c>
      <c r="J226" s="193" t="n">
        <v>3.7715</v>
      </c>
      <c r="K226" s="193" t="n">
        <v>3.7765</v>
      </c>
      <c r="L226" s="193" t="n">
        <v>0</v>
      </c>
      <c r="M226" s="193" t="n">
        <v>0.2525</v>
      </c>
      <c r="O226" s="189" t="e">
        <f aca="false">(IF(MONTH(B226)&gt;=4,IF(MONTH(B226)&lt;=10,Inputs!$H$2,Inputs!$H$3),Inputs!$H$3))</f>
        <v>#VALUE!</v>
      </c>
      <c r="P226" s="244" t="e">
        <f aca="false">J226+(IF($L$2=TRUE(),IF(MONTH(B226)&gt;=4,IF(MONTH(B226)&lt;=10,L226,M226),M226),0))+(IF('Pricing Inputs'!$AN$3=2,O226,0))</f>
        <v>#VALUE!</v>
      </c>
      <c r="Q226" s="244"/>
      <c r="R226" s="245" t="e">
        <f aca="false">B226</f>
        <v>#VALUE!</v>
      </c>
      <c r="S226" s="246" t="n">
        <f aca="false">T226-$S$16</f>
        <v>0.53</v>
      </c>
      <c r="T226" s="241" t="n">
        <f aca="false">D226</f>
        <v>0.6</v>
      </c>
      <c r="U226" s="247" t="n">
        <f aca="false">$U$16+T226</f>
        <v>0.67</v>
      </c>
      <c r="BP226" s="205" t="n">
        <f aca="false">BP225+BV226</f>
        <v>225</v>
      </c>
      <c r="BQ226" s="206" t="s">
        <v>1075</v>
      </c>
      <c r="BR226" s="201" t="s">
        <v>203</v>
      </c>
      <c r="BS226" s="132" t="s">
        <v>334</v>
      </c>
      <c r="BT226" s="209" t="s">
        <v>205</v>
      </c>
      <c r="BU226" s="209"/>
      <c r="BV226" s="132" t="n">
        <v>1</v>
      </c>
      <c r="BW226" s="201" t="s">
        <v>1076</v>
      </c>
      <c r="BX226" s="0"/>
    </row>
    <row r="227" customFormat="false" ht="12.75" hidden="false" customHeight="false" outlineLevel="0" collapsed="false">
      <c r="A227" s="242"/>
      <c r="B227" s="192" t="e">
        <f aca="false">NextMonth(B226)</f>
        <v>#VALUE!</v>
      </c>
      <c r="C227" s="193" t="n">
        <v>0.074178339453718</v>
      </c>
      <c r="D227" s="193" t="n">
        <v>0.65</v>
      </c>
      <c r="E227" s="193" t="n">
        <v>0.65</v>
      </c>
      <c r="F227" s="193" t="n">
        <v>0.1435</v>
      </c>
      <c r="G227" s="193" t="n">
        <v>0.15</v>
      </c>
      <c r="H227" s="193" t="n">
        <v>0.1585</v>
      </c>
      <c r="I227" s="218" t="n">
        <v>3.7925</v>
      </c>
      <c r="J227" s="193" t="n">
        <v>3.7975</v>
      </c>
      <c r="K227" s="193" t="n">
        <v>3.8025</v>
      </c>
      <c r="L227" s="193" t="n">
        <v>0</v>
      </c>
      <c r="M227" s="193" t="n">
        <v>0.255</v>
      </c>
      <c r="O227" s="189" t="e">
        <f aca="false">(IF(MONTH(B227)&gt;=4,IF(MONTH(B227)&lt;=10,Inputs!$H$2,Inputs!$H$3),Inputs!$H$3))</f>
        <v>#VALUE!</v>
      </c>
      <c r="P227" s="244" t="e">
        <f aca="false">J227+(IF($L$2=TRUE(),IF(MONTH(B227)&gt;=4,IF(MONTH(B227)&lt;=10,L227,M227),M227),0))+(IF('Pricing Inputs'!$AN$3=2,O227,0))</f>
        <v>#VALUE!</v>
      </c>
      <c r="Q227" s="244"/>
      <c r="R227" s="245" t="e">
        <f aca="false">B227</f>
        <v>#VALUE!</v>
      </c>
      <c r="S227" s="246" t="n">
        <f aca="false">T227-$S$16</f>
        <v>0.58</v>
      </c>
      <c r="T227" s="241" t="n">
        <f aca="false">D227</f>
        <v>0.65</v>
      </c>
      <c r="U227" s="247" t="n">
        <f aca="false">$U$16+T227</f>
        <v>0.72</v>
      </c>
      <c r="BP227" s="205" t="n">
        <f aca="false">BP226+BV227</f>
        <v>226</v>
      </c>
      <c r="BQ227" s="206" t="s">
        <v>1077</v>
      </c>
      <c r="BR227" s="201" t="s">
        <v>203</v>
      </c>
      <c r="BS227" s="132" t="s">
        <v>334</v>
      </c>
      <c r="BT227" s="209" t="s">
        <v>205</v>
      </c>
      <c r="BU227" s="209"/>
      <c r="BV227" s="132" t="n">
        <v>1</v>
      </c>
      <c r="BW227" s="201" t="s">
        <v>1078</v>
      </c>
      <c r="BX227" s="0"/>
    </row>
    <row r="228" customFormat="false" ht="12.75" hidden="false" customHeight="false" outlineLevel="0" collapsed="false">
      <c r="A228" s="242"/>
      <c r="B228" s="192" t="e">
        <f aca="false">NextMonth(B227)</f>
        <v>#VALUE!</v>
      </c>
      <c r="C228" s="193" t="n">
        <v>0.074178044735838</v>
      </c>
      <c r="D228" s="193" t="n">
        <v>0.95</v>
      </c>
      <c r="E228" s="193" t="n">
        <v>0.95</v>
      </c>
      <c r="F228" s="193" t="n">
        <v>0.1435</v>
      </c>
      <c r="G228" s="193" t="n">
        <v>0.15</v>
      </c>
      <c r="H228" s="193" t="n">
        <v>0.1585</v>
      </c>
      <c r="I228" s="218" t="n">
        <v>3.9275</v>
      </c>
      <c r="J228" s="193" t="n">
        <v>3.9325</v>
      </c>
      <c r="K228" s="193" t="n">
        <v>3.9375</v>
      </c>
      <c r="L228" s="193" t="n">
        <v>0</v>
      </c>
      <c r="M228" s="193" t="n">
        <v>0.715</v>
      </c>
      <c r="O228" s="189" t="e">
        <f aca="false">(IF(MONTH(B228)&gt;=4,IF(MONTH(B228)&lt;=10,Inputs!$H$2,Inputs!$H$3),Inputs!$H$3))</f>
        <v>#VALUE!</v>
      </c>
      <c r="P228" s="244" t="e">
        <f aca="false">J228+(IF($L$2=TRUE(),IF(MONTH(B228)&gt;=4,IF(MONTH(B228)&lt;=10,L228,M228),M228),0))+(IF('Pricing Inputs'!$AN$3=2,O228,0))</f>
        <v>#VALUE!</v>
      </c>
      <c r="Q228" s="244"/>
      <c r="R228" s="245" t="e">
        <f aca="false">B228</f>
        <v>#VALUE!</v>
      </c>
      <c r="S228" s="246" t="n">
        <f aca="false">T228-$S$16</f>
        <v>0.88</v>
      </c>
      <c r="T228" s="241" t="n">
        <f aca="false">D228</f>
        <v>0.95</v>
      </c>
      <c r="U228" s="247" t="n">
        <f aca="false">$U$16+T228</f>
        <v>1.02</v>
      </c>
      <c r="BP228" s="205" t="n">
        <f aca="false">BP227+BV228</f>
        <v>227</v>
      </c>
      <c r="BQ228" s="206" t="s">
        <v>1079</v>
      </c>
      <c r="BR228" s="201" t="s">
        <v>203</v>
      </c>
      <c r="BS228" s="132" t="s">
        <v>334</v>
      </c>
      <c r="BT228" s="209" t="s">
        <v>205</v>
      </c>
      <c r="BU228" s="209"/>
      <c r="BV228" s="132" t="n">
        <v>1</v>
      </c>
      <c r="BW228" s="201" t="s">
        <v>1080</v>
      </c>
      <c r="BX228" s="0"/>
    </row>
    <row r="229" customFormat="false" ht="12.75" hidden="false" customHeight="false" outlineLevel="0" collapsed="false">
      <c r="A229" s="242"/>
      <c r="B229" s="192" t="e">
        <f aca="false">NextMonth(B228)</f>
        <v>#VALUE!</v>
      </c>
      <c r="C229" s="193" t="n">
        <v>0.074177759524987</v>
      </c>
      <c r="D229" s="193" t="n">
        <v>1.25</v>
      </c>
      <c r="E229" s="193" t="n">
        <v>1.25</v>
      </c>
      <c r="F229" s="193" t="n">
        <v>0.1435</v>
      </c>
      <c r="G229" s="193" t="n">
        <v>0.15</v>
      </c>
      <c r="H229" s="193" t="n">
        <v>0.1585</v>
      </c>
      <c r="I229" s="218" t="n">
        <v>4.0515</v>
      </c>
      <c r="J229" s="193" t="n">
        <v>4.0565</v>
      </c>
      <c r="K229" s="193" t="n">
        <v>4.0615</v>
      </c>
      <c r="L229" s="193" t="n">
        <v>0</v>
      </c>
      <c r="M229" s="193" t="n">
        <v>1.03</v>
      </c>
      <c r="O229" s="189" t="e">
        <f aca="false">(IF(MONTH(B229)&gt;=4,IF(MONTH(B229)&lt;=10,Inputs!$H$2,Inputs!$H$3),Inputs!$H$3))</f>
        <v>#VALUE!</v>
      </c>
      <c r="P229" s="244" t="e">
        <f aca="false">J229+(IF($L$2=TRUE(),IF(MONTH(B229)&gt;=4,IF(MONTH(B229)&lt;=10,L229,M229),M229),0))+(IF('Pricing Inputs'!$AN$3=2,O229,0))</f>
        <v>#VALUE!</v>
      </c>
      <c r="Q229" s="244"/>
      <c r="R229" s="245" t="e">
        <f aca="false">B229</f>
        <v>#VALUE!</v>
      </c>
      <c r="S229" s="246" t="n">
        <f aca="false">T229-$S$16</f>
        <v>1.18</v>
      </c>
      <c r="T229" s="241" t="n">
        <f aca="false">D229</f>
        <v>1.25</v>
      </c>
      <c r="U229" s="247" t="n">
        <f aca="false">$U$16+T229</f>
        <v>1.32</v>
      </c>
      <c r="BP229" s="205" t="n">
        <f aca="false">BP228+BV229</f>
        <v>228</v>
      </c>
      <c r="BQ229" s="206" t="s">
        <v>1081</v>
      </c>
      <c r="BR229" s="201" t="s">
        <v>203</v>
      </c>
      <c r="BS229" s="132" t="s">
        <v>334</v>
      </c>
      <c r="BT229" s="209" t="s">
        <v>205</v>
      </c>
      <c r="BU229" s="209"/>
      <c r="BV229" s="132" t="n">
        <v>1</v>
      </c>
      <c r="BW229" s="201" t="s">
        <v>1082</v>
      </c>
      <c r="BX229" s="0"/>
    </row>
    <row r="230" customFormat="false" ht="12.75" hidden="false" customHeight="false" outlineLevel="0" collapsed="false">
      <c r="A230" s="242"/>
      <c r="B230" s="192" t="e">
        <f aca="false">NextMonth(B229)</f>
        <v>#VALUE!</v>
      </c>
      <c r="C230" s="193" t="n">
        <v>0.074177464807107</v>
      </c>
      <c r="D230" s="193" t="n">
        <v>1.45</v>
      </c>
      <c r="E230" s="193" t="n">
        <v>1.45</v>
      </c>
      <c r="F230" s="193" t="n">
        <v>0.1435</v>
      </c>
      <c r="G230" s="193" t="n">
        <v>0.15</v>
      </c>
      <c r="H230" s="193" t="n">
        <v>0.1585</v>
      </c>
      <c r="I230" s="218" t="n">
        <v>4.165</v>
      </c>
      <c r="J230" s="193" t="n">
        <v>4.17</v>
      </c>
      <c r="K230" s="193" t="n">
        <v>4.175</v>
      </c>
      <c r="L230" s="193" t="n">
        <v>0</v>
      </c>
      <c r="M230" s="193" t="n">
        <v>1.495</v>
      </c>
      <c r="O230" s="189" t="e">
        <f aca="false">(IF(MONTH(B230)&gt;=4,IF(MONTH(B230)&lt;=10,Inputs!$H$2,Inputs!$H$3),Inputs!$H$3))</f>
        <v>#VALUE!</v>
      </c>
      <c r="P230" s="244" t="e">
        <f aca="false">J230+(IF($L$2=TRUE(),IF(MONTH(B230)&gt;=4,IF(MONTH(B230)&lt;=10,L230,M230),M230),0))+(IF('Pricing Inputs'!$AN$3=2,O230,0))</f>
        <v>#VALUE!</v>
      </c>
      <c r="Q230" s="244"/>
      <c r="R230" s="245" t="e">
        <f aca="false">B230</f>
        <v>#VALUE!</v>
      </c>
      <c r="S230" s="246" t="n">
        <f aca="false">T230-$S$16</f>
        <v>1.38</v>
      </c>
      <c r="T230" s="241" t="n">
        <f aca="false">D230</f>
        <v>1.45</v>
      </c>
      <c r="U230" s="247" t="n">
        <f aca="false">$U$16+T230</f>
        <v>1.52</v>
      </c>
      <c r="BP230" s="205" t="n">
        <f aca="false">BP229+BV230</f>
        <v>229</v>
      </c>
      <c r="BQ230" s="206" t="s">
        <v>1083</v>
      </c>
      <c r="BR230" s="201" t="s">
        <v>203</v>
      </c>
      <c r="BS230" s="132" t="s">
        <v>334</v>
      </c>
      <c r="BT230" s="209" t="s">
        <v>205</v>
      </c>
      <c r="BU230" s="209"/>
      <c r="BV230" s="132" t="n">
        <v>1</v>
      </c>
      <c r="BW230" s="201" t="s">
        <v>1084</v>
      </c>
      <c r="BX230" s="0"/>
    </row>
    <row r="231" customFormat="false" ht="12.75" hidden="false" customHeight="false" outlineLevel="0" collapsed="false">
      <c r="A231" s="242"/>
      <c r="B231" s="192" t="e">
        <f aca="false">NextMonth(B230)</f>
        <v>#VALUE!</v>
      </c>
      <c r="C231" s="193" t="n">
        <v>0.074177170089227</v>
      </c>
      <c r="D231" s="193" t="n">
        <v>1.45</v>
      </c>
      <c r="E231" s="193" t="n">
        <v>1.45</v>
      </c>
      <c r="F231" s="193" t="n">
        <v>0.1435</v>
      </c>
      <c r="G231" s="193" t="n">
        <v>0.15</v>
      </c>
      <c r="H231" s="193" t="n">
        <v>0.1585</v>
      </c>
      <c r="I231" s="218" t="n">
        <v>4.047</v>
      </c>
      <c r="J231" s="193" t="n">
        <v>4.052</v>
      </c>
      <c r="K231" s="193" t="n">
        <v>4.057</v>
      </c>
      <c r="L231" s="193" t="n">
        <v>0</v>
      </c>
      <c r="M231" s="193" t="n">
        <v>1.395</v>
      </c>
      <c r="O231" s="189" t="e">
        <f aca="false">(IF(MONTH(B231)&gt;=4,IF(MONTH(B231)&lt;=10,Inputs!$H$2,Inputs!$H$3),Inputs!$H$3))</f>
        <v>#VALUE!</v>
      </c>
      <c r="P231" s="244" t="e">
        <f aca="false">J231+(IF($L$2=TRUE(),IF(MONTH(B231)&gt;=4,IF(MONTH(B231)&lt;=10,L231,M231),M231),0))+(IF('Pricing Inputs'!$AN$3=2,O231,0))</f>
        <v>#VALUE!</v>
      </c>
      <c r="Q231" s="244"/>
      <c r="R231" s="245" t="e">
        <f aca="false">B231</f>
        <v>#VALUE!</v>
      </c>
      <c r="S231" s="246" t="n">
        <f aca="false">T231-$S$16</f>
        <v>1.38</v>
      </c>
      <c r="T231" s="241" t="n">
        <f aca="false">D231</f>
        <v>1.45</v>
      </c>
      <c r="U231" s="247" t="n">
        <f aca="false">$U$16+T231</f>
        <v>1.52</v>
      </c>
      <c r="BP231" s="205" t="n">
        <f aca="false">BP230+BV231</f>
        <v>230</v>
      </c>
      <c r="BQ231" s="206" t="s">
        <v>1085</v>
      </c>
      <c r="BR231" s="201" t="s">
        <v>203</v>
      </c>
      <c r="BS231" s="132" t="s">
        <v>334</v>
      </c>
      <c r="BT231" s="209" t="s">
        <v>205</v>
      </c>
      <c r="BU231" s="209"/>
      <c r="BV231" s="132" t="n">
        <v>1</v>
      </c>
      <c r="BW231" s="201" t="s">
        <v>1086</v>
      </c>
      <c r="BX231" s="0"/>
    </row>
    <row r="232" customFormat="false" ht="12.75" hidden="false" customHeight="false" outlineLevel="0" collapsed="false">
      <c r="A232" s="242"/>
      <c r="B232" s="192" t="e">
        <f aca="false">NextMonth(B231)</f>
        <v>#VALUE!</v>
      </c>
      <c r="C232" s="193" t="n">
        <v>0.074176903892433</v>
      </c>
      <c r="D232" s="193" t="n">
        <v>1</v>
      </c>
      <c r="E232" s="193" t="n">
        <v>1</v>
      </c>
      <c r="F232" s="193" t="n">
        <v>0.1435</v>
      </c>
      <c r="G232" s="193" t="n">
        <v>0.15</v>
      </c>
      <c r="H232" s="193" t="n">
        <v>0.1585</v>
      </c>
      <c r="I232" s="218" t="n">
        <v>3.927</v>
      </c>
      <c r="J232" s="193" t="n">
        <v>3.932</v>
      </c>
      <c r="K232" s="193" t="n">
        <v>3.937</v>
      </c>
      <c r="L232" s="193" t="n">
        <v>0</v>
      </c>
      <c r="M232" s="193" t="n">
        <v>0.865</v>
      </c>
      <c r="O232" s="189" t="e">
        <f aca="false">(IF(MONTH(B232)&gt;=4,IF(MONTH(B232)&lt;=10,Inputs!$H$2,Inputs!$H$3),Inputs!$H$3))</f>
        <v>#VALUE!</v>
      </c>
      <c r="P232" s="244" t="e">
        <f aca="false">J232+(IF($L$2=TRUE(),IF(MONTH(B232)&gt;=4,IF(MONTH(B232)&lt;=10,L232,M232),M232),0))+(IF('Pricing Inputs'!$AN$3=2,O232,0))</f>
        <v>#VALUE!</v>
      </c>
      <c r="Q232" s="244"/>
      <c r="R232" s="245" t="e">
        <f aca="false">B232</f>
        <v>#VALUE!</v>
      </c>
      <c r="S232" s="246" t="n">
        <f aca="false">T232-$S$16</f>
        <v>0.93</v>
      </c>
      <c r="T232" s="241" t="n">
        <f aca="false">D232</f>
        <v>1</v>
      </c>
      <c r="U232" s="247" t="n">
        <f aca="false">$U$16+T232</f>
        <v>1.07</v>
      </c>
      <c r="BP232" s="205" t="n">
        <f aca="false">BP231+BV232</f>
        <v>231</v>
      </c>
      <c r="BQ232" s="206" t="s">
        <v>1087</v>
      </c>
      <c r="BR232" s="201" t="s">
        <v>203</v>
      </c>
      <c r="BS232" s="132" t="s">
        <v>334</v>
      </c>
      <c r="BT232" s="209" t="s">
        <v>205</v>
      </c>
      <c r="BU232" s="209"/>
      <c r="BV232" s="132" t="n">
        <v>1</v>
      </c>
      <c r="BW232" s="201" t="s">
        <v>1088</v>
      </c>
      <c r="BX232" s="0"/>
    </row>
    <row r="233" customFormat="false" ht="12.75" hidden="false" customHeight="false" outlineLevel="0" collapsed="false">
      <c r="A233" s="242"/>
      <c r="B233" s="192" t="e">
        <f aca="false">NextMonth(B232)</f>
        <v>#VALUE!</v>
      </c>
      <c r="C233" s="193" t="n">
        <v>0.074176609174553</v>
      </c>
      <c r="D233" s="193" t="n">
        <v>0.45</v>
      </c>
      <c r="E233" s="193" t="n">
        <v>0.45</v>
      </c>
      <c r="F233" s="193" t="n">
        <v>0.1435</v>
      </c>
      <c r="G233" s="193" t="n">
        <v>0.15</v>
      </c>
      <c r="H233" s="193" t="n">
        <v>0.1585</v>
      </c>
      <c r="I233" s="218" t="n">
        <v>3.8775</v>
      </c>
      <c r="J233" s="193" t="n">
        <v>3.8825</v>
      </c>
      <c r="K233" s="193" t="n">
        <v>3.8875</v>
      </c>
      <c r="L233" s="193" t="n">
        <v>0</v>
      </c>
      <c r="M233" s="193" t="n">
        <v>0.37</v>
      </c>
      <c r="O233" s="189" t="e">
        <f aca="false">(IF(MONTH(B233)&gt;=4,IF(MONTH(B233)&lt;=10,Inputs!$H$2,Inputs!$H$3),Inputs!$H$3))</f>
        <v>#VALUE!</v>
      </c>
      <c r="P233" s="244" t="e">
        <f aca="false">J233+(IF($L$2=TRUE(),IF(MONTH(B233)&gt;=4,IF(MONTH(B233)&lt;=10,L233,M233),M233),0))+(IF('Pricing Inputs'!$AN$3=2,O233,0))</f>
        <v>#VALUE!</v>
      </c>
      <c r="Q233" s="244"/>
      <c r="R233" s="245" t="e">
        <f aca="false">B233</f>
        <v>#VALUE!</v>
      </c>
      <c r="S233" s="246" t="n">
        <f aca="false">T233-$S$16</f>
        <v>0.38</v>
      </c>
      <c r="T233" s="241" t="n">
        <f aca="false">D233</f>
        <v>0.45</v>
      </c>
      <c r="U233" s="247" t="n">
        <f aca="false">$U$16+T233</f>
        <v>0.52</v>
      </c>
      <c r="BP233" s="205" t="n">
        <f aca="false">BP232+BV233</f>
        <v>232</v>
      </c>
      <c r="BQ233" s="206" t="s">
        <v>1089</v>
      </c>
      <c r="BR233" s="201" t="s">
        <v>203</v>
      </c>
      <c r="BS233" s="132" t="s">
        <v>334</v>
      </c>
      <c r="BT233" s="209" t="s">
        <v>205</v>
      </c>
      <c r="BU233" s="209"/>
      <c r="BV233" s="132" t="n">
        <v>1</v>
      </c>
      <c r="BW233" s="201" t="s">
        <v>1090</v>
      </c>
      <c r="BX233" s="0"/>
    </row>
    <row r="234" customFormat="false" ht="12.75" hidden="false" customHeight="false" outlineLevel="0" collapsed="false">
      <c r="A234" s="242"/>
      <c r="B234" s="192" t="e">
        <f aca="false">NextMonth(B233)</f>
        <v>#VALUE!</v>
      </c>
      <c r="C234" s="193" t="n">
        <v>0.074176323963702</v>
      </c>
      <c r="D234" s="193" t="n">
        <v>0.5</v>
      </c>
      <c r="E234" s="193" t="n">
        <v>0.5</v>
      </c>
      <c r="F234" s="193" t="n">
        <v>0.1435</v>
      </c>
      <c r="G234" s="193" t="n">
        <v>0.15</v>
      </c>
      <c r="H234" s="193" t="n">
        <v>0.1585</v>
      </c>
      <c r="I234" s="218" t="n">
        <v>3.8515</v>
      </c>
      <c r="J234" s="193" t="n">
        <v>3.8565</v>
      </c>
      <c r="K234" s="193" t="n">
        <v>3.8615</v>
      </c>
      <c r="L234" s="193" t="n">
        <v>0</v>
      </c>
      <c r="M234" s="193" t="n">
        <v>0.2525</v>
      </c>
      <c r="O234" s="189" t="e">
        <f aca="false">(IF(MONTH(B234)&gt;=4,IF(MONTH(B234)&lt;=10,Inputs!$H$2,Inputs!$H$3),Inputs!$H$3))</f>
        <v>#VALUE!</v>
      </c>
      <c r="P234" s="244" t="e">
        <f aca="false">J234+(IF($L$2=TRUE(),IF(MONTH(B234)&gt;=4,IF(MONTH(B234)&lt;=10,L234,M234),M234),0))+(IF('Pricing Inputs'!$AN$3=2,O234,0))</f>
        <v>#VALUE!</v>
      </c>
      <c r="Q234" s="244"/>
      <c r="R234" s="245" t="e">
        <f aca="false">B234</f>
        <v>#VALUE!</v>
      </c>
      <c r="S234" s="246" t="n">
        <f aca="false">T234-$S$16</f>
        <v>0.43</v>
      </c>
      <c r="T234" s="241" t="n">
        <f aca="false">D234</f>
        <v>0.5</v>
      </c>
      <c r="U234" s="247" t="n">
        <f aca="false">$U$16+T234</f>
        <v>0.57</v>
      </c>
      <c r="BP234" s="205" t="n">
        <f aca="false">BP233+BV234</f>
        <v>233</v>
      </c>
      <c r="BQ234" s="206" t="s">
        <v>1091</v>
      </c>
      <c r="BR234" s="201" t="s">
        <v>203</v>
      </c>
      <c r="BS234" s="132" t="s">
        <v>334</v>
      </c>
      <c r="BT234" s="209" t="s">
        <v>205</v>
      </c>
      <c r="BU234" s="209"/>
      <c r="BV234" s="132" t="n">
        <v>1</v>
      </c>
      <c r="BW234" s="201" t="s">
        <v>1092</v>
      </c>
      <c r="BX234" s="0"/>
    </row>
    <row r="235" customFormat="false" ht="12.75" hidden="false" customHeight="false" outlineLevel="0" collapsed="false">
      <c r="A235" s="242"/>
      <c r="B235" s="192" t="e">
        <f aca="false">NextMonth(B234)</f>
        <v>#VALUE!</v>
      </c>
      <c r="C235" s="193" t="n">
        <v>0.074176029245823</v>
      </c>
      <c r="D235" s="193" t="n">
        <v>0.5</v>
      </c>
      <c r="E235" s="193" t="n">
        <v>0.5</v>
      </c>
      <c r="F235" s="193" t="n">
        <v>0.1435</v>
      </c>
      <c r="G235" s="193" t="n">
        <v>0.15</v>
      </c>
      <c r="H235" s="193" t="n">
        <v>0.1585</v>
      </c>
      <c r="I235" s="218" t="n">
        <v>3.8575</v>
      </c>
      <c r="J235" s="193" t="n">
        <v>3.8625</v>
      </c>
      <c r="K235" s="193" t="n">
        <v>3.8675</v>
      </c>
      <c r="L235" s="193" t="n">
        <v>0</v>
      </c>
      <c r="M235" s="193" t="n">
        <v>0.2525</v>
      </c>
      <c r="O235" s="189" t="e">
        <f aca="false">(IF(MONTH(B235)&gt;=4,IF(MONTH(B235)&lt;=10,Inputs!$H$2,Inputs!$H$3),Inputs!$H$3))</f>
        <v>#VALUE!</v>
      </c>
      <c r="P235" s="244" t="e">
        <f aca="false">J235+(IF($L$2=TRUE(),IF(MONTH(B235)&gt;=4,IF(MONTH(B235)&lt;=10,L235,M235),M235),0))+(IF('Pricing Inputs'!$AN$3=2,O235,0))</f>
        <v>#VALUE!</v>
      </c>
      <c r="Q235" s="244"/>
      <c r="R235" s="245" t="e">
        <f aca="false">B235</f>
        <v>#VALUE!</v>
      </c>
      <c r="S235" s="246" t="n">
        <f aca="false">T235-$S$16</f>
        <v>0.43</v>
      </c>
      <c r="T235" s="241" t="n">
        <f aca="false">D235</f>
        <v>0.5</v>
      </c>
      <c r="U235" s="247" t="n">
        <f aca="false">$U$16+T235</f>
        <v>0.57</v>
      </c>
      <c r="BP235" s="205" t="n">
        <f aca="false">BP234+BV235</f>
        <v>234</v>
      </c>
      <c r="BQ235" s="206" t="s">
        <v>1093</v>
      </c>
      <c r="BR235" s="201" t="s">
        <v>203</v>
      </c>
      <c r="BS235" s="132" t="s">
        <v>334</v>
      </c>
      <c r="BT235" s="209" t="s">
        <v>205</v>
      </c>
      <c r="BU235" s="209"/>
      <c r="BV235" s="132" t="n">
        <v>1</v>
      </c>
      <c r="BW235" s="201" t="s">
        <v>1094</v>
      </c>
      <c r="BX235" s="0"/>
    </row>
    <row r="236" customFormat="false" ht="12.75" hidden="false" customHeight="false" outlineLevel="0" collapsed="false">
      <c r="A236" s="242"/>
      <c r="B236" s="192" t="e">
        <f aca="false">NextMonth(B235)</f>
        <v>#VALUE!</v>
      </c>
      <c r="C236" s="193" t="n">
        <v>0.074175744034972</v>
      </c>
      <c r="D236" s="193" t="n">
        <v>0.5</v>
      </c>
      <c r="E236" s="193" t="n">
        <v>0.5</v>
      </c>
      <c r="F236" s="193" t="n">
        <v>0.1435</v>
      </c>
      <c r="G236" s="193" t="n">
        <v>0.15</v>
      </c>
      <c r="H236" s="193" t="n">
        <v>0.1585</v>
      </c>
      <c r="I236" s="218" t="n">
        <v>3.8675</v>
      </c>
      <c r="J236" s="193" t="n">
        <v>3.8725</v>
      </c>
      <c r="K236" s="193" t="n">
        <v>3.8775</v>
      </c>
      <c r="L236" s="193" t="n">
        <v>0</v>
      </c>
      <c r="M236" s="193" t="n">
        <v>0.2575</v>
      </c>
      <c r="O236" s="189" t="e">
        <f aca="false">(IF(MONTH(B236)&gt;=4,IF(MONTH(B236)&lt;=10,Inputs!$H$2,Inputs!$H$3),Inputs!$H$3))</f>
        <v>#VALUE!</v>
      </c>
      <c r="P236" s="244" t="e">
        <f aca="false">J236+(IF($L$2=TRUE(),IF(MONTH(B236)&gt;=4,IF(MONTH(B236)&lt;=10,L236,M236),M236),0))+(IF('Pricing Inputs'!$AN$3=2,O236,0))</f>
        <v>#VALUE!</v>
      </c>
      <c r="Q236" s="244"/>
      <c r="R236" s="245" t="e">
        <f aca="false">B236</f>
        <v>#VALUE!</v>
      </c>
      <c r="S236" s="246" t="n">
        <f aca="false">T236-$S$16</f>
        <v>0.43</v>
      </c>
      <c r="T236" s="241" t="n">
        <f aca="false">D236</f>
        <v>0.5</v>
      </c>
      <c r="U236" s="247" t="n">
        <f aca="false">$U$16+T236</f>
        <v>0.57</v>
      </c>
      <c r="BP236" s="205" t="n">
        <f aca="false">BP235+BV236</f>
        <v>235</v>
      </c>
      <c r="BQ236" s="206" t="s">
        <v>1095</v>
      </c>
      <c r="BR236" s="201" t="s">
        <v>203</v>
      </c>
      <c r="BS236" s="132" t="s">
        <v>334</v>
      </c>
      <c r="BT236" s="209" t="s">
        <v>205</v>
      </c>
      <c r="BU236" s="209"/>
      <c r="BV236" s="132" t="n">
        <v>1</v>
      </c>
      <c r="BW236" s="201" t="s">
        <v>1096</v>
      </c>
      <c r="BX236" s="0"/>
    </row>
    <row r="237" customFormat="false" ht="12.75" hidden="false" customHeight="false" outlineLevel="0" collapsed="false">
      <c r="A237" s="242"/>
      <c r="B237" s="192" t="e">
        <f aca="false">NextMonth(B236)</f>
        <v>#VALUE!</v>
      </c>
      <c r="C237" s="193" t="n">
        <v>0.074175449317092</v>
      </c>
      <c r="D237" s="193" t="n">
        <v>0.6</v>
      </c>
      <c r="E237" s="193" t="n">
        <v>0.6</v>
      </c>
      <c r="F237" s="193" t="n">
        <v>0.1435</v>
      </c>
      <c r="G237" s="193" t="n">
        <v>0.15</v>
      </c>
      <c r="H237" s="193" t="n">
        <v>0.1585</v>
      </c>
      <c r="I237" s="218" t="n">
        <v>3.8745</v>
      </c>
      <c r="J237" s="193" t="n">
        <v>3.8795</v>
      </c>
      <c r="K237" s="193" t="n">
        <v>3.8845</v>
      </c>
      <c r="L237" s="193" t="n">
        <v>0</v>
      </c>
      <c r="M237" s="193" t="n">
        <v>0.2575</v>
      </c>
      <c r="O237" s="189" t="e">
        <f aca="false">(IF(MONTH(B237)&gt;=4,IF(MONTH(B237)&lt;=10,Inputs!$H$2,Inputs!$H$3),Inputs!$H$3))</f>
        <v>#VALUE!</v>
      </c>
      <c r="P237" s="244" t="e">
        <f aca="false">J237+(IF($L$2=TRUE(),IF(MONTH(B237)&gt;=4,IF(MONTH(B237)&lt;=10,L237,M237),M237),0))+(IF('Pricing Inputs'!$AN$3=2,O237,0))</f>
        <v>#VALUE!</v>
      </c>
      <c r="Q237" s="244"/>
      <c r="R237" s="245" t="e">
        <f aca="false">B237</f>
        <v>#VALUE!</v>
      </c>
      <c r="S237" s="246" t="n">
        <f aca="false">T237-$S$16</f>
        <v>0.53</v>
      </c>
      <c r="T237" s="241" t="n">
        <f aca="false">D237</f>
        <v>0.6</v>
      </c>
      <c r="U237" s="247" t="n">
        <f aca="false">$U$16+T237</f>
        <v>0.67</v>
      </c>
      <c r="BP237" s="205" t="n">
        <f aca="false">BP236+BV237</f>
        <v>236</v>
      </c>
      <c r="BQ237" s="206" t="s">
        <v>1097</v>
      </c>
      <c r="BR237" s="201" t="s">
        <v>203</v>
      </c>
      <c r="BS237" s="132" t="s">
        <v>334</v>
      </c>
      <c r="BT237" s="209" t="s">
        <v>205</v>
      </c>
      <c r="BU237" s="209"/>
      <c r="BV237" s="132" t="n">
        <v>1</v>
      </c>
      <c r="BW237" s="201" t="s">
        <v>1098</v>
      </c>
      <c r="BX237" s="0"/>
    </row>
    <row r="238" customFormat="false" ht="12.75" hidden="false" customHeight="false" outlineLevel="0" collapsed="false">
      <c r="A238" s="242"/>
      <c r="B238" s="192" t="e">
        <f aca="false">NextMonth(B237)</f>
        <v>#VALUE!</v>
      </c>
      <c r="C238" s="193" t="n">
        <v>0.074175154599213</v>
      </c>
      <c r="D238" s="193" t="n">
        <v>0.6</v>
      </c>
      <c r="E238" s="193" t="n">
        <v>0.6</v>
      </c>
      <c r="F238" s="193" t="n">
        <v>0.1435</v>
      </c>
      <c r="G238" s="193" t="n">
        <v>0.15</v>
      </c>
      <c r="H238" s="193" t="n">
        <v>0.1585</v>
      </c>
      <c r="I238" s="218" t="n">
        <v>3.8815</v>
      </c>
      <c r="J238" s="193" t="n">
        <v>3.8865</v>
      </c>
      <c r="K238" s="193" t="n">
        <v>3.8915</v>
      </c>
      <c r="L238" s="193" t="n">
        <v>0</v>
      </c>
      <c r="M238" s="193" t="n">
        <v>0.2525</v>
      </c>
      <c r="O238" s="189" t="e">
        <f aca="false">(IF(MONTH(B238)&gt;=4,IF(MONTH(B238)&lt;=10,Inputs!$H$2,Inputs!$H$3),Inputs!$H$3))</f>
        <v>#VALUE!</v>
      </c>
      <c r="P238" s="244" t="e">
        <f aca="false">J238+(IF($L$2=TRUE(),IF(MONTH(B238)&gt;=4,IF(MONTH(B238)&lt;=10,L238,M238),M238),0))+(IF('Pricing Inputs'!$AN$3=2,O238,0))</f>
        <v>#VALUE!</v>
      </c>
      <c r="Q238" s="244"/>
      <c r="R238" s="245" t="e">
        <f aca="false">B238</f>
        <v>#VALUE!</v>
      </c>
      <c r="S238" s="246" t="n">
        <f aca="false">T238-$S$16</f>
        <v>0.53</v>
      </c>
      <c r="T238" s="241" t="n">
        <f aca="false">D238</f>
        <v>0.6</v>
      </c>
      <c r="U238" s="247" t="n">
        <f aca="false">$U$16+T238</f>
        <v>0.67</v>
      </c>
      <c r="BP238" s="205" t="n">
        <f aca="false">BP237+BV238</f>
        <v>237</v>
      </c>
      <c r="BQ238" s="206" t="s">
        <v>1099</v>
      </c>
      <c r="BR238" s="201" t="s">
        <v>203</v>
      </c>
      <c r="BS238" s="132" t="s">
        <v>334</v>
      </c>
      <c r="BT238" s="209" t="s">
        <v>205</v>
      </c>
      <c r="BU238" s="209"/>
      <c r="BV238" s="132" t="n">
        <v>1</v>
      </c>
      <c r="BW238" s="201" t="s">
        <v>1100</v>
      </c>
      <c r="BX238" s="0"/>
    </row>
    <row r="239" customFormat="false" ht="12.75" hidden="false" customHeight="false" outlineLevel="0" collapsed="false">
      <c r="A239" s="242"/>
      <c r="B239" s="192" t="e">
        <f aca="false">NextMonth(B238)</f>
        <v>#VALUE!</v>
      </c>
      <c r="C239" s="193" t="n">
        <v>0.074174869388361</v>
      </c>
      <c r="D239" s="193" t="n">
        <v>0.65</v>
      </c>
      <c r="E239" s="193" t="n">
        <v>0.65</v>
      </c>
      <c r="F239" s="193" t="n">
        <v>0.1435</v>
      </c>
      <c r="G239" s="193" t="n">
        <v>0.15</v>
      </c>
      <c r="H239" s="193" t="n">
        <v>0.1585</v>
      </c>
      <c r="I239" s="218" t="n">
        <v>3.9075</v>
      </c>
      <c r="J239" s="193" t="n">
        <v>3.9125</v>
      </c>
      <c r="K239" s="193" t="n">
        <v>3.9175</v>
      </c>
      <c r="L239" s="193" t="n">
        <v>0</v>
      </c>
      <c r="M239" s="193" t="n">
        <v>0.255</v>
      </c>
      <c r="O239" s="189" t="e">
        <f aca="false">(IF(MONTH(B239)&gt;=4,IF(MONTH(B239)&lt;=10,Inputs!$H$2,Inputs!$H$3),Inputs!$H$3))</f>
        <v>#VALUE!</v>
      </c>
      <c r="P239" s="244" t="e">
        <f aca="false">J239+(IF($L$2=TRUE(),IF(MONTH(B239)&gt;=4,IF(MONTH(B239)&lt;=10,L239,M239),M239),0))+(IF('Pricing Inputs'!$AN$3=2,O239,0))</f>
        <v>#VALUE!</v>
      </c>
      <c r="Q239" s="244"/>
      <c r="R239" s="245" t="e">
        <f aca="false">B239</f>
        <v>#VALUE!</v>
      </c>
      <c r="S239" s="246" t="n">
        <f aca="false">T239-$S$16</f>
        <v>0.58</v>
      </c>
      <c r="T239" s="241" t="n">
        <f aca="false">D239</f>
        <v>0.65</v>
      </c>
      <c r="U239" s="247" t="n">
        <f aca="false">$U$16+T239</f>
        <v>0.72</v>
      </c>
      <c r="BP239" s="205" t="n">
        <f aca="false">BP238+BV239</f>
        <v>238</v>
      </c>
      <c r="BQ239" s="206" t="s">
        <v>1101</v>
      </c>
      <c r="BR239" s="201" t="s">
        <v>203</v>
      </c>
      <c r="BS239" s="132" t="s">
        <v>334</v>
      </c>
      <c r="BT239" s="209" t="s">
        <v>205</v>
      </c>
      <c r="BU239" s="209"/>
      <c r="BV239" s="132" t="n">
        <v>1</v>
      </c>
      <c r="BW239" s="201" t="s">
        <v>1102</v>
      </c>
      <c r="BX239" s="0"/>
    </row>
    <row r="240" customFormat="false" ht="12.75" hidden="false" customHeight="false" outlineLevel="0" collapsed="false">
      <c r="A240" s="242"/>
      <c r="B240" s="192" t="e">
        <f aca="false">NextMonth(B239)</f>
        <v>#VALUE!</v>
      </c>
      <c r="C240" s="193" t="n">
        <v>0.074174574670482</v>
      </c>
      <c r="D240" s="193" t="n">
        <v>0.95</v>
      </c>
      <c r="E240" s="193" t="n">
        <v>0.95</v>
      </c>
      <c r="F240" s="193" t="n">
        <v>0.1435</v>
      </c>
      <c r="G240" s="193" t="n">
        <v>0.151</v>
      </c>
      <c r="H240" s="193" t="n">
        <v>0.1585</v>
      </c>
      <c r="I240" s="218" t="n">
        <v>4.0425</v>
      </c>
      <c r="J240" s="193" t="n">
        <v>4.0475</v>
      </c>
      <c r="K240" s="193" t="n">
        <v>4.0525</v>
      </c>
      <c r="L240" s="193" t="n">
        <v>0</v>
      </c>
      <c r="M240" s="193" t="n">
        <v>0.715</v>
      </c>
      <c r="O240" s="189" t="e">
        <f aca="false">(IF(MONTH(B240)&gt;=4,IF(MONTH(B240)&lt;=10,Inputs!$H$2,Inputs!$H$3),Inputs!$H$3))</f>
        <v>#VALUE!</v>
      </c>
      <c r="P240" s="244" t="e">
        <f aca="false">J240+(IF($L$2=TRUE(),IF(MONTH(B240)&gt;=4,IF(MONTH(B240)&lt;=10,L240,M240),M240),0))+(IF('Pricing Inputs'!$AN$3=2,O240,0))</f>
        <v>#VALUE!</v>
      </c>
      <c r="Q240" s="244"/>
      <c r="R240" s="245" t="e">
        <f aca="false">B240</f>
        <v>#VALUE!</v>
      </c>
      <c r="S240" s="246" t="n">
        <f aca="false">T240-$S$16</f>
        <v>0.88</v>
      </c>
      <c r="T240" s="241" t="n">
        <f aca="false">D240</f>
        <v>0.95</v>
      </c>
      <c r="U240" s="247" t="n">
        <f aca="false">$U$16+T240</f>
        <v>1.02</v>
      </c>
      <c r="BP240" s="205" t="n">
        <f aca="false">BP239+BV240</f>
        <v>239</v>
      </c>
      <c r="BQ240" s="206" t="s">
        <v>1103</v>
      </c>
      <c r="BR240" s="201" t="s">
        <v>203</v>
      </c>
      <c r="BS240" s="132" t="s">
        <v>334</v>
      </c>
      <c r="BT240" s="209" t="s">
        <v>205</v>
      </c>
      <c r="BU240" s="209"/>
      <c r="BV240" s="132" t="n">
        <v>1</v>
      </c>
      <c r="BW240" s="201" t="s">
        <v>1104</v>
      </c>
      <c r="BX240" s="0"/>
    </row>
    <row r="241" customFormat="false" ht="12.75" hidden="false" customHeight="false" outlineLevel="0" collapsed="false">
      <c r="A241" s="242"/>
      <c r="B241" s="192" t="e">
        <f aca="false">NextMonth(B240)</f>
        <v>#VALUE!</v>
      </c>
      <c r="C241" s="193" t="n">
        <v>0.074174289459631</v>
      </c>
      <c r="D241" s="193" t="n">
        <v>1.25</v>
      </c>
      <c r="E241" s="193" t="n">
        <v>1.25</v>
      </c>
      <c r="F241" s="193" t="n">
        <v>0.1435</v>
      </c>
      <c r="G241" s="193" t="n">
        <v>0.151</v>
      </c>
      <c r="H241" s="193" t="n">
        <v>0.1585</v>
      </c>
      <c r="I241" s="218" t="n">
        <v>4.1665</v>
      </c>
      <c r="J241" s="193" t="n">
        <v>4.1715</v>
      </c>
      <c r="K241" s="193" t="n">
        <v>4.1765</v>
      </c>
      <c r="L241" s="193" t="n">
        <v>0</v>
      </c>
      <c r="M241" s="193" t="n">
        <v>1.03</v>
      </c>
      <c r="O241" s="189" t="e">
        <f aca="false">(IF(MONTH(B241)&gt;=4,IF(MONTH(B241)&lt;=10,Inputs!$H$2,Inputs!$H$3),Inputs!$H$3))</f>
        <v>#VALUE!</v>
      </c>
      <c r="P241" s="244" t="e">
        <f aca="false">J241+(IF($L$2=TRUE(),IF(MONTH(B241)&gt;=4,IF(MONTH(B241)&lt;=10,L241,M241),M241),0))+(IF('Pricing Inputs'!$AN$3=2,O241,0))</f>
        <v>#VALUE!</v>
      </c>
      <c r="Q241" s="244"/>
      <c r="R241" s="245" t="e">
        <f aca="false">B241</f>
        <v>#VALUE!</v>
      </c>
      <c r="S241" s="246" t="n">
        <f aca="false">T241-$S$16</f>
        <v>1.18</v>
      </c>
      <c r="T241" s="241" t="n">
        <f aca="false">D241</f>
        <v>1.25</v>
      </c>
      <c r="U241" s="247" t="n">
        <f aca="false">$U$16+T241</f>
        <v>1.32</v>
      </c>
      <c r="BP241" s="205" t="n">
        <f aca="false">BP240+BV241</f>
        <v>240</v>
      </c>
      <c r="BQ241" s="206" t="s">
        <v>1105</v>
      </c>
      <c r="BR241" s="201" t="s">
        <v>203</v>
      </c>
      <c r="BS241" s="132" t="s">
        <v>334</v>
      </c>
      <c r="BT241" s="209" t="s">
        <v>205</v>
      </c>
      <c r="BU241" s="209"/>
      <c r="BV241" s="132" t="n">
        <v>1</v>
      </c>
      <c r="BW241" s="201" t="s">
        <v>1106</v>
      </c>
      <c r="BX241" s="0"/>
    </row>
    <row r="242" customFormat="false" ht="12.75" hidden="false" customHeight="false" outlineLevel="0" collapsed="false">
      <c r="A242" s="242"/>
      <c r="B242" s="192" t="e">
        <f aca="false">NextMonth(B241)</f>
        <v>#VALUE!</v>
      </c>
      <c r="C242" s="193" t="n">
        <v>0.074173994741752</v>
      </c>
      <c r="D242" s="193" t="n">
        <v>1.45</v>
      </c>
      <c r="E242" s="193" t="n">
        <v>1.45</v>
      </c>
      <c r="F242" s="193" t="n">
        <v>0.1435</v>
      </c>
      <c r="G242" s="193" t="n">
        <v>0.151</v>
      </c>
      <c r="H242" s="193" t="n">
        <v>0.1585</v>
      </c>
      <c r="I242" s="218" t="n">
        <v>4.285</v>
      </c>
      <c r="J242" s="193" t="n">
        <v>4.29</v>
      </c>
      <c r="K242" s="193" t="n">
        <v>4.295</v>
      </c>
      <c r="L242" s="193" t="n">
        <v>0</v>
      </c>
      <c r="M242" s="193" t="n">
        <v>1.495</v>
      </c>
      <c r="O242" s="189" t="e">
        <f aca="false">(IF(MONTH(B242)&gt;=4,IF(MONTH(B242)&lt;=10,Inputs!$H$2,Inputs!$H$3),Inputs!$H$3))</f>
        <v>#VALUE!</v>
      </c>
      <c r="P242" s="244" t="e">
        <f aca="false">J242+(IF($L$2=TRUE(),IF(MONTH(B242)&gt;=4,IF(MONTH(B242)&lt;=10,L242,M242),M242),0))+(IF('Pricing Inputs'!$AN$3=2,O242,0))</f>
        <v>#VALUE!</v>
      </c>
      <c r="Q242" s="244"/>
      <c r="R242" s="245" t="e">
        <f aca="false">B242</f>
        <v>#VALUE!</v>
      </c>
      <c r="S242" s="246" t="n">
        <f aca="false">T242-$S$16</f>
        <v>1.38</v>
      </c>
      <c r="T242" s="241" t="n">
        <f aca="false">D242</f>
        <v>1.45</v>
      </c>
      <c r="U242" s="247" t="n">
        <f aca="false">$U$16+T242</f>
        <v>1.52</v>
      </c>
      <c r="BP242" s="205" t="n">
        <f aca="false">BP241+BV242</f>
        <v>241</v>
      </c>
      <c r="BQ242" s="206" t="s">
        <v>1107</v>
      </c>
      <c r="BR242" s="201" t="s">
        <v>203</v>
      </c>
      <c r="BS242" s="132" t="s">
        <v>334</v>
      </c>
      <c r="BT242" s="209" t="s">
        <v>205</v>
      </c>
      <c r="BU242" s="209"/>
      <c r="BV242" s="132" t="n">
        <v>1</v>
      </c>
      <c r="BW242" s="201" t="s">
        <v>1108</v>
      </c>
      <c r="BX242" s="0"/>
    </row>
    <row r="243" customFormat="false" ht="12.75" hidden="false" customHeight="false" outlineLevel="0" collapsed="false">
      <c r="A243" s="242"/>
      <c r="B243" s="192" t="e">
        <f aca="false">NextMonth(B242)</f>
        <v>#VALUE!</v>
      </c>
      <c r="C243" s="193" t="n">
        <v>0.074173700023873</v>
      </c>
      <c r="D243" s="193" t="n">
        <v>1.45</v>
      </c>
      <c r="E243" s="193" t="n">
        <v>1.45</v>
      </c>
      <c r="F243" s="193" t="n">
        <v>0.1435</v>
      </c>
      <c r="G243" s="193" t="n">
        <v>0.151</v>
      </c>
      <c r="H243" s="193" t="n">
        <v>0.1585</v>
      </c>
      <c r="I243" s="218" t="n">
        <v>4.167</v>
      </c>
      <c r="J243" s="193" t="n">
        <v>4.172</v>
      </c>
      <c r="K243" s="193" t="n">
        <v>4.177</v>
      </c>
      <c r="L243" s="193" t="n">
        <v>0</v>
      </c>
      <c r="M243" s="193" t="n">
        <v>1.395</v>
      </c>
      <c r="O243" s="189" t="e">
        <f aca="false">(IF(MONTH(B243)&gt;=4,IF(MONTH(B243)&lt;=10,Inputs!$H$2,Inputs!$H$3),Inputs!$H$3))</f>
        <v>#VALUE!</v>
      </c>
      <c r="P243" s="244" t="e">
        <f aca="false">J243+(IF($L$2=TRUE(),IF(MONTH(B243)&gt;=4,IF(MONTH(B243)&lt;=10,L243,M243),M243),0))+(IF('Pricing Inputs'!$AN$3=2,O243,0))</f>
        <v>#VALUE!</v>
      </c>
      <c r="Q243" s="244"/>
      <c r="R243" s="245" t="e">
        <f aca="false">B243</f>
        <v>#VALUE!</v>
      </c>
      <c r="S243" s="246" t="n">
        <f aca="false">T243-$S$16</f>
        <v>1.38</v>
      </c>
      <c r="T243" s="241" t="n">
        <f aca="false">D243</f>
        <v>1.45</v>
      </c>
      <c r="U243" s="247" t="n">
        <f aca="false">$U$16+T243</f>
        <v>1.52</v>
      </c>
      <c r="BP243" s="205" t="n">
        <f aca="false">BP242+BV243</f>
        <v>242</v>
      </c>
      <c r="BQ243" s="206" t="s">
        <v>1109</v>
      </c>
      <c r="BR243" s="201" t="s">
        <v>203</v>
      </c>
      <c r="BS243" s="132" t="s">
        <v>334</v>
      </c>
      <c r="BT243" s="209" t="s">
        <v>205</v>
      </c>
      <c r="BU243" s="209"/>
      <c r="BV243" s="132" t="n">
        <v>1</v>
      </c>
      <c r="BW243" s="201" t="s">
        <v>1110</v>
      </c>
      <c r="BX243" s="0"/>
    </row>
    <row r="244" customFormat="false" ht="12.75" hidden="false" customHeight="false" outlineLevel="0" collapsed="false">
      <c r="A244" s="242"/>
      <c r="B244" s="192" t="e">
        <f aca="false">NextMonth(B243)</f>
        <v>#VALUE!</v>
      </c>
      <c r="C244" s="193" t="n">
        <v>0.074173433827078</v>
      </c>
      <c r="D244" s="193" t="n">
        <v>1</v>
      </c>
      <c r="E244" s="193" t="n">
        <v>1</v>
      </c>
      <c r="F244" s="193" t="n">
        <v>0.1435</v>
      </c>
      <c r="G244" s="193" t="n">
        <v>0.151</v>
      </c>
      <c r="H244" s="193" t="n">
        <v>0.1585</v>
      </c>
      <c r="I244" s="218" t="n">
        <v>4.047</v>
      </c>
      <c r="J244" s="193" t="n">
        <v>4.052</v>
      </c>
      <c r="K244" s="193" t="n">
        <v>4.057</v>
      </c>
      <c r="L244" s="193" t="n">
        <v>0</v>
      </c>
      <c r="M244" s="193" t="n">
        <v>0.865</v>
      </c>
      <c r="O244" s="189" t="e">
        <f aca="false">(IF(MONTH(B244)&gt;=4,IF(MONTH(B244)&lt;=10,Inputs!$H$2,Inputs!$H$3),Inputs!$H$3))</f>
        <v>#VALUE!</v>
      </c>
      <c r="P244" s="244" t="e">
        <f aca="false">J244+(IF($L$2=TRUE(),IF(MONTH(B244)&gt;=4,IF(MONTH(B244)&lt;=10,L244,M244),M244),0))+(IF('Pricing Inputs'!$AN$3=2,O244,0))</f>
        <v>#VALUE!</v>
      </c>
      <c r="Q244" s="244"/>
      <c r="R244" s="245" t="e">
        <f aca="false">B244</f>
        <v>#VALUE!</v>
      </c>
      <c r="S244" s="246" t="n">
        <f aca="false">T244-$S$16</f>
        <v>0.93</v>
      </c>
      <c r="T244" s="241" t="n">
        <f aca="false">D244</f>
        <v>1</v>
      </c>
      <c r="U244" s="247" t="n">
        <f aca="false">$U$16+T244</f>
        <v>1.07</v>
      </c>
      <c r="BP244" s="205" t="n">
        <f aca="false">BP243+BV244</f>
        <v>243</v>
      </c>
      <c r="BQ244" s="206" t="s">
        <v>1111</v>
      </c>
      <c r="BR244" s="201" t="s">
        <v>203</v>
      </c>
      <c r="BS244" s="132" t="s">
        <v>334</v>
      </c>
      <c r="BT244" s="209" t="s">
        <v>205</v>
      </c>
      <c r="BU244" s="209"/>
      <c r="BV244" s="132" t="n">
        <v>1</v>
      </c>
      <c r="BW244" s="201" t="s">
        <v>1112</v>
      </c>
      <c r="BX244" s="0"/>
    </row>
    <row r="245" customFormat="false" ht="12.75" hidden="false" customHeight="false" outlineLevel="0" collapsed="false">
      <c r="A245" s="242"/>
      <c r="B245" s="192" t="e">
        <f aca="false">NextMonth(B244)</f>
        <v>#VALUE!</v>
      </c>
      <c r="C245" s="193" t="n">
        <v>0.074173139109199</v>
      </c>
      <c r="D245" s="193" t="n">
        <v>0.45</v>
      </c>
      <c r="E245" s="193" t="n">
        <v>0.45</v>
      </c>
      <c r="F245" s="193" t="n">
        <v>0.1435</v>
      </c>
      <c r="G245" s="193" t="n">
        <v>0.151</v>
      </c>
      <c r="H245" s="193" t="n">
        <v>0.1585</v>
      </c>
      <c r="I245" s="218" t="n">
        <v>3.9975</v>
      </c>
      <c r="J245" s="193" t="n">
        <v>4.0025</v>
      </c>
      <c r="K245" s="193" t="n">
        <v>4.0075</v>
      </c>
      <c r="L245" s="193" t="n">
        <v>0</v>
      </c>
      <c r="M245" s="193" t="n">
        <v>0.37</v>
      </c>
      <c r="O245" s="189" t="e">
        <f aca="false">(IF(MONTH(B245)&gt;=4,IF(MONTH(B245)&lt;=10,Inputs!$H$2,Inputs!$H$3),Inputs!$H$3))</f>
        <v>#VALUE!</v>
      </c>
      <c r="P245" s="244" t="e">
        <f aca="false">J245+(IF($L$2=TRUE(),IF(MONTH(B245)&gt;=4,IF(MONTH(B245)&lt;=10,L245,M245),M245),0))+(IF('Pricing Inputs'!$AN$3=2,O245,0))</f>
        <v>#VALUE!</v>
      </c>
      <c r="Q245" s="244"/>
      <c r="R245" s="245" t="e">
        <f aca="false">B245</f>
        <v>#VALUE!</v>
      </c>
      <c r="S245" s="246" t="n">
        <f aca="false">T245-$S$16</f>
        <v>0.38</v>
      </c>
      <c r="T245" s="241" t="n">
        <f aca="false">D245</f>
        <v>0.45</v>
      </c>
      <c r="U245" s="247" t="n">
        <f aca="false">$U$16+T245</f>
        <v>0.52</v>
      </c>
      <c r="BP245" s="205" t="n">
        <f aca="false">BP244+BV245</f>
        <v>244</v>
      </c>
      <c r="BQ245" s="206" t="s">
        <v>1113</v>
      </c>
      <c r="BR245" s="201" t="s">
        <v>203</v>
      </c>
      <c r="BS245" s="132" t="s">
        <v>334</v>
      </c>
      <c r="BT245" s="209" t="s">
        <v>205</v>
      </c>
      <c r="BU245" s="209"/>
      <c r="BV245" s="132" t="n">
        <v>1</v>
      </c>
      <c r="BW245" s="201" t="s">
        <v>1114</v>
      </c>
      <c r="BX245" s="0"/>
    </row>
    <row r="246" customFormat="false" ht="12.75" hidden="false" customHeight="false" outlineLevel="0" collapsed="false">
      <c r="A246" s="242"/>
      <c r="B246" s="192" t="e">
        <f aca="false">NextMonth(B245)</f>
        <v>#VALUE!</v>
      </c>
      <c r="C246" s="193" t="n">
        <v>0.074172853898348</v>
      </c>
      <c r="D246" s="193" t="n">
        <v>0.5</v>
      </c>
      <c r="E246" s="193" t="n">
        <v>0.5</v>
      </c>
      <c r="F246" s="193" t="n">
        <v>0.1435</v>
      </c>
      <c r="G246" s="193" t="n">
        <v>0.151</v>
      </c>
      <c r="H246" s="193" t="n">
        <v>0.1585</v>
      </c>
      <c r="I246" s="218" t="n">
        <v>3.9715</v>
      </c>
      <c r="J246" s="193" t="n">
        <v>3.9765</v>
      </c>
      <c r="K246" s="193" t="n">
        <v>3.9815</v>
      </c>
      <c r="L246" s="193" t="n">
        <v>0</v>
      </c>
      <c r="M246" s="193" t="n">
        <v>0.2525</v>
      </c>
      <c r="O246" s="189" t="e">
        <f aca="false">(IF(MONTH(B246)&gt;=4,IF(MONTH(B246)&lt;=10,Inputs!$H$2,Inputs!$H$3),Inputs!$H$3))</f>
        <v>#VALUE!</v>
      </c>
      <c r="P246" s="244" t="e">
        <f aca="false">J246+(IF($L$2=TRUE(),IF(MONTH(B246)&gt;=4,IF(MONTH(B246)&lt;=10,L246,M246),M246),0))+(IF('Pricing Inputs'!$AN$3=2,O246,0))</f>
        <v>#VALUE!</v>
      </c>
      <c r="Q246" s="244"/>
      <c r="R246" s="245" t="e">
        <f aca="false">B246</f>
        <v>#VALUE!</v>
      </c>
      <c r="S246" s="246" t="n">
        <f aca="false">T246-$S$16</f>
        <v>0.43</v>
      </c>
      <c r="T246" s="241" t="n">
        <f aca="false">D246</f>
        <v>0.5</v>
      </c>
      <c r="U246" s="247" t="n">
        <f aca="false">$U$16+T246</f>
        <v>0.57</v>
      </c>
      <c r="BP246" s="205" t="n">
        <f aca="false">BP245+BV246</f>
        <v>245</v>
      </c>
      <c r="BQ246" s="206" t="s">
        <v>1115</v>
      </c>
      <c r="BR246" s="201" t="s">
        <v>203</v>
      </c>
      <c r="BS246" s="132" t="s">
        <v>334</v>
      </c>
      <c r="BT246" s="209" t="s">
        <v>205</v>
      </c>
      <c r="BU246" s="209"/>
      <c r="BV246" s="132" t="n">
        <v>1</v>
      </c>
      <c r="BW246" s="201" t="s">
        <v>1116</v>
      </c>
      <c r="BX246" s="0"/>
    </row>
    <row r="247" customFormat="false" ht="12.75" hidden="false" customHeight="false" outlineLevel="0" collapsed="false">
      <c r="A247" s="242"/>
      <c r="B247" s="192" t="e">
        <f aca="false">NextMonth(B246)</f>
        <v>#VALUE!</v>
      </c>
      <c r="C247" s="193" t="n">
        <v>0.074172559180469</v>
      </c>
      <c r="D247" s="193" t="n">
        <v>0.5</v>
      </c>
      <c r="E247" s="193" t="n">
        <v>0.5</v>
      </c>
      <c r="F247" s="193" t="n">
        <v>0.1435</v>
      </c>
      <c r="G247" s="193" t="n">
        <v>0.151</v>
      </c>
      <c r="H247" s="193" t="n">
        <v>0.1585</v>
      </c>
      <c r="I247" s="218" t="n">
        <v>3.9775</v>
      </c>
      <c r="J247" s="193" t="n">
        <v>3.9825</v>
      </c>
      <c r="K247" s="193" t="n">
        <v>3.9875</v>
      </c>
      <c r="L247" s="193" t="n">
        <v>0</v>
      </c>
      <c r="M247" s="193" t="n">
        <v>0.2525</v>
      </c>
      <c r="O247" s="189" t="e">
        <f aca="false">(IF(MONTH(B247)&gt;=4,IF(MONTH(B247)&lt;=10,Inputs!$H$2,Inputs!$H$3),Inputs!$H$3))</f>
        <v>#VALUE!</v>
      </c>
      <c r="P247" s="244" t="e">
        <f aca="false">J247+(IF($L$2=TRUE(),IF(MONTH(B247)&gt;=4,IF(MONTH(B247)&lt;=10,L247,M247),M247),0))+(IF('Pricing Inputs'!$AN$3=2,O247,0))</f>
        <v>#VALUE!</v>
      </c>
      <c r="Q247" s="244"/>
      <c r="R247" s="245" t="e">
        <f aca="false">B247</f>
        <v>#VALUE!</v>
      </c>
      <c r="S247" s="246" t="n">
        <f aca="false">T247-$S$16</f>
        <v>0.43</v>
      </c>
      <c r="T247" s="241" t="n">
        <f aca="false">D247</f>
        <v>0.5</v>
      </c>
      <c r="U247" s="247" t="n">
        <f aca="false">$U$16+T247</f>
        <v>0.57</v>
      </c>
      <c r="BP247" s="205" t="n">
        <f aca="false">BP246+BV247</f>
        <v>246</v>
      </c>
      <c r="BQ247" s="206" t="s">
        <v>348</v>
      </c>
      <c r="BR247" s="201" t="s">
        <v>203</v>
      </c>
      <c r="BS247" s="132" t="s">
        <v>204</v>
      </c>
      <c r="BT247" s="209" t="s">
        <v>205</v>
      </c>
      <c r="BU247" s="209"/>
      <c r="BV247" s="132" t="n">
        <v>1</v>
      </c>
      <c r="BW247" s="201" t="s">
        <v>1117</v>
      </c>
      <c r="BX247" s="0"/>
    </row>
    <row r="248" customFormat="false" ht="12.75" hidden="false" customHeight="false" outlineLevel="0" collapsed="false">
      <c r="A248" s="242"/>
      <c r="B248" s="192" t="e">
        <f aca="false">NextMonth(B247)</f>
        <v>#VALUE!</v>
      </c>
      <c r="C248" s="193" t="n">
        <v>0.074172273969618</v>
      </c>
      <c r="D248" s="193" t="n">
        <v>0.5</v>
      </c>
      <c r="E248" s="193" t="n">
        <v>0.5</v>
      </c>
      <c r="F248" s="193" t="n">
        <v>0.1435</v>
      </c>
      <c r="G248" s="193" t="n">
        <v>0.151</v>
      </c>
      <c r="H248" s="193" t="n">
        <v>0.1585</v>
      </c>
      <c r="I248" s="218" t="n">
        <v>3.9875</v>
      </c>
      <c r="J248" s="193" t="n">
        <v>3.9925</v>
      </c>
      <c r="K248" s="193" t="n">
        <v>3.9975</v>
      </c>
      <c r="L248" s="193" t="n">
        <v>0</v>
      </c>
      <c r="M248" s="193" t="n">
        <v>0.2575</v>
      </c>
      <c r="O248" s="189" t="e">
        <f aca="false">(IF(MONTH(B248)&gt;=4,IF(MONTH(B248)&lt;=10,Inputs!$H$2,Inputs!$H$3),Inputs!$H$3))</f>
        <v>#VALUE!</v>
      </c>
      <c r="P248" s="244" t="e">
        <f aca="false">J248+(IF($L$2=TRUE(),IF(MONTH(B248)&gt;=4,IF(MONTH(B248)&lt;=10,L248,M248),M248),0))+(IF('Pricing Inputs'!$AN$3=2,O248,0))</f>
        <v>#VALUE!</v>
      </c>
      <c r="Q248" s="244"/>
      <c r="R248" s="245" t="e">
        <f aca="false">B248</f>
        <v>#VALUE!</v>
      </c>
      <c r="S248" s="246" t="n">
        <f aca="false">T248-$S$16</f>
        <v>0.43</v>
      </c>
      <c r="T248" s="241" t="n">
        <f aca="false">D248</f>
        <v>0.5</v>
      </c>
      <c r="U248" s="247" t="n">
        <f aca="false">$U$16+T248</f>
        <v>0.57</v>
      </c>
      <c r="BP248" s="205" t="n">
        <f aca="false">BP247+BV248</f>
        <v>247</v>
      </c>
      <c r="BQ248" s="206" t="s">
        <v>352</v>
      </c>
      <c r="BR248" s="201" t="s">
        <v>203</v>
      </c>
      <c r="BS248" s="132" t="s">
        <v>204</v>
      </c>
      <c r="BT248" s="209" t="s">
        <v>205</v>
      </c>
      <c r="BU248" s="209"/>
      <c r="BV248" s="132" t="n">
        <v>1</v>
      </c>
      <c r="BW248" s="201" t="s">
        <v>1118</v>
      </c>
      <c r="BX248" s="0"/>
    </row>
    <row r="249" customFormat="false" ht="12.75" hidden="false" customHeight="false" outlineLevel="0" collapsed="false">
      <c r="A249" s="242"/>
      <c r="B249" s="192" t="e">
        <f aca="false">NextMonth(B248)</f>
        <v>#VALUE!</v>
      </c>
      <c r="C249" s="193" t="n">
        <v>0.074171979251739</v>
      </c>
      <c r="D249" s="193" t="n">
        <v>0.6</v>
      </c>
      <c r="E249" s="193" t="n">
        <v>0.6</v>
      </c>
      <c r="F249" s="193" t="n">
        <v>0.1435</v>
      </c>
      <c r="G249" s="193" t="n">
        <v>0.151</v>
      </c>
      <c r="H249" s="193" t="n">
        <v>0.1585</v>
      </c>
      <c r="I249" s="218" t="n">
        <v>3.9945</v>
      </c>
      <c r="J249" s="193" t="n">
        <v>3.9995</v>
      </c>
      <c r="K249" s="193" t="n">
        <v>4.0045</v>
      </c>
      <c r="L249" s="193" t="n">
        <v>0</v>
      </c>
      <c r="M249" s="193" t="n">
        <v>0.2575</v>
      </c>
      <c r="O249" s="189" t="e">
        <f aca="false">(IF(MONTH(B249)&gt;=4,IF(MONTH(B249)&lt;=10,Inputs!$H$2,Inputs!$H$3),Inputs!$H$3))</f>
        <v>#VALUE!</v>
      </c>
      <c r="P249" s="244" t="e">
        <f aca="false">J249+(IF($L$2=TRUE(),IF(MONTH(B249)&gt;=4,IF(MONTH(B249)&lt;=10,L249,M249),M249),0))+(IF('Pricing Inputs'!$AN$3=2,O249,0))</f>
        <v>#VALUE!</v>
      </c>
      <c r="Q249" s="244"/>
      <c r="R249" s="245" t="e">
        <f aca="false">B249</f>
        <v>#VALUE!</v>
      </c>
      <c r="S249" s="246" t="n">
        <f aca="false">T249-$S$16</f>
        <v>0.53</v>
      </c>
      <c r="T249" s="241" t="n">
        <f aca="false">D249</f>
        <v>0.6</v>
      </c>
      <c r="U249" s="247" t="n">
        <f aca="false">$U$16+T249</f>
        <v>0.67</v>
      </c>
      <c r="BP249" s="205" t="n">
        <f aca="false">BP248+BV249</f>
        <v>248</v>
      </c>
      <c r="BQ249" s="206" t="s">
        <v>356</v>
      </c>
      <c r="BR249" s="201" t="s">
        <v>203</v>
      </c>
      <c r="BS249" s="132" t="s">
        <v>204</v>
      </c>
      <c r="BT249" s="209" t="s">
        <v>205</v>
      </c>
      <c r="BU249" s="209"/>
      <c r="BV249" s="132" t="n">
        <v>1</v>
      </c>
      <c r="BW249" s="201" t="s">
        <v>1119</v>
      </c>
      <c r="BX249" s="0"/>
    </row>
    <row r="250" customFormat="false" ht="12.75" hidden="false" customHeight="false" outlineLevel="0" collapsed="false">
      <c r="A250" s="242"/>
      <c r="B250" s="192" t="e">
        <f aca="false">NextMonth(B249)</f>
        <v>#VALUE!</v>
      </c>
      <c r="C250" s="193" t="n">
        <v>0.07417168453386</v>
      </c>
      <c r="D250" s="193" t="n">
        <v>0.6</v>
      </c>
      <c r="E250" s="193" t="n">
        <v>0.6</v>
      </c>
      <c r="F250" s="193" t="n">
        <v>0.1435</v>
      </c>
      <c r="G250" s="193" t="n">
        <v>0.151</v>
      </c>
      <c r="H250" s="193" t="n">
        <v>0.1585</v>
      </c>
      <c r="I250" s="218" t="n">
        <v>4.0015</v>
      </c>
      <c r="J250" s="193" t="n">
        <v>4.0065</v>
      </c>
      <c r="K250" s="193" t="n">
        <v>4.0115</v>
      </c>
      <c r="L250" s="193" t="n">
        <v>0</v>
      </c>
      <c r="M250" s="193" t="n">
        <v>0.2525</v>
      </c>
      <c r="O250" s="189" t="e">
        <f aca="false">(IF(MONTH(B250)&gt;=4,IF(MONTH(B250)&lt;=10,Inputs!$H$2,Inputs!$H$3),Inputs!$H$3))</f>
        <v>#VALUE!</v>
      </c>
      <c r="P250" s="244" t="e">
        <f aca="false">J250+(IF($L$2=TRUE(),IF(MONTH(B250)&gt;=4,IF(MONTH(B250)&lt;=10,L250,M250),M250),0))+(IF('Pricing Inputs'!$AN$3=2,O250,0))</f>
        <v>#VALUE!</v>
      </c>
      <c r="Q250" s="244"/>
      <c r="R250" s="245" t="e">
        <f aca="false">B250</f>
        <v>#VALUE!</v>
      </c>
      <c r="S250" s="246" t="n">
        <f aca="false">T250-$S$16</f>
        <v>0.53</v>
      </c>
      <c r="T250" s="241" t="n">
        <f aca="false">D250</f>
        <v>0.6</v>
      </c>
      <c r="U250" s="247" t="n">
        <f aca="false">$U$16+T250</f>
        <v>0.67</v>
      </c>
      <c r="BP250" s="205" t="n">
        <f aca="false">BP249+BV250</f>
        <v>249</v>
      </c>
      <c r="BQ250" s="206" t="s">
        <v>360</v>
      </c>
      <c r="BR250" s="201" t="s">
        <v>203</v>
      </c>
      <c r="BS250" s="132" t="s">
        <v>204</v>
      </c>
      <c r="BT250" s="209" t="s">
        <v>205</v>
      </c>
      <c r="BU250" s="209"/>
      <c r="BV250" s="132" t="n">
        <v>1</v>
      </c>
      <c r="BW250" s="201" t="s">
        <v>1120</v>
      </c>
      <c r="BX250" s="0"/>
    </row>
    <row r="251" customFormat="false" ht="12.75" hidden="false" customHeight="false" outlineLevel="0" collapsed="false">
      <c r="A251" s="242"/>
      <c r="B251" s="192" t="e">
        <f aca="false">NextMonth(B250)</f>
        <v>#VALUE!</v>
      </c>
      <c r="C251" s="193" t="n">
        <v>0.07417139932301</v>
      </c>
      <c r="D251" s="193" t="n">
        <v>0.65</v>
      </c>
      <c r="E251" s="193" t="n">
        <v>0.65</v>
      </c>
      <c r="F251" s="193" t="n">
        <v>0.1435</v>
      </c>
      <c r="G251" s="193" t="n">
        <v>0.151</v>
      </c>
      <c r="H251" s="193" t="n">
        <v>0.1585</v>
      </c>
      <c r="I251" s="218" t="n">
        <v>4.0275</v>
      </c>
      <c r="J251" s="193" t="n">
        <v>4.0325</v>
      </c>
      <c r="K251" s="193" t="n">
        <v>4.0375</v>
      </c>
      <c r="L251" s="193" t="n">
        <v>0</v>
      </c>
      <c r="M251" s="193" t="n">
        <v>0.255</v>
      </c>
      <c r="O251" s="189" t="e">
        <f aca="false">(IF(MONTH(B251)&gt;=4,IF(MONTH(B251)&lt;=10,Inputs!$H$2,Inputs!$H$3),Inputs!$H$3))</f>
        <v>#VALUE!</v>
      </c>
      <c r="P251" s="244" t="e">
        <f aca="false">J251+(IF($L$2=TRUE(),IF(MONTH(B251)&gt;=4,IF(MONTH(B251)&lt;=10,L251,M251),M251),0))+(IF('Pricing Inputs'!$AN$3=2,O251,0))</f>
        <v>#VALUE!</v>
      </c>
      <c r="Q251" s="244"/>
      <c r="R251" s="245" t="e">
        <f aca="false">B251</f>
        <v>#VALUE!</v>
      </c>
      <c r="S251" s="246" t="n">
        <f aca="false">T251-$S$16</f>
        <v>0.58</v>
      </c>
      <c r="T251" s="241" t="n">
        <f aca="false">D251</f>
        <v>0.65</v>
      </c>
      <c r="U251" s="247" t="n">
        <f aca="false">$U$16+T251</f>
        <v>0.72</v>
      </c>
      <c r="BP251" s="205" t="n">
        <f aca="false">BP250+BV251</f>
        <v>250</v>
      </c>
      <c r="BQ251" s="206" t="s">
        <v>364</v>
      </c>
      <c r="BR251" s="201" t="s">
        <v>203</v>
      </c>
      <c r="BS251" s="132" t="s">
        <v>204</v>
      </c>
      <c r="BT251" s="209" t="s">
        <v>205</v>
      </c>
      <c r="BU251" s="209"/>
      <c r="BV251" s="132" t="n">
        <v>1</v>
      </c>
      <c r="BW251" s="201" t="s">
        <v>1121</v>
      </c>
      <c r="BX251" s="0"/>
    </row>
    <row r="252" customFormat="false" ht="12.75" hidden="false" customHeight="false" outlineLevel="0" collapsed="false">
      <c r="A252" s="242"/>
      <c r="B252" s="192" t="e">
        <f aca="false">NextMonth(B251)</f>
        <v>#VALUE!</v>
      </c>
      <c r="C252" s="193" t="n">
        <v>0.07417110460513</v>
      </c>
      <c r="D252" s="193" t="n">
        <v>0.95</v>
      </c>
      <c r="E252" s="193" t="n">
        <v>0.95</v>
      </c>
      <c r="F252" s="193" t="n">
        <v>0.1435</v>
      </c>
      <c r="G252" s="193" t="n">
        <v>0.151</v>
      </c>
      <c r="H252" s="193" t="n">
        <v>0.1585</v>
      </c>
      <c r="I252" s="218" t="n">
        <v>4.1625</v>
      </c>
      <c r="J252" s="193" t="n">
        <v>4.1675</v>
      </c>
      <c r="K252" s="193" t="n">
        <v>4.1725</v>
      </c>
      <c r="L252" s="193" t="n">
        <v>0</v>
      </c>
      <c r="M252" s="193" t="n">
        <v>0.715</v>
      </c>
      <c r="O252" s="189" t="e">
        <f aca="false">(IF(MONTH(B252)&gt;=4,IF(MONTH(B252)&lt;=10,Inputs!$H$2,Inputs!$H$3),Inputs!$H$3))</f>
        <v>#VALUE!</v>
      </c>
      <c r="P252" s="244" t="e">
        <f aca="false">J252+(IF($L$2=TRUE(),IF(MONTH(B252)&gt;=4,IF(MONTH(B252)&lt;=10,L252,M252),M252),0))+(IF('Pricing Inputs'!$AN$3=2,O252,0))</f>
        <v>#VALUE!</v>
      </c>
      <c r="Q252" s="244"/>
      <c r="R252" s="245" t="e">
        <f aca="false">B252</f>
        <v>#VALUE!</v>
      </c>
      <c r="S252" s="246" t="n">
        <f aca="false">T252-$S$16</f>
        <v>0.88</v>
      </c>
      <c r="T252" s="241" t="n">
        <f aca="false">D252</f>
        <v>0.95</v>
      </c>
      <c r="U252" s="247" t="n">
        <f aca="false">$U$16+T252</f>
        <v>1.02</v>
      </c>
      <c r="BP252" s="205" t="n">
        <f aca="false">BP251+BV252</f>
        <v>251</v>
      </c>
      <c r="BQ252" s="206" t="s">
        <v>368</v>
      </c>
      <c r="BR252" s="201" t="s">
        <v>203</v>
      </c>
      <c r="BS252" s="132" t="s">
        <v>204</v>
      </c>
      <c r="BT252" s="209" t="s">
        <v>205</v>
      </c>
      <c r="BU252" s="209"/>
      <c r="BV252" s="132" t="n">
        <v>1</v>
      </c>
      <c r="BW252" s="201" t="s">
        <v>1122</v>
      </c>
      <c r="BX252" s="0"/>
    </row>
    <row r="253" customFormat="false" ht="12.75" hidden="false" customHeight="false" outlineLevel="0" collapsed="false">
      <c r="A253" s="242"/>
      <c r="B253" s="192" t="e">
        <f aca="false">NextMonth(B252)</f>
        <v>#VALUE!</v>
      </c>
      <c r="C253" s="193" t="n">
        <v>0.07417081939428</v>
      </c>
      <c r="D253" s="193" t="n">
        <v>1.25</v>
      </c>
      <c r="E253" s="193" t="n">
        <v>1.25</v>
      </c>
      <c r="F253" s="193" t="n">
        <v>0.1435</v>
      </c>
      <c r="G253" s="193" t="n">
        <v>0.151</v>
      </c>
      <c r="H253" s="193" t="n">
        <v>0.1585</v>
      </c>
      <c r="I253" s="218" t="n">
        <v>4.2865</v>
      </c>
      <c r="J253" s="193" t="n">
        <v>4.2915</v>
      </c>
      <c r="K253" s="193" t="n">
        <v>4.2965</v>
      </c>
      <c r="L253" s="193" t="n">
        <v>0</v>
      </c>
      <c r="M253" s="193" t="n">
        <v>1.03</v>
      </c>
      <c r="O253" s="189" t="e">
        <f aca="false">(IF(MONTH(B253)&gt;=4,IF(MONTH(B253)&lt;=10,Inputs!$H$2,Inputs!$H$3),Inputs!$H$3))</f>
        <v>#VALUE!</v>
      </c>
      <c r="P253" s="244" t="e">
        <f aca="false">J253+(IF($L$2=TRUE(),IF(MONTH(B253)&gt;=4,IF(MONTH(B253)&lt;=10,L253,M253),M253),0))+(IF('Pricing Inputs'!$AN$3=2,O253,0))</f>
        <v>#VALUE!</v>
      </c>
      <c r="Q253" s="244"/>
      <c r="R253" s="245" t="e">
        <f aca="false">B253</f>
        <v>#VALUE!</v>
      </c>
      <c r="S253" s="246" t="n">
        <f aca="false">T253-$S$16</f>
        <v>1.18</v>
      </c>
      <c r="T253" s="241" t="n">
        <f aca="false">D253</f>
        <v>1.25</v>
      </c>
      <c r="U253" s="247" t="n">
        <f aca="false">$U$16+T253</f>
        <v>1.32</v>
      </c>
      <c r="BP253" s="205" t="n">
        <f aca="false">BP252+BV253</f>
        <v>252</v>
      </c>
      <c r="BQ253" s="206" t="s">
        <v>372</v>
      </c>
      <c r="BR253" s="201" t="s">
        <v>203</v>
      </c>
      <c r="BS253" s="132" t="s">
        <v>204</v>
      </c>
      <c r="BT253" s="209" t="s">
        <v>205</v>
      </c>
      <c r="BU253" s="209"/>
      <c r="BV253" s="132" t="n">
        <v>1</v>
      </c>
      <c r="BW253" s="201" t="s">
        <v>1123</v>
      </c>
      <c r="BX253" s="0"/>
    </row>
    <row r="254" customFormat="false" ht="12.75" hidden="false" customHeight="false" outlineLevel="0" collapsed="false">
      <c r="A254" s="242"/>
      <c r="B254" s="192" t="e">
        <f aca="false">NextMonth(B253)</f>
        <v>#VALUE!</v>
      </c>
      <c r="C254" s="193" t="n">
        <v>0.074170524676401</v>
      </c>
      <c r="D254" s="193" t="n">
        <v>1.45</v>
      </c>
      <c r="E254" s="193" t="n">
        <v>1.45</v>
      </c>
      <c r="F254" s="193" t="n">
        <v>0.1435</v>
      </c>
      <c r="G254" s="193" t="n">
        <v>0.151</v>
      </c>
      <c r="H254" s="193" t="n">
        <v>0.1585</v>
      </c>
      <c r="I254" s="218" t="n">
        <v>4.41</v>
      </c>
      <c r="J254" s="193" t="n">
        <v>4.415</v>
      </c>
      <c r="K254" s="193" t="n">
        <v>4.42</v>
      </c>
      <c r="L254" s="193" t="n">
        <v>0</v>
      </c>
      <c r="M254" s="193" t="n">
        <v>1.495</v>
      </c>
      <c r="O254" s="189" t="e">
        <f aca="false">(IF(MONTH(B254)&gt;=4,IF(MONTH(B254)&lt;=10,Inputs!$H$2,Inputs!$H$3),Inputs!$H$3))</f>
        <v>#VALUE!</v>
      </c>
      <c r="P254" s="244" t="e">
        <f aca="false">J254+(IF($L$2=TRUE(),IF(MONTH(B254)&gt;=4,IF(MONTH(B254)&lt;=10,L254,M254),M254),0))+(IF('Pricing Inputs'!$AN$3=2,O254,0))</f>
        <v>#VALUE!</v>
      </c>
      <c r="Q254" s="244"/>
      <c r="R254" s="245" t="e">
        <f aca="false">B254</f>
        <v>#VALUE!</v>
      </c>
      <c r="S254" s="246" t="n">
        <f aca="false">T254-$S$16</f>
        <v>1.38</v>
      </c>
      <c r="T254" s="241" t="n">
        <f aca="false">D254</f>
        <v>1.45</v>
      </c>
      <c r="U254" s="247" t="n">
        <f aca="false">$U$16+T254</f>
        <v>1.52</v>
      </c>
      <c r="BP254" s="205" t="n">
        <f aca="false">BP253+BV254</f>
        <v>253</v>
      </c>
      <c r="BQ254" s="206" t="s">
        <v>376</v>
      </c>
      <c r="BR254" s="201" t="s">
        <v>203</v>
      </c>
      <c r="BS254" s="132" t="s">
        <v>204</v>
      </c>
      <c r="BT254" s="209" t="s">
        <v>205</v>
      </c>
      <c r="BU254" s="209"/>
      <c r="BV254" s="132" t="n">
        <v>1</v>
      </c>
      <c r="BW254" s="201" t="s">
        <v>1124</v>
      </c>
      <c r="BX254" s="0"/>
    </row>
    <row r="255" customFormat="false" ht="12.75" hidden="false" customHeight="false" outlineLevel="0" collapsed="false">
      <c r="A255" s="242"/>
      <c r="B255" s="192" t="e">
        <f aca="false">NextMonth(B254)</f>
        <v>#VALUE!</v>
      </c>
      <c r="C255" s="193" t="n">
        <v>0.074170229958522</v>
      </c>
      <c r="D255" s="193" t="n">
        <v>1.45</v>
      </c>
      <c r="E255" s="193" t="n">
        <v>1.45</v>
      </c>
      <c r="F255" s="193" t="n">
        <v>0.1435</v>
      </c>
      <c r="G255" s="193" t="n">
        <v>0.151</v>
      </c>
      <c r="H255" s="193" t="n">
        <v>0.1585</v>
      </c>
      <c r="I255" s="218" t="n">
        <v>4.292</v>
      </c>
      <c r="J255" s="193" t="n">
        <v>4.297</v>
      </c>
      <c r="K255" s="193" t="n">
        <v>4.302</v>
      </c>
      <c r="L255" s="193" t="n">
        <v>0</v>
      </c>
      <c r="M255" s="193" t="n">
        <v>1.395</v>
      </c>
      <c r="O255" s="189" t="e">
        <f aca="false">(IF(MONTH(B255)&gt;=4,IF(MONTH(B255)&lt;=10,Inputs!$H$2,Inputs!$H$3),Inputs!$H$3))</f>
        <v>#VALUE!</v>
      </c>
      <c r="P255" s="244" t="e">
        <f aca="false">J255+(IF($L$2=TRUE(),IF(MONTH(B255)&gt;=4,IF(MONTH(B255)&lt;=10,L255,M255),M255),0))+(IF('Pricing Inputs'!$AN$3=2,O255,0))</f>
        <v>#VALUE!</v>
      </c>
      <c r="Q255" s="244"/>
      <c r="R255" s="245" t="e">
        <f aca="false">B255</f>
        <v>#VALUE!</v>
      </c>
      <c r="S255" s="246" t="n">
        <f aca="false">T255-$S$16</f>
        <v>1.38</v>
      </c>
      <c r="T255" s="241" t="n">
        <f aca="false">D255</f>
        <v>1.45</v>
      </c>
      <c r="U255" s="247" t="n">
        <f aca="false">$U$16+T255</f>
        <v>1.52</v>
      </c>
      <c r="BP255" s="205" t="n">
        <f aca="false">BP254+BV255</f>
        <v>254</v>
      </c>
      <c r="BQ255" s="206" t="s">
        <v>380</v>
      </c>
      <c r="BR255" s="201" t="s">
        <v>203</v>
      </c>
      <c r="BS255" s="132" t="s">
        <v>204</v>
      </c>
      <c r="BT255" s="209" t="s">
        <v>205</v>
      </c>
      <c r="BU255" s="209"/>
      <c r="BV255" s="132" t="n">
        <v>1</v>
      </c>
      <c r="BW255" s="201" t="s">
        <v>1125</v>
      </c>
      <c r="BX255" s="0"/>
    </row>
    <row r="256" customFormat="false" ht="12.75" hidden="false" customHeight="false" outlineLevel="0" collapsed="false">
      <c r="A256" s="242"/>
      <c r="B256" s="192" t="e">
        <f aca="false">NextMonth(B255)</f>
        <v>#VALUE!</v>
      </c>
      <c r="C256" s="193" t="n">
        <v>0.074169954254699</v>
      </c>
      <c r="D256" s="193" t="n">
        <v>1</v>
      </c>
      <c r="E256" s="193" t="n">
        <v>1</v>
      </c>
      <c r="F256" s="193" t="n">
        <v>0.1435</v>
      </c>
      <c r="G256" s="193" t="n">
        <v>0.151</v>
      </c>
      <c r="H256" s="193" t="n">
        <v>0.1585</v>
      </c>
      <c r="I256" s="218" t="n">
        <v>4.172</v>
      </c>
      <c r="J256" s="193" t="n">
        <v>4.177</v>
      </c>
      <c r="K256" s="193" t="n">
        <v>4.182</v>
      </c>
      <c r="L256" s="193" t="n">
        <v>0</v>
      </c>
      <c r="M256" s="193" t="n">
        <v>0.865</v>
      </c>
      <c r="O256" s="189" t="e">
        <f aca="false">(IF(MONTH(B256)&gt;=4,IF(MONTH(B256)&lt;=10,Inputs!$H$2,Inputs!$H$3),Inputs!$H$3))</f>
        <v>#VALUE!</v>
      </c>
      <c r="P256" s="244" t="e">
        <f aca="false">J256+(IF($L$2=TRUE(),IF(MONTH(B256)&gt;=4,IF(MONTH(B256)&lt;=10,L256,M256),M256),0))+(IF('Pricing Inputs'!$AN$3=2,O256,0))</f>
        <v>#VALUE!</v>
      </c>
      <c r="Q256" s="244"/>
      <c r="R256" s="245" t="e">
        <f aca="false">B256</f>
        <v>#VALUE!</v>
      </c>
      <c r="S256" s="246" t="n">
        <f aca="false">T256-$S$16</f>
        <v>0.93</v>
      </c>
      <c r="T256" s="241" t="n">
        <f aca="false">D256</f>
        <v>1</v>
      </c>
      <c r="U256" s="247" t="n">
        <f aca="false">$U$16+T256</f>
        <v>1.07</v>
      </c>
      <c r="BP256" s="205" t="n">
        <f aca="false">BP255+BV256</f>
        <v>255</v>
      </c>
      <c r="BQ256" s="206" t="s">
        <v>384</v>
      </c>
      <c r="BR256" s="201" t="s">
        <v>203</v>
      </c>
      <c r="BS256" s="132" t="s">
        <v>204</v>
      </c>
      <c r="BT256" s="209" t="s">
        <v>205</v>
      </c>
      <c r="BU256" s="209"/>
      <c r="BV256" s="132" t="n">
        <v>1</v>
      </c>
      <c r="BW256" s="201" t="s">
        <v>1126</v>
      </c>
      <c r="BX256" s="0"/>
    </row>
    <row r="257" customFormat="false" ht="12.75" hidden="false" customHeight="false" outlineLevel="0" collapsed="false">
      <c r="A257" s="242"/>
      <c r="B257" s="192" t="e">
        <f aca="false">NextMonth(B256)</f>
        <v>#VALUE!</v>
      </c>
      <c r="C257" s="193" t="n">
        <v>0.074161295770025</v>
      </c>
      <c r="D257" s="193" t="n">
        <v>0.45</v>
      </c>
      <c r="E257" s="193" t="n">
        <v>0.45</v>
      </c>
      <c r="F257" s="193" t="n">
        <v>0.1435</v>
      </c>
      <c r="G257" s="193" t="n">
        <v>0.151</v>
      </c>
      <c r="H257" s="193" t="n">
        <v>0.1585</v>
      </c>
      <c r="I257" s="218" t="n">
        <v>4.1225</v>
      </c>
      <c r="J257" s="193" t="n">
        <v>4.1275</v>
      </c>
      <c r="K257" s="193" t="n">
        <v>4.1325</v>
      </c>
      <c r="L257" s="193" t="n">
        <v>0</v>
      </c>
      <c r="M257" s="193" t="n">
        <v>0.37</v>
      </c>
      <c r="O257" s="189" t="e">
        <f aca="false">(IF(MONTH(B257)&gt;=4,IF(MONTH(B257)&lt;=10,Inputs!$H$2,Inputs!$H$3),Inputs!$H$3))</f>
        <v>#VALUE!</v>
      </c>
      <c r="P257" s="244" t="e">
        <f aca="false">J257+(IF($L$2=TRUE(),IF(MONTH(B257)&gt;=4,IF(MONTH(B257)&lt;=10,L257,M257),M257),0))+(IF('Pricing Inputs'!$AN$3=2,O257,0))</f>
        <v>#VALUE!</v>
      </c>
      <c r="Q257" s="244"/>
      <c r="R257" s="245" t="e">
        <f aca="false">B257</f>
        <v>#VALUE!</v>
      </c>
      <c r="S257" s="246" t="n">
        <f aca="false">T257-$S$16</f>
        <v>0.38</v>
      </c>
      <c r="T257" s="241" t="n">
        <f aca="false">D257</f>
        <v>0.45</v>
      </c>
      <c r="U257" s="247" t="n">
        <f aca="false">$U$16+T257</f>
        <v>0.52</v>
      </c>
      <c r="BP257" s="205" t="n">
        <f aca="false">BP256+BV257</f>
        <v>256</v>
      </c>
      <c r="BQ257" s="206" t="s">
        <v>388</v>
      </c>
      <c r="BR257" s="201" t="s">
        <v>203</v>
      </c>
      <c r="BS257" s="132" t="s">
        <v>204</v>
      </c>
      <c r="BT257" s="209" t="s">
        <v>205</v>
      </c>
      <c r="BU257" s="209"/>
      <c r="BV257" s="132" t="n">
        <v>1</v>
      </c>
      <c r="BW257" s="201" t="s">
        <v>1127</v>
      </c>
      <c r="BX257" s="0"/>
    </row>
    <row r="258" customFormat="false" ht="12.75" hidden="false" customHeight="false" outlineLevel="0" collapsed="false">
      <c r="A258" s="242"/>
      <c r="B258" s="192" t="e">
        <f aca="false">NextMonth(B257)</f>
        <v>#VALUE!</v>
      </c>
      <c r="C258" s="193" t="n">
        <v>0.074152358386653</v>
      </c>
      <c r="D258" s="193" t="n">
        <v>0.5</v>
      </c>
      <c r="E258" s="193" t="n">
        <v>0.5</v>
      </c>
      <c r="F258" s="193" t="n">
        <v>0.1435</v>
      </c>
      <c r="G258" s="193" t="n">
        <v>0.151</v>
      </c>
      <c r="H258" s="193" t="n">
        <v>0.1585</v>
      </c>
      <c r="I258" s="218" t="n">
        <v>4.0965</v>
      </c>
      <c r="J258" s="193" t="n">
        <v>4.1015</v>
      </c>
      <c r="K258" s="193" t="n">
        <v>4.1065</v>
      </c>
      <c r="L258" s="193" t="n">
        <v>0</v>
      </c>
      <c r="M258" s="193" t="n">
        <v>0.2525</v>
      </c>
      <c r="O258" s="189" t="e">
        <f aca="false">(IF(MONTH(B258)&gt;=4,IF(MONTH(B258)&lt;=10,Inputs!$H$2,Inputs!$H$3),Inputs!$H$3))</f>
        <v>#VALUE!</v>
      </c>
      <c r="P258" s="244" t="e">
        <f aca="false">J258+(IF($L$2=TRUE(),IF(MONTH(B258)&gt;=4,IF(MONTH(B258)&lt;=10,L258,M258),M258),0))+(IF('Pricing Inputs'!$AN$3=2,O258,0))</f>
        <v>#VALUE!</v>
      </c>
      <c r="Q258" s="244"/>
      <c r="R258" s="245" t="e">
        <f aca="false">B258</f>
        <v>#VALUE!</v>
      </c>
      <c r="S258" s="246" t="n">
        <f aca="false">T258-$S$16</f>
        <v>0.43</v>
      </c>
      <c r="T258" s="241" t="n">
        <f aca="false">D258</f>
        <v>0.5</v>
      </c>
      <c r="U258" s="247" t="n">
        <f aca="false">$U$16+T258</f>
        <v>0.57</v>
      </c>
      <c r="BP258" s="205" t="n">
        <f aca="false">BP257+BV258</f>
        <v>257</v>
      </c>
      <c r="BQ258" s="206" t="s">
        <v>392</v>
      </c>
      <c r="BR258" s="201" t="s">
        <v>203</v>
      </c>
      <c r="BS258" s="132" t="s">
        <v>204</v>
      </c>
      <c r="BT258" s="209" t="s">
        <v>205</v>
      </c>
      <c r="BU258" s="209"/>
      <c r="BV258" s="132" t="n">
        <v>1</v>
      </c>
      <c r="BW258" s="201" t="s">
        <v>1128</v>
      </c>
      <c r="BX258" s="0"/>
    </row>
    <row r="259" customFormat="false" ht="12.75" hidden="false" customHeight="false" outlineLevel="0" collapsed="false">
      <c r="A259" s="242"/>
      <c r="B259" s="192" t="e">
        <f aca="false">NextMonth(B258)</f>
        <v>#VALUE!</v>
      </c>
      <c r="C259" s="193" t="n">
        <v>0.07414312309053</v>
      </c>
      <c r="D259" s="193" t="n">
        <v>0.5</v>
      </c>
      <c r="E259" s="193" t="n">
        <v>0.5</v>
      </c>
      <c r="F259" s="193" t="n">
        <v>0.1435</v>
      </c>
      <c r="G259" s="193" t="n">
        <v>0.151</v>
      </c>
      <c r="H259" s="193" t="n">
        <v>0.1585</v>
      </c>
      <c r="I259" s="218" t="n">
        <v>4.1025</v>
      </c>
      <c r="J259" s="193" t="n">
        <v>4.1075</v>
      </c>
      <c r="K259" s="193" t="n">
        <v>4.1125</v>
      </c>
      <c r="L259" s="193" t="n">
        <v>0</v>
      </c>
      <c r="M259" s="193" t="n">
        <v>0.2525</v>
      </c>
      <c r="O259" s="189" t="e">
        <f aca="false">(IF(MONTH(B259)&gt;=4,IF(MONTH(B259)&lt;=10,Inputs!$H$2,Inputs!$H$3),Inputs!$H$3))</f>
        <v>#VALUE!</v>
      </c>
      <c r="P259" s="244" t="e">
        <f aca="false">J259+(IF($L$2=TRUE(),IF(MONTH(B259)&gt;=4,IF(MONTH(B259)&lt;=10,L259,M259),M259),0))+(IF('Pricing Inputs'!$AN$3=2,O259,0))</f>
        <v>#VALUE!</v>
      </c>
      <c r="Q259" s="244"/>
      <c r="R259" s="245" t="e">
        <f aca="false">B259</f>
        <v>#VALUE!</v>
      </c>
      <c r="S259" s="246" t="n">
        <f aca="false">T259-$S$16</f>
        <v>0.43</v>
      </c>
      <c r="T259" s="241" t="n">
        <f aca="false">D259</f>
        <v>0.5</v>
      </c>
      <c r="U259" s="247" t="n">
        <f aca="false">$U$16+T259</f>
        <v>0.57</v>
      </c>
      <c r="BP259" s="205" t="n">
        <f aca="false">BP258+BV259</f>
        <v>258</v>
      </c>
      <c r="BQ259" s="206" t="s">
        <v>396</v>
      </c>
      <c r="BR259" s="201" t="s">
        <v>203</v>
      </c>
      <c r="BS259" s="132" t="s">
        <v>204</v>
      </c>
      <c r="BT259" s="209" t="s">
        <v>205</v>
      </c>
      <c r="BU259" s="209"/>
      <c r="BV259" s="132" t="n">
        <v>1</v>
      </c>
      <c r="BW259" s="201" t="s">
        <v>1129</v>
      </c>
      <c r="BX259" s="0"/>
    </row>
    <row r="260" customFormat="false" ht="12.75" hidden="false" customHeight="false" outlineLevel="0" collapsed="false">
      <c r="A260" s="242"/>
      <c r="B260" s="192" t="e">
        <f aca="false">NextMonth(B259)</f>
        <v>#VALUE!</v>
      </c>
      <c r="C260" s="193" t="n">
        <v>0.074134185707211</v>
      </c>
      <c r="D260" s="193" t="n">
        <v>0.5</v>
      </c>
      <c r="E260" s="193" t="n">
        <v>0.5</v>
      </c>
      <c r="F260" s="193" t="n">
        <v>0.1435</v>
      </c>
      <c r="G260" s="193" t="n">
        <v>0.151</v>
      </c>
      <c r="H260" s="193" t="n">
        <v>0.1585</v>
      </c>
      <c r="I260" s="218" t="n">
        <v>4.1125</v>
      </c>
      <c r="J260" s="193" t="n">
        <v>4.1175</v>
      </c>
      <c r="K260" s="193" t="n">
        <v>4.1225</v>
      </c>
      <c r="L260" s="193" t="n">
        <v>0</v>
      </c>
      <c r="M260" s="193" t="n">
        <v>0.2575</v>
      </c>
      <c r="O260" s="189" t="e">
        <f aca="false">(IF(MONTH(B260)&gt;=4,IF(MONTH(B260)&lt;=10,Inputs!$H$2,Inputs!$H$3),Inputs!$H$3))</f>
        <v>#VALUE!</v>
      </c>
      <c r="P260" s="244" t="e">
        <f aca="false">J260+(IF($L$2=TRUE(),IF(MONTH(B260)&gt;=4,IF(MONTH(B260)&lt;=10,L260,M260),M260),0))+(IF('Pricing Inputs'!$AN$3=2,O260,0))</f>
        <v>#VALUE!</v>
      </c>
      <c r="Q260" s="244"/>
      <c r="R260" s="245" t="e">
        <f aca="false">B260</f>
        <v>#VALUE!</v>
      </c>
      <c r="S260" s="246" t="n">
        <f aca="false">T260-$S$16</f>
        <v>0.43</v>
      </c>
      <c r="T260" s="241" t="n">
        <f aca="false">D260</f>
        <v>0.5</v>
      </c>
      <c r="U260" s="247" t="n">
        <f aca="false">$U$16+T260</f>
        <v>0.57</v>
      </c>
      <c r="BP260" s="205" t="n">
        <f aca="false">BP259+BV260</f>
        <v>259</v>
      </c>
      <c r="BQ260" s="206" t="s">
        <v>400</v>
      </c>
      <c r="BR260" s="201" t="s">
        <v>203</v>
      </c>
      <c r="BS260" s="132" t="s">
        <v>204</v>
      </c>
      <c r="BT260" s="209" t="s">
        <v>205</v>
      </c>
      <c r="BU260" s="209"/>
      <c r="BV260" s="132" t="n">
        <v>1</v>
      </c>
      <c r="BW260" s="201" t="s">
        <v>1130</v>
      </c>
      <c r="BX260" s="0"/>
    </row>
    <row r="261" customFormat="false" ht="12.75" hidden="false" customHeight="false" outlineLevel="0" collapsed="false">
      <c r="A261" s="242"/>
      <c r="B261" s="192" t="e">
        <f aca="false">NextMonth(B260)</f>
        <v>#VALUE!</v>
      </c>
      <c r="C261" s="193" t="n">
        <v>0.074124950411143</v>
      </c>
      <c r="D261" s="193" t="n">
        <v>0.6</v>
      </c>
      <c r="E261" s="193" t="n">
        <v>0.6</v>
      </c>
      <c r="F261" s="193" t="n">
        <v>0.1435</v>
      </c>
      <c r="G261" s="193" t="n">
        <v>0.151</v>
      </c>
      <c r="H261" s="193" t="n">
        <v>0.1585</v>
      </c>
      <c r="I261" s="218" t="n">
        <v>4.1195</v>
      </c>
      <c r="J261" s="193" t="n">
        <v>4.1245</v>
      </c>
      <c r="K261" s="193" t="n">
        <v>4.1295</v>
      </c>
      <c r="L261" s="193" t="n">
        <v>0</v>
      </c>
      <c r="M261" s="193" t="n">
        <v>0.2575</v>
      </c>
      <c r="O261" s="189" t="e">
        <f aca="false">(IF(MONTH(B261)&gt;=4,IF(MONTH(B261)&lt;=10,Inputs!$H$2,Inputs!$H$3),Inputs!$H$3))</f>
        <v>#VALUE!</v>
      </c>
      <c r="P261" s="244" t="e">
        <f aca="false">J261+(IF($L$2=TRUE(),IF(MONTH(B261)&gt;=4,IF(MONTH(B261)&lt;=10,L261,M261),M261),0))+(IF('Pricing Inputs'!$AN$3=2,O261,0))</f>
        <v>#VALUE!</v>
      </c>
      <c r="Q261" s="244"/>
      <c r="R261" s="245" t="e">
        <f aca="false">B261</f>
        <v>#VALUE!</v>
      </c>
      <c r="S261" s="246" t="n">
        <f aca="false">T261-$S$16</f>
        <v>0.53</v>
      </c>
      <c r="T261" s="241" t="n">
        <f aca="false">D261</f>
        <v>0.6</v>
      </c>
      <c r="U261" s="247" t="n">
        <f aca="false">$U$16+T261</f>
        <v>0.67</v>
      </c>
      <c r="BP261" s="205" t="n">
        <f aca="false">BP260+BV261</f>
        <v>260</v>
      </c>
      <c r="BQ261" s="206" t="s">
        <v>404</v>
      </c>
      <c r="BR261" s="201" t="s">
        <v>203</v>
      </c>
      <c r="BS261" s="132" t="s">
        <v>204</v>
      </c>
      <c r="BT261" s="209" t="s">
        <v>205</v>
      </c>
      <c r="BU261" s="209"/>
      <c r="BV261" s="132" t="n">
        <v>1</v>
      </c>
      <c r="BW261" s="201" t="s">
        <v>1131</v>
      </c>
      <c r="BX261" s="0"/>
    </row>
    <row r="262" customFormat="false" ht="12.75" hidden="false" customHeight="false" outlineLevel="0" collapsed="false">
      <c r="A262" s="242"/>
      <c r="B262" s="192" t="e">
        <f aca="false">NextMonth(B261)</f>
        <v>#VALUE!</v>
      </c>
      <c r="C262" s="193" t="n">
        <v>0.074115715115103</v>
      </c>
      <c r="D262" s="193" t="n">
        <v>0.6</v>
      </c>
      <c r="E262" s="193" t="n">
        <v>0.6</v>
      </c>
      <c r="F262" s="193" t="n">
        <v>0.1435</v>
      </c>
      <c r="G262" s="193" t="n">
        <v>0.151</v>
      </c>
      <c r="H262" s="193" t="n">
        <v>0.1585</v>
      </c>
      <c r="I262" s="218" t="n">
        <v>4.1265</v>
      </c>
      <c r="J262" s="193" t="n">
        <v>4.1315</v>
      </c>
      <c r="K262" s="193" t="n">
        <v>4.1365</v>
      </c>
      <c r="L262" s="193" t="n">
        <v>0</v>
      </c>
      <c r="M262" s="193" t="n">
        <v>0.2525</v>
      </c>
      <c r="O262" s="189" t="e">
        <f aca="false">(IF(MONTH(B262)&gt;=4,IF(MONTH(B262)&lt;=10,Inputs!$H$2,Inputs!$H$3),Inputs!$H$3))</f>
        <v>#VALUE!</v>
      </c>
      <c r="P262" s="244" t="e">
        <f aca="false">J262+(IF($L$2=TRUE(),IF(MONTH(B262)&gt;=4,IF(MONTH(B262)&lt;=10,L262,M262),M262),0))+(IF('Pricing Inputs'!$AN$3=2,O262,0))</f>
        <v>#VALUE!</v>
      </c>
      <c r="Q262" s="244"/>
      <c r="R262" s="245" t="e">
        <f aca="false">B262</f>
        <v>#VALUE!</v>
      </c>
      <c r="S262" s="246" t="n">
        <f aca="false">T262-$S$16</f>
        <v>0.53</v>
      </c>
      <c r="T262" s="241" t="n">
        <f aca="false">D262</f>
        <v>0.6</v>
      </c>
      <c r="U262" s="247" t="n">
        <f aca="false">$U$16+T262</f>
        <v>0.67</v>
      </c>
      <c r="BP262" s="205" t="n">
        <f aca="false">BP261+BV262</f>
        <v>261</v>
      </c>
      <c r="BQ262" s="206" t="s">
        <v>408</v>
      </c>
      <c r="BR262" s="201" t="s">
        <v>203</v>
      </c>
      <c r="BS262" s="132" t="s">
        <v>204</v>
      </c>
      <c r="BT262" s="209" t="s">
        <v>205</v>
      </c>
      <c r="BU262" s="209"/>
      <c r="BV262" s="132" t="n">
        <v>1</v>
      </c>
      <c r="BW262" s="201" t="s">
        <v>1132</v>
      </c>
      <c r="BX262" s="0"/>
    </row>
    <row r="263" customFormat="false" ht="12.75" hidden="false" customHeight="false" outlineLevel="0" collapsed="false">
      <c r="A263" s="242"/>
      <c r="B263" s="192" t="e">
        <f aca="false">NextMonth(B262)</f>
        <v>#VALUE!</v>
      </c>
      <c r="C263" s="193" t="n">
        <v>0.074106777731866</v>
      </c>
      <c r="D263" s="193" t="n">
        <v>0.65</v>
      </c>
      <c r="E263" s="193" t="n">
        <v>0.65</v>
      </c>
      <c r="F263" s="193" t="n">
        <v>0.1435</v>
      </c>
      <c r="G263" s="193" t="n">
        <v>0.151</v>
      </c>
      <c r="H263" s="193" t="n">
        <v>0.1585</v>
      </c>
      <c r="I263" s="218" t="n">
        <v>4.1525</v>
      </c>
      <c r="J263" s="193" t="n">
        <v>4.1575</v>
      </c>
      <c r="K263" s="193" t="n">
        <v>4.1625</v>
      </c>
      <c r="L263" s="193" t="n">
        <v>0</v>
      </c>
      <c r="M263" s="193" t="n">
        <v>0.255</v>
      </c>
      <c r="O263" s="189" t="e">
        <f aca="false">(IF(MONTH(B263)&gt;=4,IF(MONTH(B263)&lt;=10,Inputs!$H$2,Inputs!$H$3),Inputs!$H$3))</f>
        <v>#VALUE!</v>
      </c>
      <c r="P263" s="244" t="e">
        <f aca="false">J263+(IF($L$2=TRUE(),IF(MONTH(B263)&gt;=4,IF(MONTH(B263)&lt;=10,L263,M263),M263),0))+(IF('Pricing Inputs'!$AN$3=2,O263,0))</f>
        <v>#VALUE!</v>
      </c>
      <c r="Q263" s="244"/>
      <c r="R263" s="245" t="e">
        <f aca="false">B263</f>
        <v>#VALUE!</v>
      </c>
      <c r="S263" s="246" t="n">
        <f aca="false">T263-$S$16</f>
        <v>0.58</v>
      </c>
      <c r="T263" s="241" t="n">
        <f aca="false">D263</f>
        <v>0.65</v>
      </c>
      <c r="U263" s="247" t="n">
        <f aca="false">$U$16+T263</f>
        <v>0.72</v>
      </c>
      <c r="BP263" s="205" t="n">
        <f aca="false">BP262+BV263</f>
        <v>262</v>
      </c>
      <c r="BQ263" s="206" t="s">
        <v>412</v>
      </c>
      <c r="BR263" s="201" t="s">
        <v>203</v>
      </c>
      <c r="BS263" s="132" t="s">
        <v>204</v>
      </c>
      <c r="BT263" s="209" t="s">
        <v>205</v>
      </c>
      <c r="BU263" s="209"/>
      <c r="BV263" s="132" t="n">
        <v>1</v>
      </c>
      <c r="BW263" s="201" t="s">
        <v>1133</v>
      </c>
      <c r="BX263" s="0"/>
    </row>
    <row r="264" customFormat="false" ht="12.75" hidden="false" customHeight="false" outlineLevel="0" collapsed="false">
      <c r="A264" s="242"/>
      <c r="B264" s="192" t="e">
        <f aca="false">NextMonth(B263)</f>
        <v>#VALUE!</v>
      </c>
      <c r="C264" s="193" t="n">
        <v>0.074097542435882</v>
      </c>
      <c r="D264" s="193" t="n">
        <v>0.95</v>
      </c>
      <c r="E264" s="193" t="n">
        <v>0.95</v>
      </c>
      <c r="F264" s="193" t="n">
        <v>0.1435</v>
      </c>
      <c r="G264" s="193" t="n">
        <v>0.151</v>
      </c>
      <c r="H264" s="193" t="n">
        <v>0.1585</v>
      </c>
      <c r="I264" s="218" t="n">
        <v>4.2875</v>
      </c>
      <c r="J264" s="193" t="n">
        <v>4.2925</v>
      </c>
      <c r="K264" s="193" t="n">
        <v>4.2975</v>
      </c>
      <c r="L264" s="193" t="n">
        <v>0</v>
      </c>
      <c r="M264" s="193" t="n">
        <v>0.715</v>
      </c>
      <c r="O264" s="189" t="e">
        <f aca="false">(IF(MONTH(B264)&gt;=4,IF(MONTH(B264)&lt;=10,Inputs!$H$2,Inputs!$H$3),Inputs!$H$3))</f>
        <v>#VALUE!</v>
      </c>
      <c r="P264" s="244" t="e">
        <f aca="false">J264+(IF($L$2=TRUE(),IF(MONTH(B264)&gt;=4,IF(MONTH(B264)&lt;=10,L264,M264),M264),0))+(IF('Pricing Inputs'!$AN$3=2,O264,0))</f>
        <v>#VALUE!</v>
      </c>
      <c r="Q264" s="244"/>
      <c r="R264" s="245" t="e">
        <f aca="false">B264</f>
        <v>#VALUE!</v>
      </c>
      <c r="S264" s="246" t="n">
        <f aca="false">T264-$S$16</f>
        <v>0.88</v>
      </c>
      <c r="T264" s="241" t="n">
        <f aca="false">D264</f>
        <v>0.95</v>
      </c>
      <c r="U264" s="247" t="n">
        <f aca="false">$U$16+T264</f>
        <v>1.02</v>
      </c>
      <c r="BP264" s="205" t="n">
        <f aca="false">BP263+BV264</f>
        <v>263</v>
      </c>
      <c r="BQ264" s="206" t="s">
        <v>416</v>
      </c>
      <c r="BR264" s="201" t="s">
        <v>203</v>
      </c>
      <c r="BS264" s="132" t="s">
        <v>204</v>
      </c>
      <c r="BT264" s="209" t="s">
        <v>205</v>
      </c>
      <c r="BU264" s="209"/>
      <c r="BV264" s="132" t="n">
        <v>1</v>
      </c>
      <c r="BW264" s="201" t="s">
        <v>1134</v>
      </c>
      <c r="BX264" s="0"/>
    </row>
    <row r="265" customFormat="false" ht="12.75" hidden="false" customHeight="false" outlineLevel="0" collapsed="false">
      <c r="A265" s="242"/>
      <c r="B265" s="192" t="e">
        <f aca="false">NextMonth(B264)</f>
        <v>#VALUE!</v>
      </c>
      <c r="C265" s="193" t="n">
        <v>0.074088605052698</v>
      </c>
      <c r="D265" s="193" t="n">
        <v>1.25</v>
      </c>
      <c r="E265" s="193" t="n">
        <v>1.25</v>
      </c>
      <c r="F265" s="193" t="n">
        <v>0.1435</v>
      </c>
      <c r="G265" s="193" t="n">
        <v>0.151</v>
      </c>
      <c r="H265" s="193" t="n">
        <v>0.1585</v>
      </c>
      <c r="I265" s="218" t="n">
        <v>4.4115</v>
      </c>
      <c r="J265" s="193" t="n">
        <v>4.4165</v>
      </c>
      <c r="K265" s="193" t="n">
        <v>4.4215</v>
      </c>
      <c r="L265" s="193" t="n">
        <v>0</v>
      </c>
      <c r="M265" s="193" t="n">
        <v>1.03</v>
      </c>
      <c r="O265" s="189" t="e">
        <f aca="false">(IF(MONTH(B265)&gt;=4,IF(MONTH(B265)&lt;=10,Inputs!$H$2,Inputs!$H$3),Inputs!$H$3))</f>
        <v>#VALUE!</v>
      </c>
      <c r="P265" s="244" t="e">
        <f aca="false">J265+(IF($L$2=TRUE(),IF(MONTH(B265)&gt;=4,IF(MONTH(B265)&lt;=10,L265,M265),M265),0))+(IF('Pricing Inputs'!$AN$3=2,O265,0))</f>
        <v>#VALUE!</v>
      </c>
      <c r="Q265" s="244"/>
      <c r="R265" s="245" t="e">
        <f aca="false">B265</f>
        <v>#VALUE!</v>
      </c>
      <c r="S265" s="246" t="n">
        <f aca="false">T265-$S$16</f>
        <v>1.18</v>
      </c>
      <c r="T265" s="241" t="n">
        <f aca="false">D265</f>
        <v>1.25</v>
      </c>
      <c r="U265" s="247" t="n">
        <f aca="false">$U$16+T265</f>
        <v>1.32</v>
      </c>
      <c r="BP265" s="205" t="n">
        <f aca="false">BP264+BV265</f>
        <v>264</v>
      </c>
      <c r="BQ265" s="206" t="s">
        <v>420</v>
      </c>
      <c r="BR265" s="201" t="s">
        <v>203</v>
      </c>
      <c r="BS265" s="132" t="s">
        <v>204</v>
      </c>
      <c r="BT265" s="209" t="s">
        <v>205</v>
      </c>
      <c r="BU265" s="209"/>
      <c r="BV265" s="132" t="n">
        <v>1</v>
      </c>
      <c r="BW265" s="201" t="s">
        <v>1135</v>
      </c>
      <c r="BX265" s="0"/>
    </row>
    <row r="266" customFormat="false" ht="12.75" hidden="false" customHeight="false" outlineLevel="0" collapsed="false">
      <c r="A266" s="242"/>
      <c r="B266" s="192" t="e">
        <f aca="false">NextMonth(B265)</f>
        <v>#VALUE!</v>
      </c>
      <c r="C266" s="193" t="n">
        <v>0.074079369756769</v>
      </c>
      <c r="D266" s="193" t="n">
        <v>1.45</v>
      </c>
      <c r="E266" s="193" t="n">
        <v>1.45</v>
      </c>
      <c r="F266" s="193" t="n">
        <v>0.1435</v>
      </c>
      <c r="G266" s="193" t="n">
        <v>0.151</v>
      </c>
      <c r="H266" s="193" t="n">
        <v>0.1585</v>
      </c>
      <c r="I266" s="218" t="n">
        <v>4.54</v>
      </c>
      <c r="J266" s="193" t="n">
        <v>4.545</v>
      </c>
      <c r="K266" s="193" t="n">
        <v>-0.145</v>
      </c>
      <c r="L266" s="193" t="n">
        <v>0</v>
      </c>
      <c r="M266" s="193" t="n">
        <v>1.495</v>
      </c>
      <c r="O266" s="189" t="e">
        <f aca="false">(IF(MONTH(B266)&gt;=4,IF(MONTH(B266)&lt;=10,Inputs!$H$2,Inputs!$H$3),Inputs!$H$3))</f>
        <v>#VALUE!</v>
      </c>
      <c r="P266" s="244" t="e">
        <f aca="false">J266+(IF($L$2=TRUE(),IF(MONTH(B266)&gt;=4,IF(MONTH(B266)&lt;=10,L266,M266),M266),0))+(IF('Pricing Inputs'!$AN$3=2,O266,0))</f>
        <v>#VALUE!</v>
      </c>
      <c r="Q266" s="244"/>
      <c r="R266" s="245" t="e">
        <f aca="false">B266</f>
        <v>#VALUE!</v>
      </c>
      <c r="S266" s="246" t="n">
        <f aca="false">T266-$S$16</f>
        <v>1.38</v>
      </c>
      <c r="T266" s="241" t="n">
        <f aca="false">D266</f>
        <v>1.45</v>
      </c>
      <c r="U266" s="247" t="n">
        <f aca="false">$U$16+T266</f>
        <v>1.52</v>
      </c>
      <c r="BP266" s="205" t="n">
        <f aca="false">BP265+BV266</f>
        <v>265</v>
      </c>
      <c r="BQ266" s="206" t="s">
        <v>424</v>
      </c>
      <c r="BR266" s="201" t="s">
        <v>203</v>
      </c>
      <c r="BS266" s="132" t="s">
        <v>204</v>
      </c>
      <c r="BT266" s="209" t="s">
        <v>205</v>
      </c>
      <c r="BU266" s="209"/>
      <c r="BV266" s="132" t="n">
        <v>1</v>
      </c>
      <c r="BW266" s="201" t="s">
        <v>1136</v>
      </c>
      <c r="BX266" s="0"/>
    </row>
    <row r="267" customFormat="false" ht="12.75" hidden="false" customHeight="false" outlineLevel="0" collapsed="false">
      <c r="A267" s="242"/>
      <c r="B267" s="192" t="e">
        <f aca="false">NextMonth(B266)</f>
        <v>#VALUE!</v>
      </c>
      <c r="C267" s="193" t="n">
        <v>0.074070134460868</v>
      </c>
      <c r="D267" s="193" t="n">
        <v>1.45</v>
      </c>
      <c r="E267" s="193" t="n">
        <v>1.45</v>
      </c>
      <c r="F267" s="193" t="n">
        <v>0.1435</v>
      </c>
      <c r="G267" s="193" t="n">
        <v>0.151</v>
      </c>
      <c r="H267" s="193" t="n">
        <v>0.1585</v>
      </c>
      <c r="I267" s="218" t="n">
        <v>4.422</v>
      </c>
      <c r="J267" s="193" t="n">
        <v>4.427</v>
      </c>
      <c r="K267" s="193" t="n">
        <v>-0.139</v>
      </c>
      <c r="L267" s="193" t="n">
        <v>0</v>
      </c>
      <c r="M267" s="193" t="n">
        <v>1.395</v>
      </c>
      <c r="O267" s="189" t="e">
        <f aca="false">(IF(MONTH(B267)&gt;=4,IF(MONTH(B267)&lt;=10,Inputs!$H$2,Inputs!$H$3),Inputs!$H$3))</f>
        <v>#VALUE!</v>
      </c>
      <c r="P267" s="244" t="e">
        <f aca="false">J267+(IF($L$2=TRUE(),IF(MONTH(B267)&gt;=4,IF(MONTH(B267)&lt;=10,L267,M267),M267),0))+(IF('Pricing Inputs'!$AN$3=2,O267,0))</f>
        <v>#VALUE!</v>
      </c>
      <c r="Q267" s="244"/>
      <c r="R267" s="245" t="e">
        <f aca="false">B267</f>
        <v>#VALUE!</v>
      </c>
      <c r="S267" s="246" t="n">
        <f aca="false">T267-$S$16</f>
        <v>1.38</v>
      </c>
      <c r="T267" s="241" t="n">
        <f aca="false">D267</f>
        <v>1.45</v>
      </c>
      <c r="U267" s="247" t="n">
        <f aca="false">$U$16+T267</f>
        <v>1.52</v>
      </c>
      <c r="BP267" s="205" t="n">
        <f aca="false">BP266+BV267</f>
        <v>266</v>
      </c>
      <c r="BQ267" s="206" t="s">
        <v>428</v>
      </c>
      <c r="BR267" s="201" t="s">
        <v>203</v>
      </c>
      <c r="BS267" s="132" t="s">
        <v>204</v>
      </c>
      <c r="BT267" s="209" t="s">
        <v>205</v>
      </c>
      <c r="BU267" s="209"/>
      <c r="BV267" s="132" t="n">
        <v>1</v>
      </c>
      <c r="BW267" s="201" t="s">
        <v>1137</v>
      </c>
      <c r="BX267" s="0"/>
    </row>
    <row r="268" customFormat="false" ht="12.75" hidden="false" customHeight="false" outlineLevel="0" collapsed="false">
      <c r="A268" s="242"/>
      <c r="B268" s="192" t="e">
        <f aca="false">NextMonth(B267)</f>
        <v>#VALUE!</v>
      </c>
      <c r="C268" s="193" t="n">
        <v>0.074061792903305</v>
      </c>
      <c r="D268" s="193" t="n">
        <v>1</v>
      </c>
      <c r="E268" s="193" t="n">
        <v>1</v>
      </c>
      <c r="F268" s="193" t="n">
        <v>0.1435</v>
      </c>
      <c r="G268" s="193" t="n">
        <v>0.151</v>
      </c>
      <c r="H268" s="193" t="n">
        <v>0.1585</v>
      </c>
      <c r="I268" s="218" t="n">
        <v>4.302</v>
      </c>
      <c r="J268" s="193" t="n">
        <v>4.307</v>
      </c>
      <c r="K268" s="193" t="n">
        <v>-0.13</v>
      </c>
      <c r="L268" s="193" t="n">
        <v>0</v>
      </c>
      <c r="M268" s="193" t="n">
        <v>0.865</v>
      </c>
      <c r="O268" s="189" t="e">
        <f aca="false">(IF(MONTH(B268)&gt;=4,IF(MONTH(B268)&lt;=10,Inputs!$H$2,Inputs!$H$3),Inputs!$H$3))</f>
        <v>#VALUE!</v>
      </c>
      <c r="P268" s="244" t="e">
        <f aca="false">J268+(IF($L$2=TRUE(),IF(MONTH(B268)&gt;=4,IF(MONTH(B268)&lt;=10,L268,M268),M268),0))+(IF('Pricing Inputs'!$AN$3=2,O268,0))</f>
        <v>#VALUE!</v>
      </c>
      <c r="Q268" s="244"/>
      <c r="R268" s="245" t="e">
        <f aca="false">B268</f>
        <v>#VALUE!</v>
      </c>
      <c r="S268" s="246" t="n">
        <f aca="false">T268-$S$16</f>
        <v>0.93</v>
      </c>
      <c r="T268" s="241" t="n">
        <f aca="false">D268</f>
        <v>1</v>
      </c>
      <c r="U268" s="247" t="n">
        <f aca="false">$U$16+T268</f>
        <v>1.07</v>
      </c>
      <c r="BP268" s="205" t="n">
        <f aca="false">BP267+BV268</f>
        <v>267</v>
      </c>
      <c r="BQ268" s="206" t="s">
        <v>432</v>
      </c>
      <c r="BR268" s="201" t="s">
        <v>203</v>
      </c>
      <c r="BS268" s="132" t="s">
        <v>204</v>
      </c>
      <c r="BT268" s="209" t="s">
        <v>205</v>
      </c>
      <c r="BU268" s="209"/>
      <c r="BV268" s="132" t="n">
        <v>1</v>
      </c>
      <c r="BW268" s="201" t="s">
        <v>1138</v>
      </c>
      <c r="BX268" s="0"/>
    </row>
    <row r="269" customFormat="false" ht="12.75" hidden="false" customHeight="false" outlineLevel="0" collapsed="false">
      <c r="A269" s="242"/>
      <c r="B269" s="192" t="e">
        <f aca="false">NextMonth(B268)</f>
        <v>#VALUE!</v>
      </c>
      <c r="C269" s="193" t="n">
        <v>0.074052557607457</v>
      </c>
      <c r="D269" s="193" t="n">
        <v>0.45</v>
      </c>
      <c r="E269" s="193" t="n">
        <v>0.45</v>
      </c>
      <c r="F269" s="193" t="n">
        <v>0.1435</v>
      </c>
      <c r="G269" s="193" t="n">
        <v>0.151</v>
      </c>
      <c r="H269" s="193" t="n">
        <v>0.1585</v>
      </c>
      <c r="I269" s="218" t="n">
        <v>4.2525</v>
      </c>
      <c r="J269" s="193" t="n">
        <v>4.2575</v>
      </c>
      <c r="K269" s="193" t="n">
        <v>-0.126</v>
      </c>
      <c r="L269" s="193" t="n">
        <v>0</v>
      </c>
      <c r="M269" s="193" t="n">
        <v>0.37</v>
      </c>
      <c r="O269" s="189" t="e">
        <f aca="false">(IF(MONTH(B269)&gt;=4,IF(MONTH(B269)&lt;=10,Inputs!$H$2,Inputs!$H$3),Inputs!$H$3))</f>
        <v>#VALUE!</v>
      </c>
      <c r="P269" s="244" t="e">
        <f aca="false">J269+(IF($L$2=TRUE(),IF(MONTH(B269)&gt;=4,IF(MONTH(B269)&lt;=10,L269,M269),M269),0))+(IF('Pricing Inputs'!$AN$3=2,O269,0))</f>
        <v>#VALUE!</v>
      </c>
      <c r="Q269" s="244"/>
      <c r="R269" s="245" t="e">
        <f aca="false">B269</f>
        <v>#VALUE!</v>
      </c>
      <c r="S269" s="246" t="n">
        <f aca="false">T269-$S$16</f>
        <v>0.38</v>
      </c>
      <c r="T269" s="241" t="n">
        <f aca="false">D269</f>
        <v>0.45</v>
      </c>
      <c r="U269" s="247" t="n">
        <f aca="false">$U$16+T269</f>
        <v>0.52</v>
      </c>
      <c r="BP269" s="205" t="n">
        <f aca="false">BP268+BV269</f>
        <v>268</v>
      </c>
      <c r="BQ269" s="206" t="s">
        <v>435</v>
      </c>
      <c r="BR269" s="201" t="s">
        <v>203</v>
      </c>
      <c r="BS269" s="132" t="s">
        <v>204</v>
      </c>
      <c r="BT269" s="209" t="s">
        <v>205</v>
      </c>
      <c r="BU269" s="209"/>
      <c r="BV269" s="132" t="n">
        <v>1</v>
      </c>
      <c r="BW269" s="201" t="s">
        <v>1139</v>
      </c>
      <c r="BX269" s="0"/>
    </row>
    <row r="270" customFormat="false" ht="12.75" hidden="false" customHeight="false" outlineLevel="0" collapsed="false">
      <c r="A270" s="242"/>
      <c r="B270" s="192" t="e">
        <f aca="false">NextMonth(B269)</f>
        <v>#VALUE!</v>
      </c>
      <c r="C270" s="193" t="n">
        <v>0.074043620224406</v>
      </c>
      <c r="D270" s="193" t="n">
        <v>0.5</v>
      </c>
      <c r="E270" s="193" t="n">
        <v>0.5</v>
      </c>
      <c r="F270" s="193" t="n">
        <v>0.1435</v>
      </c>
      <c r="G270" s="193" t="n">
        <v>0.151</v>
      </c>
      <c r="H270" s="193" t="n">
        <v>0.1585</v>
      </c>
      <c r="I270" s="218" t="n">
        <v>4.2265</v>
      </c>
      <c r="J270" s="193" t="n">
        <v>4.2315</v>
      </c>
      <c r="K270" s="193" t="n">
        <v>-0.112</v>
      </c>
      <c r="L270" s="193" t="n">
        <v>0</v>
      </c>
      <c r="M270" s="193" t="n">
        <v>0.2525</v>
      </c>
      <c r="O270" s="189" t="e">
        <f aca="false">(IF(MONTH(B270)&gt;=4,IF(MONTH(B270)&lt;=10,Inputs!$H$2,Inputs!$H$3),Inputs!$H$3))</f>
        <v>#VALUE!</v>
      </c>
      <c r="P270" s="244" t="e">
        <f aca="false">J270+(IF($L$2=TRUE(),IF(MONTH(B270)&gt;=4,IF(MONTH(B270)&lt;=10,L270,M270),M270),0))+(IF('Pricing Inputs'!$AN$3=2,O270,0))</f>
        <v>#VALUE!</v>
      </c>
      <c r="Q270" s="244"/>
      <c r="R270" s="245" t="e">
        <f aca="false">B270</f>
        <v>#VALUE!</v>
      </c>
      <c r="S270" s="246" t="n">
        <f aca="false">T270-$S$16</f>
        <v>0.43</v>
      </c>
      <c r="T270" s="241" t="n">
        <f aca="false">D270</f>
        <v>0.5</v>
      </c>
      <c r="U270" s="247" t="n">
        <f aca="false">$U$16+T270</f>
        <v>0.57</v>
      </c>
      <c r="BP270" s="205" t="n">
        <f aca="false">BP269+BV270</f>
        <v>269</v>
      </c>
      <c r="BQ270" s="206" t="s">
        <v>438</v>
      </c>
      <c r="BR270" s="201" t="s">
        <v>203</v>
      </c>
      <c r="BS270" s="132" t="s">
        <v>204</v>
      </c>
      <c r="BT270" s="209" t="s">
        <v>205</v>
      </c>
      <c r="BU270" s="209"/>
      <c r="BV270" s="132" t="n">
        <v>1</v>
      </c>
      <c r="BW270" s="201" t="s">
        <v>1140</v>
      </c>
      <c r="BX270" s="0"/>
    </row>
    <row r="271" customFormat="false" ht="12.75" hidden="false" customHeight="false" outlineLevel="0" collapsed="false">
      <c r="A271" s="242"/>
      <c r="B271" s="192" t="e">
        <f aca="false">NextMonth(B270)</f>
        <v>#VALUE!</v>
      </c>
      <c r="C271" s="193" t="n">
        <v>0.074034384928614</v>
      </c>
      <c r="D271" s="193" t="n">
        <v>0.5</v>
      </c>
      <c r="E271" s="193" t="n">
        <v>0.5</v>
      </c>
      <c r="F271" s="193" t="n">
        <v>0.1435</v>
      </c>
      <c r="G271" s="193" t="n">
        <v>0.151</v>
      </c>
      <c r="H271" s="193" t="n">
        <v>0.1585</v>
      </c>
      <c r="I271" s="218" t="n">
        <v>4.2325</v>
      </c>
      <c r="J271" s="193" t="n">
        <v>4.2375</v>
      </c>
      <c r="K271" s="193" t="n">
        <v>-0.101</v>
      </c>
      <c r="L271" s="193" t="n">
        <v>0</v>
      </c>
      <c r="M271" s="193" t="n">
        <v>0.2525</v>
      </c>
      <c r="O271" s="189" t="e">
        <f aca="false">(IF(MONTH(B271)&gt;=4,IF(MONTH(B271)&lt;=10,Inputs!$H$2,Inputs!$H$3),Inputs!$H$3))</f>
        <v>#VALUE!</v>
      </c>
      <c r="P271" s="244" t="e">
        <f aca="false">J271+(IF($L$2=TRUE(),IF(MONTH(B271)&gt;=4,IF(MONTH(B271)&lt;=10,L271,M271),M271),0))+(IF('Pricing Inputs'!$AN$3=2,O271,0))</f>
        <v>#VALUE!</v>
      </c>
      <c r="Q271" s="244"/>
      <c r="R271" s="245" t="e">
        <f aca="false">B271</f>
        <v>#VALUE!</v>
      </c>
      <c r="S271" s="246" t="n">
        <f aca="false">T271-$S$16</f>
        <v>0.43</v>
      </c>
      <c r="T271" s="241" t="n">
        <f aca="false">D271</f>
        <v>0.5</v>
      </c>
      <c r="U271" s="247" t="n">
        <f aca="false">$U$16+T271</f>
        <v>0.57</v>
      </c>
      <c r="BP271" s="205" t="n">
        <f aca="false">BP270+BV271</f>
        <v>270</v>
      </c>
      <c r="BQ271" s="206" t="s">
        <v>442</v>
      </c>
      <c r="BR271" s="201" t="s">
        <v>203</v>
      </c>
      <c r="BS271" s="132" t="s">
        <v>204</v>
      </c>
      <c r="BT271" s="209" t="s">
        <v>205</v>
      </c>
      <c r="BU271" s="209"/>
      <c r="BV271" s="132" t="n">
        <v>1</v>
      </c>
      <c r="BW271" s="201" t="s">
        <v>1141</v>
      </c>
      <c r="BX271" s="0"/>
    </row>
    <row r="272" customFormat="false" ht="12.75" hidden="false" customHeight="false" outlineLevel="0" collapsed="false">
      <c r="A272" s="242"/>
      <c r="B272" s="192" t="e">
        <f aca="false">NextMonth(B271)</f>
        <v>#VALUE!</v>
      </c>
      <c r="C272" s="193" t="n">
        <v>0.074025447545616</v>
      </c>
      <c r="D272" s="193" t="n">
        <v>0.5</v>
      </c>
      <c r="E272" s="193" t="n">
        <v>0.5</v>
      </c>
      <c r="F272" s="193" t="n">
        <v>0.1435</v>
      </c>
      <c r="G272" s="193" t="n">
        <v>0.151</v>
      </c>
      <c r="H272" s="193" t="n">
        <v>0.1585</v>
      </c>
      <c r="I272" s="218" t="n">
        <v>4.2425</v>
      </c>
      <c r="J272" s="193" t="n">
        <v>4.2475</v>
      </c>
      <c r="K272" s="193" t="n">
        <v>-0.137</v>
      </c>
      <c r="L272" s="193" t="n">
        <v>0</v>
      </c>
      <c r="M272" s="193" t="n">
        <v>0.2575</v>
      </c>
      <c r="O272" s="189" t="e">
        <f aca="false">(IF(MONTH(B272)&gt;=4,IF(MONTH(B272)&lt;=10,Inputs!$H$2,Inputs!$H$3),Inputs!$H$3))</f>
        <v>#VALUE!</v>
      </c>
      <c r="P272" s="244" t="e">
        <f aca="false">J272+(IF($L$2=TRUE(),IF(MONTH(B272)&gt;=4,IF(MONTH(B272)&lt;=10,L272,M272),M272),0))+(IF('Pricing Inputs'!$AN$3=2,O272,0))</f>
        <v>#VALUE!</v>
      </c>
      <c r="Q272" s="244"/>
      <c r="R272" s="245" t="e">
        <f aca="false">B272</f>
        <v>#VALUE!</v>
      </c>
      <c r="S272" s="246" t="n">
        <f aca="false">T272-$S$16</f>
        <v>0.43</v>
      </c>
      <c r="T272" s="241" t="n">
        <f aca="false">D272</f>
        <v>0.5</v>
      </c>
      <c r="U272" s="247" t="n">
        <f aca="false">$U$16+T272</f>
        <v>0.57</v>
      </c>
      <c r="BP272" s="205" t="n">
        <f aca="false">BP271+BV272</f>
        <v>271</v>
      </c>
      <c r="BQ272" s="206" t="s">
        <v>446</v>
      </c>
      <c r="BR272" s="201" t="s">
        <v>203</v>
      </c>
      <c r="BS272" s="132" t="s">
        <v>204</v>
      </c>
      <c r="BT272" s="209" t="s">
        <v>205</v>
      </c>
      <c r="BU272" s="209"/>
      <c r="BV272" s="132" t="n">
        <v>1</v>
      </c>
      <c r="BW272" s="201" t="s">
        <v>1142</v>
      </c>
      <c r="BX272" s="0"/>
    </row>
    <row r="273" customFormat="false" ht="12.75" hidden="false" customHeight="false" outlineLevel="0" collapsed="false">
      <c r="A273" s="242"/>
      <c r="B273" s="192" t="e">
        <f aca="false">NextMonth(B272)</f>
        <v>#VALUE!</v>
      </c>
      <c r="C273" s="193" t="n">
        <v>0.07401621224988</v>
      </c>
      <c r="D273" s="193" t="n">
        <v>0.6</v>
      </c>
      <c r="E273" s="193" t="n">
        <v>0.6</v>
      </c>
      <c r="F273" s="193" t="n">
        <v>0.1435</v>
      </c>
      <c r="G273" s="193" t="n">
        <v>0.151</v>
      </c>
      <c r="H273" s="193" t="n">
        <v>0.1585</v>
      </c>
      <c r="I273" s="218" t="n">
        <v>4.2495</v>
      </c>
      <c r="J273" s="193" t="n">
        <v>4.2545</v>
      </c>
      <c r="K273" s="193" t="n">
        <v>-0.141</v>
      </c>
      <c r="L273" s="193" t="n">
        <v>0</v>
      </c>
      <c r="M273" s="193" t="n">
        <v>0.2575</v>
      </c>
      <c r="O273" s="189" t="e">
        <f aca="false">(IF(MONTH(B273)&gt;=4,IF(MONTH(B273)&lt;=10,Inputs!$H$2,Inputs!$H$3),Inputs!$H$3))</f>
        <v>#VALUE!</v>
      </c>
      <c r="P273" s="244" t="e">
        <f aca="false">J273+(IF($L$2=TRUE(),IF(MONTH(B273)&gt;=4,IF(MONTH(B273)&lt;=10,L273,M273),M273),0))+(IF('Pricing Inputs'!$AN$3=2,O273,0))</f>
        <v>#VALUE!</v>
      </c>
      <c r="Q273" s="244"/>
      <c r="R273" s="245" t="e">
        <f aca="false">B273</f>
        <v>#VALUE!</v>
      </c>
      <c r="S273" s="246" t="n">
        <f aca="false">T273-$S$16</f>
        <v>0.53</v>
      </c>
      <c r="T273" s="241" t="n">
        <f aca="false">D273</f>
        <v>0.6</v>
      </c>
      <c r="U273" s="247" t="n">
        <f aca="false">$U$16+T273</f>
        <v>0.67</v>
      </c>
      <c r="BP273" s="205" t="n">
        <f aca="false">BP272+BV273</f>
        <v>272</v>
      </c>
      <c r="BQ273" s="206" t="s">
        <v>450</v>
      </c>
      <c r="BR273" s="201" t="s">
        <v>203</v>
      </c>
      <c r="BS273" s="132" t="s">
        <v>204</v>
      </c>
      <c r="BT273" s="209" t="s">
        <v>205</v>
      </c>
      <c r="BU273" s="209"/>
      <c r="BV273" s="132" t="n">
        <v>1</v>
      </c>
      <c r="BW273" s="201" t="s">
        <v>1143</v>
      </c>
      <c r="BX273" s="0"/>
    </row>
    <row r="274" customFormat="false" ht="12.75" hidden="false" customHeight="false" outlineLevel="0" collapsed="false">
      <c r="A274" s="242"/>
      <c r="B274" s="192" t="e">
        <f aca="false">NextMonth(B273)</f>
        <v>#VALUE!</v>
      </c>
      <c r="C274" s="193" t="n">
        <v>0.074006976954171</v>
      </c>
      <c r="D274" s="193" t="n">
        <v>0.6</v>
      </c>
      <c r="E274" s="193" t="n">
        <v>0.6</v>
      </c>
      <c r="F274" s="193" t="n">
        <v>0.1435</v>
      </c>
      <c r="G274" s="193" t="n">
        <v>0.151</v>
      </c>
      <c r="H274" s="193" t="n">
        <v>0.1585</v>
      </c>
      <c r="I274" s="218" t="n">
        <v>4.2565</v>
      </c>
      <c r="J274" s="193" t="n">
        <v>4.2615</v>
      </c>
      <c r="K274" s="193" t="n">
        <v>-0.15</v>
      </c>
      <c r="L274" s="193" t="n">
        <v>0</v>
      </c>
      <c r="M274" s="193" t="n">
        <v>0.2525</v>
      </c>
      <c r="O274" s="189" t="e">
        <f aca="false">(IF(MONTH(B274)&gt;=4,IF(MONTH(B274)&lt;=10,Inputs!$H$2,Inputs!$H$3),Inputs!$H$3))</f>
        <v>#VALUE!</v>
      </c>
      <c r="P274" s="244" t="e">
        <f aca="false">J274+(IF($L$2=TRUE(),IF(MONTH(B274)&gt;=4,IF(MONTH(B274)&lt;=10,L274,M274),M274),0))+(IF('Pricing Inputs'!$AN$3=2,O274,0))</f>
        <v>#VALUE!</v>
      </c>
      <c r="Q274" s="244"/>
      <c r="R274" s="245" t="e">
        <f aca="false">B274</f>
        <v>#VALUE!</v>
      </c>
      <c r="S274" s="246" t="n">
        <f aca="false">T274-$S$16</f>
        <v>0.53</v>
      </c>
      <c r="T274" s="241" t="n">
        <f aca="false">D274</f>
        <v>0.6</v>
      </c>
      <c r="U274" s="247" t="n">
        <f aca="false">$U$16+T274</f>
        <v>0.67</v>
      </c>
      <c r="BP274" s="205" t="n">
        <f aca="false">BP273+BV274</f>
        <v>273</v>
      </c>
      <c r="BQ274" s="206" t="s">
        <v>453</v>
      </c>
      <c r="BR274" s="201" t="s">
        <v>203</v>
      </c>
      <c r="BS274" s="132" t="s">
        <v>204</v>
      </c>
      <c r="BT274" s="209" t="s">
        <v>205</v>
      </c>
      <c r="BU274" s="209"/>
      <c r="BV274" s="132" t="n">
        <v>1</v>
      </c>
      <c r="BW274" s="201" t="s">
        <v>1144</v>
      </c>
      <c r="BX274" s="0"/>
    </row>
    <row r="275" customFormat="false" ht="12.75" hidden="false" customHeight="false" outlineLevel="0" collapsed="false">
      <c r="A275" s="242"/>
      <c r="B275" s="192" t="e">
        <f aca="false">NextMonth(B274)</f>
        <v>#VALUE!</v>
      </c>
      <c r="C275" s="193" t="n">
        <v>0.073998039571255</v>
      </c>
      <c r="D275" s="193" t="n">
        <v>0.65</v>
      </c>
      <c r="E275" s="193" t="n">
        <v>0.65</v>
      </c>
      <c r="F275" s="193" t="n">
        <v>0.1435</v>
      </c>
      <c r="G275" s="193" t="n">
        <v>0.151</v>
      </c>
      <c r="H275" s="193" t="n">
        <v>0.1585</v>
      </c>
      <c r="I275" s="218" t="n">
        <v>4.2825</v>
      </c>
      <c r="J275" s="193" t="n">
        <v>4.2875</v>
      </c>
      <c r="K275" s="193" t="n">
        <v>-0.155</v>
      </c>
      <c r="L275" s="193" t="n">
        <v>0</v>
      </c>
      <c r="M275" s="193" t="n">
        <v>0.255</v>
      </c>
      <c r="O275" s="189" t="e">
        <f aca="false">(IF(MONTH(B275)&gt;=4,IF(MONTH(B275)&lt;=10,Inputs!$H$2,Inputs!$H$3),Inputs!$H$3))</f>
        <v>#VALUE!</v>
      </c>
      <c r="P275" s="244" t="e">
        <f aca="false">J275+(IF($L$2=TRUE(),IF(MONTH(B275)&gt;=4,IF(MONTH(B275)&lt;=10,L275,M275),M275),0))+(IF('Pricing Inputs'!$AN$3=2,O275,0))</f>
        <v>#VALUE!</v>
      </c>
      <c r="Q275" s="244"/>
      <c r="R275" s="245" t="e">
        <f aca="false">B275</f>
        <v>#VALUE!</v>
      </c>
      <c r="S275" s="246" t="n">
        <f aca="false">T275-$S$16</f>
        <v>0.58</v>
      </c>
      <c r="T275" s="241" t="n">
        <f aca="false">D275</f>
        <v>0.65</v>
      </c>
      <c r="U275" s="247" t="n">
        <f aca="false">$U$16+T275</f>
        <v>0.72</v>
      </c>
      <c r="BP275" s="205" t="n">
        <f aca="false">BP274+BV275</f>
        <v>274</v>
      </c>
      <c r="BQ275" s="206" t="s">
        <v>457</v>
      </c>
      <c r="BR275" s="201" t="s">
        <v>203</v>
      </c>
      <c r="BS275" s="132" t="s">
        <v>204</v>
      </c>
      <c r="BT275" s="209" t="s">
        <v>205</v>
      </c>
      <c r="BU275" s="209"/>
      <c r="BV275" s="132" t="n">
        <v>1</v>
      </c>
      <c r="BW275" s="201" t="s">
        <v>1145</v>
      </c>
      <c r="BX275" s="0"/>
    </row>
    <row r="276" customFormat="false" ht="12.75" hidden="false" customHeight="false" outlineLevel="0" collapsed="false">
      <c r="A276" s="242"/>
      <c r="B276" s="192" t="e">
        <f aca="false">NextMonth(B275)</f>
        <v>#VALUE!</v>
      </c>
      <c r="C276" s="193" t="n">
        <v>0.073988804275602</v>
      </c>
      <c r="D276" s="193" t="n">
        <v>0.95</v>
      </c>
      <c r="E276" s="193" t="n">
        <v>0.95</v>
      </c>
      <c r="F276" s="193" t="n">
        <v>0.1435</v>
      </c>
      <c r="G276" s="193" t="n">
        <v>0.151</v>
      </c>
      <c r="H276" s="193" t="n">
        <v>0.1585</v>
      </c>
      <c r="I276" s="218" t="n">
        <v>4.4175</v>
      </c>
      <c r="J276" s="193" t="n">
        <v>4.4225</v>
      </c>
      <c r="K276" s="193" t="n">
        <v>-0.163</v>
      </c>
      <c r="L276" s="193" t="n">
        <v>0</v>
      </c>
      <c r="M276" s="193" t="n">
        <v>0.715</v>
      </c>
      <c r="O276" s="189" t="e">
        <f aca="false">(IF(MONTH(B276)&gt;=4,IF(MONTH(B276)&lt;=10,Inputs!$H$2,Inputs!$H$3),Inputs!$H$3))</f>
        <v>#VALUE!</v>
      </c>
      <c r="P276" s="244" t="e">
        <f aca="false">J276+(IF($L$2=TRUE(),IF(MONTH(B276)&gt;=4,IF(MONTH(B276)&lt;=10,L276,M276),M276),0))+(IF('Pricing Inputs'!$AN$3=2,O276,0))</f>
        <v>#VALUE!</v>
      </c>
      <c r="Q276" s="244"/>
      <c r="R276" s="245" t="e">
        <f aca="false">B276</f>
        <v>#VALUE!</v>
      </c>
      <c r="S276" s="246" t="n">
        <f aca="false">T276-$S$16</f>
        <v>0.88</v>
      </c>
      <c r="T276" s="241" t="n">
        <f aca="false">D276</f>
        <v>0.95</v>
      </c>
      <c r="U276" s="247" t="n">
        <f aca="false">$U$16+T276</f>
        <v>1.02</v>
      </c>
      <c r="BP276" s="205" t="n">
        <f aca="false">BP275+BV276</f>
        <v>275</v>
      </c>
      <c r="BQ276" s="206" t="s">
        <v>461</v>
      </c>
      <c r="BR276" s="201" t="s">
        <v>203</v>
      </c>
      <c r="BS276" s="132" t="s">
        <v>204</v>
      </c>
      <c r="BT276" s="209" t="s">
        <v>205</v>
      </c>
      <c r="BU276" s="209"/>
      <c r="BV276" s="132" t="n">
        <v>1</v>
      </c>
      <c r="BW276" s="201" t="s">
        <v>1146</v>
      </c>
      <c r="BX276" s="0"/>
    </row>
    <row r="277" customFormat="false" ht="12.75" hidden="false" customHeight="false" outlineLevel="0" collapsed="false">
      <c r="A277" s="242"/>
      <c r="B277" s="192" t="e">
        <f aca="false">NextMonth(B276)</f>
        <v>#VALUE!</v>
      </c>
      <c r="C277" s="193" t="n">
        <v>0.073979866892738</v>
      </c>
      <c r="D277" s="193" t="n">
        <v>1.25</v>
      </c>
      <c r="E277" s="193" t="n">
        <v>1.25</v>
      </c>
      <c r="F277" s="193" t="n">
        <v>0.1435</v>
      </c>
      <c r="G277" s="193" t="n">
        <v>0.151</v>
      </c>
      <c r="H277" s="193" t="n">
        <v>0.1585</v>
      </c>
      <c r="I277" s="218" t="n">
        <v>4.5415</v>
      </c>
      <c r="J277" s="193" t="n">
        <v>4.5465</v>
      </c>
      <c r="K277" s="193" t="n">
        <v>-0.158</v>
      </c>
      <c r="L277" s="193" t="n">
        <v>0</v>
      </c>
      <c r="M277" s="193" t="n">
        <v>1.03</v>
      </c>
      <c r="O277" s="189" t="e">
        <f aca="false">(IF(MONTH(B277)&gt;=4,IF(MONTH(B277)&lt;=10,Inputs!$H$2,Inputs!$H$3),Inputs!$H$3))</f>
        <v>#VALUE!</v>
      </c>
      <c r="P277" s="244" t="e">
        <f aca="false">J277+(IF($L$2=TRUE(),IF(MONTH(B277)&gt;=4,IF(MONTH(B277)&lt;=10,L277,M277),M277),0))+(IF('Pricing Inputs'!$AN$3=2,O277,0))</f>
        <v>#VALUE!</v>
      </c>
      <c r="Q277" s="244"/>
      <c r="R277" s="245" t="e">
        <f aca="false">B277</f>
        <v>#VALUE!</v>
      </c>
      <c r="S277" s="246" t="n">
        <f aca="false">T277-$S$16</f>
        <v>1.18</v>
      </c>
      <c r="T277" s="241" t="n">
        <f aca="false">D277</f>
        <v>1.25</v>
      </c>
      <c r="U277" s="247" t="n">
        <f aca="false">$U$16+T277</f>
        <v>1.32</v>
      </c>
      <c r="BP277" s="205" t="n">
        <f aca="false">BP276+BV277</f>
        <v>276</v>
      </c>
      <c r="BQ277" s="206" t="s">
        <v>465</v>
      </c>
      <c r="BR277" s="201" t="s">
        <v>203</v>
      </c>
      <c r="BS277" s="132" t="s">
        <v>204</v>
      </c>
      <c r="BT277" s="209" t="s">
        <v>205</v>
      </c>
      <c r="BU277" s="209"/>
      <c r="BV277" s="132" t="n">
        <v>1</v>
      </c>
      <c r="BW277" s="201" t="s">
        <v>1147</v>
      </c>
      <c r="BX277" s="0"/>
    </row>
    <row r="278" customFormat="false" ht="12.75" hidden="false" customHeight="false" outlineLevel="0" collapsed="false">
      <c r="A278" s="242"/>
      <c r="B278" s="192" t="e">
        <f aca="false">NextMonth(B277)</f>
        <v>#VALUE!</v>
      </c>
      <c r="C278" s="193" t="n">
        <v>0.073970631597141</v>
      </c>
      <c r="D278" s="193" t="n">
        <v>1.45</v>
      </c>
      <c r="E278" s="193" t="n">
        <v>1.45</v>
      </c>
      <c r="F278" s="193" t="n">
        <v>0.1435</v>
      </c>
      <c r="G278" s="193" t="n">
        <v>0.151</v>
      </c>
      <c r="H278" s="193" t="n">
        <v>0.1585</v>
      </c>
      <c r="I278" s="218" t="n">
        <v>4.675</v>
      </c>
      <c r="J278" s="193" t="n">
        <v>4.68</v>
      </c>
      <c r="K278" s="193" t="n">
        <v>-0.165</v>
      </c>
      <c r="L278" s="193" t="n">
        <v>0</v>
      </c>
      <c r="M278" s="193" t="n">
        <v>1.495</v>
      </c>
      <c r="O278" s="189" t="e">
        <f aca="false">(IF(MONTH(B278)&gt;=4,IF(MONTH(B278)&lt;=10,Inputs!$H$2,Inputs!$H$3),Inputs!$H$3))</f>
        <v>#VALUE!</v>
      </c>
      <c r="P278" s="244" t="e">
        <f aca="false">J278+(IF($L$2=TRUE(),IF(MONTH(B278)&gt;=4,IF(MONTH(B278)&lt;=10,L278,M278),M278),0))+(IF('Pricing Inputs'!$AN$3=2,O278,0))</f>
        <v>#VALUE!</v>
      </c>
      <c r="Q278" s="244"/>
      <c r="R278" s="245" t="e">
        <f aca="false">B278</f>
        <v>#VALUE!</v>
      </c>
      <c r="S278" s="246" t="n">
        <f aca="false">T278-$S$16</f>
        <v>1.38</v>
      </c>
      <c r="T278" s="241" t="n">
        <f aca="false">D278</f>
        <v>1.45</v>
      </c>
      <c r="U278" s="247" t="n">
        <f aca="false">$U$16+T278</f>
        <v>1.52</v>
      </c>
      <c r="BP278" s="205" t="n">
        <f aca="false">BP277+BV278</f>
        <v>277</v>
      </c>
      <c r="BQ278" s="206" t="s">
        <v>469</v>
      </c>
      <c r="BR278" s="201" t="s">
        <v>203</v>
      </c>
      <c r="BS278" s="132" t="s">
        <v>204</v>
      </c>
      <c r="BT278" s="209" t="s">
        <v>205</v>
      </c>
      <c r="BU278" s="209"/>
      <c r="BV278" s="132" t="n">
        <v>1</v>
      </c>
      <c r="BW278" s="201" t="s">
        <v>1148</v>
      </c>
      <c r="BX278" s="0"/>
    </row>
    <row r="279" customFormat="false" ht="12.75" hidden="false" customHeight="false" outlineLevel="0" collapsed="false">
      <c r="A279" s="242"/>
      <c r="B279" s="192" t="e">
        <f aca="false">NextMonth(B278)</f>
        <v>#VALUE!</v>
      </c>
      <c r="C279" s="193" t="n">
        <v>0.073961396301572</v>
      </c>
      <c r="D279" s="193" t="n">
        <v>1.45</v>
      </c>
      <c r="E279" s="193" t="n">
        <v>1.45</v>
      </c>
      <c r="F279" s="193" t="n">
        <v>0.1435</v>
      </c>
      <c r="G279" s="193" t="n">
        <v>0.151</v>
      </c>
      <c r="H279" s="193" t="n">
        <v>0.1585</v>
      </c>
      <c r="I279" s="218" t="n">
        <v>4.557</v>
      </c>
      <c r="J279" s="193" t="n">
        <v>4.562</v>
      </c>
      <c r="K279" s="193" t="n">
        <v>-0.159</v>
      </c>
      <c r="L279" s="193" t="n">
        <v>0</v>
      </c>
      <c r="M279" s="193" t="n">
        <v>1.395</v>
      </c>
      <c r="O279" s="189" t="e">
        <f aca="false">(IF(MONTH(B279)&gt;=4,IF(MONTH(B279)&lt;=10,Inputs!$H$2,Inputs!$H$3),Inputs!$H$3))</f>
        <v>#VALUE!</v>
      </c>
      <c r="P279" s="244" t="e">
        <f aca="false">J279+(IF($L$2=TRUE(),IF(MONTH(B279)&gt;=4,IF(MONTH(B279)&lt;=10,L279,M279),M279),0))+(IF('Pricing Inputs'!$AN$3=2,O279,0))</f>
        <v>#VALUE!</v>
      </c>
      <c r="Q279" s="244"/>
      <c r="R279" s="245" t="e">
        <f aca="false">B279</f>
        <v>#VALUE!</v>
      </c>
      <c r="S279" s="246" t="n">
        <f aca="false">T279-$S$16</f>
        <v>1.38</v>
      </c>
      <c r="T279" s="241" t="n">
        <f aca="false">D279</f>
        <v>1.45</v>
      </c>
      <c r="U279" s="247" t="n">
        <f aca="false">$U$16+T279</f>
        <v>1.52</v>
      </c>
      <c r="BP279" s="205" t="n">
        <f aca="false">BP278+BV279</f>
        <v>278</v>
      </c>
      <c r="BQ279" s="206" t="s">
        <v>473</v>
      </c>
      <c r="BR279" s="201" t="s">
        <v>203</v>
      </c>
      <c r="BS279" s="132" t="s">
        <v>204</v>
      </c>
      <c r="BT279" s="209" t="s">
        <v>205</v>
      </c>
      <c r="BU279" s="209"/>
      <c r="BV279" s="132" t="n">
        <v>1</v>
      </c>
      <c r="BW279" s="201" t="s">
        <v>1149</v>
      </c>
      <c r="BX279" s="0"/>
    </row>
    <row r="280" customFormat="false" ht="12.75" hidden="false" customHeight="false" outlineLevel="0" collapsed="false">
      <c r="A280" s="242"/>
      <c r="B280" s="192" t="e">
        <f aca="false">NextMonth(B279)</f>
        <v>#VALUE!</v>
      </c>
      <c r="C280" s="193" t="n">
        <v>0.073953054744308</v>
      </c>
      <c r="D280" s="193" t="n">
        <v>1</v>
      </c>
      <c r="E280" s="193" t="n">
        <v>1</v>
      </c>
      <c r="F280" s="193" t="n">
        <v>0.1435</v>
      </c>
      <c r="G280" s="193" t="n">
        <v>0.151</v>
      </c>
      <c r="H280" s="193" t="n">
        <v>0.1585</v>
      </c>
      <c r="I280" s="218" t="n">
        <v>4.437</v>
      </c>
      <c r="J280" s="193" t="n">
        <v>4.442</v>
      </c>
      <c r="K280" s="193" t="n">
        <v>-0.15</v>
      </c>
      <c r="L280" s="193" t="n">
        <v>0</v>
      </c>
      <c r="M280" s="193" t="n">
        <v>0.865</v>
      </c>
      <c r="O280" s="189" t="e">
        <f aca="false">(IF(MONTH(B280)&gt;=4,IF(MONTH(B280)&lt;=10,Inputs!$H$2,Inputs!$H$3),Inputs!$H$3))</f>
        <v>#VALUE!</v>
      </c>
      <c r="P280" s="244" t="e">
        <f aca="false">J280+(IF($L$2=TRUE(),IF(MONTH(B280)&gt;=4,IF(MONTH(B280)&lt;=10,L280,M280),M280),0))+(IF('Pricing Inputs'!$AN$3=2,O280,0))</f>
        <v>#VALUE!</v>
      </c>
      <c r="Q280" s="244"/>
      <c r="R280" s="245" t="e">
        <f aca="false">B280</f>
        <v>#VALUE!</v>
      </c>
      <c r="S280" s="246" t="n">
        <f aca="false">T280-$S$16</f>
        <v>0.93</v>
      </c>
      <c r="T280" s="241" t="n">
        <f aca="false">D280</f>
        <v>1</v>
      </c>
      <c r="U280" s="247" t="n">
        <f aca="false">$U$16+T280</f>
        <v>1.07</v>
      </c>
      <c r="BP280" s="205" t="n">
        <f aca="false">BP279+BV280</f>
        <v>279</v>
      </c>
      <c r="BQ280" s="206" t="s">
        <v>477</v>
      </c>
      <c r="BR280" s="201" t="s">
        <v>203</v>
      </c>
      <c r="BS280" s="132" t="s">
        <v>204</v>
      </c>
      <c r="BT280" s="209" t="s">
        <v>205</v>
      </c>
      <c r="BU280" s="209"/>
      <c r="BV280" s="132" t="n">
        <v>1</v>
      </c>
      <c r="BW280" s="201" t="s">
        <v>1150</v>
      </c>
      <c r="BX280" s="0"/>
    </row>
    <row r="281" customFormat="false" ht="12.75" hidden="false" customHeight="false" outlineLevel="0" collapsed="false">
      <c r="A281" s="242"/>
      <c r="B281" s="192" t="e">
        <f aca="false">NextMonth(B280)</f>
        <v>#VALUE!</v>
      </c>
      <c r="C281" s="193" t="n">
        <v>0.073943819448791</v>
      </c>
      <c r="D281" s="193" t="n">
        <v>0.45</v>
      </c>
      <c r="E281" s="193" t="n">
        <v>0.45</v>
      </c>
      <c r="F281" s="193" t="n">
        <v>0.1435</v>
      </c>
      <c r="G281" s="193" t="n">
        <v>0.151</v>
      </c>
      <c r="H281" s="193" t="n">
        <v>0.1585</v>
      </c>
      <c r="I281" s="218" t="n">
        <v>4.3875</v>
      </c>
      <c r="J281" s="193" t="n">
        <v>4.3925</v>
      </c>
      <c r="K281" s="193" t="n">
        <v>-0.146</v>
      </c>
      <c r="L281" s="193" t="n">
        <v>0</v>
      </c>
      <c r="M281" s="193" t="n">
        <v>0.37</v>
      </c>
      <c r="O281" s="189" t="e">
        <f aca="false">(IF(MONTH(B281)&gt;=4,IF(MONTH(B281)&lt;=10,Inputs!$H$2,Inputs!$H$3),Inputs!$H$3))</f>
        <v>#VALUE!</v>
      </c>
      <c r="P281" s="244" t="e">
        <f aca="false">J281+(IF($L$2=TRUE(),IF(MONTH(B281)&gt;=4,IF(MONTH(B281)&lt;=10,L281,M281),M281),0))+(IF('Pricing Inputs'!$AN$3=2,O281,0))</f>
        <v>#VALUE!</v>
      </c>
      <c r="Q281" s="244"/>
      <c r="R281" s="245" t="e">
        <f aca="false">B281</f>
        <v>#VALUE!</v>
      </c>
      <c r="S281" s="246" t="n">
        <f aca="false">T281-$S$16</f>
        <v>0.38</v>
      </c>
      <c r="T281" s="241" t="n">
        <f aca="false">D281</f>
        <v>0.45</v>
      </c>
      <c r="U281" s="247" t="n">
        <f aca="false">$U$16+T281</f>
        <v>0.52</v>
      </c>
      <c r="BP281" s="205" t="n">
        <f aca="false">BP280+BV281</f>
        <v>280</v>
      </c>
      <c r="BQ281" s="206" t="s">
        <v>480</v>
      </c>
      <c r="BR281" s="201" t="s">
        <v>203</v>
      </c>
      <c r="BS281" s="132" t="s">
        <v>204</v>
      </c>
      <c r="BT281" s="209" t="s">
        <v>205</v>
      </c>
      <c r="BU281" s="209"/>
      <c r="BV281" s="132" t="n">
        <v>1</v>
      </c>
      <c r="BW281" s="201" t="s">
        <v>1151</v>
      </c>
      <c r="BX281" s="0"/>
    </row>
    <row r="282" customFormat="false" ht="12.75" hidden="false" customHeight="false" outlineLevel="0" collapsed="false">
      <c r="A282" s="242"/>
      <c r="B282" s="192" t="e">
        <f aca="false">NextMonth(B281)</f>
        <v>#VALUE!</v>
      </c>
      <c r="C282" s="193" t="n">
        <v>0.073934882066061</v>
      </c>
      <c r="D282" s="193" t="n">
        <v>0.5</v>
      </c>
      <c r="E282" s="193" t="n">
        <v>0.5</v>
      </c>
      <c r="F282" s="193" t="n">
        <v>0.1435</v>
      </c>
      <c r="G282" s="193" t="n">
        <v>0.151</v>
      </c>
      <c r="H282" s="193" t="n">
        <v>0.1585</v>
      </c>
      <c r="I282" s="218" t="n">
        <v>4.3615</v>
      </c>
      <c r="J282" s="193" t="n">
        <v>4.3665</v>
      </c>
      <c r="K282" s="193" t="n">
        <v>-0.132</v>
      </c>
      <c r="L282" s="193" t="n">
        <v>0</v>
      </c>
      <c r="M282" s="193" t="n">
        <v>0.2525</v>
      </c>
      <c r="O282" s="189" t="e">
        <f aca="false">(IF(MONTH(B282)&gt;=4,IF(MONTH(B282)&lt;=10,Inputs!$H$2,Inputs!$H$3),Inputs!$H$3))</f>
        <v>#VALUE!</v>
      </c>
      <c r="P282" s="244" t="e">
        <f aca="false">J282+(IF($L$2=TRUE(),IF(MONTH(B282)&gt;=4,IF(MONTH(B282)&lt;=10,L282,M282),M282),0))+(IF('Pricing Inputs'!$AN$3=2,O282,0))</f>
        <v>#VALUE!</v>
      </c>
      <c r="Q282" s="244"/>
      <c r="R282" s="245" t="e">
        <f aca="false">B282</f>
        <v>#VALUE!</v>
      </c>
      <c r="S282" s="246" t="n">
        <f aca="false">T282-$S$16</f>
        <v>0.43</v>
      </c>
      <c r="T282" s="241" t="n">
        <f aca="false">D282</f>
        <v>0.5</v>
      </c>
      <c r="U282" s="247" t="n">
        <f aca="false">$U$16+T282</f>
        <v>0.57</v>
      </c>
      <c r="BP282" s="205" t="n">
        <f aca="false">BP281+BV282</f>
        <v>281</v>
      </c>
      <c r="BQ282" s="206" t="s">
        <v>484</v>
      </c>
      <c r="BR282" s="201" t="s">
        <v>203</v>
      </c>
      <c r="BS282" s="132" t="s">
        <v>204</v>
      </c>
      <c r="BT282" s="209" t="s">
        <v>205</v>
      </c>
      <c r="BU282" s="209"/>
      <c r="BV282" s="132" t="n">
        <v>1</v>
      </c>
      <c r="BW282" s="201" t="s">
        <v>1152</v>
      </c>
      <c r="BX282" s="0"/>
    </row>
    <row r="283" customFormat="false" ht="12.75" hidden="false" customHeight="false" outlineLevel="0" collapsed="false">
      <c r="A283" s="242"/>
      <c r="B283" s="192" t="e">
        <f aca="false">NextMonth(B282)</f>
        <v>#VALUE!</v>
      </c>
      <c r="C283" s="193" t="n">
        <v>0.073925646770601</v>
      </c>
      <c r="D283" s="193" t="n">
        <v>0.5</v>
      </c>
      <c r="E283" s="193" t="n">
        <v>0.5</v>
      </c>
      <c r="F283" s="193" t="n">
        <v>0.1435</v>
      </c>
      <c r="G283" s="193" t="n">
        <v>0.151</v>
      </c>
      <c r="H283" s="193" t="n">
        <v>0.1585</v>
      </c>
      <c r="I283" s="218" t="n">
        <v>4.3675</v>
      </c>
      <c r="J283" s="193" t="n">
        <v>4.3725</v>
      </c>
      <c r="K283" s="193" t="n">
        <v>-0.121</v>
      </c>
      <c r="L283" s="193" t="n">
        <v>0</v>
      </c>
      <c r="M283" s="193" t="n">
        <v>0.2525</v>
      </c>
      <c r="O283" s="189" t="e">
        <f aca="false">(IF(MONTH(B283)&gt;=4,IF(MONTH(B283)&lt;=10,Inputs!$H$2,Inputs!$H$3),Inputs!$H$3))</f>
        <v>#VALUE!</v>
      </c>
      <c r="P283" s="244" t="e">
        <f aca="false">J283+(IF($L$2=TRUE(),IF(MONTH(B283)&gt;=4,IF(MONTH(B283)&lt;=10,L283,M283),M283),0))+(IF('Pricing Inputs'!$AN$3=2,O283,0))</f>
        <v>#VALUE!</v>
      </c>
      <c r="Q283" s="244"/>
      <c r="R283" s="245" t="e">
        <f aca="false">B283</f>
        <v>#VALUE!</v>
      </c>
      <c r="S283" s="246" t="n">
        <f aca="false">T283-$S$16</f>
        <v>0.43</v>
      </c>
      <c r="T283" s="241" t="n">
        <f aca="false">D283</f>
        <v>0.5</v>
      </c>
      <c r="U283" s="247" t="n">
        <f aca="false">$U$16+T283</f>
        <v>0.57</v>
      </c>
      <c r="BP283" s="205" t="n">
        <f aca="false">BP282+BV283</f>
        <v>282</v>
      </c>
      <c r="BQ283" s="206" t="s">
        <v>488</v>
      </c>
      <c r="BR283" s="201" t="s">
        <v>203</v>
      </c>
      <c r="BS283" s="132" t="s">
        <v>204</v>
      </c>
      <c r="BT283" s="209" t="s">
        <v>205</v>
      </c>
      <c r="BU283" s="209"/>
      <c r="BV283" s="132" t="n">
        <v>1</v>
      </c>
      <c r="BW283" s="201" t="s">
        <v>1153</v>
      </c>
      <c r="BX283" s="0"/>
    </row>
    <row r="284" customFormat="false" ht="12.75" hidden="false" customHeight="false" outlineLevel="0" collapsed="false">
      <c r="A284" s="242"/>
      <c r="B284" s="192" t="e">
        <f aca="false">NextMonth(B283)</f>
        <v>#VALUE!</v>
      </c>
      <c r="C284" s="193" t="n">
        <v>0.073916709387924</v>
      </c>
      <c r="D284" s="193" t="n">
        <v>0.5</v>
      </c>
      <c r="E284" s="193" t="n">
        <v>0.5</v>
      </c>
      <c r="F284" s="193" t="n">
        <v>0.1435</v>
      </c>
      <c r="G284" s="193" t="n">
        <v>0.151</v>
      </c>
      <c r="H284" s="193" t="n">
        <v>0.1585</v>
      </c>
      <c r="I284" s="218" t="n">
        <v>4.3775</v>
      </c>
      <c r="J284" s="193" t="n">
        <v>4.3825</v>
      </c>
      <c r="K284" s="193" t="n">
        <v>-0.157</v>
      </c>
      <c r="L284" s="193" t="n">
        <v>0</v>
      </c>
      <c r="M284" s="193" t="n">
        <v>0.2575</v>
      </c>
      <c r="O284" s="189" t="e">
        <f aca="false">(IF(MONTH(B284)&gt;=4,IF(MONTH(B284)&lt;=10,Inputs!$H$2,Inputs!$H$3),Inputs!$H$3))</f>
        <v>#VALUE!</v>
      </c>
      <c r="P284" s="244" t="e">
        <f aca="false">J284+(IF($L$2=TRUE(),IF(MONTH(B284)&gt;=4,IF(MONTH(B284)&lt;=10,L284,M284),M284),0))+(IF('Pricing Inputs'!$AN$3=2,O284,0))</f>
        <v>#VALUE!</v>
      </c>
      <c r="Q284" s="244"/>
      <c r="R284" s="245" t="e">
        <f aca="false">B284</f>
        <v>#VALUE!</v>
      </c>
      <c r="S284" s="246" t="n">
        <f aca="false">T284-$S$16</f>
        <v>0.43</v>
      </c>
      <c r="T284" s="241" t="n">
        <f aca="false">D284</f>
        <v>0.5</v>
      </c>
      <c r="U284" s="247" t="n">
        <f aca="false">$U$16+T284</f>
        <v>0.57</v>
      </c>
      <c r="BP284" s="205" t="n">
        <f aca="false">BP283+BV284</f>
        <v>283</v>
      </c>
      <c r="BQ284" s="206" t="s">
        <v>492</v>
      </c>
      <c r="BR284" s="201" t="s">
        <v>203</v>
      </c>
      <c r="BS284" s="132" t="s">
        <v>204</v>
      </c>
      <c r="BT284" s="209" t="s">
        <v>205</v>
      </c>
      <c r="BU284" s="209"/>
      <c r="BV284" s="132" t="n">
        <v>1</v>
      </c>
      <c r="BW284" s="201" t="s">
        <v>1154</v>
      </c>
      <c r="BX284" s="0"/>
    </row>
    <row r="285" customFormat="false" ht="12.75" hidden="false" customHeight="false" outlineLevel="0" collapsed="false">
      <c r="A285" s="242"/>
      <c r="B285" s="192" t="e">
        <f aca="false">NextMonth(B284)</f>
        <v>#VALUE!</v>
      </c>
      <c r="C285" s="193" t="n">
        <v>0.073907474092519</v>
      </c>
      <c r="D285" s="193" t="n">
        <v>0.6</v>
      </c>
      <c r="E285" s="193" t="n">
        <v>0.6</v>
      </c>
      <c r="F285" s="193" t="n">
        <v>0.1435</v>
      </c>
      <c r="G285" s="193" t="n">
        <v>0.151</v>
      </c>
      <c r="H285" s="193" t="n">
        <v>0.1585</v>
      </c>
      <c r="I285" s="218" t="n">
        <v>4.3845</v>
      </c>
      <c r="J285" s="193" t="n">
        <v>4.3895</v>
      </c>
      <c r="K285" s="193" t="n">
        <v>-0.161</v>
      </c>
      <c r="L285" s="193" t="n">
        <v>0</v>
      </c>
      <c r="M285" s="193" t="n">
        <v>0.2575</v>
      </c>
      <c r="O285" s="189" t="e">
        <f aca="false">(IF(MONTH(B285)&gt;=4,IF(MONTH(B285)&lt;=10,Inputs!$H$2,Inputs!$H$3),Inputs!$H$3))</f>
        <v>#VALUE!</v>
      </c>
      <c r="P285" s="244" t="e">
        <f aca="false">J285+(IF($L$2=TRUE(),IF(MONTH(B285)&gt;=4,IF(MONTH(B285)&lt;=10,L285,M285),M285),0))+(IF('Pricing Inputs'!$AN$3=2,O285,0))</f>
        <v>#VALUE!</v>
      </c>
      <c r="Q285" s="244"/>
      <c r="R285" s="245" t="e">
        <f aca="false">B285</f>
        <v>#VALUE!</v>
      </c>
      <c r="S285" s="246" t="n">
        <f aca="false">T285-$S$16</f>
        <v>0.53</v>
      </c>
      <c r="T285" s="241" t="n">
        <f aca="false">D285</f>
        <v>0.6</v>
      </c>
      <c r="U285" s="247" t="n">
        <f aca="false">$U$16+T285</f>
        <v>0.67</v>
      </c>
      <c r="BP285" s="205" t="n">
        <f aca="false">BP284+BV285</f>
        <v>284</v>
      </c>
      <c r="BQ285" s="206" t="s">
        <v>496</v>
      </c>
      <c r="BR285" s="201" t="s">
        <v>203</v>
      </c>
      <c r="BS285" s="132" t="s">
        <v>204</v>
      </c>
      <c r="BT285" s="209" t="s">
        <v>205</v>
      </c>
      <c r="BU285" s="209"/>
      <c r="BV285" s="132" t="n">
        <v>1</v>
      </c>
      <c r="BW285" s="201" t="s">
        <v>1155</v>
      </c>
      <c r="BX285" s="0"/>
    </row>
    <row r="286" customFormat="false" ht="12.75" hidden="false" customHeight="false" outlineLevel="0" collapsed="false">
      <c r="A286" s="242"/>
      <c r="B286" s="192" t="e">
        <f aca="false">NextMonth(B285)</f>
        <v>#VALUE!</v>
      </c>
      <c r="C286" s="193" t="n">
        <v>0.073898238797142</v>
      </c>
      <c r="D286" s="193" t="n">
        <v>0.6</v>
      </c>
      <c r="E286" s="193" t="n">
        <v>0.6</v>
      </c>
      <c r="F286" s="193" t="n">
        <v>0.1435</v>
      </c>
      <c r="G286" s="193" t="n">
        <v>0.151</v>
      </c>
      <c r="H286" s="193" t="n">
        <v>0.1585</v>
      </c>
      <c r="I286" s="218" t="n">
        <v>4.3915</v>
      </c>
      <c r="J286" s="193" t="n">
        <v>4.3965</v>
      </c>
      <c r="K286" s="193" t="n">
        <v>-0.17</v>
      </c>
      <c r="L286" s="193" t="n">
        <v>0</v>
      </c>
      <c r="M286" s="193" t="n">
        <v>0.2525</v>
      </c>
      <c r="O286" s="189" t="e">
        <f aca="false">(IF(MONTH(B286)&gt;=4,IF(MONTH(B286)&lt;=10,Inputs!$H$2,Inputs!$H$3),Inputs!$H$3))</f>
        <v>#VALUE!</v>
      </c>
      <c r="P286" s="244" t="e">
        <f aca="false">J286+(IF($L$2=TRUE(),IF(MONTH(B286)&gt;=4,IF(MONTH(B286)&lt;=10,L286,M286),M286),0))+(IF('Pricing Inputs'!$AN$3=2,O286,0))</f>
        <v>#VALUE!</v>
      </c>
      <c r="Q286" s="244"/>
      <c r="R286" s="245" t="e">
        <f aca="false">B286</f>
        <v>#VALUE!</v>
      </c>
      <c r="S286" s="246" t="n">
        <f aca="false">T286-$S$16</f>
        <v>0.53</v>
      </c>
      <c r="T286" s="241" t="n">
        <f aca="false">D286</f>
        <v>0.6</v>
      </c>
      <c r="U286" s="247" t="n">
        <f aca="false">$U$16+T286</f>
        <v>0.67</v>
      </c>
      <c r="BP286" s="205" t="n">
        <f aca="false">BP285+BV286</f>
        <v>285</v>
      </c>
      <c r="BQ286" s="206" t="s">
        <v>500</v>
      </c>
      <c r="BR286" s="201" t="s">
        <v>203</v>
      </c>
      <c r="BS286" s="132" t="s">
        <v>204</v>
      </c>
      <c r="BT286" s="209" t="s">
        <v>205</v>
      </c>
      <c r="BU286" s="209"/>
      <c r="BV286" s="132" t="n">
        <v>1</v>
      </c>
      <c r="BW286" s="201" t="s">
        <v>1156</v>
      </c>
      <c r="BX286" s="0"/>
    </row>
    <row r="287" customFormat="false" ht="12.75" hidden="false" customHeight="false" outlineLevel="0" collapsed="false">
      <c r="A287" s="242"/>
      <c r="B287" s="192" t="e">
        <f aca="false">NextMonth(B286)</f>
        <v>#VALUE!</v>
      </c>
      <c r="C287" s="193" t="n">
        <v>0.073889301414546</v>
      </c>
      <c r="D287" s="193" t="n">
        <v>0.65</v>
      </c>
      <c r="E287" s="193" t="n">
        <v>0.65</v>
      </c>
      <c r="F287" s="193" t="n">
        <v>0.1435</v>
      </c>
      <c r="G287" s="193" t="n">
        <v>0.151</v>
      </c>
      <c r="H287" s="193" t="n">
        <v>0.1585</v>
      </c>
      <c r="I287" s="218" t="n">
        <v>4.4175</v>
      </c>
      <c r="J287" s="193" t="n">
        <v>4.4225</v>
      </c>
      <c r="K287" s="193" t="n">
        <v>-0.175</v>
      </c>
      <c r="L287" s="193" t="n">
        <v>0</v>
      </c>
      <c r="M287" s="193" t="n">
        <v>0.255</v>
      </c>
      <c r="O287" s="189" t="e">
        <f aca="false">(IF(MONTH(B287)&gt;=4,IF(MONTH(B287)&lt;=10,Inputs!$H$2,Inputs!$H$3),Inputs!$H$3))</f>
        <v>#VALUE!</v>
      </c>
      <c r="P287" s="244" t="e">
        <f aca="false">J287+(IF($L$2=TRUE(),IF(MONTH(B287)&gt;=4,IF(MONTH(B287)&lt;=10,L287,M287),M287),0))+(IF('Pricing Inputs'!$AN$3=2,O287,0))</f>
        <v>#VALUE!</v>
      </c>
      <c r="Q287" s="244"/>
      <c r="R287" s="245" t="e">
        <f aca="false">B287</f>
        <v>#VALUE!</v>
      </c>
      <c r="S287" s="246" t="n">
        <f aca="false">T287-$S$16</f>
        <v>0.58</v>
      </c>
      <c r="T287" s="241" t="n">
        <f aca="false">D287</f>
        <v>0.65</v>
      </c>
      <c r="U287" s="247" t="n">
        <f aca="false">$U$16+T287</f>
        <v>0.72</v>
      </c>
      <c r="BP287" s="205" t="n">
        <f aca="false">BP286+BV287</f>
        <v>286</v>
      </c>
      <c r="BQ287" s="206" t="s">
        <v>504</v>
      </c>
      <c r="BR287" s="201" t="s">
        <v>203</v>
      </c>
      <c r="BS287" s="132" t="s">
        <v>204</v>
      </c>
      <c r="BT287" s="209" t="s">
        <v>205</v>
      </c>
      <c r="BU287" s="209"/>
      <c r="BV287" s="132" t="n">
        <v>1</v>
      </c>
      <c r="BW287" s="201" t="s">
        <v>1157</v>
      </c>
      <c r="BX287" s="0"/>
    </row>
    <row r="288" customFormat="false" ht="12.75" hidden="false" customHeight="false" outlineLevel="0" collapsed="false">
      <c r="A288" s="242"/>
      <c r="B288" s="192" t="e">
        <f aca="false">NextMonth(B287)</f>
        <v>#VALUE!</v>
      </c>
      <c r="C288" s="193" t="n">
        <v>0.073880066119225</v>
      </c>
      <c r="D288" s="193" t="n">
        <v>0.95</v>
      </c>
      <c r="E288" s="193" t="n">
        <v>0.95</v>
      </c>
      <c r="F288" s="193" t="n">
        <v>0.1435</v>
      </c>
      <c r="G288" s="193" t="n">
        <v>0.151</v>
      </c>
      <c r="H288" s="193" t="n">
        <v>0.1585</v>
      </c>
      <c r="I288" s="218" t="n">
        <v>4.5525</v>
      </c>
      <c r="J288" s="193" t="n">
        <v>4.5575</v>
      </c>
      <c r="K288" s="193" t="n">
        <v>-0.183</v>
      </c>
      <c r="L288" s="193" t="n">
        <v>0</v>
      </c>
      <c r="M288" s="193" t="n">
        <v>0.715</v>
      </c>
      <c r="O288" s="189" t="e">
        <f aca="false">(IF(MONTH(B288)&gt;=4,IF(MONTH(B288)&lt;=10,Inputs!$H$2,Inputs!$H$3),Inputs!$H$3))</f>
        <v>#VALUE!</v>
      </c>
      <c r="P288" s="244" t="e">
        <f aca="false">J288+(IF($L$2=TRUE(),IF(MONTH(B288)&gt;=4,IF(MONTH(B288)&lt;=10,L288,M288),M288),0))+(IF('Pricing Inputs'!$AN$3=2,O288,0))</f>
        <v>#VALUE!</v>
      </c>
      <c r="Q288" s="244"/>
      <c r="R288" s="245" t="e">
        <f aca="false">B288</f>
        <v>#VALUE!</v>
      </c>
      <c r="S288" s="246" t="n">
        <f aca="false">T288-$S$16</f>
        <v>0.88</v>
      </c>
      <c r="T288" s="241" t="n">
        <f aca="false">D288</f>
        <v>0.95</v>
      </c>
      <c r="U288" s="247" t="n">
        <f aca="false">$U$16+T288</f>
        <v>1.02</v>
      </c>
      <c r="BP288" s="205" t="n">
        <f aca="false">BP287+BV288</f>
        <v>287</v>
      </c>
      <c r="BQ288" s="206" t="s">
        <v>508</v>
      </c>
      <c r="BR288" s="201" t="s">
        <v>203</v>
      </c>
      <c r="BS288" s="132" t="s">
        <v>204</v>
      </c>
      <c r="BT288" s="209" t="s">
        <v>205</v>
      </c>
      <c r="BU288" s="209"/>
      <c r="BV288" s="132" t="n">
        <v>1</v>
      </c>
      <c r="BW288" s="201" t="s">
        <v>1158</v>
      </c>
      <c r="BX288" s="0"/>
    </row>
    <row r="289" customFormat="false" ht="12.75" hidden="false" customHeight="false" outlineLevel="0" collapsed="false">
      <c r="A289" s="242"/>
      <c r="B289" s="192" t="e">
        <f aca="false">NextMonth(B288)</f>
        <v>#VALUE!</v>
      </c>
      <c r="C289" s="193" t="n">
        <v>0.073871128736682</v>
      </c>
      <c r="D289" s="193" t="n">
        <v>1.25</v>
      </c>
      <c r="E289" s="193" t="n">
        <v>1.25</v>
      </c>
      <c r="F289" s="193" t="n">
        <v>0.1435</v>
      </c>
      <c r="G289" s="193" t="n">
        <v>0.151</v>
      </c>
      <c r="H289" s="193" t="n">
        <v>0.1585</v>
      </c>
      <c r="I289" s="218" t="n">
        <v>4.6765</v>
      </c>
      <c r="J289" s="193" t="n">
        <v>4.6815</v>
      </c>
      <c r="K289" s="193" t="n">
        <v>-0.178</v>
      </c>
      <c r="L289" s="193" t="n">
        <v>0</v>
      </c>
      <c r="M289" s="193" t="n">
        <v>1.03</v>
      </c>
      <c r="O289" s="189" t="e">
        <f aca="false">(IF(MONTH(B289)&gt;=4,IF(MONTH(B289)&lt;=10,Inputs!$H$2,Inputs!$H$3),Inputs!$H$3))</f>
        <v>#VALUE!</v>
      </c>
      <c r="P289" s="244" t="e">
        <f aca="false">J289+(IF($L$2=TRUE(),IF(MONTH(B289)&gt;=4,IF(MONTH(B289)&lt;=10,L289,M289),M289),0))+(IF('Pricing Inputs'!$AN$3=2,O289,0))</f>
        <v>#VALUE!</v>
      </c>
      <c r="Q289" s="244"/>
      <c r="R289" s="245" t="e">
        <f aca="false">B289</f>
        <v>#VALUE!</v>
      </c>
      <c r="S289" s="246" t="n">
        <f aca="false">T289-$S$16</f>
        <v>1.18</v>
      </c>
      <c r="T289" s="241" t="n">
        <f aca="false">D289</f>
        <v>1.25</v>
      </c>
      <c r="U289" s="247" t="n">
        <f aca="false">$U$16+T289</f>
        <v>1.32</v>
      </c>
      <c r="BP289" s="205" t="n">
        <f aca="false">BP288+BV289</f>
        <v>288</v>
      </c>
      <c r="BQ289" s="206" t="s">
        <v>512</v>
      </c>
      <c r="BR289" s="201" t="s">
        <v>203</v>
      </c>
      <c r="BS289" s="132" t="s">
        <v>204</v>
      </c>
      <c r="BT289" s="209" t="s">
        <v>205</v>
      </c>
      <c r="BU289" s="209"/>
      <c r="BV289" s="132" t="n">
        <v>1</v>
      </c>
      <c r="BW289" s="201" t="s">
        <v>1159</v>
      </c>
      <c r="BX289" s="0"/>
    </row>
    <row r="290" customFormat="false" ht="12.75" hidden="false" customHeight="false" outlineLevel="0" collapsed="false">
      <c r="A290" s="242"/>
      <c r="B290" s="192" t="e">
        <f aca="false">NextMonth(B289)</f>
        <v>#VALUE!</v>
      </c>
      <c r="C290" s="193" t="n">
        <v>0.073861893441416</v>
      </c>
      <c r="D290" s="193" t="n">
        <v>1.45</v>
      </c>
      <c r="E290" s="193" t="n">
        <v>1.45</v>
      </c>
      <c r="F290" s="193" t="n">
        <v>0.1435</v>
      </c>
      <c r="G290" s="193" t="n">
        <v>0.151</v>
      </c>
      <c r="H290" s="193" t="n">
        <v>0.1585</v>
      </c>
      <c r="I290" s="218" t="n">
        <v>4.815</v>
      </c>
      <c r="J290" s="193" t="n">
        <v>4.82</v>
      </c>
      <c r="K290" s="193" t="n">
        <v>-0.185</v>
      </c>
      <c r="L290" s="193" t="n">
        <v>0</v>
      </c>
      <c r="M290" s="193" t="n">
        <v>1.495</v>
      </c>
      <c r="O290" s="189" t="e">
        <f aca="false">(IF(MONTH(B290)&gt;=4,IF(MONTH(B290)&lt;=10,Inputs!$H$2,Inputs!$H$3),Inputs!$H$3))</f>
        <v>#VALUE!</v>
      </c>
      <c r="P290" s="244" t="e">
        <f aca="false">J290+(IF($L$2=TRUE(),IF(MONTH(B290)&gt;=4,IF(MONTH(B290)&lt;=10,L290,M290),M290),0))+(IF('Pricing Inputs'!$AN$3=2,O290,0))</f>
        <v>#VALUE!</v>
      </c>
      <c r="Q290" s="244"/>
      <c r="R290" s="245" t="e">
        <f aca="false">B290</f>
        <v>#VALUE!</v>
      </c>
      <c r="S290" s="246" t="n">
        <f aca="false">T290-$S$16</f>
        <v>1.38</v>
      </c>
      <c r="T290" s="241" t="n">
        <f aca="false">D290</f>
        <v>1.45</v>
      </c>
      <c r="U290" s="247" t="n">
        <f aca="false">$U$16+T290</f>
        <v>1.52</v>
      </c>
      <c r="BP290" s="205" t="n">
        <f aca="false">BP289+BV290</f>
        <v>289</v>
      </c>
      <c r="BQ290" s="206" t="s">
        <v>516</v>
      </c>
      <c r="BR290" s="201" t="s">
        <v>203</v>
      </c>
      <c r="BS290" s="132" t="s">
        <v>204</v>
      </c>
      <c r="BT290" s="209" t="s">
        <v>205</v>
      </c>
      <c r="BU290" s="209"/>
      <c r="BV290" s="132" t="n">
        <v>1</v>
      </c>
      <c r="BW290" s="201" t="s">
        <v>1160</v>
      </c>
      <c r="BX290" s="0"/>
    </row>
    <row r="291" customFormat="false" ht="12.75" hidden="false" customHeight="false" outlineLevel="0" collapsed="false">
      <c r="A291" s="242"/>
      <c r="B291" s="192" t="e">
        <f aca="false">NextMonth(B290)</f>
        <v>#VALUE!</v>
      </c>
      <c r="C291" s="193" t="n">
        <v>0.073852658146178</v>
      </c>
      <c r="D291" s="193" t="n">
        <v>1.45</v>
      </c>
      <c r="E291" s="193" t="n">
        <v>1.45</v>
      </c>
      <c r="F291" s="193" t="n">
        <v>0.1435</v>
      </c>
      <c r="G291" s="193" t="n">
        <v>0.151</v>
      </c>
      <c r="H291" s="193" t="n">
        <v>0.1585</v>
      </c>
      <c r="I291" s="218" t="n">
        <v>4.697</v>
      </c>
      <c r="J291" s="193" t="n">
        <v>4.702</v>
      </c>
      <c r="K291" s="193" t="n">
        <v>-0.179</v>
      </c>
      <c r="L291" s="193" t="n">
        <v>0</v>
      </c>
      <c r="M291" s="193" t="n">
        <v>1.395</v>
      </c>
      <c r="O291" s="189" t="e">
        <f aca="false">(IF(MONTH(B291)&gt;=4,IF(MONTH(B291)&lt;=10,Inputs!$H$2,Inputs!$H$3),Inputs!$H$3))</f>
        <v>#VALUE!</v>
      </c>
      <c r="P291" s="244" t="e">
        <f aca="false">J291+(IF($L$2=TRUE(),IF(MONTH(B291)&gt;=4,IF(MONTH(B291)&lt;=10,L291,M291),M291),0))+(IF('Pricing Inputs'!$AN$3=2,O291,0))</f>
        <v>#VALUE!</v>
      </c>
      <c r="Q291" s="244"/>
      <c r="R291" s="245" t="e">
        <f aca="false">B291</f>
        <v>#VALUE!</v>
      </c>
      <c r="S291" s="246" t="n">
        <f aca="false">T291-$S$16</f>
        <v>1.38</v>
      </c>
      <c r="T291" s="241" t="n">
        <f aca="false">D291</f>
        <v>1.45</v>
      </c>
      <c r="U291" s="247" t="n">
        <f aca="false">$U$16+T291</f>
        <v>1.52</v>
      </c>
      <c r="BP291" s="205" t="n">
        <f aca="false">BP290+BV291</f>
        <v>290</v>
      </c>
      <c r="BQ291" s="206" t="s">
        <v>520</v>
      </c>
      <c r="BR291" s="201" t="s">
        <v>203</v>
      </c>
      <c r="BS291" s="132" t="s">
        <v>204</v>
      </c>
      <c r="BT291" s="209" t="s">
        <v>205</v>
      </c>
      <c r="BU291" s="209"/>
      <c r="BV291" s="132" t="n">
        <v>1</v>
      </c>
      <c r="BW291" s="201" t="s">
        <v>1161</v>
      </c>
      <c r="BX291" s="0"/>
    </row>
    <row r="292" customFormat="false" ht="12.75" hidden="false" customHeight="false" outlineLevel="0" collapsed="false">
      <c r="A292" s="242"/>
      <c r="B292" s="192" t="e">
        <f aca="false">NextMonth(B291)</f>
        <v>#VALUE!</v>
      </c>
      <c r="C292" s="193" t="n">
        <v>0.073844316589213</v>
      </c>
      <c r="D292" s="193" t="n">
        <v>1</v>
      </c>
      <c r="E292" s="193" t="n">
        <v>1</v>
      </c>
      <c r="F292" s="193" t="n">
        <v>0.1435</v>
      </c>
      <c r="G292" s="193" t="n">
        <v>0.151</v>
      </c>
      <c r="H292" s="193" t="n">
        <v>0.1585</v>
      </c>
      <c r="I292" s="218" t="n">
        <v>4.577</v>
      </c>
      <c r="J292" s="193" t="n">
        <v>4.582</v>
      </c>
      <c r="K292" s="193" t="n">
        <v>-0.17</v>
      </c>
      <c r="L292" s="193" t="n">
        <v>0</v>
      </c>
      <c r="M292" s="193" t="n">
        <v>0.865</v>
      </c>
      <c r="O292" s="189" t="e">
        <f aca="false">(IF(MONTH(B292)&gt;=4,IF(MONTH(B292)&lt;=10,Inputs!$H$2,Inputs!$H$3),Inputs!$H$3))</f>
        <v>#VALUE!</v>
      </c>
      <c r="P292" s="244" t="e">
        <f aca="false">J292+(IF($L$2=TRUE(),IF(MONTH(B292)&gt;=4,IF(MONTH(B292)&lt;=10,L292,M292),M292),0))+(IF('Pricing Inputs'!$AN$3=2,O292,0))</f>
        <v>#VALUE!</v>
      </c>
      <c r="Q292" s="244"/>
      <c r="R292" s="245" t="e">
        <f aca="false">B292</f>
        <v>#VALUE!</v>
      </c>
      <c r="S292" s="246" t="n">
        <f aca="false">T292-$S$16</f>
        <v>0.93</v>
      </c>
      <c r="T292" s="241" t="n">
        <f aca="false">D292</f>
        <v>1</v>
      </c>
      <c r="U292" s="247" t="n">
        <f aca="false">$U$16+T292</f>
        <v>1.07</v>
      </c>
      <c r="BP292" s="205" t="n">
        <f aca="false">BP291+BV292</f>
        <v>291</v>
      </c>
      <c r="BQ292" s="206" t="s">
        <v>524</v>
      </c>
      <c r="BR292" s="201" t="s">
        <v>203</v>
      </c>
      <c r="BS292" s="132" t="s">
        <v>204</v>
      </c>
      <c r="BT292" s="209" t="s">
        <v>205</v>
      </c>
      <c r="BU292" s="209"/>
      <c r="BV292" s="132" t="n">
        <v>1</v>
      </c>
      <c r="BW292" s="201" t="s">
        <v>1162</v>
      </c>
      <c r="BX292" s="0"/>
    </row>
    <row r="293" customFormat="false" ht="12.75" hidden="false" customHeight="false" outlineLevel="0" collapsed="false">
      <c r="A293" s="242"/>
      <c r="B293" s="192" t="e">
        <f aca="false">NextMonth(B292)</f>
        <v>#VALUE!</v>
      </c>
      <c r="C293" s="193" t="n">
        <v>0.073835081294029</v>
      </c>
      <c r="D293" s="193" t="n">
        <v>0.45</v>
      </c>
      <c r="E293" s="193" t="n">
        <v>0.45</v>
      </c>
      <c r="F293" s="193" t="n">
        <v>0.1435</v>
      </c>
      <c r="G293" s="193" t="n">
        <v>0.151</v>
      </c>
      <c r="H293" s="193" t="n">
        <v>0.1585</v>
      </c>
      <c r="I293" s="218" t="n">
        <v>4.5275</v>
      </c>
      <c r="J293" s="193" t="n">
        <v>4.5325</v>
      </c>
      <c r="K293" s="193" t="n">
        <v>-0.166</v>
      </c>
      <c r="L293" s="193" t="n">
        <v>0</v>
      </c>
      <c r="M293" s="193" t="n">
        <v>0.37</v>
      </c>
      <c r="O293" s="189" t="e">
        <f aca="false">(IF(MONTH(B293)&gt;=4,IF(MONTH(B293)&lt;=10,Inputs!$H$2,Inputs!$H$3),Inputs!$H$3))</f>
        <v>#VALUE!</v>
      </c>
      <c r="P293" s="244" t="e">
        <f aca="false">J293+(IF($L$2=TRUE(),IF(MONTH(B293)&gt;=4,IF(MONTH(B293)&lt;=10,L293,M293),M293),0))+(IF('Pricing Inputs'!$AN$3=2,O293,0))</f>
        <v>#VALUE!</v>
      </c>
      <c r="Q293" s="244"/>
      <c r="R293" s="245" t="e">
        <f aca="false">B293</f>
        <v>#VALUE!</v>
      </c>
      <c r="S293" s="246" t="n">
        <f aca="false">T293-$S$16</f>
        <v>0.38</v>
      </c>
      <c r="T293" s="241" t="n">
        <f aca="false">D293</f>
        <v>0.45</v>
      </c>
      <c r="U293" s="247" t="n">
        <f aca="false">$U$16+T293</f>
        <v>0.52</v>
      </c>
      <c r="BP293" s="205" t="n">
        <f aca="false">BP292+BV293</f>
        <v>292</v>
      </c>
      <c r="BQ293" s="206" t="s">
        <v>528</v>
      </c>
      <c r="BR293" s="201" t="s">
        <v>203</v>
      </c>
      <c r="BS293" s="132" t="s">
        <v>204</v>
      </c>
      <c r="BT293" s="209" t="s">
        <v>205</v>
      </c>
      <c r="BU293" s="209"/>
      <c r="BV293" s="132" t="n">
        <v>1</v>
      </c>
      <c r="BW293" s="201" t="s">
        <v>1163</v>
      </c>
      <c r="BX293" s="0"/>
    </row>
    <row r="294" customFormat="false" ht="12.75" hidden="false" customHeight="false" outlineLevel="0" collapsed="false">
      <c r="A294" s="242"/>
      <c r="B294" s="192" t="e">
        <f aca="false">NextMonth(B293)</f>
        <v>#VALUE!</v>
      </c>
      <c r="C294" s="193" t="n">
        <v>0.073826143911618</v>
      </c>
      <c r="D294" s="193" t="n">
        <v>0.5</v>
      </c>
      <c r="E294" s="193" t="n">
        <v>0.5</v>
      </c>
      <c r="F294" s="193" t="n">
        <v>0.1435</v>
      </c>
      <c r="G294" s="193" t="n">
        <v>0.151</v>
      </c>
      <c r="H294" s="193" t="n">
        <v>0.1585</v>
      </c>
      <c r="I294" s="218" t="n">
        <v>4.5015</v>
      </c>
      <c r="J294" s="193" t="n">
        <v>4.5065</v>
      </c>
      <c r="K294" s="193" t="n">
        <v>-0.152</v>
      </c>
      <c r="L294" s="193" t="n">
        <v>0</v>
      </c>
      <c r="M294" s="193" t="n">
        <v>0.2525</v>
      </c>
      <c r="O294" s="189" t="e">
        <f aca="false">(IF(MONTH(B294)&gt;=4,IF(MONTH(B294)&lt;=10,Inputs!$H$2,Inputs!$H$3),Inputs!$H$3))</f>
        <v>#VALUE!</v>
      </c>
      <c r="P294" s="244" t="e">
        <f aca="false">J294+(IF($L$2=TRUE(),IF(MONTH(B294)&gt;=4,IF(MONTH(B294)&lt;=10,L294,M294),M294),0))+(IF('Pricing Inputs'!$AN$3=2,O294,0))</f>
        <v>#VALUE!</v>
      </c>
      <c r="Q294" s="244"/>
      <c r="R294" s="245" t="e">
        <f aca="false">B294</f>
        <v>#VALUE!</v>
      </c>
      <c r="S294" s="246" t="n">
        <f aca="false">T294-$S$16</f>
        <v>0.43</v>
      </c>
      <c r="T294" s="241" t="n">
        <f aca="false">D294</f>
        <v>0.5</v>
      </c>
      <c r="U294" s="247" t="n">
        <f aca="false">$U$16+T294</f>
        <v>0.57</v>
      </c>
      <c r="BP294" s="205" t="n">
        <f aca="false">BP293+BV294</f>
        <v>293</v>
      </c>
      <c r="BQ294" s="206" t="s">
        <v>532</v>
      </c>
      <c r="BR294" s="201" t="s">
        <v>203</v>
      </c>
      <c r="BS294" s="132" t="s">
        <v>204</v>
      </c>
      <c r="BT294" s="209" t="s">
        <v>205</v>
      </c>
      <c r="BU294" s="209"/>
      <c r="BV294" s="132" t="n">
        <v>1</v>
      </c>
      <c r="BW294" s="201" t="s">
        <v>1164</v>
      </c>
      <c r="BX294" s="0"/>
    </row>
    <row r="295" customFormat="false" ht="12.75" hidden="false" customHeight="false" outlineLevel="0" collapsed="false">
      <c r="A295" s="242"/>
      <c r="B295" s="192" t="e">
        <f aca="false">NextMonth(B294)</f>
        <v>#VALUE!</v>
      </c>
      <c r="C295" s="193" t="n">
        <v>0.073816908616489</v>
      </c>
      <c r="D295" s="193" t="n">
        <v>0.5</v>
      </c>
      <c r="E295" s="193" t="n">
        <v>0.5</v>
      </c>
      <c r="F295" s="193" t="n">
        <v>0.1435</v>
      </c>
      <c r="G295" s="193" t="n">
        <v>0.151</v>
      </c>
      <c r="H295" s="193" t="n">
        <v>0.1585</v>
      </c>
      <c r="I295" s="218" t="n">
        <v>4.5075</v>
      </c>
      <c r="J295" s="193" t="n">
        <v>4.5125</v>
      </c>
      <c r="K295" s="193" t="n">
        <v>-0.141</v>
      </c>
      <c r="L295" s="193" t="n">
        <v>0</v>
      </c>
      <c r="M295" s="193" t="n">
        <v>0.2525</v>
      </c>
      <c r="O295" s="189" t="e">
        <f aca="false">(IF(MONTH(B295)&gt;=4,IF(MONTH(B295)&lt;=10,Inputs!$H$2,Inputs!$H$3),Inputs!$H$3))</f>
        <v>#VALUE!</v>
      </c>
      <c r="P295" s="244" t="e">
        <f aca="false">J295+(IF($L$2=TRUE(),IF(MONTH(B295)&gt;=4,IF(MONTH(B295)&lt;=10,L295,M295),M295),0))+(IF('Pricing Inputs'!$AN$3=2,O295,0))</f>
        <v>#VALUE!</v>
      </c>
      <c r="Q295" s="244"/>
      <c r="R295" s="245" t="e">
        <f aca="false">B295</f>
        <v>#VALUE!</v>
      </c>
      <c r="S295" s="246" t="n">
        <f aca="false">T295-$S$16</f>
        <v>0.43</v>
      </c>
      <c r="T295" s="241" t="n">
        <f aca="false">D295</f>
        <v>0.5</v>
      </c>
      <c r="U295" s="247" t="n">
        <f aca="false">$U$16+T295</f>
        <v>0.57</v>
      </c>
      <c r="BP295" s="205" t="n">
        <f aca="false">BP294+BV295</f>
        <v>294</v>
      </c>
      <c r="BQ295" s="206" t="s">
        <v>536</v>
      </c>
      <c r="BR295" s="201" t="s">
        <v>203</v>
      </c>
      <c r="BS295" s="132" t="s">
        <v>204</v>
      </c>
      <c r="BT295" s="209" t="s">
        <v>205</v>
      </c>
      <c r="BU295" s="209"/>
      <c r="BV295" s="132" t="n">
        <v>1</v>
      </c>
      <c r="BW295" s="201" t="s">
        <v>1165</v>
      </c>
      <c r="BX295" s="0"/>
    </row>
    <row r="296" customFormat="false" ht="12.75" hidden="false" customHeight="false" outlineLevel="0" collapsed="false">
      <c r="A296" s="242"/>
      <c r="B296" s="192" t="e">
        <f aca="false">NextMonth(B295)</f>
        <v>#VALUE!</v>
      </c>
      <c r="C296" s="193" t="n">
        <v>0.073807971234134</v>
      </c>
      <c r="D296" s="193" t="n">
        <v>0.5</v>
      </c>
      <c r="E296" s="193" t="n">
        <v>0.5</v>
      </c>
      <c r="F296" s="193" t="n">
        <v>0.1435</v>
      </c>
      <c r="G296" s="193" t="n">
        <v>0.151</v>
      </c>
      <c r="H296" s="193" t="n">
        <v>0.1585</v>
      </c>
      <c r="I296" s="218" t="n">
        <v>4.5175</v>
      </c>
      <c r="J296" s="193" t="n">
        <v>4.5225</v>
      </c>
      <c r="K296" s="193" t="n">
        <v>-0.177</v>
      </c>
      <c r="L296" s="193" t="n">
        <v>0</v>
      </c>
      <c r="M296" s="193" t="n">
        <v>0.2575</v>
      </c>
      <c r="O296" s="189" t="e">
        <f aca="false">(IF(MONTH(B296)&gt;=4,IF(MONTH(B296)&lt;=10,Inputs!$H$2,Inputs!$H$3),Inputs!$H$3))</f>
        <v>#VALUE!</v>
      </c>
      <c r="P296" s="244" t="e">
        <f aca="false">J296+(IF($L$2=TRUE(),IF(MONTH(B296)&gt;=4,IF(MONTH(B296)&lt;=10,L296,M296),M296),0))+(IF('Pricing Inputs'!$AN$3=2,O296,0))</f>
        <v>#VALUE!</v>
      </c>
      <c r="Q296" s="244"/>
      <c r="R296" s="245" t="e">
        <f aca="false">B296</f>
        <v>#VALUE!</v>
      </c>
      <c r="S296" s="246" t="n">
        <f aca="false">T296-$S$16</f>
        <v>0.43</v>
      </c>
      <c r="T296" s="241" t="n">
        <f aca="false">D296</f>
        <v>0.5</v>
      </c>
      <c r="U296" s="247" t="n">
        <f aca="false">$U$16+T296</f>
        <v>0.57</v>
      </c>
      <c r="BP296" s="205" t="n">
        <f aca="false">BP295+BV296</f>
        <v>295</v>
      </c>
      <c r="BQ296" s="206" t="s">
        <v>540</v>
      </c>
      <c r="BR296" s="201" t="s">
        <v>203</v>
      </c>
      <c r="BS296" s="132" t="s">
        <v>204</v>
      </c>
      <c r="BT296" s="209" t="s">
        <v>205</v>
      </c>
      <c r="BU296" s="209"/>
      <c r="BV296" s="132" t="n">
        <v>1</v>
      </c>
      <c r="BW296" s="201" t="s">
        <v>1166</v>
      </c>
      <c r="BX296" s="0"/>
    </row>
    <row r="297" customFormat="false" ht="12.75" hidden="false" customHeight="false" outlineLevel="0" collapsed="false">
      <c r="A297" s="242"/>
      <c r="B297" s="192" t="e">
        <f aca="false">NextMonth(B296)</f>
        <v>#VALUE!</v>
      </c>
      <c r="C297" s="193" t="n">
        <v>0.07379873593906</v>
      </c>
      <c r="D297" s="193" t="n">
        <v>0.6</v>
      </c>
      <c r="E297" s="193" t="n">
        <v>0.6</v>
      </c>
      <c r="F297" s="193" t="n">
        <v>0.1435</v>
      </c>
      <c r="G297" s="193" t="n">
        <v>0.151</v>
      </c>
      <c r="H297" s="193" t="n">
        <v>0.1585</v>
      </c>
      <c r="I297" s="218" t="n">
        <v>4.5245</v>
      </c>
      <c r="J297" s="193" t="n">
        <v>4.5295</v>
      </c>
      <c r="K297" s="193" t="n">
        <v>-0.181</v>
      </c>
      <c r="L297" s="193" t="n">
        <v>0</v>
      </c>
      <c r="M297" s="193" t="n">
        <v>0.2575</v>
      </c>
      <c r="O297" s="189" t="e">
        <f aca="false">(IF(MONTH(B297)&gt;=4,IF(MONTH(B297)&lt;=10,Inputs!$H$2,Inputs!$H$3),Inputs!$H$3))</f>
        <v>#VALUE!</v>
      </c>
      <c r="P297" s="244" t="e">
        <f aca="false">J297+(IF($L$2=TRUE(),IF(MONTH(B297)&gt;=4,IF(MONTH(B297)&lt;=10,L297,M297),M297),0))+(IF('Pricing Inputs'!$AN$3=2,O297,0))</f>
        <v>#VALUE!</v>
      </c>
      <c r="Q297" s="244"/>
      <c r="R297" s="245" t="e">
        <f aca="false">B297</f>
        <v>#VALUE!</v>
      </c>
      <c r="S297" s="246" t="n">
        <f aca="false">T297-$S$16</f>
        <v>0.53</v>
      </c>
      <c r="T297" s="241" t="n">
        <f aca="false">D297</f>
        <v>0.6</v>
      </c>
      <c r="U297" s="247" t="n">
        <f aca="false">$U$16+T297</f>
        <v>0.67</v>
      </c>
      <c r="BP297" s="205" t="n">
        <f aca="false">BP296+BV297</f>
        <v>296</v>
      </c>
      <c r="BQ297" s="206" t="s">
        <v>544</v>
      </c>
      <c r="BR297" s="201" t="s">
        <v>203</v>
      </c>
      <c r="BS297" s="132" t="s">
        <v>204</v>
      </c>
      <c r="BT297" s="209" t="s">
        <v>205</v>
      </c>
      <c r="BU297" s="209"/>
      <c r="BV297" s="132" t="n">
        <v>1</v>
      </c>
      <c r="BW297" s="201" t="s">
        <v>1167</v>
      </c>
      <c r="BX297" s="0"/>
    </row>
    <row r="298" customFormat="false" ht="12.75" hidden="false" customHeight="false" outlineLevel="0" collapsed="false">
      <c r="A298" s="242"/>
      <c r="B298" s="192" t="e">
        <f aca="false">NextMonth(B297)</f>
        <v>#VALUE!</v>
      </c>
      <c r="C298" s="193" t="n">
        <v>0.073789500644015</v>
      </c>
      <c r="D298" s="193" t="n">
        <v>0.6</v>
      </c>
      <c r="E298" s="193" t="n">
        <v>0.6</v>
      </c>
      <c r="F298" s="193" t="n">
        <v>0.1435</v>
      </c>
      <c r="G298" s="193" t="n">
        <v>0.151</v>
      </c>
      <c r="H298" s="193" t="n">
        <v>0.1585</v>
      </c>
      <c r="I298" s="218" t="n">
        <v>4.5315</v>
      </c>
      <c r="J298" s="193" t="n">
        <v>4.5365</v>
      </c>
      <c r="K298" s="193" t="n">
        <v>-0.19</v>
      </c>
      <c r="L298" s="193" t="n">
        <v>0</v>
      </c>
      <c r="M298" s="193" t="n">
        <v>0.2525</v>
      </c>
      <c r="O298" s="189" t="e">
        <f aca="false">(IF(MONTH(B298)&gt;=4,IF(MONTH(B298)&lt;=10,Inputs!$H$2,Inputs!$H$3),Inputs!$H$3))</f>
        <v>#VALUE!</v>
      </c>
      <c r="P298" s="244" t="e">
        <f aca="false">J298+(IF($L$2=TRUE(),IF(MONTH(B298)&gt;=4,IF(MONTH(B298)&lt;=10,L298,M298),M298),0))+(IF('Pricing Inputs'!$AN$3=2,O298,0))</f>
        <v>#VALUE!</v>
      </c>
      <c r="Q298" s="244"/>
      <c r="R298" s="245" t="e">
        <f aca="false">B298</f>
        <v>#VALUE!</v>
      </c>
      <c r="S298" s="246" t="n">
        <f aca="false">T298-$S$16</f>
        <v>0.53</v>
      </c>
      <c r="T298" s="241" t="n">
        <f aca="false">D298</f>
        <v>0.6</v>
      </c>
      <c r="U298" s="247" t="n">
        <f aca="false">$U$16+T298</f>
        <v>0.67</v>
      </c>
      <c r="BP298" s="205" t="n">
        <f aca="false">BP297+BV298</f>
        <v>297</v>
      </c>
      <c r="BQ298" s="206" t="s">
        <v>548</v>
      </c>
      <c r="BR298" s="201" t="s">
        <v>203</v>
      </c>
      <c r="BS298" s="132" t="s">
        <v>204</v>
      </c>
      <c r="BT298" s="209" t="s">
        <v>205</v>
      </c>
      <c r="BU298" s="209"/>
      <c r="BV298" s="132" t="n">
        <v>1</v>
      </c>
      <c r="BW298" s="201" t="s">
        <v>1168</v>
      </c>
      <c r="BX298" s="0"/>
    </row>
    <row r="299" customFormat="false" ht="12.75" hidden="false" customHeight="false" outlineLevel="0" collapsed="false">
      <c r="A299" s="242"/>
      <c r="B299" s="192" t="e">
        <f aca="false">NextMonth(B298)</f>
        <v>#VALUE!</v>
      </c>
      <c r="C299" s="193" t="n">
        <v>0.073780563261739</v>
      </c>
      <c r="D299" s="193" t="n">
        <v>0.65</v>
      </c>
      <c r="E299" s="193" t="n">
        <v>0.65</v>
      </c>
      <c r="F299" s="193" t="n">
        <v>0.1435</v>
      </c>
      <c r="G299" s="193" t="n">
        <v>0.151</v>
      </c>
      <c r="H299" s="193" t="n">
        <v>0.1585</v>
      </c>
      <c r="I299" s="218" t="n">
        <v>4.5575</v>
      </c>
      <c r="J299" s="193" t="n">
        <v>4.5625</v>
      </c>
      <c r="K299" s="193" t="n">
        <v>-0.195</v>
      </c>
      <c r="L299" s="193" t="n">
        <v>0</v>
      </c>
      <c r="M299" s="193" t="n">
        <v>0.255</v>
      </c>
      <c r="O299" s="189" t="e">
        <f aca="false">(IF(MONTH(B299)&gt;=4,IF(MONTH(B299)&lt;=10,Inputs!$H$2,Inputs!$H$3),Inputs!$H$3))</f>
        <v>#VALUE!</v>
      </c>
      <c r="P299" s="244" t="e">
        <f aca="false">J299+(IF($L$2=TRUE(),IF(MONTH(B299)&gt;=4,IF(MONTH(B299)&lt;=10,L299,M299),M299),0))+(IF('Pricing Inputs'!$AN$3=2,O299,0))</f>
        <v>#VALUE!</v>
      </c>
      <c r="Q299" s="244"/>
      <c r="R299" s="245" t="e">
        <f aca="false">B299</f>
        <v>#VALUE!</v>
      </c>
      <c r="S299" s="246" t="n">
        <f aca="false">T299-$S$16</f>
        <v>0.58</v>
      </c>
      <c r="T299" s="241" t="n">
        <f aca="false">D299</f>
        <v>0.65</v>
      </c>
      <c r="U299" s="247" t="n">
        <f aca="false">$U$16+T299</f>
        <v>0.72</v>
      </c>
      <c r="BP299" s="205" t="n">
        <f aca="false">BP298+BV299</f>
        <v>298</v>
      </c>
      <c r="BQ299" s="206" t="s">
        <v>552</v>
      </c>
      <c r="BR299" s="201" t="s">
        <v>203</v>
      </c>
      <c r="BS299" s="132" t="s">
        <v>204</v>
      </c>
      <c r="BT299" s="209" t="s">
        <v>205</v>
      </c>
      <c r="BU299" s="209"/>
      <c r="BV299" s="132" t="n">
        <v>1</v>
      </c>
      <c r="BW299" s="201" t="s">
        <v>1169</v>
      </c>
      <c r="BX299" s="0"/>
    </row>
    <row r="300" customFormat="false" ht="12.75" hidden="false" customHeight="false" outlineLevel="0" collapsed="false">
      <c r="A300" s="242"/>
      <c r="B300" s="192" t="e">
        <f aca="false">NextMonth(B299)</f>
        <v>#VALUE!</v>
      </c>
      <c r="C300" s="193" t="n">
        <v>0.073771327966749</v>
      </c>
      <c r="D300" s="193" t="n">
        <v>0.95</v>
      </c>
      <c r="E300" s="193" t="n">
        <v>0.95</v>
      </c>
      <c r="F300" s="193" t="n">
        <v>0.1435</v>
      </c>
      <c r="G300" s="193" t="n">
        <v>0.151</v>
      </c>
      <c r="H300" s="193" t="n">
        <v>0.1585</v>
      </c>
      <c r="I300" s="218" t="n">
        <v>4.6925</v>
      </c>
      <c r="J300" s="193" t="n">
        <v>4.6975</v>
      </c>
      <c r="K300" s="193" t="n">
        <v>-0.203</v>
      </c>
      <c r="L300" s="193" t="n">
        <v>0</v>
      </c>
      <c r="M300" s="193" t="n">
        <v>0.715</v>
      </c>
      <c r="O300" s="189" t="e">
        <f aca="false">(IF(MONTH(B300)&gt;=4,IF(MONTH(B300)&lt;=10,Inputs!$H$2,Inputs!$H$3),Inputs!$H$3))</f>
        <v>#VALUE!</v>
      </c>
      <c r="P300" s="244" t="e">
        <f aca="false">J300+(IF($L$2=TRUE(),IF(MONTH(B300)&gt;=4,IF(MONTH(B300)&lt;=10,L300,M300),M300),0))+(IF('Pricing Inputs'!$AN$3=2,O300,0))</f>
        <v>#VALUE!</v>
      </c>
      <c r="Q300" s="244"/>
      <c r="R300" s="245" t="e">
        <f aca="false">B300</f>
        <v>#VALUE!</v>
      </c>
      <c r="S300" s="246" t="n">
        <f aca="false">T300-$S$16</f>
        <v>0.88</v>
      </c>
      <c r="T300" s="241" t="n">
        <f aca="false">D300</f>
        <v>0.95</v>
      </c>
      <c r="U300" s="247" t="n">
        <f aca="false">$U$16+T300</f>
        <v>1.02</v>
      </c>
      <c r="BP300" s="205" t="n">
        <f aca="false">BP299+BV300</f>
        <v>299</v>
      </c>
      <c r="BQ300" s="206" t="s">
        <v>556</v>
      </c>
      <c r="BR300" s="201" t="s">
        <v>203</v>
      </c>
      <c r="BS300" s="132" t="s">
        <v>204</v>
      </c>
      <c r="BT300" s="209" t="s">
        <v>205</v>
      </c>
      <c r="BU300" s="209"/>
      <c r="BV300" s="132" t="n">
        <v>1</v>
      </c>
      <c r="BW300" s="201" t="s">
        <v>1170</v>
      </c>
      <c r="BX300" s="0"/>
    </row>
    <row r="301" customFormat="false" ht="12.75" hidden="false" customHeight="false" outlineLevel="0" collapsed="false">
      <c r="A301" s="242"/>
      <c r="B301" s="192" t="e">
        <f aca="false">NextMonth(B300)</f>
        <v>#VALUE!</v>
      </c>
      <c r="C301" s="193" t="n">
        <v>0.073762390584527</v>
      </c>
      <c r="D301" s="193" t="n">
        <v>1.25</v>
      </c>
      <c r="E301" s="193" t="n">
        <v>1.25</v>
      </c>
      <c r="F301" s="193" t="n">
        <v>0.1435</v>
      </c>
      <c r="G301" s="193" t="n">
        <v>0.151</v>
      </c>
      <c r="H301" s="193" t="n">
        <v>0.1585</v>
      </c>
      <c r="I301" s="218" t="n">
        <v>4.8165</v>
      </c>
      <c r="J301" s="193" t="n">
        <v>4.8215</v>
      </c>
      <c r="K301" s="193" t="n">
        <v>-0.198</v>
      </c>
      <c r="L301" s="193" t="n">
        <v>0</v>
      </c>
      <c r="M301" s="193" t="n">
        <v>1.03</v>
      </c>
      <c r="O301" s="189" t="e">
        <f aca="false">(IF(MONTH(B301)&gt;=4,IF(MONTH(B301)&lt;=10,Inputs!$H$2,Inputs!$H$3),Inputs!$H$3))</f>
        <v>#VALUE!</v>
      </c>
      <c r="P301" s="244" t="e">
        <f aca="false">J301+(IF($L$2=TRUE(),IF(MONTH(B301)&gt;=4,IF(MONTH(B301)&lt;=10,L301,M301),M301),0))+(IF('Pricing Inputs'!$AN$3=2,O301,0))</f>
        <v>#VALUE!</v>
      </c>
      <c r="Q301" s="244"/>
      <c r="R301" s="245" t="e">
        <f aca="false">B301</f>
        <v>#VALUE!</v>
      </c>
      <c r="S301" s="246" t="n">
        <f aca="false">T301-$S$16</f>
        <v>1.18</v>
      </c>
      <c r="T301" s="241" t="n">
        <f aca="false">D301</f>
        <v>1.25</v>
      </c>
      <c r="U301" s="247" t="n">
        <f aca="false">$U$16+T301</f>
        <v>1.32</v>
      </c>
      <c r="BP301" s="205" t="n">
        <f aca="false">BP300+BV301</f>
        <v>300</v>
      </c>
      <c r="BQ301" s="206" t="s">
        <v>560</v>
      </c>
      <c r="BR301" s="201" t="s">
        <v>203</v>
      </c>
      <c r="BS301" s="132" t="s">
        <v>204</v>
      </c>
      <c r="BT301" s="209" t="s">
        <v>205</v>
      </c>
      <c r="BU301" s="209"/>
      <c r="BV301" s="132" t="n">
        <v>1</v>
      </c>
      <c r="BW301" s="201" t="s">
        <v>1171</v>
      </c>
      <c r="BX301" s="0"/>
    </row>
    <row r="302" customFormat="false" ht="12.75" hidden="false" customHeight="false" outlineLevel="0" collapsed="false">
      <c r="A302" s="242"/>
      <c r="B302" s="192" t="e">
        <f aca="false">NextMonth(B301)</f>
        <v>#VALUE!</v>
      </c>
      <c r="C302" s="193" t="n">
        <v>0.073753155289593</v>
      </c>
      <c r="D302" s="193" t="n">
        <v>1.45</v>
      </c>
      <c r="E302" s="193" t="n">
        <v>1.45</v>
      </c>
      <c r="F302" s="193" t="n">
        <v>0.1435</v>
      </c>
      <c r="G302" s="193" t="n">
        <v>0.151</v>
      </c>
      <c r="H302" s="193" t="n">
        <v>0.1585</v>
      </c>
      <c r="I302" s="218" t="n">
        <v>4.96</v>
      </c>
      <c r="J302" s="193" t="n">
        <v>4.965</v>
      </c>
      <c r="K302" s="193" t="n">
        <v>-0.205</v>
      </c>
      <c r="L302" s="193" t="n">
        <v>0</v>
      </c>
      <c r="M302" s="193" t="n">
        <v>1.495</v>
      </c>
      <c r="O302" s="189" t="e">
        <f aca="false">(IF(MONTH(B302)&gt;=4,IF(MONTH(B302)&lt;=10,Inputs!$H$2,Inputs!$H$3),Inputs!$H$3))</f>
        <v>#VALUE!</v>
      </c>
      <c r="P302" s="244" t="e">
        <f aca="false">J302+(IF($L$2=TRUE(),IF(MONTH(B302)&gt;=4,IF(MONTH(B302)&lt;=10,L302,M302),M302),0))+(IF('Pricing Inputs'!$AN$3=2,O302,0))</f>
        <v>#VALUE!</v>
      </c>
      <c r="Q302" s="244"/>
      <c r="R302" s="245" t="e">
        <f aca="false">B302</f>
        <v>#VALUE!</v>
      </c>
      <c r="S302" s="246" t="n">
        <f aca="false">T302-$S$16</f>
        <v>1.38</v>
      </c>
      <c r="T302" s="241" t="n">
        <f aca="false">D302</f>
        <v>1.45</v>
      </c>
      <c r="U302" s="247" t="n">
        <f aca="false">$U$16+T302</f>
        <v>1.52</v>
      </c>
      <c r="BP302" s="205" t="n">
        <f aca="false">BP301+BV302</f>
        <v>301</v>
      </c>
      <c r="BQ302" s="206" t="s">
        <v>564</v>
      </c>
      <c r="BR302" s="201" t="s">
        <v>203</v>
      </c>
      <c r="BS302" s="132" t="s">
        <v>204</v>
      </c>
      <c r="BT302" s="209" t="s">
        <v>205</v>
      </c>
      <c r="BU302" s="209"/>
      <c r="BV302" s="132" t="n">
        <v>1</v>
      </c>
      <c r="BW302" s="201" t="s">
        <v>1172</v>
      </c>
      <c r="BX302" s="0"/>
    </row>
    <row r="303" customFormat="false" ht="12.75" hidden="false" customHeight="false" outlineLevel="0" collapsed="false">
      <c r="A303" s="242"/>
      <c r="B303" s="192" t="e">
        <f aca="false">NextMonth(B302)</f>
        <v>#VALUE!</v>
      </c>
      <c r="C303" s="193" t="n">
        <v>0.073743919994687</v>
      </c>
      <c r="D303" s="193" t="n">
        <v>1.45</v>
      </c>
      <c r="E303" s="193" t="n">
        <v>1.45</v>
      </c>
      <c r="F303" s="193" t="n">
        <v>0.1435</v>
      </c>
      <c r="G303" s="193" t="n">
        <v>0.151</v>
      </c>
      <c r="H303" s="193" t="n">
        <v>0.1585</v>
      </c>
      <c r="I303" s="218" t="n">
        <v>4.842</v>
      </c>
      <c r="J303" s="193" t="n">
        <v>4.847</v>
      </c>
      <c r="K303" s="193" t="n">
        <v>-0.199</v>
      </c>
      <c r="L303" s="193" t="n">
        <v>0</v>
      </c>
      <c r="M303" s="193" t="n">
        <v>1.395</v>
      </c>
      <c r="O303" s="189" t="e">
        <f aca="false">(IF(MONTH(B303)&gt;=4,IF(MONTH(B303)&lt;=10,Inputs!$H$2,Inputs!$H$3),Inputs!$H$3))</f>
        <v>#VALUE!</v>
      </c>
      <c r="P303" s="244" t="e">
        <f aca="false">J303+(IF($L$2=TRUE(),IF(MONTH(B303)&gt;=4,IF(MONTH(B303)&lt;=10,L303,M303),M303),0))+(IF('Pricing Inputs'!$AN$3=2,O303,0))</f>
        <v>#VALUE!</v>
      </c>
      <c r="Q303" s="244"/>
      <c r="R303" s="245" t="e">
        <f aca="false">B303</f>
        <v>#VALUE!</v>
      </c>
      <c r="S303" s="246" t="n">
        <f aca="false">T303-$S$16</f>
        <v>1.38</v>
      </c>
      <c r="T303" s="241" t="n">
        <f aca="false">D303</f>
        <v>1.45</v>
      </c>
      <c r="U303" s="247" t="n">
        <f aca="false">$U$16+T303</f>
        <v>1.52</v>
      </c>
      <c r="BP303" s="205" t="n">
        <f aca="false">BP302+BV303</f>
        <v>302</v>
      </c>
      <c r="BQ303" s="206" t="s">
        <v>568</v>
      </c>
      <c r="BR303" s="201" t="s">
        <v>203</v>
      </c>
      <c r="BS303" s="132" t="s">
        <v>204</v>
      </c>
      <c r="BT303" s="209" t="s">
        <v>205</v>
      </c>
      <c r="BU303" s="209"/>
      <c r="BV303" s="132" t="n">
        <v>1</v>
      </c>
      <c r="BW303" s="201" t="s">
        <v>1173</v>
      </c>
      <c r="BX303" s="0"/>
    </row>
    <row r="304" customFormat="false" ht="12.75" hidden="false" customHeight="false" outlineLevel="0" collapsed="false">
      <c r="A304" s="242"/>
      <c r="B304" s="192" t="e">
        <f aca="false">NextMonth(B303)</f>
        <v>#VALUE!</v>
      </c>
      <c r="C304" s="193" t="n">
        <v>0.073735280525283</v>
      </c>
      <c r="D304" s="193" t="n">
        <v>1</v>
      </c>
      <c r="E304" s="193" t="n">
        <v>1</v>
      </c>
      <c r="F304" s="193" t="n">
        <v>0.1435</v>
      </c>
      <c r="G304" s="193" t="n">
        <v>0.151</v>
      </c>
      <c r="H304" s="193" t="n">
        <v>0.1585</v>
      </c>
      <c r="I304" s="218" t="n">
        <v>4.722</v>
      </c>
      <c r="J304" s="193" t="n">
        <v>4.727</v>
      </c>
      <c r="K304" s="193" t="n">
        <v>-0.19</v>
      </c>
      <c r="L304" s="193" t="n">
        <v>0</v>
      </c>
      <c r="M304" s="193" t="n">
        <v>0.865</v>
      </c>
      <c r="O304" s="189" t="e">
        <f aca="false">(IF(MONTH(B304)&gt;=4,IF(MONTH(B304)&lt;=10,Inputs!$H$2,Inputs!$H$3),Inputs!$H$3))</f>
        <v>#VALUE!</v>
      </c>
      <c r="P304" s="244" t="e">
        <f aca="false">J304+(IF($L$2=TRUE(),IF(MONTH(B304)&gt;=4,IF(MONTH(B304)&lt;=10,L304,M304),M304),0))+(IF('Pricing Inputs'!$AN$3=2,O304,0))</f>
        <v>#VALUE!</v>
      </c>
      <c r="Q304" s="244"/>
      <c r="R304" s="245" t="e">
        <f aca="false">B304</f>
        <v>#VALUE!</v>
      </c>
      <c r="S304" s="246" t="n">
        <f aca="false">T304-$S$16</f>
        <v>0.93</v>
      </c>
      <c r="T304" s="241" t="n">
        <f aca="false">D304</f>
        <v>1</v>
      </c>
      <c r="U304" s="247" t="n">
        <f aca="false">$U$16+T304</f>
        <v>1.07</v>
      </c>
      <c r="BP304" s="205" t="n">
        <f aca="false">BP303+BV304</f>
        <v>303</v>
      </c>
      <c r="BQ304" s="206" t="s">
        <v>572</v>
      </c>
      <c r="BR304" s="201" t="s">
        <v>203</v>
      </c>
      <c r="BS304" s="132" t="s">
        <v>204</v>
      </c>
      <c r="BT304" s="209" t="s">
        <v>205</v>
      </c>
      <c r="BU304" s="209"/>
      <c r="BV304" s="132" t="n">
        <v>1</v>
      </c>
      <c r="BW304" s="201" t="s">
        <v>1174</v>
      </c>
      <c r="BX304" s="0"/>
    </row>
    <row r="305" customFormat="false" ht="12.75" hidden="false" customHeight="false" outlineLevel="0" collapsed="false">
      <c r="A305" s="242"/>
      <c r="B305" s="192" t="e">
        <f aca="false">NextMonth(B304)</f>
        <v>#VALUE!</v>
      </c>
      <c r="C305" s="193" t="n">
        <v>0.073726045230431</v>
      </c>
      <c r="D305" s="193" t="n">
        <v>0.45</v>
      </c>
      <c r="E305" s="193" t="n">
        <v>0.45</v>
      </c>
      <c r="F305" s="193" t="n">
        <v>0.1435</v>
      </c>
      <c r="G305" s="193" t="n">
        <v>0.151</v>
      </c>
      <c r="H305" s="193" t="n">
        <v>0.1585</v>
      </c>
      <c r="I305" s="218" t="n">
        <v>4.6725</v>
      </c>
      <c r="J305" s="193" t="n">
        <v>4.6775</v>
      </c>
      <c r="K305" s="193" t="n">
        <v>-0.186</v>
      </c>
      <c r="L305" s="193" t="n">
        <v>0</v>
      </c>
      <c r="M305" s="193" t="n">
        <v>0.37</v>
      </c>
      <c r="O305" s="189" t="e">
        <f aca="false">(IF(MONTH(B305)&gt;=4,IF(MONTH(B305)&lt;=10,Inputs!$H$2,Inputs!$H$3),Inputs!$H$3))</f>
        <v>#VALUE!</v>
      </c>
      <c r="P305" s="244" t="e">
        <f aca="false">J305+(IF($L$2=TRUE(),IF(MONTH(B305)&gt;=4,IF(MONTH(B305)&lt;=10,L305,M305),M305),0))+(IF('Pricing Inputs'!$AN$3=2,O305,0))</f>
        <v>#VALUE!</v>
      </c>
      <c r="Q305" s="244"/>
      <c r="R305" s="245" t="e">
        <f aca="false">B305</f>
        <v>#VALUE!</v>
      </c>
      <c r="S305" s="246" t="n">
        <f aca="false">T305-$S$16</f>
        <v>0.38</v>
      </c>
      <c r="T305" s="241" t="n">
        <f aca="false">D305</f>
        <v>0.45</v>
      </c>
      <c r="U305" s="247" t="n">
        <f aca="false">$U$16+T305</f>
        <v>0.52</v>
      </c>
      <c r="BP305" s="205" t="n">
        <f aca="false">BP304+BV305</f>
        <v>304</v>
      </c>
      <c r="BQ305" s="206" t="s">
        <v>576</v>
      </c>
      <c r="BR305" s="201" t="s">
        <v>203</v>
      </c>
      <c r="BS305" s="132" t="s">
        <v>204</v>
      </c>
      <c r="BT305" s="209" t="s">
        <v>205</v>
      </c>
      <c r="BU305" s="209"/>
      <c r="BV305" s="132" t="n">
        <v>1</v>
      </c>
      <c r="BW305" s="201" t="s">
        <v>1175</v>
      </c>
      <c r="BX305" s="0"/>
    </row>
    <row r="306" customFormat="false" ht="12.75" hidden="false" customHeight="false" outlineLevel="0" collapsed="false">
      <c r="A306" s="242"/>
      <c r="B306" s="192" t="e">
        <f aca="false">NextMonth(B305)</f>
        <v>#VALUE!</v>
      </c>
      <c r="C306" s="193" t="n">
        <v>0.073717107848343</v>
      </c>
      <c r="D306" s="193" t="n">
        <v>0.5</v>
      </c>
      <c r="E306" s="193" t="n">
        <v>0.5</v>
      </c>
      <c r="F306" s="193" t="n">
        <v>0.1435</v>
      </c>
      <c r="G306" s="193" t="n">
        <v>0.151</v>
      </c>
      <c r="H306" s="193" t="n">
        <v>0.1585</v>
      </c>
      <c r="I306" s="218" t="n">
        <v>4.6465</v>
      </c>
      <c r="J306" s="193" t="n">
        <v>4.6515</v>
      </c>
      <c r="K306" s="193" t="n">
        <v>-0.172</v>
      </c>
      <c r="L306" s="193" t="n">
        <v>0</v>
      </c>
      <c r="M306" s="193" t="n">
        <v>0.2525</v>
      </c>
      <c r="O306" s="189" t="e">
        <f aca="false">(IF(MONTH(B306)&gt;=4,IF(MONTH(B306)&lt;=10,Inputs!$H$2,Inputs!$H$3),Inputs!$H$3))</f>
        <v>#VALUE!</v>
      </c>
      <c r="P306" s="244" t="e">
        <f aca="false">J306+(IF($L$2=TRUE(),IF(MONTH(B306)&gt;=4,IF(MONTH(B306)&lt;=10,L306,M306),M306),0))+(IF('Pricing Inputs'!$AN$3=2,O306,0))</f>
        <v>#VALUE!</v>
      </c>
      <c r="Q306" s="244"/>
      <c r="R306" s="245" t="e">
        <f aca="false">B306</f>
        <v>#VALUE!</v>
      </c>
      <c r="S306" s="246" t="n">
        <f aca="false">T306-$S$16</f>
        <v>0.43</v>
      </c>
      <c r="T306" s="241" t="n">
        <f aca="false">D306</f>
        <v>0.5</v>
      </c>
      <c r="U306" s="247" t="n">
        <f aca="false">$U$16+T306</f>
        <v>0.57</v>
      </c>
      <c r="BP306" s="205" t="n">
        <f aca="false">BP305+BV306</f>
        <v>305</v>
      </c>
      <c r="BQ306" s="206" t="s">
        <v>580</v>
      </c>
      <c r="BR306" s="201" t="s">
        <v>203</v>
      </c>
      <c r="BS306" s="132" t="s">
        <v>204</v>
      </c>
      <c r="BT306" s="209" t="s">
        <v>205</v>
      </c>
      <c r="BU306" s="209"/>
      <c r="BV306" s="132" t="n">
        <v>1</v>
      </c>
      <c r="BW306" s="201" t="s">
        <v>1176</v>
      </c>
      <c r="BX306" s="0"/>
    </row>
    <row r="307" customFormat="false" ht="12.75" hidden="false" customHeight="false" outlineLevel="0" collapsed="false">
      <c r="A307" s="242"/>
      <c r="B307" s="192" t="e">
        <f aca="false">NextMonth(B306)</f>
        <v>#VALUE!</v>
      </c>
      <c r="C307" s="193" t="n">
        <v>0.073707872553546</v>
      </c>
      <c r="D307" s="193" t="n">
        <v>0.5</v>
      </c>
      <c r="E307" s="193" t="n">
        <v>0.5</v>
      </c>
      <c r="F307" s="193" t="n">
        <v>0.1435</v>
      </c>
      <c r="G307" s="193" t="n">
        <v>0.151</v>
      </c>
      <c r="H307" s="193" t="n">
        <v>0.1585</v>
      </c>
      <c r="I307" s="218" t="n">
        <v>4.5245</v>
      </c>
      <c r="J307" s="193" t="n">
        <v>4.5295</v>
      </c>
      <c r="K307" s="193" t="n">
        <v>-0.181</v>
      </c>
      <c r="L307" s="193" t="n">
        <v>0</v>
      </c>
      <c r="M307" s="193" t="n">
        <v>0.2525</v>
      </c>
      <c r="O307" s="189" t="e">
        <f aca="false">(IF(MONTH(B307)&gt;=4,IF(MONTH(B307)&lt;=10,Inputs!$H$2,Inputs!$H$3),Inputs!$H$3))</f>
        <v>#VALUE!</v>
      </c>
      <c r="P307" s="244" t="e">
        <f aca="false">J307+(IF($L$2=TRUE(),IF(MONTH(B307)&gt;=4,IF(MONTH(B307)&lt;=10,L307,M307),M307),0))+(IF('Pricing Inputs'!$AN$3=2,O307,0))</f>
        <v>#VALUE!</v>
      </c>
      <c r="Q307" s="244"/>
      <c r="R307" s="245" t="e">
        <f aca="false">B307</f>
        <v>#VALUE!</v>
      </c>
      <c r="S307" s="246" t="n">
        <f aca="false">T307-$S$16</f>
        <v>0.43</v>
      </c>
      <c r="T307" s="241" t="n">
        <f aca="false">D307</f>
        <v>0.5</v>
      </c>
      <c r="U307" s="247" t="n">
        <f aca="false">$U$16+T307</f>
        <v>0.57</v>
      </c>
      <c r="BP307" s="205" t="n">
        <f aca="false">BP306+BV307</f>
        <v>306</v>
      </c>
      <c r="BQ307" s="206" t="s">
        <v>584</v>
      </c>
      <c r="BR307" s="201" t="s">
        <v>203</v>
      </c>
      <c r="BS307" s="132" t="s">
        <v>204</v>
      </c>
      <c r="BT307" s="209" t="s">
        <v>205</v>
      </c>
      <c r="BU307" s="209"/>
      <c r="BV307" s="132" t="n">
        <v>1</v>
      </c>
      <c r="BW307" s="201" t="s">
        <v>1177</v>
      </c>
      <c r="BX307" s="0"/>
    </row>
    <row r="308" customFormat="false" ht="12.75" hidden="false" customHeight="false" outlineLevel="0" collapsed="false">
      <c r="A308" s="242"/>
      <c r="B308" s="192" t="e">
        <f aca="false">NextMonth(B307)</f>
        <v>#VALUE!</v>
      </c>
      <c r="C308" s="193" t="n">
        <v>0.073698935171512</v>
      </c>
      <c r="D308" s="193" t="n">
        <v>0.5</v>
      </c>
      <c r="E308" s="193" t="n">
        <v>0.5</v>
      </c>
      <c r="F308" s="193" t="n">
        <v>0.1435</v>
      </c>
      <c r="G308" s="193" t="n">
        <v>0.151</v>
      </c>
      <c r="H308" s="193" t="n">
        <v>0.1585</v>
      </c>
      <c r="I308" s="218" t="n">
        <v>4.5315</v>
      </c>
      <c r="J308" s="193" t="n">
        <v>4.5365</v>
      </c>
      <c r="K308" s="193" t="n">
        <v>-0.19</v>
      </c>
      <c r="L308" s="193" t="n">
        <v>0</v>
      </c>
      <c r="M308" s="193" t="n">
        <v>0.2575</v>
      </c>
      <c r="O308" s="189" t="e">
        <f aca="false">(IF(MONTH(B308)&gt;=4,IF(MONTH(B308)&lt;=10,Inputs!$H$2,Inputs!$H$3),Inputs!$H$3))</f>
        <v>#VALUE!</v>
      </c>
      <c r="P308" s="244" t="e">
        <f aca="false">J308+(IF($L$2=TRUE(),IF(MONTH(B308)&gt;=4,IF(MONTH(B308)&lt;=10,L308,M308),M308),0))+(IF('Pricing Inputs'!$AN$3=2,O308,0))</f>
        <v>#VALUE!</v>
      </c>
      <c r="Q308" s="244"/>
      <c r="R308" s="245" t="e">
        <f aca="false">B308</f>
        <v>#VALUE!</v>
      </c>
      <c r="S308" s="246" t="n">
        <f aca="false">T308-$S$16</f>
        <v>0.43</v>
      </c>
      <c r="T308" s="241" t="n">
        <f aca="false">D308</f>
        <v>0.5</v>
      </c>
      <c r="U308" s="247" t="n">
        <f aca="false">$U$16+T308</f>
        <v>0.57</v>
      </c>
      <c r="BP308" s="205" t="n">
        <f aca="false">BP307+BV308</f>
        <v>307</v>
      </c>
      <c r="BQ308" s="206" t="s">
        <v>588</v>
      </c>
      <c r="BR308" s="201" t="s">
        <v>203</v>
      </c>
      <c r="BS308" s="132" t="s">
        <v>204</v>
      </c>
      <c r="BT308" s="209" t="s">
        <v>205</v>
      </c>
      <c r="BU308" s="209"/>
      <c r="BV308" s="132" t="n">
        <v>1</v>
      </c>
      <c r="BW308" s="201" t="s">
        <v>1178</v>
      </c>
      <c r="BX308" s="0"/>
    </row>
    <row r="309" customFormat="false" ht="12.75" hidden="false" customHeight="false" outlineLevel="0" collapsed="false">
      <c r="A309" s="242"/>
      <c r="B309" s="192" t="e">
        <f aca="false">NextMonth(B308)</f>
        <v>#VALUE!</v>
      </c>
      <c r="C309" s="193" t="n">
        <v>0.073689699876771</v>
      </c>
      <c r="D309" s="193" t="n">
        <v>0.6</v>
      </c>
      <c r="E309" s="193" t="n">
        <v>0.6</v>
      </c>
      <c r="F309" s="193" t="n">
        <v>0.1435</v>
      </c>
      <c r="G309" s="193" t="n">
        <v>0.151</v>
      </c>
      <c r="H309" s="193" t="n">
        <v>0.1585</v>
      </c>
      <c r="I309" s="218" t="n">
        <v>4.5575</v>
      </c>
      <c r="J309" s="193" t="n">
        <v>4.5625</v>
      </c>
      <c r="K309" s="193" t="n">
        <v>-0.195</v>
      </c>
      <c r="L309" s="193" t="n">
        <v>0</v>
      </c>
      <c r="M309" s="193" t="n">
        <v>0.2575</v>
      </c>
      <c r="O309" s="189" t="e">
        <f aca="false">(IF(MONTH(B309)&gt;=4,IF(MONTH(B309)&lt;=10,Inputs!$H$2,Inputs!$H$3),Inputs!$H$3))</f>
        <v>#VALUE!</v>
      </c>
      <c r="P309" s="244" t="e">
        <f aca="false">J309+(IF($L$2=TRUE(),IF(MONTH(B309)&gt;=4,IF(MONTH(B309)&lt;=10,L309,M309),M309),0))+(IF('Pricing Inputs'!$AN$3=2,O309,0))</f>
        <v>#VALUE!</v>
      </c>
      <c r="Q309" s="244"/>
      <c r="R309" s="245" t="e">
        <f aca="false">B309</f>
        <v>#VALUE!</v>
      </c>
      <c r="S309" s="246" t="n">
        <f aca="false">T309-$S$16</f>
        <v>0.53</v>
      </c>
      <c r="T309" s="241" t="n">
        <f aca="false">D309</f>
        <v>0.6</v>
      </c>
      <c r="U309" s="247" t="n">
        <f aca="false">$U$16+T309</f>
        <v>0.67</v>
      </c>
      <c r="BP309" s="205" t="n">
        <f aca="false">BP308+BV309</f>
        <v>308</v>
      </c>
      <c r="BQ309" s="206" t="s">
        <v>592</v>
      </c>
      <c r="BR309" s="201" t="s">
        <v>203</v>
      </c>
      <c r="BS309" s="132" t="s">
        <v>204</v>
      </c>
      <c r="BT309" s="209" t="s">
        <v>205</v>
      </c>
      <c r="BU309" s="209"/>
      <c r="BV309" s="132" t="n">
        <v>1</v>
      </c>
      <c r="BW309" s="201" t="s">
        <v>1179</v>
      </c>
      <c r="BX309" s="0"/>
    </row>
    <row r="310" customFormat="false" ht="12.75" hidden="false" customHeight="false" outlineLevel="0" collapsed="false">
      <c r="A310" s="242"/>
      <c r="B310" s="192" t="e">
        <f aca="false">NextMonth(B309)</f>
        <v>#VALUE!</v>
      </c>
      <c r="C310" s="193" t="n">
        <v>0.073680464582057</v>
      </c>
      <c r="D310" s="193" t="n">
        <v>0.6</v>
      </c>
      <c r="E310" s="193" t="n">
        <v>0.6</v>
      </c>
      <c r="F310" s="193" t="n">
        <v>0.1435</v>
      </c>
      <c r="G310" s="193" t="n">
        <v>0.151</v>
      </c>
      <c r="H310" s="193" t="n">
        <v>0.1585</v>
      </c>
      <c r="I310" s="218" t="n">
        <v>4.6925</v>
      </c>
      <c r="J310" s="193" t="n">
        <v>4.6975</v>
      </c>
      <c r="K310" s="193" t="n">
        <v>-0.203</v>
      </c>
      <c r="L310" s="193" t="n">
        <v>0</v>
      </c>
      <c r="M310" s="193" t="n">
        <v>0.2525</v>
      </c>
      <c r="O310" s="189" t="e">
        <f aca="false">(IF(MONTH(B310)&gt;=4,IF(MONTH(B310)&lt;=10,Inputs!$H$2,Inputs!$H$3),Inputs!$H$3))</f>
        <v>#VALUE!</v>
      </c>
      <c r="P310" s="244" t="e">
        <f aca="false">J310+(IF($L$2=TRUE(),IF(MONTH(B310)&gt;=4,IF(MONTH(B310)&lt;=10,L310,M310),M310),0))+(IF('Pricing Inputs'!$AN$3=2,O310,0))</f>
        <v>#VALUE!</v>
      </c>
      <c r="Q310" s="244"/>
      <c r="R310" s="245" t="e">
        <f aca="false">B310</f>
        <v>#VALUE!</v>
      </c>
      <c r="S310" s="246" t="n">
        <f aca="false">T310-$S$16</f>
        <v>0.53</v>
      </c>
      <c r="T310" s="241" t="n">
        <f aca="false">D310</f>
        <v>0.6</v>
      </c>
      <c r="U310" s="247" t="n">
        <f aca="false">$U$16+T310</f>
        <v>0.67</v>
      </c>
      <c r="BP310" s="205" t="n">
        <f aca="false">BP309+BV310</f>
        <v>309</v>
      </c>
      <c r="BQ310" s="206" t="s">
        <v>596</v>
      </c>
      <c r="BR310" s="201" t="s">
        <v>203</v>
      </c>
      <c r="BS310" s="132" t="s">
        <v>204</v>
      </c>
      <c r="BT310" s="209" t="s">
        <v>205</v>
      </c>
      <c r="BU310" s="209"/>
      <c r="BV310" s="132" t="n">
        <v>1</v>
      </c>
      <c r="BW310" s="201" t="s">
        <v>1180</v>
      </c>
      <c r="BX310" s="0"/>
    </row>
    <row r="311" customFormat="false" ht="12.75" hidden="false" customHeight="false" outlineLevel="0" collapsed="false">
      <c r="A311" s="242"/>
      <c r="B311" s="192" t="e">
        <f aca="false">NextMonth(B310)</f>
        <v>#VALUE!</v>
      </c>
      <c r="C311" s="193" t="n">
        <v>0.073671527200104</v>
      </c>
      <c r="D311" s="193" t="n">
        <v>0.65</v>
      </c>
      <c r="E311" s="193" t="n">
        <v>0.65</v>
      </c>
      <c r="F311" s="193" t="n">
        <v>0.1435</v>
      </c>
      <c r="G311" s="193" t="n">
        <v>0.151</v>
      </c>
      <c r="H311" s="193" t="n">
        <v>0.1585</v>
      </c>
      <c r="I311" s="218" t="n">
        <v>4.8165</v>
      </c>
      <c r="J311" s="193" t="n">
        <v>4.8215</v>
      </c>
      <c r="K311" s="250" t="n">
        <v>-0.198</v>
      </c>
      <c r="L311" s="193" t="n">
        <v>0</v>
      </c>
      <c r="M311" s="193" t="n">
        <v>0.255</v>
      </c>
      <c r="BP311" s="205" t="n">
        <f aca="false">BP310+BV311</f>
        <v>310</v>
      </c>
      <c r="BQ311" s="206" t="s">
        <v>600</v>
      </c>
      <c r="BR311" s="201" t="s">
        <v>203</v>
      </c>
      <c r="BS311" s="132" t="s">
        <v>204</v>
      </c>
      <c r="BT311" s="209" t="s">
        <v>205</v>
      </c>
      <c r="BU311" s="209"/>
      <c r="BV311" s="132" t="n">
        <v>1</v>
      </c>
      <c r="BW311" s="201" t="s">
        <v>1181</v>
      </c>
      <c r="BX311" s="0"/>
    </row>
    <row r="312" customFormat="false" ht="12.75" hidden="false" customHeight="false" outlineLevel="0" collapsed="false">
      <c r="A312" s="242"/>
      <c r="B312" s="192" t="e">
        <f aca="false">NextMonth(B311)</f>
        <v>#VALUE!</v>
      </c>
      <c r="C312" s="193" t="n">
        <v>0.073662291905446</v>
      </c>
      <c r="D312" s="193" t="n">
        <v>0.95</v>
      </c>
      <c r="E312" s="193" t="n">
        <v>0.95</v>
      </c>
      <c r="F312" s="193" t="n">
        <v>0.1435</v>
      </c>
      <c r="G312" s="193" t="n">
        <v>0.151</v>
      </c>
      <c r="H312" s="193" t="n">
        <v>0.1585</v>
      </c>
      <c r="I312" s="218" t="n">
        <v>4.96</v>
      </c>
      <c r="J312" s="193" t="n">
        <v>4.965</v>
      </c>
      <c r="K312" s="250" t="n">
        <v>-0.205</v>
      </c>
      <c r="L312" s="193" t="n">
        <v>0</v>
      </c>
      <c r="M312" s="193" t="n">
        <v>0.715</v>
      </c>
      <c r="BP312" s="205" t="n">
        <f aca="false">BP311+BV312</f>
        <v>311</v>
      </c>
      <c r="BQ312" s="206" t="s">
        <v>604</v>
      </c>
      <c r="BR312" s="201" t="s">
        <v>203</v>
      </c>
      <c r="BS312" s="132" t="s">
        <v>204</v>
      </c>
      <c r="BT312" s="209" t="s">
        <v>205</v>
      </c>
      <c r="BU312" s="209"/>
      <c r="BV312" s="132" t="n">
        <v>1</v>
      </c>
      <c r="BW312" s="201" t="s">
        <v>1182</v>
      </c>
      <c r="BX312" s="0"/>
    </row>
    <row r="313" customFormat="false" ht="12.75" hidden="false" customHeight="false" outlineLevel="0" collapsed="false">
      <c r="A313" s="242"/>
      <c r="B313" s="192" t="e">
        <f aca="false">NextMonth(B312)</f>
        <v>#VALUE!</v>
      </c>
      <c r="C313" s="193" t="n">
        <v>0.073653354523546</v>
      </c>
      <c r="D313" s="193" t="n">
        <v>1.25</v>
      </c>
      <c r="E313" s="193" t="n">
        <v>1.25</v>
      </c>
      <c r="F313" s="193" t="n">
        <v>0.1435</v>
      </c>
      <c r="G313" s="193" t="n">
        <v>0.151</v>
      </c>
      <c r="H313" s="193" t="n">
        <v>0.1585</v>
      </c>
      <c r="I313" s="218" t="n">
        <v>4.842</v>
      </c>
      <c r="J313" s="193" t="n">
        <v>4.847</v>
      </c>
      <c r="K313" s="250" t="n">
        <v>-0.199</v>
      </c>
      <c r="L313" s="193" t="n">
        <v>0</v>
      </c>
      <c r="M313" s="193" t="n">
        <v>1.03</v>
      </c>
      <c r="BP313" s="205" t="n">
        <f aca="false">BP312+BV313</f>
        <v>312</v>
      </c>
      <c r="BQ313" s="206" t="s">
        <v>608</v>
      </c>
      <c r="BR313" s="201" t="s">
        <v>203</v>
      </c>
      <c r="BS313" s="132" t="s">
        <v>204</v>
      </c>
      <c r="BT313" s="209" t="s">
        <v>205</v>
      </c>
      <c r="BU313" s="209"/>
      <c r="BV313" s="132" t="n">
        <v>1</v>
      </c>
      <c r="BW313" s="201" t="s">
        <v>1183</v>
      </c>
      <c r="BX313" s="0"/>
    </row>
    <row r="314" customFormat="false" ht="12.75" hidden="false" customHeight="false" outlineLevel="0" collapsed="false">
      <c r="A314" s="242"/>
      <c r="B314" s="192" t="e">
        <f aca="false">NextMonth(B313)</f>
        <v>#VALUE!</v>
      </c>
      <c r="C314" s="193" t="n">
        <v>0.073644119228944</v>
      </c>
      <c r="D314" s="193" t="n">
        <v>1.45</v>
      </c>
      <c r="E314" s="193" t="n">
        <v>1.45</v>
      </c>
      <c r="F314" s="193" t="n">
        <v>0.1435</v>
      </c>
      <c r="G314" s="193" t="n">
        <v>0.151</v>
      </c>
      <c r="H314" s="193" t="n">
        <v>0.1585</v>
      </c>
      <c r="I314" s="218" t="n">
        <v>4.722</v>
      </c>
      <c r="J314" s="193" t="n">
        <v>4.727</v>
      </c>
      <c r="K314" s="250" t="n">
        <v>-0.19</v>
      </c>
      <c r="L314" s="193" t="n">
        <v>0</v>
      </c>
      <c r="M314" s="193" t="n">
        <v>1.495</v>
      </c>
      <c r="BP314" s="205" t="n">
        <f aca="false">BP313+BV314</f>
        <v>313</v>
      </c>
      <c r="BQ314" s="206" t="s">
        <v>612</v>
      </c>
      <c r="BR314" s="201" t="s">
        <v>203</v>
      </c>
      <c r="BS314" s="132" t="s">
        <v>204</v>
      </c>
      <c r="BT314" s="209" t="s">
        <v>205</v>
      </c>
      <c r="BU314" s="209"/>
      <c r="BV314" s="132" t="n">
        <v>1</v>
      </c>
      <c r="BW314" s="201" t="s">
        <v>1184</v>
      </c>
      <c r="BX314" s="0"/>
    </row>
    <row r="315" customFormat="false" ht="12.75" hidden="false" customHeight="false" outlineLevel="0" collapsed="false">
      <c r="A315" s="242"/>
      <c r="B315" s="192" t="e">
        <f aca="false">NextMonth(B314)</f>
        <v>#VALUE!</v>
      </c>
      <c r="C315" s="193" t="n">
        <v>0.073634883934369</v>
      </c>
      <c r="D315" s="193" t="n">
        <v>1.45</v>
      </c>
      <c r="E315" s="193" t="n">
        <v>1.45</v>
      </c>
      <c r="F315" s="193" t="n">
        <v>0.1435</v>
      </c>
      <c r="G315" s="193" t="n">
        <v>0.151</v>
      </c>
      <c r="H315" s="193" t="n">
        <v>0.1585</v>
      </c>
      <c r="I315" s="218" t="n">
        <v>4.6725</v>
      </c>
      <c r="J315" s="193" t="n">
        <v>4.6775</v>
      </c>
      <c r="K315" s="250" t="n">
        <v>-0.186</v>
      </c>
      <c r="L315" s="193" t="n">
        <v>0</v>
      </c>
      <c r="M315" s="193" t="n">
        <v>1.395</v>
      </c>
      <c r="BP315" s="205" t="n">
        <f aca="false">BP314+BV315</f>
        <v>314</v>
      </c>
      <c r="BQ315" s="206" t="s">
        <v>616</v>
      </c>
      <c r="BR315" s="201" t="s">
        <v>203</v>
      </c>
      <c r="BS315" s="132" t="s">
        <v>204</v>
      </c>
      <c r="BT315" s="209" t="s">
        <v>205</v>
      </c>
      <c r="BU315" s="209"/>
      <c r="BV315" s="132" t="n">
        <v>1</v>
      </c>
      <c r="BW315" s="201" t="s">
        <v>1185</v>
      </c>
      <c r="BX315" s="0"/>
    </row>
    <row r="316" customFormat="false" ht="12.75" hidden="false" customHeight="false" outlineLevel="0" collapsed="false">
      <c r="A316" s="242"/>
      <c r="B316" s="192" t="e">
        <f aca="false">NextMonth(B315)</f>
        <v>#VALUE!</v>
      </c>
      <c r="C316" s="193" t="n">
        <v>0.073626542378005</v>
      </c>
      <c r="D316" s="193" t="n">
        <v>1</v>
      </c>
      <c r="E316" s="193" t="n">
        <v>1</v>
      </c>
      <c r="F316" s="193" t="n">
        <v>0.1435</v>
      </c>
      <c r="G316" s="193" t="n">
        <v>0.151</v>
      </c>
      <c r="H316" s="193" t="n">
        <v>0.1585</v>
      </c>
      <c r="I316" s="218" t="n">
        <v>4.6465</v>
      </c>
      <c r="J316" s="193" t="n">
        <v>4.6515</v>
      </c>
      <c r="K316" s="250" t="n">
        <v>-0.172</v>
      </c>
      <c r="L316" s="193" t="n">
        <v>0</v>
      </c>
      <c r="M316" s="193" t="n">
        <v>0.865</v>
      </c>
      <c r="BP316" s="205" t="n">
        <f aca="false">BP315+BV316</f>
        <v>315</v>
      </c>
      <c r="BQ316" s="206" t="s">
        <v>620</v>
      </c>
      <c r="BR316" s="201" t="s">
        <v>203</v>
      </c>
      <c r="BS316" s="132" t="s">
        <v>204</v>
      </c>
      <c r="BT316" s="209" t="s">
        <v>205</v>
      </c>
      <c r="BU316" s="209"/>
      <c r="BV316" s="132" t="n">
        <v>1</v>
      </c>
      <c r="BW316" s="201" t="s">
        <v>1186</v>
      </c>
      <c r="BX316" s="0"/>
    </row>
    <row r="317" customFormat="false" ht="12.75" hidden="false" customHeight="false" outlineLevel="0" collapsed="false">
      <c r="A317" s="242"/>
      <c r="B317" s="192" t="e">
        <f aca="false">NextMonth(B316)</f>
        <v>#VALUE!</v>
      </c>
      <c r="C317" s="193" t="n">
        <v>0.073617307083484</v>
      </c>
      <c r="D317" s="193" t="n">
        <v>0.45</v>
      </c>
      <c r="E317" s="193" t="n">
        <v>0.45</v>
      </c>
      <c r="F317" s="193" t="n">
        <v>0.1435</v>
      </c>
      <c r="G317" s="193" t="n">
        <v>0.151</v>
      </c>
      <c r="H317" s="193" t="n">
        <v>0.1585</v>
      </c>
      <c r="I317" s="218"/>
      <c r="K317" s="250"/>
      <c r="L317" s="193" t="n">
        <v>0</v>
      </c>
      <c r="M317" s="193" t="n">
        <v>0.37</v>
      </c>
      <c r="BP317" s="205" t="n">
        <f aca="false">BP316+BV317</f>
        <v>316</v>
      </c>
      <c r="BQ317" s="206" t="s">
        <v>624</v>
      </c>
      <c r="BR317" s="201" t="s">
        <v>203</v>
      </c>
      <c r="BS317" s="132" t="s">
        <v>204</v>
      </c>
      <c r="BT317" s="209" t="s">
        <v>205</v>
      </c>
      <c r="BU317" s="209"/>
      <c r="BV317" s="132" t="n">
        <v>1</v>
      </c>
      <c r="BW317" s="201" t="s">
        <v>1187</v>
      </c>
      <c r="BX317" s="0"/>
    </row>
    <row r="318" customFormat="false" ht="12.75" hidden="false" customHeight="false" outlineLevel="0" collapsed="false">
      <c r="A318" s="242"/>
      <c r="B318" s="192" t="e">
        <f aca="false">NextMonth(B317)</f>
        <v>#VALUE!</v>
      </c>
      <c r="C318" s="193" t="n">
        <v>0.073608369701716</v>
      </c>
      <c r="D318" s="193" t="n">
        <v>0.5</v>
      </c>
      <c r="E318" s="193" t="n">
        <v>0.5</v>
      </c>
      <c r="F318" s="193" t="n">
        <v>0.1435</v>
      </c>
      <c r="G318" s="193" t="n">
        <v>0.151</v>
      </c>
      <c r="H318" s="193" t="n">
        <v>0.1585</v>
      </c>
      <c r="I318" s="218"/>
      <c r="K318" s="250"/>
      <c r="L318" s="193" t="n">
        <v>0</v>
      </c>
      <c r="M318" s="193" t="n">
        <v>0.2525</v>
      </c>
      <c r="BP318" s="205" t="n">
        <f aca="false">BP317+BV318</f>
        <v>317</v>
      </c>
      <c r="BQ318" s="206" t="s">
        <v>628</v>
      </c>
      <c r="BR318" s="201" t="s">
        <v>203</v>
      </c>
      <c r="BS318" s="132" t="s">
        <v>204</v>
      </c>
      <c r="BT318" s="209" t="s">
        <v>205</v>
      </c>
      <c r="BU318" s="209"/>
      <c r="BV318" s="132" t="n">
        <v>1</v>
      </c>
      <c r="BW318" s="201" t="s">
        <v>1188</v>
      </c>
      <c r="BX318" s="0"/>
    </row>
    <row r="319" customFormat="false" ht="12.75" hidden="false" customHeight="false" outlineLevel="0" collapsed="false">
      <c r="A319" s="242"/>
      <c r="B319" s="192" t="e">
        <f aca="false">NextMonth(B318)</f>
        <v>#VALUE!</v>
      </c>
      <c r="C319" s="193" t="n">
        <v>0.073599134407251</v>
      </c>
      <c r="D319" s="193" t="n">
        <v>0.5</v>
      </c>
      <c r="E319" s="193" t="n">
        <v>0.5</v>
      </c>
      <c r="F319" s="193" t="n">
        <v>0.1435</v>
      </c>
      <c r="G319" s="193" t="n">
        <v>0.151</v>
      </c>
      <c r="H319" s="193" t="n">
        <v>0.1585</v>
      </c>
      <c r="I319" s="218"/>
      <c r="K319" s="250"/>
      <c r="L319" s="193" t="n">
        <v>0</v>
      </c>
      <c r="M319" s="193" t="n">
        <v>0.2525</v>
      </c>
      <c r="BP319" s="205" t="n">
        <f aca="false">BP318+BV319</f>
        <v>318</v>
      </c>
      <c r="BQ319" s="206" t="s">
        <v>632</v>
      </c>
      <c r="BR319" s="201" t="s">
        <v>203</v>
      </c>
      <c r="BS319" s="132" t="s">
        <v>204</v>
      </c>
      <c r="BT319" s="209" t="s">
        <v>205</v>
      </c>
      <c r="BU319" s="209"/>
      <c r="BV319" s="132" t="n">
        <v>1</v>
      </c>
      <c r="BW319" s="201" t="s">
        <v>1189</v>
      </c>
      <c r="BX319" s="0"/>
    </row>
    <row r="320" customFormat="false" ht="12.75" hidden="false" customHeight="false" outlineLevel="0" collapsed="false">
      <c r="A320" s="242"/>
      <c r="B320" s="192" t="e">
        <f aca="false">NextMonth(B319)</f>
        <v>#VALUE!</v>
      </c>
      <c r="C320" s="193" t="n">
        <v>0.073590197025537</v>
      </c>
      <c r="D320" s="193" t="n">
        <v>0.5</v>
      </c>
      <c r="E320" s="193" t="n">
        <v>0.5</v>
      </c>
      <c r="F320" s="193" t="n">
        <v>0.1435</v>
      </c>
      <c r="G320" s="193" t="n">
        <v>0.151</v>
      </c>
      <c r="H320" s="193" t="n">
        <v>0.1585</v>
      </c>
      <c r="I320" s="218"/>
      <c r="K320" s="250"/>
      <c r="L320" s="193" t="n">
        <v>0</v>
      </c>
      <c r="M320" s="193" t="n">
        <v>0.2575</v>
      </c>
      <c r="BP320" s="205" t="n">
        <f aca="false">BP319+BV320</f>
        <v>319</v>
      </c>
      <c r="BQ320" s="206" t="s">
        <v>636</v>
      </c>
      <c r="BR320" s="201" t="s">
        <v>203</v>
      </c>
      <c r="BS320" s="132" t="s">
        <v>204</v>
      </c>
      <c r="BT320" s="209" t="s">
        <v>205</v>
      </c>
      <c r="BU320" s="209"/>
      <c r="BV320" s="132" t="n">
        <v>1</v>
      </c>
      <c r="BW320" s="201" t="s">
        <v>1190</v>
      </c>
      <c r="BX320" s="0"/>
    </row>
    <row r="321" customFormat="false" ht="12.75" hidden="false" customHeight="false" outlineLevel="0" collapsed="false">
      <c r="A321" s="242"/>
      <c r="B321" s="192" t="e">
        <f aca="false">NextMonth(B320)</f>
        <v>#VALUE!</v>
      </c>
      <c r="C321" s="193" t="n">
        <v>0.073580961731128</v>
      </c>
      <c r="D321" s="193" t="n">
        <v>0.6</v>
      </c>
      <c r="E321" s="193" t="n">
        <v>0.6</v>
      </c>
      <c r="F321" s="193" t="n">
        <v>0.1435</v>
      </c>
      <c r="G321" s="193" t="n">
        <v>0.151</v>
      </c>
      <c r="H321" s="193" t="n">
        <v>0.1585</v>
      </c>
      <c r="I321" s="218"/>
      <c r="K321" s="250"/>
      <c r="L321" s="193" t="n">
        <v>0</v>
      </c>
      <c r="M321" s="193" t="n">
        <v>0.2575</v>
      </c>
      <c r="BP321" s="205" t="n">
        <f aca="false">BP320+BV321</f>
        <v>320</v>
      </c>
      <c r="BQ321" s="206" t="s">
        <v>640</v>
      </c>
      <c r="BR321" s="201" t="s">
        <v>203</v>
      </c>
      <c r="BS321" s="132" t="s">
        <v>204</v>
      </c>
      <c r="BT321" s="209" t="s">
        <v>205</v>
      </c>
      <c r="BU321" s="209"/>
      <c r="BV321" s="132" t="n">
        <v>1</v>
      </c>
      <c r="BW321" s="201" t="s">
        <v>1191</v>
      </c>
      <c r="BX321" s="0"/>
    </row>
    <row r="322" customFormat="false" ht="12.75" hidden="false" customHeight="false" outlineLevel="0" collapsed="false">
      <c r="A322" s="242"/>
      <c r="B322" s="192" t="e">
        <f aca="false">NextMonth(B321)</f>
        <v>#VALUE!</v>
      </c>
      <c r="C322" s="193" t="n">
        <v>0.073571726436746</v>
      </c>
      <c r="D322" s="193" t="n">
        <v>0.6</v>
      </c>
      <c r="E322" s="193" t="n">
        <v>0.6</v>
      </c>
      <c r="I322" s="218"/>
      <c r="K322" s="250"/>
      <c r="L322" s="193" t="n">
        <v>0</v>
      </c>
      <c r="M322" s="193" t="n">
        <v>0.2525</v>
      </c>
      <c r="BP322" s="205" t="n">
        <f aca="false">BP321+BV322</f>
        <v>321</v>
      </c>
      <c r="BQ322" s="206" t="s">
        <v>644</v>
      </c>
      <c r="BR322" s="201" t="s">
        <v>203</v>
      </c>
      <c r="BS322" s="132" t="s">
        <v>204</v>
      </c>
      <c r="BT322" s="209" t="s">
        <v>205</v>
      </c>
      <c r="BU322" s="209"/>
      <c r="BV322" s="132" t="n">
        <v>1</v>
      </c>
      <c r="BW322" s="201" t="s">
        <v>1192</v>
      </c>
      <c r="BX322" s="0"/>
    </row>
    <row r="323" customFormat="false" ht="12.75" hidden="false" customHeight="false" outlineLevel="0" collapsed="false">
      <c r="A323" s="242"/>
      <c r="B323" s="192" t="e">
        <f aca="false">NextMonth(B322)</f>
        <v>#VALUE!</v>
      </c>
      <c r="C323" s="193" t="n">
        <v>0.073562789055113</v>
      </c>
      <c r="D323" s="193" t="n">
        <v>0.65</v>
      </c>
      <c r="E323" s="193" t="n">
        <v>0.65</v>
      </c>
      <c r="I323" s="218"/>
      <c r="K323" s="250"/>
      <c r="L323" s="193" t="n">
        <v>0</v>
      </c>
      <c r="M323" s="193" t="n">
        <v>0.255</v>
      </c>
      <c r="BP323" s="205" t="n">
        <f aca="false">BP322+BV323</f>
        <v>322</v>
      </c>
      <c r="BQ323" s="206" t="s">
        <v>648</v>
      </c>
      <c r="BR323" s="201" t="s">
        <v>203</v>
      </c>
      <c r="BS323" s="132" t="s">
        <v>204</v>
      </c>
      <c r="BT323" s="209" t="s">
        <v>205</v>
      </c>
      <c r="BU323" s="209"/>
      <c r="BV323" s="132" t="n">
        <v>1</v>
      </c>
      <c r="BW323" s="201" t="s">
        <v>1193</v>
      </c>
      <c r="BX323" s="0"/>
    </row>
    <row r="324" customFormat="false" ht="12.75" hidden="false" customHeight="false" outlineLevel="0" collapsed="false">
      <c r="A324" s="242"/>
      <c r="B324" s="192" t="e">
        <f aca="false">NextMonth(B323)</f>
        <v>#VALUE!</v>
      </c>
      <c r="C324" s="193" t="n">
        <v>0.073553553760787</v>
      </c>
      <c r="D324" s="193" t="n">
        <v>0.95</v>
      </c>
      <c r="E324" s="193" t="n">
        <v>0.95</v>
      </c>
      <c r="I324" s="218"/>
      <c r="K324" s="250"/>
      <c r="L324" s="193" t="n">
        <v>0</v>
      </c>
      <c r="M324" s="193" t="n">
        <v>0.715</v>
      </c>
      <c r="BP324" s="205" t="n">
        <f aca="false">BP323+BV324</f>
        <v>323</v>
      </c>
      <c r="BQ324" s="206" t="s">
        <v>652</v>
      </c>
      <c r="BR324" s="201" t="s">
        <v>203</v>
      </c>
      <c r="BS324" s="132" t="s">
        <v>204</v>
      </c>
      <c r="BT324" s="209" t="s">
        <v>205</v>
      </c>
      <c r="BU324" s="209"/>
      <c r="BV324" s="132" t="n">
        <v>1</v>
      </c>
      <c r="BW324" s="201" t="s">
        <v>1194</v>
      </c>
      <c r="BX324" s="0"/>
    </row>
    <row r="325" customFormat="false" ht="12.75" hidden="false" customHeight="false" outlineLevel="0" collapsed="false">
      <c r="A325" s="242"/>
      <c r="B325" s="192" t="e">
        <f aca="false">NextMonth(B324)</f>
        <v>#VALUE!</v>
      </c>
      <c r="C325" s="193" t="n">
        <v>0.073544616379208</v>
      </c>
      <c r="D325" s="193" t="n">
        <v>1.25</v>
      </c>
      <c r="E325" s="193" t="n">
        <v>1.25</v>
      </c>
      <c r="I325" s="218"/>
      <c r="K325" s="250"/>
      <c r="L325" s="193" t="n">
        <v>0</v>
      </c>
      <c r="M325" s="193" t="n">
        <v>1.03</v>
      </c>
      <c r="BP325" s="205" t="n">
        <f aca="false">BP324+BV325</f>
        <v>324</v>
      </c>
      <c r="BQ325" s="206" t="s">
        <v>656</v>
      </c>
      <c r="BR325" s="201" t="s">
        <v>203</v>
      </c>
      <c r="BS325" s="132" t="s">
        <v>204</v>
      </c>
      <c r="BT325" s="209" t="s">
        <v>205</v>
      </c>
      <c r="BU325" s="209"/>
      <c r="BV325" s="132" t="n">
        <v>1</v>
      </c>
      <c r="BW325" s="201" t="s">
        <v>1195</v>
      </c>
      <c r="BX325" s="0"/>
    </row>
    <row r="326" customFormat="false" ht="12.75" hidden="false" customHeight="false" outlineLevel="0" collapsed="false">
      <c r="A326" s="242"/>
      <c r="B326" s="192" t="e">
        <f aca="false">NextMonth(B325)</f>
        <v>#VALUE!</v>
      </c>
      <c r="C326" s="193" t="n">
        <v>0.073535381084937</v>
      </c>
      <c r="D326" s="193" t="n">
        <v>1.45</v>
      </c>
      <c r="E326" s="193" t="n">
        <v>1.45</v>
      </c>
      <c r="I326" s="218"/>
      <c r="K326" s="250"/>
      <c r="L326" s="193" t="n">
        <v>0</v>
      </c>
      <c r="M326" s="193" t="n">
        <v>1.495</v>
      </c>
      <c r="BP326" s="205" t="n">
        <f aca="false">BP325+BV326</f>
        <v>325</v>
      </c>
      <c r="BQ326" s="206" t="s">
        <v>660</v>
      </c>
      <c r="BR326" s="201" t="s">
        <v>203</v>
      </c>
      <c r="BS326" s="132" t="s">
        <v>204</v>
      </c>
      <c r="BT326" s="209" t="s">
        <v>205</v>
      </c>
      <c r="BU326" s="209"/>
      <c r="BV326" s="132" t="n">
        <v>1</v>
      </c>
      <c r="BW326" s="201" t="s">
        <v>1196</v>
      </c>
      <c r="BX326" s="0"/>
    </row>
    <row r="327" customFormat="false" ht="12.75" hidden="false" customHeight="false" outlineLevel="0" collapsed="false">
      <c r="A327" s="242"/>
      <c r="B327" s="192" t="e">
        <f aca="false">NextMonth(B326)</f>
        <v>#VALUE!</v>
      </c>
      <c r="C327" s="193" t="n">
        <v>0.073526145790694</v>
      </c>
      <c r="D327" s="193" t="n">
        <v>1.45</v>
      </c>
      <c r="E327" s="193" t="n">
        <v>1.45</v>
      </c>
      <c r="I327" s="218"/>
      <c r="K327" s="250"/>
      <c r="L327" s="193" t="n">
        <v>0</v>
      </c>
      <c r="M327" s="193" t="n">
        <v>1.395</v>
      </c>
      <c r="BP327" s="205" t="n">
        <f aca="false">BP326+BV327</f>
        <v>326</v>
      </c>
      <c r="BQ327" s="206" t="s">
        <v>664</v>
      </c>
      <c r="BR327" s="201" t="s">
        <v>203</v>
      </c>
      <c r="BS327" s="132" t="s">
        <v>204</v>
      </c>
      <c r="BT327" s="209" t="s">
        <v>205</v>
      </c>
      <c r="BU327" s="209"/>
      <c r="BV327" s="132" t="n">
        <v>1</v>
      </c>
      <c r="BW327" s="201" t="s">
        <v>1197</v>
      </c>
      <c r="BX327" s="0"/>
    </row>
    <row r="328" customFormat="false" ht="12.75" hidden="false" customHeight="false" outlineLevel="0" collapsed="false">
      <c r="A328" s="242"/>
      <c r="B328" s="192" t="e">
        <f aca="false">NextMonth(B327)</f>
        <v>#VALUE!</v>
      </c>
      <c r="C328" s="193" t="n">
        <v>0.073517804234629</v>
      </c>
      <c r="D328" s="193" t="n">
        <v>1</v>
      </c>
      <c r="E328" s="193" t="n">
        <v>1</v>
      </c>
      <c r="I328" s="218"/>
      <c r="K328" s="250"/>
      <c r="L328" s="193" t="n">
        <v>0</v>
      </c>
      <c r="M328" s="193" t="n">
        <v>0.865</v>
      </c>
      <c r="BP328" s="205" t="n">
        <f aca="false">BP327+BV328</f>
        <v>327</v>
      </c>
      <c r="BQ328" s="206" t="s">
        <v>668</v>
      </c>
      <c r="BR328" s="201" t="s">
        <v>203</v>
      </c>
      <c r="BS328" s="132" t="s">
        <v>204</v>
      </c>
      <c r="BT328" s="209" t="s">
        <v>205</v>
      </c>
      <c r="BU328" s="209"/>
      <c r="BV328" s="132" t="n">
        <v>1</v>
      </c>
      <c r="BW328" s="201" t="s">
        <v>1198</v>
      </c>
      <c r="BX328" s="0"/>
    </row>
    <row r="329" customFormat="false" ht="12.75" hidden="false" customHeight="false" outlineLevel="0" collapsed="false">
      <c r="A329" s="242"/>
      <c r="B329" s="192" t="e">
        <f aca="false">NextMonth(B328)</f>
        <v>#VALUE!</v>
      </c>
      <c r="C329" s="193" t="n">
        <v>0.073508568940439</v>
      </c>
      <c r="D329" s="193" t="n">
        <v>0.45</v>
      </c>
      <c r="E329" s="193" t="n">
        <v>0.45</v>
      </c>
      <c r="I329" s="218"/>
      <c r="K329" s="250"/>
      <c r="L329" s="193" t="n">
        <v>0</v>
      </c>
      <c r="M329" s="193" t="n">
        <v>0.37</v>
      </c>
      <c r="BP329" s="205" t="n">
        <f aca="false">BP328+BV329</f>
        <v>328</v>
      </c>
      <c r="BQ329" s="206" t="s">
        <v>671</v>
      </c>
      <c r="BR329" s="201" t="s">
        <v>203</v>
      </c>
      <c r="BS329" s="132" t="s">
        <v>204</v>
      </c>
      <c r="BT329" s="209" t="s">
        <v>205</v>
      </c>
      <c r="BU329" s="209"/>
      <c r="BV329" s="132" t="n">
        <v>1</v>
      </c>
      <c r="BW329" s="201" t="s">
        <v>1199</v>
      </c>
      <c r="BX329" s="0"/>
    </row>
    <row r="330" customFormat="false" ht="12.75" hidden="false" customHeight="false" outlineLevel="0" collapsed="false">
      <c r="A330" s="242"/>
      <c r="B330" s="192" t="e">
        <f aca="false">NextMonth(B329)</f>
        <v>#VALUE!</v>
      </c>
      <c r="C330" s="193" t="n">
        <v>0.073499631559</v>
      </c>
      <c r="D330" s="193" t="n">
        <v>0.5</v>
      </c>
      <c r="E330" s="193" t="n">
        <v>0.5</v>
      </c>
      <c r="I330" s="218"/>
      <c r="K330" s="250"/>
      <c r="L330" s="193" t="n">
        <v>0</v>
      </c>
      <c r="M330" s="193" t="n">
        <v>0.2525</v>
      </c>
      <c r="BP330" s="205" t="n">
        <f aca="false">BP329+BV330</f>
        <v>329</v>
      </c>
      <c r="BQ330" s="206" t="s">
        <v>675</v>
      </c>
      <c r="BR330" s="201" t="s">
        <v>203</v>
      </c>
      <c r="BS330" s="132" t="s">
        <v>204</v>
      </c>
      <c r="BT330" s="209" t="s">
        <v>205</v>
      </c>
      <c r="BU330" s="209"/>
      <c r="BV330" s="132" t="n">
        <v>1</v>
      </c>
      <c r="BW330" s="201" t="s">
        <v>1200</v>
      </c>
      <c r="BX330" s="0"/>
    </row>
    <row r="331" customFormat="false" ht="12.75" hidden="false" customHeight="false" outlineLevel="0" collapsed="false">
      <c r="A331" s="242"/>
      <c r="B331" s="192" t="e">
        <f aca="false">NextMonth(B330)</f>
        <v>#VALUE!</v>
      </c>
      <c r="C331" s="193" t="n">
        <v>0.073490396264859</v>
      </c>
      <c r="D331" s="193" t="n">
        <v>0.5</v>
      </c>
      <c r="E331" s="193" t="n">
        <v>0.5</v>
      </c>
      <c r="I331" s="218"/>
      <c r="K331" s="250"/>
      <c r="L331" s="193" t="n">
        <v>0</v>
      </c>
      <c r="M331" s="193" t="n">
        <v>0.2525</v>
      </c>
      <c r="BP331" s="205" t="n">
        <f aca="false">BP330+BV331</f>
        <v>330</v>
      </c>
      <c r="BQ331" s="206" t="s">
        <v>679</v>
      </c>
      <c r="BR331" s="201" t="s">
        <v>203</v>
      </c>
      <c r="BS331" s="132" t="s">
        <v>204</v>
      </c>
      <c r="BT331" s="209" t="s">
        <v>205</v>
      </c>
      <c r="BU331" s="209"/>
      <c r="BV331" s="132" t="n">
        <v>1</v>
      </c>
      <c r="BW331" s="201" t="s">
        <v>1201</v>
      </c>
      <c r="BX331" s="0"/>
    </row>
    <row r="332" customFormat="false" ht="12.75" hidden="false" customHeight="false" outlineLevel="0" collapsed="false">
      <c r="A332" s="242"/>
      <c r="B332" s="192" t="e">
        <f aca="false">NextMonth(B331)</f>
        <v>#VALUE!</v>
      </c>
      <c r="C332" s="193" t="n">
        <v>0.073481458883466</v>
      </c>
      <c r="D332" s="193" t="n">
        <v>0.5</v>
      </c>
      <c r="E332" s="193" t="n">
        <v>0.5</v>
      </c>
      <c r="I332" s="218"/>
      <c r="K332" s="250"/>
      <c r="L332" s="193" t="n">
        <v>0</v>
      </c>
      <c r="M332" s="193" t="n">
        <v>0.2575</v>
      </c>
      <c r="BP332" s="205" t="n">
        <f aca="false">BP331+BV332</f>
        <v>331</v>
      </c>
      <c r="BQ332" s="206" t="s">
        <v>683</v>
      </c>
      <c r="BR332" s="201" t="s">
        <v>203</v>
      </c>
      <c r="BS332" s="132" t="s">
        <v>204</v>
      </c>
      <c r="BT332" s="209" t="s">
        <v>205</v>
      </c>
      <c r="BU332" s="209"/>
      <c r="BV332" s="132" t="n">
        <v>1</v>
      </c>
      <c r="BW332" s="201" t="s">
        <v>1202</v>
      </c>
      <c r="BX332" s="0"/>
    </row>
    <row r="333" customFormat="false" ht="12.75" hidden="false" customHeight="false" outlineLevel="0" collapsed="false">
      <c r="A333" s="242"/>
      <c r="B333" s="192" t="e">
        <f aca="false">NextMonth(B332)</f>
        <v>#VALUE!</v>
      </c>
      <c r="C333" s="193" t="n">
        <v>0.073472223589388</v>
      </c>
      <c r="D333" s="193" t="n">
        <v>0.6</v>
      </c>
      <c r="E333" s="193" t="n">
        <v>0.6</v>
      </c>
      <c r="I333" s="218"/>
      <c r="K333" s="250"/>
      <c r="L333" s="193" t="n">
        <v>0</v>
      </c>
      <c r="M333" s="193" t="n">
        <v>0.2575</v>
      </c>
      <c r="BP333" s="205" t="n">
        <f aca="false">BP332+BV333</f>
        <v>332</v>
      </c>
      <c r="BQ333" s="206" t="s">
        <v>687</v>
      </c>
      <c r="BR333" s="201" t="s">
        <v>203</v>
      </c>
      <c r="BS333" s="132" t="s">
        <v>204</v>
      </c>
      <c r="BT333" s="209" t="s">
        <v>205</v>
      </c>
      <c r="BU333" s="209"/>
      <c r="BV333" s="132" t="n">
        <v>1</v>
      </c>
      <c r="BW333" s="201" t="s">
        <v>1203</v>
      </c>
      <c r="BX333" s="0"/>
    </row>
    <row r="334" customFormat="false" ht="12.75" hidden="false" customHeight="false" outlineLevel="0" collapsed="false">
      <c r="A334" s="242"/>
      <c r="B334" s="192" t="e">
        <f aca="false">NextMonth(B333)</f>
        <v>#VALUE!</v>
      </c>
      <c r="C334" s="193" t="n">
        <v>0.073462988295338</v>
      </c>
      <c r="D334" s="193" t="n">
        <v>0.6</v>
      </c>
      <c r="E334" s="193" t="n">
        <v>0.6</v>
      </c>
      <c r="I334" s="218"/>
      <c r="K334" s="250"/>
      <c r="L334" s="193" t="n">
        <v>0</v>
      </c>
      <c r="M334" s="193" t="n">
        <v>0.2525</v>
      </c>
      <c r="BP334" s="205" t="n">
        <f aca="false">BP333+BV334</f>
        <v>333</v>
      </c>
      <c r="BQ334" s="206" t="s">
        <v>691</v>
      </c>
      <c r="BR334" s="201" t="s">
        <v>203</v>
      </c>
      <c r="BS334" s="132" t="s">
        <v>204</v>
      </c>
      <c r="BT334" s="209" t="s">
        <v>205</v>
      </c>
      <c r="BU334" s="209"/>
      <c r="BV334" s="132" t="n">
        <v>1</v>
      </c>
      <c r="BW334" s="201" t="s">
        <v>1204</v>
      </c>
      <c r="BX334" s="0"/>
    </row>
    <row r="335" customFormat="false" ht="12.75" hidden="false" customHeight="false" outlineLevel="0" collapsed="false">
      <c r="A335" s="242"/>
      <c r="B335" s="192" t="e">
        <f aca="false">NextMonth(B334)</f>
        <v>#VALUE!</v>
      </c>
      <c r="C335" s="193" t="n">
        <v>0.073454050914026</v>
      </c>
      <c r="D335" s="193" t="n">
        <v>0.65</v>
      </c>
      <c r="E335" s="193" t="n">
        <v>0.65</v>
      </c>
      <c r="I335" s="218"/>
      <c r="K335" s="250"/>
      <c r="L335" s="193" t="n">
        <v>0</v>
      </c>
      <c r="M335" s="193" t="n">
        <v>0.255</v>
      </c>
      <c r="BP335" s="205" t="n">
        <f aca="false">BP334+BV335</f>
        <v>334</v>
      </c>
      <c r="BQ335" s="206" t="s">
        <v>695</v>
      </c>
      <c r="BR335" s="201" t="s">
        <v>203</v>
      </c>
      <c r="BS335" s="132" t="s">
        <v>204</v>
      </c>
      <c r="BT335" s="209" t="s">
        <v>205</v>
      </c>
      <c r="BU335" s="209"/>
      <c r="BV335" s="132" t="n">
        <v>1</v>
      </c>
      <c r="BW335" s="201" t="s">
        <v>1205</v>
      </c>
      <c r="BX335" s="0"/>
    </row>
    <row r="336" customFormat="false" ht="12.75" hidden="false" customHeight="false" outlineLevel="0" collapsed="false">
      <c r="A336" s="242"/>
      <c r="B336" s="192" t="e">
        <f aca="false">NextMonth(B335)</f>
        <v>#VALUE!</v>
      </c>
      <c r="C336" s="193" t="n">
        <v>0.073444815620031</v>
      </c>
      <c r="D336" s="193" t="n">
        <v>0.95</v>
      </c>
      <c r="E336" s="193" t="n">
        <v>0.95</v>
      </c>
      <c r="I336" s="218"/>
      <c r="K336" s="250"/>
      <c r="L336" s="193" t="n">
        <v>0</v>
      </c>
      <c r="M336" s="193" t="n">
        <v>0.715</v>
      </c>
      <c r="BP336" s="205" t="n">
        <f aca="false">BP335+BV336</f>
        <v>335</v>
      </c>
      <c r="BQ336" s="206" t="s">
        <v>699</v>
      </c>
      <c r="BR336" s="201" t="s">
        <v>203</v>
      </c>
      <c r="BS336" s="132" t="s">
        <v>204</v>
      </c>
      <c r="BT336" s="209" t="s">
        <v>205</v>
      </c>
      <c r="BU336" s="209"/>
      <c r="BV336" s="132" t="n">
        <v>1</v>
      </c>
      <c r="BW336" s="201" t="s">
        <v>1206</v>
      </c>
      <c r="BX336" s="0"/>
    </row>
    <row r="337" customFormat="false" ht="12.75" hidden="false" customHeight="false" outlineLevel="0" collapsed="false">
      <c r="A337" s="242"/>
      <c r="B337" s="192" t="e">
        <f aca="false">NextMonth(B336)</f>
        <v>#VALUE!</v>
      </c>
      <c r="C337" s="193" t="n">
        <v>0.073435878238773</v>
      </c>
      <c r="D337" s="193" t="n">
        <v>1.25</v>
      </c>
      <c r="E337" s="193" t="n">
        <v>1.25</v>
      </c>
      <c r="I337" s="218"/>
      <c r="K337" s="250"/>
      <c r="L337" s="193" t="n">
        <v>0</v>
      </c>
      <c r="M337" s="193" t="n">
        <v>1.03</v>
      </c>
      <c r="BP337" s="205" t="n">
        <f aca="false">BP336+BV337</f>
        <v>336</v>
      </c>
      <c r="BQ337" s="206" t="s">
        <v>703</v>
      </c>
      <c r="BR337" s="201" t="s">
        <v>203</v>
      </c>
      <c r="BS337" s="132" t="s">
        <v>204</v>
      </c>
      <c r="BT337" s="209" t="s">
        <v>205</v>
      </c>
      <c r="BU337" s="209"/>
      <c r="BV337" s="132" t="n">
        <v>1</v>
      </c>
      <c r="BW337" s="201" t="s">
        <v>1207</v>
      </c>
      <c r="BX337" s="0"/>
    </row>
    <row r="338" customFormat="false" ht="12.75" hidden="false" customHeight="false" outlineLevel="0" collapsed="false">
      <c r="A338" s="242"/>
      <c r="B338" s="192" t="e">
        <f aca="false">NextMonth(B337)</f>
        <v>#VALUE!</v>
      </c>
      <c r="C338" s="193" t="n">
        <v>0.073426642944833</v>
      </c>
      <c r="D338" s="193" t="n">
        <v>1.45</v>
      </c>
      <c r="E338" s="193" t="n">
        <v>1.45</v>
      </c>
      <c r="I338" s="218"/>
      <c r="K338" s="250"/>
      <c r="L338" s="193" t="n">
        <v>0</v>
      </c>
      <c r="M338" s="193" t="n">
        <v>1.495</v>
      </c>
      <c r="BP338" s="205" t="n">
        <f aca="false">BP337+BV338</f>
        <v>337</v>
      </c>
      <c r="BQ338" s="206" t="s">
        <v>707</v>
      </c>
      <c r="BR338" s="201" t="s">
        <v>203</v>
      </c>
      <c r="BS338" s="132" t="s">
        <v>204</v>
      </c>
      <c r="BT338" s="209" t="s">
        <v>205</v>
      </c>
      <c r="BU338" s="209"/>
      <c r="BV338" s="132" t="n">
        <v>1</v>
      </c>
      <c r="BW338" s="201" t="s">
        <v>1208</v>
      </c>
      <c r="BX338" s="0"/>
    </row>
    <row r="339" customFormat="false" ht="12.75" hidden="false" customHeight="false" outlineLevel="0" collapsed="false">
      <c r="A339" s="242"/>
      <c r="B339" s="192" t="e">
        <f aca="false">NextMonth(B338)</f>
        <v>#VALUE!</v>
      </c>
      <c r="C339" s="193" t="n">
        <v>0.073417407650922</v>
      </c>
      <c r="D339" s="193" t="n">
        <v>1.45</v>
      </c>
      <c r="E339" s="193" t="n">
        <v>1.45</v>
      </c>
      <c r="I339" s="218"/>
      <c r="K339" s="250"/>
      <c r="L339" s="193" t="n">
        <v>0</v>
      </c>
      <c r="M339" s="193" t="n">
        <v>1.395</v>
      </c>
      <c r="BP339" s="205" t="n">
        <f aca="false">BP338+BV339</f>
        <v>338</v>
      </c>
      <c r="BQ339" s="206" t="s">
        <v>711</v>
      </c>
      <c r="BR339" s="201" t="s">
        <v>203</v>
      </c>
      <c r="BS339" s="132" t="s">
        <v>204</v>
      </c>
      <c r="BT339" s="209" t="s">
        <v>205</v>
      </c>
      <c r="BU339" s="209"/>
      <c r="BV339" s="132" t="n">
        <v>1</v>
      </c>
      <c r="BW339" s="201" t="s">
        <v>1209</v>
      </c>
      <c r="BX339" s="0"/>
    </row>
    <row r="340" customFormat="false" ht="12.75" hidden="false" customHeight="false" outlineLevel="0" collapsed="false">
      <c r="A340" s="242"/>
      <c r="B340" s="192" t="e">
        <f aca="false">NextMonth(B339)</f>
        <v>#VALUE!</v>
      </c>
      <c r="C340" s="193" t="n">
        <v>0.073409066095156</v>
      </c>
      <c r="D340" s="193" t="n">
        <v>1</v>
      </c>
      <c r="E340" s="193" t="n">
        <v>1</v>
      </c>
      <c r="I340" s="218"/>
      <c r="K340" s="250"/>
      <c r="L340" s="193" t="n">
        <v>0</v>
      </c>
      <c r="M340" s="193" t="n">
        <v>0.865</v>
      </c>
      <c r="BP340" s="205" t="n">
        <f aca="false">BP339+BV340</f>
        <v>339</v>
      </c>
      <c r="BQ340" s="206" t="s">
        <v>715</v>
      </c>
      <c r="BR340" s="201" t="s">
        <v>203</v>
      </c>
      <c r="BS340" s="132" t="s">
        <v>204</v>
      </c>
      <c r="BT340" s="209" t="s">
        <v>205</v>
      </c>
      <c r="BU340" s="209"/>
      <c r="BV340" s="132" t="n">
        <v>1</v>
      </c>
      <c r="BW340" s="201" t="s">
        <v>1210</v>
      </c>
      <c r="BX340" s="0"/>
    </row>
    <row r="341" customFormat="false" ht="12.75" hidden="false" customHeight="false" outlineLevel="0" collapsed="false">
      <c r="A341" s="242"/>
      <c r="B341" s="192" t="e">
        <f aca="false">NextMonth(B340)</f>
        <v>#VALUE!</v>
      </c>
      <c r="C341" s="193" t="n">
        <v>0.073399830801298</v>
      </c>
      <c r="D341" s="193" t="n">
        <v>0.45</v>
      </c>
      <c r="E341" s="193" t="n">
        <v>0.45</v>
      </c>
      <c r="I341" s="218"/>
      <c r="K341" s="250"/>
      <c r="L341" s="193" t="n">
        <v>0</v>
      </c>
      <c r="M341" s="193" t="n">
        <v>0.37</v>
      </c>
      <c r="BP341" s="205" t="n">
        <f aca="false">BP340+BV341</f>
        <v>340</v>
      </c>
      <c r="BQ341" s="206" t="s">
        <v>719</v>
      </c>
      <c r="BR341" s="201" t="s">
        <v>203</v>
      </c>
      <c r="BS341" s="132" t="s">
        <v>204</v>
      </c>
      <c r="BT341" s="209" t="s">
        <v>205</v>
      </c>
      <c r="BU341" s="209"/>
      <c r="BV341" s="132" t="n">
        <v>1</v>
      </c>
      <c r="BW341" s="201" t="s">
        <v>1211</v>
      </c>
      <c r="BX341" s="0"/>
    </row>
    <row r="342" customFormat="false" ht="12.75" hidden="false" customHeight="false" outlineLevel="0" collapsed="false">
      <c r="A342" s="242"/>
      <c r="B342" s="192" t="e">
        <f aca="false">NextMonth(B341)</f>
        <v>#VALUE!</v>
      </c>
      <c r="C342" s="193" t="n">
        <v>0.073390893420172</v>
      </c>
      <c r="D342" s="193" t="n">
        <v>0.5</v>
      </c>
      <c r="E342" s="193" t="n">
        <v>0.5</v>
      </c>
      <c r="I342" s="218"/>
      <c r="K342" s="250"/>
      <c r="L342" s="193" t="n">
        <v>0</v>
      </c>
      <c r="M342" s="193" t="n">
        <v>0.2525</v>
      </c>
      <c r="BP342" s="205" t="n">
        <f aca="false">BP341+BV342</f>
        <v>341</v>
      </c>
      <c r="BQ342" s="206" t="s">
        <v>723</v>
      </c>
      <c r="BR342" s="201" t="s">
        <v>203</v>
      </c>
      <c r="BS342" s="132" t="s">
        <v>204</v>
      </c>
      <c r="BT342" s="209" t="s">
        <v>205</v>
      </c>
      <c r="BU342" s="209"/>
      <c r="BV342" s="132" t="n">
        <v>1</v>
      </c>
      <c r="BW342" s="201" t="s">
        <v>1212</v>
      </c>
      <c r="BX342" s="0"/>
    </row>
    <row r="343" customFormat="false" ht="12.75" hidden="false" customHeight="false" outlineLevel="0" collapsed="false">
      <c r="A343" s="242"/>
      <c r="B343" s="192" t="e">
        <f aca="false">NextMonth(B342)</f>
        <v>#VALUE!</v>
      </c>
      <c r="C343" s="193" t="n">
        <v>0.07338165812637</v>
      </c>
      <c r="D343" s="193" t="n">
        <v>0.5</v>
      </c>
      <c r="E343" s="193" t="n">
        <v>0.5</v>
      </c>
      <c r="I343" s="218"/>
      <c r="K343" s="250"/>
      <c r="L343" s="193" t="n">
        <v>0</v>
      </c>
      <c r="M343" s="193" t="n">
        <v>0.2525</v>
      </c>
      <c r="BP343" s="205" t="n">
        <f aca="false">BP342+BV343</f>
        <v>342</v>
      </c>
      <c r="BQ343" s="206" t="s">
        <v>727</v>
      </c>
      <c r="BR343" s="201" t="s">
        <v>203</v>
      </c>
      <c r="BS343" s="132" t="s">
        <v>204</v>
      </c>
      <c r="BT343" s="209" t="s">
        <v>205</v>
      </c>
      <c r="BU343" s="209"/>
      <c r="BV343" s="132" t="n">
        <v>1</v>
      </c>
      <c r="BW343" s="201" t="s">
        <v>1213</v>
      </c>
      <c r="BX343" s="0"/>
    </row>
    <row r="344" customFormat="false" ht="12.75" hidden="false" customHeight="false" outlineLevel="0" collapsed="false">
      <c r="A344" s="242"/>
      <c r="B344" s="192" t="e">
        <f aca="false">NextMonth(B343)</f>
        <v>#VALUE!</v>
      </c>
      <c r="C344" s="193" t="n">
        <v>0.073372720745298</v>
      </c>
      <c r="D344" s="193" t="n">
        <v>0.5</v>
      </c>
      <c r="E344" s="193" t="n">
        <v>0.5</v>
      </c>
      <c r="I344" s="218"/>
      <c r="K344" s="250"/>
      <c r="L344" s="193" t="n">
        <v>0</v>
      </c>
      <c r="M344" s="193" t="n">
        <v>0.2575</v>
      </c>
      <c r="BP344" s="205" t="n">
        <f aca="false">BP343+BV344</f>
        <v>343</v>
      </c>
      <c r="BQ344" s="206" t="s">
        <v>731</v>
      </c>
      <c r="BR344" s="201" t="s">
        <v>203</v>
      </c>
      <c r="BS344" s="132" t="s">
        <v>204</v>
      </c>
      <c r="BT344" s="209" t="s">
        <v>205</v>
      </c>
      <c r="BU344" s="209"/>
      <c r="BV344" s="132" t="n">
        <v>1</v>
      </c>
      <c r="BW344" s="201" t="s">
        <v>1214</v>
      </c>
      <c r="BX344" s="0"/>
    </row>
    <row r="345" customFormat="false" ht="12.75" hidden="false" customHeight="false" outlineLevel="0" collapsed="false">
      <c r="A345" s="242"/>
      <c r="B345" s="192" t="e">
        <f aca="false">NextMonth(B344)</f>
        <v>#VALUE!</v>
      </c>
      <c r="C345" s="193" t="n">
        <v>0.073363485451551</v>
      </c>
      <c r="D345" s="193" t="n">
        <v>0.6</v>
      </c>
      <c r="E345" s="193" t="n">
        <v>0.6</v>
      </c>
      <c r="I345" s="218"/>
      <c r="K345" s="250"/>
      <c r="L345" s="193" t="n">
        <v>0</v>
      </c>
      <c r="M345" s="193" t="n">
        <v>0.2575</v>
      </c>
      <c r="BP345" s="205" t="n">
        <f aca="false">BP344+BV345</f>
        <v>344</v>
      </c>
      <c r="BQ345" s="206" t="s">
        <v>735</v>
      </c>
      <c r="BR345" s="201" t="s">
        <v>203</v>
      </c>
      <c r="BS345" s="132" t="s">
        <v>204</v>
      </c>
      <c r="BT345" s="209" t="s">
        <v>205</v>
      </c>
      <c r="BU345" s="209"/>
      <c r="BV345" s="132" t="n">
        <v>1</v>
      </c>
      <c r="BW345" s="201" t="s">
        <v>1215</v>
      </c>
      <c r="BX345" s="0"/>
    </row>
    <row r="346" customFormat="false" ht="12.75" hidden="false" customHeight="false" outlineLevel="0" collapsed="false">
      <c r="A346" s="242"/>
      <c r="B346" s="192" t="e">
        <f aca="false">NextMonth(B345)</f>
        <v>#VALUE!</v>
      </c>
      <c r="C346" s="193" t="n">
        <v>0.073354250157833</v>
      </c>
      <c r="D346" s="193" t="n">
        <v>0.6</v>
      </c>
      <c r="E346" s="193" t="n">
        <v>0.6</v>
      </c>
      <c r="I346" s="218"/>
      <c r="K346" s="250"/>
      <c r="L346" s="193" t="n">
        <v>0</v>
      </c>
      <c r="M346" s="193" t="n">
        <v>0.2525</v>
      </c>
      <c r="BP346" s="205" t="n">
        <f aca="false">BP345+BV346</f>
        <v>345</v>
      </c>
      <c r="BQ346" s="206" t="s">
        <v>739</v>
      </c>
      <c r="BR346" s="201" t="s">
        <v>203</v>
      </c>
      <c r="BS346" s="132" t="s">
        <v>204</v>
      </c>
      <c r="BT346" s="209" t="s">
        <v>205</v>
      </c>
      <c r="BU346" s="209"/>
      <c r="BV346" s="132" t="n">
        <v>1</v>
      </c>
      <c r="BW346" s="201" t="s">
        <v>1216</v>
      </c>
      <c r="BX346" s="0"/>
    </row>
    <row r="347" customFormat="false" ht="12.75" hidden="false" customHeight="false" outlineLevel="0" collapsed="false">
      <c r="A347" s="242"/>
      <c r="B347" s="192" t="e">
        <f aca="false">NextMonth(B346)</f>
        <v>#VALUE!</v>
      </c>
      <c r="C347" s="193" t="n">
        <v>0.073345312776841</v>
      </c>
      <c r="D347" s="193" t="n">
        <v>0.65</v>
      </c>
      <c r="E347" s="193" t="n">
        <v>0.65</v>
      </c>
      <c r="I347" s="218"/>
      <c r="K347" s="250"/>
      <c r="L347" s="193" t="n">
        <v>0</v>
      </c>
      <c r="M347" s="193" t="n">
        <v>0.255</v>
      </c>
      <c r="BP347" s="205" t="n">
        <f aca="false">BP346+BV347</f>
        <v>346</v>
      </c>
      <c r="BQ347" s="206" t="s">
        <v>743</v>
      </c>
      <c r="BR347" s="201" t="s">
        <v>203</v>
      </c>
      <c r="BS347" s="132" t="s">
        <v>204</v>
      </c>
      <c r="BT347" s="209" t="s">
        <v>205</v>
      </c>
      <c r="BU347" s="209"/>
      <c r="BV347" s="132" t="n">
        <v>1</v>
      </c>
      <c r="BW347" s="201" t="s">
        <v>1217</v>
      </c>
      <c r="BX347" s="0"/>
    </row>
    <row r="348" customFormat="false" ht="12.75" hidden="false" customHeight="false" outlineLevel="0" collapsed="false">
      <c r="A348" s="242"/>
      <c r="B348" s="192" t="e">
        <f aca="false">NextMonth(B347)</f>
        <v>#VALUE!</v>
      </c>
      <c r="C348" s="193" t="n">
        <v>0.073336077483178</v>
      </c>
      <c r="D348" s="193" t="n">
        <v>0.95</v>
      </c>
      <c r="E348" s="193" t="n">
        <v>0.95</v>
      </c>
      <c r="I348" s="218"/>
      <c r="K348" s="250"/>
      <c r="L348" s="193" t="n">
        <v>0</v>
      </c>
      <c r="M348" s="193" t="n">
        <v>0.715</v>
      </c>
      <c r="BP348" s="205" t="n">
        <f aca="false">BP347+BV348</f>
        <v>347</v>
      </c>
      <c r="BQ348" s="206" t="s">
        <v>747</v>
      </c>
      <c r="BR348" s="201" t="s">
        <v>203</v>
      </c>
      <c r="BS348" s="132" t="s">
        <v>204</v>
      </c>
      <c r="BT348" s="209" t="s">
        <v>205</v>
      </c>
      <c r="BU348" s="209"/>
      <c r="BV348" s="132" t="n">
        <v>1</v>
      </c>
      <c r="BW348" s="201" t="s">
        <v>1218</v>
      </c>
      <c r="BX348" s="0"/>
    </row>
    <row r="349" customFormat="false" ht="12.75" hidden="false" customHeight="false" outlineLevel="0" collapsed="false">
      <c r="A349" s="242"/>
      <c r="B349" s="192" t="e">
        <f aca="false">NextMonth(B348)</f>
        <v>#VALUE!</v>
      </c>
      <c r="C349" s="193" t="n">
        <v>0.07332714010224</v>
      </c>
      <c r="D349" s="193" t="n">
        <v>1.25</v>
      </c>
      <c r="E349" s="193" t="n">
        <v>1.25</v>
      </c>
      <c r="I349" s="218"/>
      <c r="K349" s="250"/>
      <c r="L349" s="193" t="n">
        <v>0</v>
      </c>
      <c r="M349" s="193" t="n">
        <v>1.03</v>
      </c>
      <c r="BP349" s="205" t="n">
        <f aca="false">BP348+BV349</f>
        <v>348</v>
      </c>
      <c r="BQ349" s="206" t="s">
        <v>751</v>
      </c>
      <c r="BR349" s="201" t="s">
        <v>203</v>
      </c>
      <c r="BS349" s="132" t="s">
        <v>204</v>
      </c>
      <c r="BT349" s="209" t="s">
        <v>205</v>
      </c>
      <c r="BU349" s="209"/>
      <c r="BV349" s="132" t="n">
        <v>1</v>
      </c>
      <c r="BW349" s="201" t="s">
        <v>1219</v>
      </c>
      <c r="BX349" s="0"/>
    </row>
    <row r="350" customFormat="false" ht="12.75" hidden="false" customHeight="false" outlineLevel="0" collapsed="false">
      <c r="A350" s="242"/>
      <c r="B350" s="192" t="e">
        <f aca="false">NextMonth(B349)</f>
        <v>#VALUE!</v>
      </c>
      <c r="C350" s="193" t="n">
        <v>0.073317904808633</v>
      </c>
      <c r="D350" s="193" t="n">
        <v>0.65</v>
      </c>
      <c r="E350" s="193" t="n">
        <v>0.65</v>
      </c>
      <c r="I350" s="218"/>
      <c r="K350" s="250"/>
      <c r="L350" s="193" t="n">
        <v>0</v>
      </c>
      <c r="M350" s="193" t="n">
        <v>1.495</v>
      </c>
      <c r="BP350" s="205" t="n">
        <f aca="false">BP349+BV350</f>
        <v>349</v>
      </c>
      <c r="BQ350" s="206" t="s">
        <v>755</v>
      </c>
      <c r="BR350" s="201" t="s">
        <v>203</v>
      </c>
      <c r="BS350" s="132" t="s">
        <v>204</v>
      </c>
      <c r="BT350" s="209" t="s">
        <v>205</v>
      </c>
      <c r="BU350" s="209"/>
      <c r="BV350" s="132" t="n">
        <v>1</v>
      </c>
      <c r="BW350" s="201" t="s">
        <v>1220</v>
      </c>
      <c r="BX350" s="0"/>
    </row>
    <row r="351" customFormat="false" ht="12.75" hidden="false" customHeight="false" outlineLevel="0" collapsed="false">
      <c r="A351" s="242"/>
      <c r="B351" s="192" t="e">
        <f aca="false">NextMonth(B350)</f>
        <v>#VALUE!</v>
      </c>
      <c r="C351" s="193" t="n">
        <v>0.073308669515053</v>
      </c>
      <c r="D351" s="193" t="n">
        <v>0.95</v>
      </c>
      <c r="E351" s="193" t="n">
        <v>0.95</v>
      </c>
      <c r="I351" s="218"/>
      <c r="K351" s="250"/>
      <c r="L351" s="193" t="n">
        <v>0</v>
      </c>
      <c r="M351" s="193" t="n">
        <v>1.395</v>
      </c>
      <c r="BP351" s="205" t="n">
        <f aca="false">BP350+BV351</f>
        <v>350</v>
      </c>
      <c r="BQ351" s="206" t="s">
        <v>759</v>
      </c>
      <c r="BR351" s="201" t="s">
        <v>203</v>
      </c>
      <c r="BS351" s="132" t="s">
        <v>204</v>
      </c>
      <c r="BT351" s="209" t="s">
        <v>205</v>
      </c>
      <c r="BU351" s="209"/>
      <c r="BV351" s="132" t="n">
        <v>1</v>
      </c>
      <c r="BW351" s="201" t="s">
        <v>1221</v>
      </c>
      <c r="BX351" s="0"/>
    </row>
    <row r="352" customFormat="false" ht="12.75" hidden="false" customHeight="false" outlineLevel="0" collapsed="false">
      <c r="A352" s="242"/>
      <c r="B352" s="192" t="e">
        <f aca="false">NextMonth(B351)</f>
        <v>#VALUE!</v>
      </c>
      <c r="C352" s="193" t="n">
        <v>0.073300030046891</v>
      </c>
      <c r="D352" s="193" t="n">
        <v>1.25</v>
      </c>
      <c r="E352" s="193" t="n">
        <v>1.25</v>
      </c>
      <c r="I352" s="218"/>
      <c r="K352" s="250"/>
      <c r="L352" s="193" t="n">
        <v>0</v>
      </c>
      <c r="M352" s="193" t="n">
        <v>0.865</v>
      </c>
      <c r="BP352" s="205" t="n">
        <f aca="false">BP351+BV352</f>
        <v>351</v>
      </c>
      <c r="BQ352" s="206" t="s">
        <v>763</v>
      </c>
      <c r="BR352" s="201" t="s">
        <v>203</v>
      </c>
      <c r="BS352" s="132" t="s">
        <v>204</v>
      </c>
      <c r="BT352" s="209" t="s">
        <v>205</v>
      </c>
      <c r="BU352" s="209"/>
      <c r="BV352" s="132" t="n">
        <v>1</v>
      </c>
      <c r="BW352" s="201" t="s">
        <v>1222</v>
      </c>
      <c r="BX352" s="0"/>
    </row>
    <row r="353" customFormat="false" ht="12.75" hidden="false" customHeight="false" outlineLevel="0" collapsed="false">
      <c r="A353" s="242"/>
      <c r="B353" s="192" t="e">
        <f aca="false">NextMonth(B352)</f>
        <v>#VALUE!</v>
      </c>
      <c r="C353" s="193" t="n">
        <v>0.073290794753366</v>
      </c>
      <c r="D353" s="193" t="n">
        <v>1</v>
      </c>
      <c r="I353" s="218"/>
      <c r="K353" s="250"/>
      <c r="L353" s="193" t="n">
        <v>0</v>
      </c>
      <c r="M353" s="193" t="n">
        <v>0.37</v>
      </c>
      <c r="BP353" s="205" t="n">
        <f aca="false">BP352+BV353</f>
        <v>352</v>
      </c>
      <c r="BQ353" s="206" t="s">
        <v>767</v>
      </c>
      <c r="BR353" s="201" t="s">
        <v>203</v>
      </c>
      <c r="BS353" s="132" t="s">
        <v>204</v>
      </c>
      <c r="BT353" s="209" t="s">
        <v>205</v>
      </c>
      <c r="BU353" s="209"/>
      <c r="BV353" s="132" t="n">
        <v>1</v>
      </c>
      <c r="BW353" s="201" t="s">
        <v>1223</v>
      </c>
      <c r="BX353" s="0"/>
    </row>
    <row r="354" customFormat="false" ht="12.75" hidden="false" customHeight="false" outlineLevel="0" collapsed="false">
      <c r="A354" s="242"/>
      <c r="B354" s="192" t="e">
        <f aca="false">NextMonth(B353)</f>
        <v>#VALUE!</v>
      </c>
      <c r="C354" s="193" t="n">
        <v>0.073281857372562</v>
      </c>
      <c r="I354" s="218"/>
      <c r="K354" s="250"/>
      <c r="L354" s="193" t="n">
        <v>0</v>
      </c>
      <c r="M354" s="193" t="n">
        <v>0.2525</v>
      </c>
      <c r="BP354" s="205" t="n">
        <f aca="false">BP353+BV354</f>
        <v>353</v>
      </c>
      <c r="BQ354" s="206" t="s">
        <v>771</v>
      </c>
      <c r="BR354" s="201" t="s">
        <v>203</v>
      </c>
      <c r="BS354" s="132" t="s">
        <v>204</v>
      </c>
      <c r="BT354" s="209" t="s">
        <v>205</v>
      </c>
      <c r="BU354" s="209"/>
      <c r="BV354" s="132" t="n">
        <v>1</v>
      </c>
      <c r="BW354" s="201" t="s">
        <v>1224</v>
      </c>
      <c r="BX354" s="0"/>
    </row>
    <row r="355" customFormat="false" ht="12.75" hidden="false" customHeight="false" outlineLevel="0" collapsed="false">
      <c r="A355" s="242"/>
      <c r="B355" s="192" t="e">
        <f aca="false">NextMonth(B354)</f>
        <v>#VALUE!</v>
      </c>
      <c r="C355" s="193" t="n">
        <v>0.073272622079092</v>
      </c>
      <c r="I355" s="218"/>
      <c r="K355" s="250"/>
      <c r="L355" s="193" t="n">
        <v>0</v>
      </c>
      <c r="M355" s="193" t="n">
        <v>0.2525</v>
      </c>
      <c r="BP355" s="205" t="n">
        <f aca="false">BP354+BV355</f>
        <v>354</v>
      </c>
      <c r="BQ355" s="206" t="s">
        <v>775</v>
      </c>
      <c r="BR355" s="201" t="s">
        <v>203</v>
      </c>
      <c r="BS355" s="132" t="s">
        <v>204</v>
      </c>
      <c r="BT355" s="209" t="s">
        <v>205</v>
      </c>
      <c r="BU355" s="209"/>
      <c r="BV355" s="132" t="n">
        <v>1</v>
      </c>
      <c r="BW355" s="201" t="s">
        <v>1225</v>
      </c>
      <c r="BX355" s="0"/>
    </row>
    <row r="356" customFormat="false" ht="12.75" hidden="false" customHeight="false" outlineLevel="0" collapsed="false">
      <c r="A356" s="242"/>
      <c r="B356" s="192" t="e">
        <f aca="false">NextMonth(B355)</f>
        <v>#VALUE!</v>
      </c>
      <c r="C356" s="193" t="n">
        <v>0.073263684698342</v>
      </c>
      <c r="I356" s="218"/>
      <c r="L356" s="193" t="n">
        <v>0</v>
      </c>
      <c r="M356" s="193" t="n">
        <v>0.2575</v>
      </c>
      <c r="BP356" s="205" t="n">
        <f aca="false">BP355+BV356</f>
        <v>355</v>
      </c>
      <c r="BQ356" s="206" t="s">
        <v>779</v>
      </c>
      <c r="BR356" s="201" t="s">
        <v>203</v>
      </c>
      <c r="BS356" s="132" t="s">
        <v>204</v>
      </c>
      <c r="BT356" s="209" t="s">
        <v>205</v>
      </c>
      <c r="BU356" s="209"/>
      <c r="BV356" s="132" t="n">
        <v>1</v>
      </c>
      <c r="BW356" s="201" t="s">
        <v>1226</v>
      </c>
      <c r="BX356" s="0"/>
    </row>
    <row r="357" customFormat="false" ht="12.75" hidden="false" customHeight="false" outlineLevel="0" collapsed="false">
      <c r="A357" s="242"/>
      <c r="B357" s="192" t="e">
        <f aca="false">NextMonth(B356)</f>
        <v>#VALUE!</v>
      </c>
      <c r="C357" s="193" t="n">
        <v>0.073254449404927</v>
      </c>
      <c r="I357" s="218"/>
      <c r="L357" s="193" t="n">
        <v>0</v>
      </c>
      <c r="M357" s="193" t="n">
        <v>0.2575</v>
      </c>
      <c r="BP357" s="205" t="n">
        <f aca="false">BP356+BV357</f>
        <v>356</v>
      </c>
      <c r="BQ357" s="206" t="s">
        <v>783</v>
      </c>
      <c r="BR357" s="201" t="s">
        <v>203</v>
      </c>
      <c r="BS357" s="132" t="s">
        <v>204</v>
      </c>
      <c r="BT357" s="209" t="s">
        <v>205</v>
      </c>
      <c r="BU357" s="209"/>
      <c r="BV357" s="132" t="n">
        <v>1</v>
      </c>
      <c r="BW357" s="201" t="s">
        <v>1227</v>
      </c>
      <c r="BX357" s="0"/>
    </row>
    <row r="358" customFormat="false" ht="12.75" hidden="false" customHeight="false" outlineLevel="0" collapsed="false">
      <c r="A358" s="242"/>
      <c r="B358" s="192" t="e">
        <f aca="false">NextMonth(B357)</f>
        <v>#VALUE!</v>
      </c>
      <c r="C358" s="193" t="n">
        <v>0.073245214111541</v>
      </c>
      <c r="I358" s="218"/>
      <c r="L358" s="193" t="n">
        <v>0</v>
      </c>
      <c r="M358" s="193" t="n">
        <v>0.2525</v>
      </c>
      <c r="BP358" s="205" t="n">
        <f aca="false">BP357+BV358</f>
        <v>357</v>
      </c>
      <c r="BQ358" s="206" t="s">
        <v>787</v>
      </c>
      <c r="BR358" s="201" t="s">
        <v>203</v>
      </c>
      <c r="BS358" s="132" t="s">
        <v>204</v>
      </c>
      <c r="BT358" s="209" t="s">
        <v>205</v>
      </c>
      <c r="BU358" s="209"/>
      <c r="BV358" s="132" t="n">
        <v>1</v>
      </c>
      <c r="BW358" s="201" t="s">
        <v>1228</v>
      </c>
      <c r="BX358" s="0"/>
    </row>
    <row r="359" customFormat="false" ht="12.75" hidden="false" customHeight="false" outlineLevel="0" collapsed="false">
      <c r="A359" s="242"/>
      <c r="B359" s="192" t="e">
        <f aca="false">NextMonth(B358)</f>
        <v>#VALUE!</v>
      </c>
      <c r="C359" s="193" t="n">
        <v>0.073236276730872</v>
      </c>
      <c r="I359" s="218"/>
      <c r="L359" s="193" t="n">
        <v>0</v>
      </c>
      <c r="M359" s="193" t="n">
        <v>0.255</v>
      </c>
      <c r="BP359" s="205" t="n">
        <f aca="false">BP358+BV359</f>
        <v>358</v>
      </c>
      <c r="BQ359" s="206" t="s">
        <v>791</v>
      </c>
      <c r="BR359" s="201" t="s">
        <v>203</v>
      </c>
      <c r="BS359" s="132" t="s">
        <v>204</v>
      </c>
      <c r="BT359" s="209" t="s">
        <v>205</v>
      </c>
      <c r="BU359" s="209"/>
      <c r="BV359" s="132" t="n">
        <v>1</v>
      </c>
      <c r="BW359" s="201" t="s">
        <v>1229</v>
      </c>
      <c r="BX359" s="0"/>
    </row>
    <row r="360" customFormat="false" ht="12.75" hidden="false" customHeight="false" outlineLevel="0" collapsed="false">
      <c r="A360" s="242"/>
      <c r="B360" s="192" t="e">
        <f aca="false">NextMonth(B359)</f>
        <v>#VALUE!</v>
      </c>
      <c r="C360" s="193" t="n">
        <v>0.073227041437541</v>
      </c>
      <c r="I360" s="218"/>
      <c r="L360" s="193" t="n">
        <v>0</v>
      </c>
      <c r="M360" s="193" t="n">
        <v>0.715</v>
      </c>
      <c r="BP360" s="205" t="n">
        <f aca="false">BP359+BV360</f>
        <v>359</v>
      </c>
      <c r="BQ360" s="206" t="s">
        <v>1230</v>
      </c>
      <c r="BR360" s="201" t="s">
        <v>203</v>
      </c>
      <c r="BS360" s="132" t="s">
        <v>204</v>
      </c>
      <c r="BT360" s="209" t="s">
        <v>205</v>
      </c>
      <c r="BU360" s="209"/>
      <c r="BV360" s="132" t="n">
        <v>1</v>
      </c>
      <c r="BW360" s="201" t="s">
        <v>1231</v>
      </c>
      <c r="BX360" s="0"/>
    </row>
    <row r="361" customFormat="false" ht="12.75" hidden="false" customHeight="false" outlineLevel="0" collapsed="false">
      <c r="A361" s="242"/>
      <c r="B361" s="192" t="e">
        <f aca="false">NextMonth(B360)</f>
        <v>#VALUE!</v>
      </c>
      <c r="C361" s="193" t="n">
        <v>0.073218104056925</v>
      </c>
      <c r="I361" s="218"/>
      <c r="L361" s="193" t="n">
        <v>0</v>
      </c>
      <c r="M361" s="193" t="n">
        <v>1.03</v>
      </c>
      <c r="BP361" s="205" t="n">
        <f aca="false">BP360+BV361</f>
        <v>360</v>
      </c>
      <c r="BQ361" s="206" t="s">
        <v>803</v>
      </c>
      <c r="BR361" s="201" t="s">
        <v>203</v>
      </c>
      <c r="BS361" s="132" t="s">
        <v>204</v>
      </c>
      <c r="BT361" s="209" t="s">
        <v>205</v>
      </c>
      <c r="BU361" s="209"/>
      <c r="BV361" s="132" t="n">
        <v>1</v>
      </c>
      <c r="BW361" s="201" t="s">
        <v>1232</v>
      </c>
      <c r="BX361" s="0"/>
    </row>
    <row r="362" customFormat="false" ht="12.75" hidden="false" customHeight="false" outlineLevel="0" collapsed="false">
      <c r="A362" s="242"/>
      <c r="B362" s="192" t="e">
        <f aca="false">NextMonth(B361)</f>
        <v>#VALUE!</v>
      </c>
      <c r="C362" s="193" t="n">
        <v>0.07320886876365</v>
      </c>
      <c r="I362" s="218"/>
      <c r="L362" s="193" t="n">
        <v>0</v>
      </c>
      <c r="M362" s="193" t="n">
        <v>1.495</v>
      </c>
      <c r="BP362" s="205" t="n">
        <f aca="false">BP361+BV362</f>
        <v>361</v>
      </c>
      <c r="BQ362" s="206" t="s">
        <v>807</v>
      </c>
      <c r="BR362" s="201" t="s">
        <v>203</v>
      </c>
      <c r="BS362" s="132" t="s">
        <v>204</v>
      </c>
      <c r="BT362" s="209" t="s">
        <v>205</v>
      </c>
      <c r="BU362" s="209"/>
      <c r="BV362" s="132" t="n">
        <v>1</v>
      </c>
      <c r="BW362" s="201" t="s">
        <v>1233</v>
      </c>
      <c r="BX362" s="0"/>
    </row>
    <row r="363" customFormat="false" ht="12.75" hidden="false" customHeight="false" outlineLevel="0" collapsed="false">
      <c r="A363" s="242"/>
      <c r="B363" s="192" t="e">
        <f aca="false">NextMonth(B362)</f>
        <v>#VALUE!</v>
      </c>
      <c r="C363" s="193" t="n">
        <v>0.073199633470402</v>
      </c>
      <c r="I363" s="218"/>
      <c r="L363" s="193" t="n">
        <v>0</v>
      </c>
      <c r="M363" s="193" t="n">
        <v>1.395</v>
      </c>
      <c r="BP363" s="205" t="n">
        <f aca="false">BP362+BV363</f>
        <v>362</v>
      </c>
      <c r="BQ363" s="206" t="s">
        <v>811</v>
      </c>
      <c r="BR363" s="201" t="s">
        <v>203</v>
      </c>
      <c r="BS363" s="132" t="s">
        <v>204</v>
      </c>
      <c r="BT363" s="209" t="s">
        <v>205</v>
      </c>
      <c r="BU363" s="209"/>
      <c r="BV363" s="132" t="n">
        <v>1</v>
      </c>
      <c r="BW363" s="201" t="s">
        <v>1234</v>
      </c>
      <c r="BX363" s="0"/>
    </row>
    <row r="364" customFormat="false" ht="12.75" hidden="false" customHeight="false" outlineLevel="0" collapsed="false">
      <c r="A364" s="242"/>
      <c r="B364" s="192" t="e">
        <f aca="false">NextMonth(B363)</f>
        <v>#VALUE!</v>
      </c>
      <c r="C364" s="193" t="n">
        <v>0.073191291915236</v>
      </c>
      <c r="I364" s="218"/>
      <c r="L364" s="193" t="n">
        <v>0</v>
      </c>
      <c r="M364" s="193" t="n">
        <v>0.865</v>
      </c>
      <c r="BP364" s="205" t="n">
        <f aca="false">BP363+BV364</f>
        <v>363</v>
      </c>
      <c r="BQ364" s="206" t="s">
        <v>815</v>
      </c>
      <c r="BR364" s="201" t="s">
        <v>203</v>
      </c>
      <c r="BS364" s="132" t="s">
        <v>204</v>
      </c>
      <c r="BT364" s="209" t="s">
        <v>205</v>
      </c>
      <c r="BU364" s="209"/>
      <c r="BV364" s="132" t="n">
        <v>1</v>
      </c>
      <c r="BW364" s="201" t="s">
        <v>1235</v>
      </c>
      <c r="BX364" s="0"/>
    </row>
    <row r="365" customFormat="false" ht="12.75" hidden="false" customHeight="false" outlineLevel="0" collapsed="false">
      <c r="A365" s="242"/>
      <c r="B365" s="192" t="e">
        <f aca="false">NextMonth(B364)</f>
        <v>#VALUE!</v>
      </c>
      <c r="C365" s="193" t="n">
        <v>0.073182056622042</v>
      </c>
      <c r="I365" s="218"/>
      <c r="L365" s="193" t="n">
        <v>0</v>
      </c>
      <c r="M365" s="193" t="n">
        <v>0.37</v>
      </c>
      <c r="BP365" s="205" t="n">
        <f aca="false">BP364+BV365</f>
        <v>364</v>
      </c>
      <c r="BQ365" s="206" t="s">
        <v>819</v>
      </c>
      <c r="BR365" s="201" t="s">
        <v>203</v>
      </c>
      <c r="BS365" s="132" t="s">
        <v>204</v>
      </c>
      <c r="BT365" s="209" t="s">
        <v>205</v>
      </c>
      <c r="BU365" s="209"/>
      <c r="BV365" s="132" t="n">
        <v>1</v>
      </c>
      <c r="BW365" s="201" t="s">
        <v>1236</v>
      </c>
      <c r="BX365" s="0"/>
    </row>
    <row r="366" customFormat="false" ht="12.75" hidden="false" customHeight="false" outlineLevel="0" collapsed="false">
      <c r="A366" s="242"/>
      <c r="B366" s="192" t="e">
        <f aca="false">NextMonth(B365)</f>
        <v>#VALUE!</v>
      </c>
      <c r="C366" s="193" t="n">
        <v>0.073173119241559</v>
      </c>
      <c r="I366" s="218"/>
      <c r="L366" s="193" t="n">
        <v>0</v>
      </c>
      <c r="M366" s="193" t="n">
        <v>0.2525</v>
      </c>
      <c r="BP366" s="205" t="n">
        <f aca="false">BP365+BV366</f>
        <v>365</v>
      </c>
      <c r="BQ366" s="206" t="s">
        <v>823</v>
      </c>
      <c r="BR366" s="201" t="s">
        <v>203</v>
      </c>
      <c r="BS366" s="132" t="s">
        <v>204</v>
      </c>
      <c r="BT366" s="209" t="s">
        <v>205</v>
      </c>
      <c r="BU366" s="209"/>
      <c r="BV366" s="132" t="n">
        <v>1</v>
      </c>
      <c r="BW366" s="201" t="s">
        <v>1237</v>
      </c>
      <c r="BX366" s="0"/>
    </row>
    <row r="367" customFormat="false" ht="12.75" hidden="false" customHeight="false" outlineLevel="0" collapsed="false">
      <c r="A367" s="242"/>
      <c r="B367" s="192" t="e">
        <f aca="false">NextMonth(B366)</f>
        <v>#VALUE!</v>
      </c>
      <c r="C367" s="193" t="n">
        <v>0.073163883948421</v>
      </c>
      <c r="I367" s="218"/>
      <c r="L367" s="193" t="n">
        <v>0</v>
      </c>
      <c r="M367" s="193" t="n">
        <v>0.2525</v>
      </c>
      <c r="BP367" s="205" t="n">
        <f aca="false">BP366+BV367</f>
        <v>366</v>
      </c>
      <c r="BQ367" s="206" t="s">
        <v>827</v>
      </c>
      <c r="BR367" s="201" t="s">
        <v>203</v>
      </c>
      <c r="BS367" s="132" t="s">
        <v>204</v>
      </c>
      <c r="BT367" s="209" t="s">
        <v>205</v>
      </c>
      <c r="BU367" s="209"/>
      <c r="BV367" s="132" t="n">
        <v>1</v>
      </c>
      <c r="BW367" s="201" t="s">
        <v>1238</v>
      </c>
      <c r="BX367" s="0"/>
    </row>
    <row r="368" customFormat="false" ht="12.75" hidden="false" customHeight="false" outlineLevel="0" collapsed="false">
      <c r="A368" s="242"/>
      <c r="B368" s="192" t="e">
        <f aca="false">NextMonth(B367)</f>
        <v>#VALUE!</v>
      </c>
      <c r="C368" s="193" t="n">
        <v>0.073154946568</v>
      </c>
      <c r="I368" s="218"/>
      <c r="L368" s="193" t="n">
        <v>0</v>
      </c>
      <c r="M368" s="193" t="n">
        <v>0.2575</v>
      </c>
      <c r="BP368" s="205" t="n">
        <f aca="false">BP367+BV368</f>
        <v>367</v>
      </c>
      <c r="BQ368" s="206" t="s">
        <v>831</v>
      </c>
      <c r="BR368" s="201" t="s">
        <v>203</v>
      </c>
      <c r="BS368" s="132" t="s">
        <v>204</v>
      </c>
      <c r="BT368" s="209" t="s">
        <v>205</v>
      </c>
      <c r="BU368" s="209"/>
      <c r="BV368" s="132" t="n">
        <v>1</v>
      </c>
      <c r="BW368" s="201" t="s">
        <v>1239</v>
      </c>
      <c r="BX368" s="0"/>
    </row>
    <row r="369" customFormat="false" ht="12.75" hidden="false" customHeight="false" outlineLevel="0" collapsed="false">
      <c r="A369" s="242"/>
      <c r="B369" s="192" t="e">
        <f aca="false">NextMonth(B368)</f>
        <v>#VALUE!</v>
      </c>
      <c r="C369" s="193" t="n">
        <v>0.073145711274909</v>
      </c>
      <c r="I369" s="218"/>
      <c r="L369" s="193" t="n">
        <v>0</v>
      </c>
      <c r="M369" s="193" t="n">
        <v>0.2575</v>
      </c>
      <c r="BP369" s="205" t="n">
        <f aca="false">BP368+BV369</f>
        <v>368</v>
      </c>
      <c r="BQ369" s="206" t="s">
        <v>835</v>
      </c>
      <c r="BR369" s="201" t="s">
        <v>203</v>
      </c>
      <c r="BS369" s="132" t="s">
        <v>204</v>
      </c>
      <c r="BT369" s="209" t="s">
        <v>205</v>
      </c>
      <c r="BU369" s="209"/>
      <c r="BV369" s="132" t="n">
        <v>1</v>
      </c>
      <c r="BW369" s="201" t="s">
        <v>1240</v>
      </c>
      <c r="BX369" s="0"/>
    </row>
    <row r="370" customFormat="false" ht="12.75" hidden="false" customHeight="false" outlineLevel="0" collapsed="false">
      <c r="A370" s="242"/>
      <c r="B370" s="192" t="e">
        <f aca="false">NextMonth(B369)</f>
        <v>#VALUE!</v>
      </c>
      <c r="C370" s="193" t="n">
        <v>0.073136475981854</v>
      </c>
      <c r="I370" s="218"/>
      <c r="L370" s="193" t="n">
        <v>0</v>
      </c>
      <c r="M370" s="193" t="n">
        <v>0.2525</v>
      </c>
      <c r="BP370" s="205" t="n">
        <f aca="false">BP369+BV370</f>
        <v>369</v>
      </c>
      <c r="BQ370" s="206" t="s">
        <v>839</v>
      </c>
      <c r="BR370" s="201" t="s">
        <v>203</v>
      </c>
      <c r="BS370" s="132" t="s">
        <v>204</v>
      </c>
      <c r="BT370" s="209" t="s">
        <v>205</v>
      </c>
      <c r="BU370" s="209"/>
      <c r="BV370" s="132" t="n">
        <v>1</v>
      </c>
      <c r="BW370" s="201" t="s">
        <v>1241</v>
      </c>
      <c r="BX370" s="0"/>
    </row>
    <row r="371" customFormat="false" ht="12.75" hidden="false" customHeight="false" outlineLevel="0" collapsed="false">
      <c r="A371" s="242"/>
      <c r="B371" s="192" t="e">
        <f aca="false">NextMonth(B370)</f>
        <v>#VALUE!</v>
      </c>
      <c r="C371" s="193" t="n">
        <v>0.073127538601505</v>
      </c>
      <c r="I371" s="218"/>
      <c r="L371" s="193" t="n">
        <v>0</v>
      </c>
      <c r="M371" s="193" t="n">
        <v>0.255</v>
      </c>
      <c r="BP371" s="205" t="n">
        <f aca="false">BP370+BV371</f>
        <v>370</v>
      </c>
      <c r="BQ371" s="206" t="s">
        <v>843</v>
      </c>
      <c r="BR371" s="201" t="s">
        <v>203</v>
      </c>
      <c r="BS371" s="132" t="s">
        <v>204</v>
      </c>
      <c r="BT371" s="209" t="s">
        <v>205</v>
      </c>
      <c r="BU371" s="209"/>
      <c r="BV371" s="132" t="n">
        <v>1</v>
      </c>
      <c r="BW371" s="201" t="s">
        <v>1242</v>
      </c>
      <c r="BX371" s="0"/>
    </row>
    <row r="372" customFormat="false" ht="12.75" hidden="false" customHeight="false" outlineLevel="0" collapsed="false">
      <c r="A372" s="242"/>
      <c r="B372" s="192" t="e">
        <f aca="false">NextMonth(B371)</f>
        <v>#VALUE!</v>
      </c>
      <c r="C372" s="193" t="n">
        <v>0.073118303308506</v>
      </c>
      <c r="I372" s="218"/>
      <c r="L372" s="193" t="n">
        <v>0</v>
      </c>
      <c r="M372" s="193" t="n">
        <v>0.715</v>
      </c>
      <c r="BP372" s="205" t="n">
        <f aca="false">BP371+BV372</f>
        <v>371</v>
      </c>
      <c r="BQ372" s="206" t="s">
        <v>847</v>
      </c>
      <c r="BR372" s="201" t="s">
        <v>203</v>
      </c>
      <c r="BS372" s="132" t="s">
        <v>204</v>
      </c>
      <c r="BT372" s="209" t="s">
        <v>205</v>
      </c>
      <c r="BU372" s="209"/>
      <c r="BV372" s="132" t="n">
        <v>1</v>
      </c>
      <c r="BW372" s="201" t="s">
        <v>1243</v>
      </c>
      <c r="BX372" s="0"/>
    </row>
    <row r="373" customFormat="false" ht="12.75" hidden="false" customHeight="false" outlineLevel="0" collapsed="false">
      <c r="A373" s="242"/>
      <c r="B373" s="192" t="e">
        <f aca="false">NextMonth(B372)</f>
        <v>#VALUE!</v>
      </c>
      <c r="C373" s="193" t="n">
        <v>0.07310936592821</v>
      </c>
      <c r="I373" s="218"/>
      <c r="L373" s="193" t="n">
        <v>0</v>
      </c>
      <c r="M373" s="193" t="n">
        <v>1.03</v>
      </c>
      <c r="BP373" s="205" t="n">
        <f aca="false">BP372+BV373</f>
        <v>372</v>
      </c>
      <c r="BQ373" s="206" t="s">
        <v>851</v>
      </c>
      <c r="BR373" s="201" t="s">
        <v>203</v>
      </c>
      <c r="BS373" s="132" t="s">
        <v>204</v>
      </c>
      <c r="BT373" s="209" t="s">
        <v>205</v>
      </c>
      <c r="BU373" s="209"/>
      <c r="BV373" s="132" t="n">
        <v>1</v>
      </c>
      <c r="BW373" s="201" t="s">
        <v>1244</v>
      </c>
      <c r="BX373" s="0"/>
    </row>
    <row r="374" customFormat="false" ht="12.75" hidden="false" customHeight="false" outlineLevel="0" collapsed="false">
      <c r="A374" s="242"/>
      <c r="B374" s="192" t="e">
        <f aca="false">NextMonth(B373)</f>
        <v>#VALUE!</v>
      </c>
      <c r="C374" s="193" t="n">
        <v>0.073100130635267</v>
      </c>
      <c r="I374" s="218"/>
      <c r="L374" s="193" t="n">
        <v>0</v>
      </c>
      <c r="M374" s="193" t="n">
        <v>0.715</v>
      </c>
      <c r="BP374" s="205" t="n">
        <f aca="false">BP373+BV374</f>
        <v>373</v>
      </c>
      <c r="BQ374" s="206" t="s">
        <v>855</v>
      </c>
      <c r="BR374" s="201" t="s">
        <v>203</v>
      </c>
      <c r="BS374" s="132" t="s">
        <v>204</v>
      </c>
      <c r="BT374" s="209" t="s">
        <v>205</v>
      </c>
      <c r="BU374" s="209"/>
      <c r="BV374" s="132" t="n">
        <v>1</v>
      </c>
      <c r="BW374" s="201" t="s">
        <v>1245</v>
      </c>
      <c r="BX374" s="0"/>
    </row>
    <row r="375" customFormat="false" ht="12.75" hidden="false" customHeight="false" outlineLevel="0" collapsed="false">
      <c r="A375" s="242"/>
      <c r="B375" s="192" t="e">
        <f aca="false">NextMonth(B374)</f>
        <v>#VALUE!</v>
      </c>
      <c r="C375" s="193" t="n">
        <v>0.073090895342351</v>
      </c>
      <c r="I375" s="218"/>
      <c r="L375" s="193" t="n">
        <v>0</v>
      </c>
      <c r="M375" s="193" t="n">
        <v>1.03</v>
      </c>
      <c r="BP375" s="205" t="n">
        <f aca="false">BP374+BV375</f>
        <v>374</v>
      </c>
      <c r="BQ375" s="206" t="s">
        <v>859</v>
      </c>
      <c r="BR375" s="201" t="s">
        <v>203</v>
      </c>
      <c r="BS375" s="132" t="s">
        <v>204</v>
      </c>
      <c r="BT375" s="209" t="s">
        <v>205</v>
      </c>
      <c r="BU375" s="209"/>
      <c r="BV375" s="132" t="n">
        <v>1</v>
      </c>
      <c r="BW375" s="201" t="s">
        <v>1246</v>
      </c>
      <c r="BX375" s="0"/>
    </row>
    <row r="376" customFormat="false" ht="12.75" hidden="false" customHeight="false" outlineLevel="0" collapsed="false">
      <c r="A376" s="242"/>
      <c r="B376" s="192" t="e">
        <f aca="false">NextMonth(B375)</f>
        <v>#VALUE!</v>
      </c>
      <c r="C376" s="193" t="n">
        <v>0.073082553787484</v>
      </c>
      <c r="I376" s="218"/>
      <c r="BP376" s="205" t="n">
        <f aca="false">BP375+BV376</f>
        <v>375</v>
      </c>
      <c r="BQ376" s="206" t="s">
        <v>863</v>
      </c>
      <c r="BR376" s="201" t="s">
        <v>203</v>
      </c>
      <c r="BS376" s="132" t="s">
        <v>204</v>
      </c>
      <c r="BT376" s="209" t="s">
        <v>205</v>
      </c>
      <c r="BU376" s="209"/>
      <c r="BV376" s="132" t="n">
        <v>1</v>
      </c>
      <c r="BW376" s="201" t="s">
        <v>1247</v>
      </c>
      <c r="BX376" s="0"/>
    </row>
    <row r="377" customFormat="false" ht="12.75" hidden="false" customHeight="false" outlineLevel="0" collapsed="false">
      <c r="A377" s="242"/>
      <c r="B377" s="192" t="e">
        <f aca="false">NextMonth(B376)</f>
        <v>#VALUE!</v>
      </c>
      <c r="C377" s="193" t="n">
        <v>0.073082553787484</v>
      </c>
      <c r="I377" s="218"/>
      <c r="BP377" s="205" t="n">
        <f aca="false">BP376+BV377</f>
        <v>376</v>
      </c>
      <c r="BQ377" s="206" t="s">
        <v>867</v>
      </c>
      <c r="BR377" s="201" t="s">
        <v>203</v>
      </c>
      <c r="BS377" s="132" t="s">
        <v>204</v>
      </c>
      <c r="BT377" s="209" t="s">
        <v>205</v>
      </c>
      <c r="BU377" s="209"/>
      <c r="BV377" s="132" t="n">
        <v>1</v>
      </c>
      <c r="BW377" s="201" t="s">
        <v>1248</v>
      </c>
      <c r="BX377" s="0"/>
    </row>
    <row r="378" customFormat="false" ht="12.75" hidden="false" customHeight="false" outlineLevel="0" collapsed="false">
      <c r="I378" s="218"/>
      <c r="BP378" s="205" t="n">
        <f aca="false">BP377+BV378</f>
        <v>377</v>
      </c>
      <c r="BQ378" s="206" t="s">
        <v>871</v>
      </c>
      <c r="BR378" s="201" t="s">
        <v>203</v>
      </c>
      <c r="BS378" s="132" t="s">
        <v>204</v>
      </c>
      <c r="BT378" s="209" t="s">
        <v>205</v>
      </c>
      <c r="BU378" s="209"/>
      <c r="BV378" s="132" t="n">
        <v>1</v>
      </c>
      <c r="BW378" s="201" t="s">
        <v>1249</v>
      </c>
      <c r="BX378" s="0"/>
    </row>
    <row r="379" customFormat="false" ht="12.75" hidden="false" customHeight="false" outlineLevel="0" collapsed="false">
      <c r="I379" s="218"/>
      <c r="BP379" s="205" t="n">
        <f aca="false">BP378+BV379</f>
        <v>378</v>
      </c>
      <c r="BQ379" s="206" t="s">
        <v>875</v>
      </c>
      <c r="BR379" s="201" t="s">
        <v>203</v>
      </c>
      <c r="BS379" s="132" t="s">
        <v>204</v>
      </c>
      <c r="BT379" s="209" t="s">
        <v>205</v>
      </c>
      <c r="BU379" s="209"/>
      <c r="BV379" s="132" t="n">
        <v>1</v>
      </c>
      <c r="BW379" s="201" t="s">
        <v>1250</v>
      </c>
      <c r="BX379" s="0"/>
    </row>
    <row r="380" customFormat="false" ht="12.75" hidden="false" customHeight="false" outlineLevel="0" collapsed="false">
      <c r="I380" s="218"/>
      <c r="BP380" s="205" t="n">
        <f aca="false">BP379+BV380</f>
        <v>379</v>
      </c>
      <c r="BQ380" s="206" t="s">
        <v>879</v>
      </c>
      <c r="BR380" s="201" t="s">
        <v>203</v>
      </c>
      <c r="BS380" s="132" t="s">
        <v>204</v>
      </c>
      <c r="BT380" s="209" t="s">
        <v>205</v>
      </c>
      <c r="BU380" s="209"/>
      <c r="BV380" s="132" t="n">
        <v>1</v>
      </c>
      <c r="BW380" s="201" t="s">
        <v>1251</v>
      </c>
      <c r="BX380" s="0"/>
    </row>
    <row r="381" customFormat="false" ht="12.75" hidden="false" customHeight="false" outlineLevel="0" collapsed="false">
      <c r="I381" s="218"/>
      <c r="BP381" s="205" t="n">
        <f aca="false">BP380+BV381</f>
        <v>380</v>
      </c>
      <c r="BQ381" s="206" t="s">
        <v>895</v>
      </c>
      <c r="BR381" s="201" t="s">
        <v>203</v>
      </c>
      <c r="BS381" s="132" t="s">
        <v>204</v>
      </c>
      <c r="BT381" s="209" t="s">
        <v>205</v>
      </c>
      <c r="BU381" s="209"/>
      <c r="BV381" s="132" t="n">
        <v>1</v>
      </c>
      <c r="BW381" s="201" t="s">
        <v>1252</v>
      </c>
      <c r="BX381" s="0"/>
    </row>
    <row r="382" customFormat="false" ht="12.75" hidden="false" customHeight="false" outlineLevel="0" collapsed="false">
      <c r="I382" s="218"/>
      <c r="BP382" s="205" t="n">
        <f aca="false">BP381+BV382</f>
        <v>381</v>
      </c>
      <c r="BQ382" s="206" t="s">
        <v>899</v>
      </c>
      <c r="BR382" s="201" t="s">
        <v>203</v>
      </c>
      <c r="BS382" s="132" t="s">
        <v>204</v>
      </c>
      <c r="BT382" s="209" t="s">
        <v>205</v>
      </c>
      <c r="BU382" s="209"/>
      <c r="BV382" s="132" t="n">
        <v>1</v>
      </c>
      <c r="BW382" s="201" t="s">
        <v>1253</v>
      </c>
      <c r="BX382" s="0"/>
    </row>
    <row r="383" customFormat="false" ht="12.75" hidden="false" customHeight="false" outlineLevel="0" collapsed="false">
      <c r="I383" s="218"/>
      <c r="BP383" s="205" t="n">
        <f aca="false">BP382+BV383</f>
        <v>382</v>
      </c>
      <c r="BQ383" s="206" t="s">
        <v>903</v>
      </c>
      <c r="BR383" s="201" t="s">
        <v>203</v>
      </c>
      <c r="BS383" s="132" t="s">
        <v>204</v>
      </c>
      <c r="BT383" s="209" t="s">
        <v>205</v>
      </c>
      <c r="BU383" s="209"/>
      <c r="BV383" s="132" t="n">
        <v>1</v>
      </c>
      <c r="BW383" s="201" t="s">
        <v>1254</v>
      </c>
      <c r="BX383" s="0"/>
    </row>
    <row r="384" customFormat="false" ht="12.75" hidden="false" customHeight="false" outlineLevel="0" collapsed="false">
      <c r="I384" s="218"/>
      <c r="BP384" s="205" t="n">
        <f aca="false">BP383+BV384</f>
        <v>383</v>
      </c>
      <c r="BQ384" s="206" t="s">
        <v>907</v>
      </c>
      <c r="BR384" s="201" t="s">
        <v>203</v>
      </c>
      <c r="BS384" s="132" t="s">
        <v>204</v>
      </c>
      <c r="BT384" s="209" t="s">
        <v>205</v>
      </c>
      <c r="BU384" s="209"/>
      <c r="BV384" s="132" t="n">
        <v>1</v>
      </c>
      <c r="BW384" s="201" t="s">
        <v>1255</v>
      </c>
      <c r="BX384" s="0"/>
    </row>
    <row r="385" customFormat="false" ht="12.75" hidden="false" customHeight="false" outlineLevel="0" collapsed="false">
      <c r="I385" s="218"/>
      <c r="BP385" s="205" t="n">
        <f aca="false">BP384+BV385</f>
        <v>384</v>
      </c>
      <c r="BQ385" s="206" t="s">
        <v>911</v>
      </c>
      <c r="BR385" s="201" t="s">
        <v>203</v>
      </c>
      <c r="BS385" s="132" t="s">
        <v>204</v>
      </c>
      <c r="BT385" s="209" t="s">
        <v>205</v>
      </c>
      <c r="BU385" s="209"/>
      <c r="BV385" s="132" t="n">
        <v>1</v>
      </c>
      <c r="BW385" s="201" t="s">
        <v>1256</v>
      </c>
      <c r="BX385" s="0"/>
    </row>
    <row r="386" customFormat="false" ht="12.75" hidden="false" customHeight="false" outlineLevel="0" collapsed="false">
      <c r="I386" s="218"/>
      <c r="BP386" s="205" t="n">
        <f aca="false">BP385+BV386</f>
        <v>385</v>
      </c>
      <c r="BQ386" s="206" t="s">
        <v>915</v>
      </c>
      <c r="BR386" s="201" t="s">
        <v>203</v>
      </c>
      <c r="BS386" s="132" t="s">
        <v>204</v>
      </c>
      <c r="BT386" s="209" t="s">
        <v>205</v>
      </c>
      <c r="BU386" s="209"/>
      <c r="BV386" s="132" t="n">
        <v>1</v>
      </c>
      <c r="BW386" s="201" t="s">
        <v>1257</v>
      </c>
      <c r="BX386" s="0"/>
    </row>
    <row r="387" customFormat="false" ht="12.75" hidden="false" customHeight="false" outlineLevel="0" collapsed="false">
      <c r="I387" s="218"/>
      <c r="BP387" s="205" t="n">
        <f aca="false">BP386+BV387</f>
        <v>386</v>
      </c>
      <c r="BQ387" s="206" t="s">
        <v>919</v>
      </c>
      <c r="BR387" s="201" t="s">
        <v>203</v>
      </c>
      <c r="BS387" s="132" t="s">
        <v>204</v>
      </c>
      <c r="BT387" s="209" t="s">
        <v>205</v>
      </c>
      <c r="BU387" s="209"/>
      <c r="BV387" s="132" t="n">
        <v>1</v>
      </c>
      <c r="BW387" s="201" t="s">
        <v>1258</v>
      </c>
      <c r="BX387" s="0"/>
    </row>
    <row r="388" customFormat="false" ht="12.75" hidden="false" customHeight="false" outlineLevel="0" collapsed="false">
      <c r="I388" s="218"/>
      <c r="BP388" s="205" t="n">
        <f aca="false">BP387+BV388</f>
        <v>387</v>
      </c>
      <c r="BQ388" s="206" t="s">
        <v>923</v>
      </c>
      <c r="BR388" s="201" t="s">
        <v>203</v>
      </c>
      <c r="BS388" s="132" t="s">
        <v>204</v>
      </c>
      <c r="BT388" s="209" t="s">
        <v>205</v>
      </c>
      <c r="BU388" s="209"/>
      <c r="BV388" s="132" t="n">
        <v>1</v>
      </c>
      <c r="BW388" s="201" t="s">
        <v>1259</v>
      </c>
      <c r="BX388" s="0"/>
    </row>
    <row r="389" customFormat="false" ht="12.75" hidden="false" customHeight="false" outlineLevel="0" collapsed="false">
      <c r="I389" s="218"/>
      <c r="BP389" s="205" t="n">
        <f aca="false">BP388+BV389</f>
        <v>388</v>
      </c>
      <c r="BQ389" s="206" t="s">
        <v>927</v>
      </c>
      <c r="BR389" s="201" t="s">
        <v>203</v>
      </c>
      <c r="BS389" s="132" t="s">
        <v>204</v>
      </c>
      <c r="BT389" s="209" t="s">
        <v>205</v>
      </c>
      <c r="BU389" s="209"/>
      <c r="BV389" s="132" t="n">
        <v>1</v>
      </c>
      <c r="BW389" s="201" t="s">
        <v>1260</v>
      </c>
      <c r="BX389" s="0"/>
    </row>
    <row r="390" customFormat="false" ht="12.75" hidden="false" customHeight="false" outlineLevel="0" collapsed="false">
      <c r="I390" s="218"/>
      <c r="BP390" s="205" t="n">
        <f aca="false">BP389+BV390</f>
        <v>389</v>
      </c>
      <c r="BQ390" s="206" t="s">
        <v>931</v>
      </c>
      <c r="BR390" s="201" t="s">
        <v>203</v>
      </c>
      <c r="BS390" s="132" t="s">
        <v>204</v>
      </c>
      <c r="BT390" s="209" t="s">
        <v>205</v>
      </c>
      <c r="BU390" s="209"/>
      <c r="BV390" s="132" t="n">
        <v>1</v>
      </c>
      <c r="BW390" s="201" t="s">
        <v>1261</v>
      </c>
      <c r="BX390" s="0"/>
    </row>
    <row r="391" customFormat="false" ht="12.75" hidden="false" customHeight="false" outlineLevel="0" collapsed="false">
      <c r="I391" s="218"/>
      <c r="BP391" s="205" t="n">
        <f aca="false">BP390+BV391</f>
        <v>390</v>
      </c>
      <c r="BQ391" s="206" t="s">
        <v>935</v>
      </c>
      <c r="BR391" s="201" t="s">
        <v>203</v>
      </c>
      <c r="BS391" s="132" t="s">
        <v>204</v>
      </c>
      <c r="BT391" s="209" t="s">
        <v>205</v>
      </c>
      <c r="BU391" s="209"/>
      <c r="BV391" s="132" t="n">
        <v>1</v>
      </c>
      <c r="BW391" s="201" t="s">
        <v>1262</v>
      </c>
      <c r="BX391" s="0"/>
    </row>
    <row r="392" customFormat="false" ht="12.75" hidden="false" customHeight="false" outlineLevel="0" collapsed="false">
      <c r="I392" s="218"/>
      <c r="BP392" s="205" t="n">
        <f aca="false">BP391+BV392</f>
        <v>391</v>
      </c>
      <c r="BQ392" s="206" t="s">
        <v>939</v>
      </c>
      <c r="BR392" s="201" t="s">
        <v>203</v>
      </c>
      <c r="BS392" s="132" t="s">
        <v>204</v>
      </c>
      <c r="BT392" s="209" t="s">
        <v>205</v>
      </c>
      <c r="BU392" s="209"/>
      <c r="BV392" s="132" t="n">
        <v>1</v>
      </c>
      <c r="BW392" s="201" t="s">
        <v>1263</v>
      </c>
      <c r="BX392" s="0"/>
    </row>
    <row r="393" customFormat="false" ht="12.75" hidden="false" customHeight="false" outlineLevel="0" collapsed="false">
      <c r="I393" s="218"/>
      <c r="BP393" s="205" t="n">
        <f aca="false">BP392+BV393</f>
        <v>392</v>
      </c>
      <c r="BQ393" s="206" t="s">
        <v>943</v>
      </c>
      <c r="BR393" s="201" t="s">
        <v>203</v>
      </c>
      <c r="BS393" s="132" t="s">
        <v>204</v>
      </c>
      <c r="BT393" s="209" t="s">
        <v>205</v>
      </c>
      <c r="BU393" s="209"/>
      <c r="BV393" s="132" t="n">
        <v>1</v>
      </c>
      <c r="BW393" s="201" t="s">
        <v>1264</v>
      </c>
      <c r="BX393" s="0"/>
    </row>
    <row r="394" customFormat="false" ht="12.75" hidden="false" customHeight="false" outlineLevel="0" collapsed="false">
      <c r="I394" s="218"/>
      <c r="BP394" s="205" t="n">
        <f aca="false">BP393+BV394</f>
        <v>393</v>
      </c>
      <c r="BQ394" s="206" t="s">
        <v>947</v>
      </c>
      <c r="BR394" s="201" t="s">
        <v>203</v>
      </c>
      <c r="BS394" s="132" t="s">
        <v>204</v>
      </c>
      <c r="BT394" s="209" t="s">
        <v>205</v>
      </c>
      <c r="BU394" s="209"/>
      <c r="BV394" s="132" t="n">
        <v>1</v>
      </c>
      <c r="BW394" s="201" t="s">
        <v>1265</v>
      </c>
      <c r="BX394" s="0"/>
    </row>
    <row r="395" customFormat="false" ht="12.75" hidden="false" customHeight="false" outlineLevel="0" collapsed="false">
      <c r="I395" s="218"/>
      <c r="BP395" s="205" t="n">
        <f aca="false">BP394+BV395</f>
        <v>394</v>
      </c>
      <c r="BQ395" s="206" t="s">
        <v>951</v>
      </c>
      <c r="BR395" s="201" t="s">
        <v>203</v>
      </c>
      <c r="BS395" s="132" t="s">
        <v>204</v>
      </c>
      <c r="BT395" s="209" t="s">
        <v>205</v>
      </c>
      <c r="BU395" s="209"/>
      <c r="BV395" s="132" t="n">
        <v>1</v>
      </c>
      <c r="BW395" s="201" t="s">
        <v>1266</v>
      </c>
      <c r="BX395" s="0"/>
    </row>
    <row r="396" customFormat="false" ht="12.75" hidden="false" customHeight="false" outlineLevel="0" collapsed="false">
      <c r="I396" s="218"/>
      <c r="BP396" s="205" t="n">
        <f aca="false">BP395+BV396</f>
        <v>395</v>
      </c>
      <c r="BQ396" s="206" t="s">
        <v>955</v>
      </c>
      <c r="BR396" s="201" t="s">
        <v>203</v>
      </c>
      <c r="BS396" s="132" t="s">
        <v>204</v>
      </c>
      <c r="BT396" s="209" t="s">
        <v>205</v>
      </c>
      <c r="BU396" s="209"/>
      <c r="BV396" s="132" t="n">
        <v>1</v>
      </c>
      <c r="BW396" s="201" t="s">
        <v>1267</v>
      </c>
      <c r="BX396" s="0"/>
    </row>
    <row r="397" customFormat="false" ht="12.75" hidden="false" customHeight="false" outlineLevel="0" collapsed="false">
      <c r="I397" s="218"/>
      <c r="BP397" s="205" t="n">
        <f aca="false">BP396+BV397</f>
        <v>396</v>
      </c>
      <c r="BQ397" s="206" t="s">
        <v>959</v>
      </c>
      <c r="BR397" s="201" t="s">
        <v>203</v>
      </c>
      <c r="BS397" s="132" t="s">
        <v>204</v>
      </c>
      <c r="BT397" s="209" t="s">
        <v>205</v>
      </c>
      <c r="BU397" s="209"/>
      <c r="BV397" s="132" t="n">
        <v>1</v>
      </c>
      <c r="BW397" s="201" t="s">
        <v>1268</v>
      </c>
      <c r="BX397" s="0"/>
    </row>
    <row r="398" customFormat="false" ht="12.75" hidden="false" customHeight="false" outlineLevel="0" collapsed="false">
      <c r="I398" s="218"/>
      <c r="BP398" s="205" t="n">
        <f aca="false">BP397+BV398</f>
        <v>397</v>
      </c>
      <c r="BQ398" s="206" t="s">
        <v>963</v>
      </c>
      <c r="BR398" s="201" t="s">
        <v>203</v>
      </c>
      <c r="BS398" s="132" t="s">
        <v>204</v>
      </c>
      <c r="BT398" s="209" t="s">
        <v>205</v>
      </c>
      <c r="BU398" s="209"/>
      <c r="BV398" s="132" t="n">
        <v>1</v>
      </c>
      <c r="BW398" s="201" t="s">
        <v>1269</v>
      </c>
      <c r="BX398" s="0"/>
    </row>
    <row r="399" customFormat="false" ht="12.75" hidden="false" customHeight="false" outlineLevel="0" collapsed="false">
      <c r="I399" s="218"/>
      <c r="BP399" s="205" t="n">
        <f aca="false">BP398+BV399</f>
        <v>398</v>
      </c>
      <c r="BQ399" s="206" t="s">
        <v>967</v>
      </c>
      <c r="BR399" s="201" t="s">
        <v>203</v>
      </c>
      <c r="BS399" s="132" t="s">
        <v>204</v>
      </c>
      <c r="BT399" s="209" t="s">
        <v>205</v>
      </c>
      <c r="BU399" s="209"/>
      <c r="BV399" s="132" t="n">
        <v>1</v>
      </c>
      <c r="BW399" s="201" t="s">
        <v>1270</v>
      </c>
      <c r="BX399" s="0"/>
    </row>
    <row r="400" customFormat="false" ht="12.75" hidden="false" customHeight="false" outlineLevel="0" collapsed="false">
      <c r="I400" s="218"/>
      <c r="BP400" s="205" t="n">
        <f aca="false">BP399+BV400</f>
        <v>399</v>
      </c>
      <c r="BQ400" s="206" t="s">
        <v>971</v>
      </c>
      <c r="BR400" s="201" t="s">
        <v>203</v>
      </c>
      <c r="BS400" s="132" t="s">
        <v>204</v>
      </c>
      <c r="BT400" s="209" t="s">
        <v>205</v>
      </c>
      <c r="BU400" s="209"/>
      <c r="BV400" s="132" t="n">
        <v>1</v>
      </c>
      <c r="BW400" s="201" t="s">
        <v>1271</v>
      </c>
      <c r="BX400" s="0"/>
    </row>
    <row r="401" customFormat="false" ht="12.75" hidden="false" customHeight="false" outlineLevel="0" collapsed="false">
      <c r="I401" s="218"/>
      <c r="BP401" s="205" t="n">
        <f aca="false">BP400+BV401</f>
        <v>400</v>
      </c>
      <c r="BQ401" s="206" t="s">
        <v>975</v>
      </c>
      <c r="BR401" s="201" t="s">
        <v>203</v>
      </c>
      <c r="BS401" s="132" t="s">
        <v>204</v>
      </c>
      <c r="BT401" s="209" t="s">
        <v>205</v>
      </c>
      <c r="BU401" s="209"/>
      <c r="BV401" s="132" t="n">
        <v>1</v>
      </c>
      <c r="BW401" s="201" t="s">
        <v>1272</v>
      </c>
      <c r="BX401" s="0"/>
    </row>
    <row r="402" customFormat="false" ht="12.75" hidden="false" customHeight="false" outlineLevel="0" collapsed="false">
      <c r="I402" s="218"/>
      <c r="BP402" s="205" t="n">
        <f aca="false">BP401+BV402</f>
        <v>401</v>
      </c>
      <c r="BQ402" s="206" t="s">
        <v>1273</v>
      </c>
      <c r="BR402" s="201" t="s">
        <v>203</v>
      </c>
      <c r="BS402" s="132" t="s">
        <v>204</v>
      </c>
      <c r="BT402" s="209" t="s">
        <v>205</v>
      </c>
      <c r="BU402" s="209"/>
      <c r="BV402" s="132" t="n">
        <v>1</v>
      </c>
      <c r="BW402" s="201" t="s">
        <v>1274</v>
      </c>
      <c r="BX402" s="0"/>
    </row>
    <row r="403" customFormat="false" ht="12.75" hidden="false" customHeight="false" outlineLevel="0" collapsed="false">
      <c r="I403" s="218"/>
      <c r="BP403" s="205" t="n">
        <f aca="false">BP402+BV403</f>
        <v>402</v>
      </c>
      <c r="BQ403" s="206" t="s">
        <v>979</v>
      </c>
      <c r="BR403" s="201" t="s">
        <v>203</v>
      </c>
      <c r="BS403" s="132" t="s">
        <v>204</v>
      </c>
      <c r="BT403" s="209" t="s">
        <v>205</v>
      </c>
      <c r="BU403" s="209"/>
      <c r="BV403" s="132" t="n">
        <v>1</v>
      </c>
      <c r="BW403" s="201" t="s">
        <v>1275</v>
      </c>
      <c r="BX403" s="0"/>
    </row>
    <row r="404" customFormat="false" ht="12.75" hidden="false" customHeight="false" outlineLevel="0" collapsed="false">
      <c r="I404" s="218"/>
      <c r="BP404" s="205" t="n">
        <f aca="false">BP403+BV404</f>
        <v>403</v>
      </c>
      <c r="BQ404" s="206" t="s">
        <v>983</v>
      </c>
      <c r="BR404" s="201" t="s">
        <v>203</v>
      </c>
      <c r="BS404" s="132" t="s">
        <v>204</v>
      </c>
      <c r="BT404" s="209" t="s">
        <v>205</v>
      </c>
      <c r="BU404" s="209"/>
      <c r="BV404" s="132" t="n">
        <v>1</v>
      </c>
      <c r="BW404" s="201" t="s">
        <v>1276</v>
      </c>
      <c r="BX404" s="0"/>
    </row>
    <row r="405" customFormat="false" ht="12.75" hidden="false" customHeight="false" outlineLevel="0" collapsed="false">
      <c r="I405" s="218"/>
      <c r="BP405" s="205" t="n">
        <f aca="false">BP404+BV405</f>
        <v>404</v>
      </c>
      <c r="BQ405" s="206" t="s">
        <v>1277</v>
      </c>
      <c r="BR405" s="201" t="s">
        <v>203</v>
      </c>
      <c r="BS405" s="132" t="s">
        <v>204</v>
      </c>
      <c r="BT405" s="209" t="s">
        <v>205</v>
      </c>
      <c r="BU405" s="209"/>
      <c r="BV405" s="132" t="n">
        <v>1</v>
      </c>
      <c r="BW405" s="201" t="s">
        <v>1278</v>
      </c>
      <c r="BX405" s="0"/>
    </row>
    <row r="406" customFormat="false" ht="12.75" hidden="false" customHeight="false" outlineLevel="0" collapsed="false">
      <c r="I406" s="218"/>
      <c r="BP406" s="205" t="n">
        <f aca="false">BP405+BV406</f>
        <v>405</v>
      </c>
      <c r="BQ406" s="206" t="s">
        <v>987</v>
      </c>
      <c r="BR406" s="201" t="s">
        <v>203</v>
      </c>
      <c r="BS406" s="132" t="s">
        <v>204</v>
      </c>
      <c r="BT406" s="209" t="s">
        <v>205</v>
      </c>
      <c r="BU406" s="209"/>
      <c r="BV406" s="132" t="n">
        <v>1</v>
      </c>
      <c r="BW406" s="201" t="s">
        <v>1279</v>
      </c>
      <c r="BX406" s="0"/>
    </row>
    <row r="407" customFormat="false" ht="12.75" hidden="false" customHeight="false" outlineLevel="0" collapsed="false">
      <c r="I407" s="218"/>
      <c r="BP407" s="205" t="n">
        <f aca="false">BP406+BV407</f>
        <v>406</v>
      </c>
      <c r="BQ407" s="206" t="s">
        <v>991</v>
      </c>
      <c r="BR407" s="201" t="s">
        <v>203</v>
      </c>
      <c r="BS407" s="132" t="s">
        <v>204</v>
      </c>
      <c r="BT407" s="209" t="s">
        <v>205</v>
      </c>
      <c r="BU407" s="209"/>
      <c r="BV407" s="132" t="n">
        <v>1</v>
      </c>
      <c r="BW407" s="201" t="s">
        <v>1280</v>
      </c>
      <c r="BX407" s="0"/>
    </row>
    <row r="408" customFormat="false" ht="12.75" hidden="false" customHeight="false" outlineLevel="0" collapsed="false">
      <c r="I408" s="218"/>
      <c r="BP408" s="205" t="n">
        <f aca="false">BP407+BV408</f>
        <v>407</v>
      </c>
      <c r="BQ408" s="206" t="s">
        <v>1281</v>
      </c>
      <c r="BR408" s="201" t="s">
        <v>203</v>
      </c>
      <c r="BS408" s="132" t="s">
        <v>204</v>
      </c>
      <c r="BT408" s="209" t="s">
        <v>205</v>
      </c>
      <c r="BU408" s="209"/>
      <c r="BV408" s="132" t="n">
        <v>1</v>
      </c>
      <c r="BW408" s="201" t="s">
        <v>1282</v>
      </c>
      <c r="BX408" s="0"/>
    </row>
    <row r="409" customFormat="false" ht="12.75" hidden="false" customHeight="false" outlineLevel="0" collapsed="false">
      <c r="I409" s="218"/>
      <c r="BP409" s="205" t="n">
        <f aca="false">BP408+BV409</f>
        <v>408</v>
      </c>
      <c r="BQ409" s="206" t="s">
        <v>995</v>
      </c>
      <c r="BR409" s="201" t="s">
        <v>203</v>
      </c>
      <c r="BS409" s="132" t="s">
        <v>204</v>
      </c>
      <c r="BT409" s="209" t="s">
        <v>205</v>
      </c>
      <c r="BU409" s="209"/>
      <c r="BV409" s="132" t="n">
        <v>1</v>
      </c>
      <c r="BW409" s="201" t="s">
        <v>1283</v>
      </c>
      <c r="BX409" s="0"/>
    </row>
    <row r="410" customFormat="false" ht="12" hidden="false" customHeight="false" outlineLevel="0" collapsed="false">
      <c r="I410" s="218"/>
    </row>
    <row r="411" customFormat="false" ht="12" hidden="false" customHeight="false" outlineLevel="0" collapsed="false">
      <c r="I411" s="218"/>
    </row>
    <row r="412" customFormat="false" ht="12" hidden="false" customHeight="false" outlineLevel="0" collapsed="false">
      <c r="I412" s="218"/>
    </row>
    <row r="413" customFormat="false" ht="12" hidden="false" customHeight="false" outlineLevel="0" collapsed="false">
      <c r="I413" s="218"/>
    </row>
    <row r="414" customFormat="false" ht="12" hidden="false" customHeight="false" outlineLevel="0" collapsed="false">
      <c r="I414" s="218"/>
    </row>
    <row r="415" customFormat="false" ht="12" hidden="false" customHeight="false" outlineLevel="0" collapsed="false">
      <c r="I415" s="218"/>
    </row>
    <row r="416" customFormat="false" ht="12" hidden="false" customHeight="false" outlineLevel="0" collapsed="false">
      <c r="I416" s="218"/>
    </row>
    <row r="417" customFormat="false" ht="12" hidden="false" customHeight="false" outlineLevel="0" collapsed="false">
      <c r="I417" s="218"/>
    </row>
    <row r="418" customFormat="false" ht="12" hidden="false" customHeight="false" outlineLevel="0" collapsed="false">
      <c r="I418" s="218"/>
    </row>
    <row r="419" customFormat="false" ht="12" hidden="false" customHeight="false" outlineLevel="0" collapsed="false">
      <c r="I419" s="218"/>
    </row>
    <row r="420" customFormat="false" ht="12" hidden="false" customHeight="false" outlineLevel="0" collapsed="false">
      <c r="I420" s="218"/>
    </row>
    <row r="421" customFormat="false" ht="12" hidden="false" customHeight="false" outlineLevel="0" collapsed="false">
      <c r="I421" s="218"/>
    </row>
    <row r="422" customFormat="false" ht="12" hidden="false" customHeight="false" outlineLevel="0" collapsed="false">
      <c r="I422" s="218"/>
    </row>
    <row r="423" customFormat="false" ht="12" hidden="false" customHeight="false" outlineLevel="0" collapsed="false">
      <c r="I423" s="218"/>
    </row>
    <row r="424" customFormat="false" ht="12" hidden="false" customHeight="false" outlineLevel="0" collapsed="false">
      <c r="I424" s="218"/>
    </row>
    <row r="425" customFormat="false" ht="12" hidden="false" customHeight="false" outlineLevel="0" collapsed="false">
      <c r="I425" s="218"/>
    </row>
    <row r="426" customFormat="false" ht="12" hidden="false" customHeight="false" outlineLevel="0" collapsed="false">
      <c r="I426" s="218"/>
    </row>
    <row r="427" customFormat="false" ht="12" hidden="false" customHeight="false" outlineLevel="0" collapsed="false">
      <c r="I427" s="218"/>
    </row>
    <row r="428" customFormat="false" ht="12" hidden="false" customHeight="false" outlineLevel="0" collapsed="false">
      <c r="I428" s="218"/>
    </row>
    <row r="429" customFormat="false" ht="12" hidden="false" customHeight="false" outlineLevel="0" collapsed="false">
      <c r="I429" s="218"/>
    </row>
    <row r="430" customFormat="false" ht="12" hidden="false" customHeight="false" outlineLevel="0" collapsed="false">
      <c r="I430" s="218"/>
    </row>
    <row r="431" customFormat="false" ht="12" hidden="false" customHeight="false" outlineLevel="0" collapsed="false">
      <c r="I431" s="218"/>
    </row>
    <row r="432" customFormat="false" ht="12" hidden="false" customHeight="false" outlineLevel="0" collapsed="false">
      <c r="I432" s="218"/>
    </row>
    <row r="433" customFormat="false" ht="12" hidden="false" customHeight="false" outlineLevel="0" collapsed="false">
      <c r="I433" s="218"/>
    </row>
    <row r="434" customFormat="false" ht="12" hidden="false" customHeight="false" outlineLevel="0" collapsed="false">
      <c r="I434" s="218"/>
    </row>
    <row r="435" customFormat="false" ht="12" hidden="false" customHeight="false" outlineLevel="0" collapsed="false">
      <c r="I435" s="218"/>
    </row>
    <row r="436" customFormat="false" ht="12" hidden="false" customHeight="false" outlineLevel="0" collapsed="false">
      <c r="I436" s="218"/>
    </row>
    <row r="437" customFormat="false" ht="12" hidden="false" customHeight="false" outlineLevel="0" collapsed="false">
      <c r="I437" s="218"/>
    </row>
    <row r="438" customFormat="false" ht="12" hidden="false" customHeight="false" outlineLevel="0" collapsed="false">
      <c r="I438" s="218"/>
    </row>
    <row r="439" customFormat="false" ht="12" hidden="false" customHeight="false" outlineLevel="0" collapsed="false">
      <c r="I439" s="218"/>
    </row>
    <row r="440" customFormat="false" ht="12" hidden="false" customHeight="false" outlineLevel="0" collapsed="false">
      <c r="I440" s="218"/>
    </row>
    <row r="441" customFormat="false" ht="12" hidden="false" customHeight="false" outlineLevel="0" collapsed="false">
      <c r="I441" s="218"/>
    </row>
    <row r="442" customFormat="false" ht="12" hidden="false" customHeight="false" outlineLevel="0" collapsed="false">
      <c r="I442" s="218"/>
    </row>
    <row r="443" customFormat="false" ht="12" hidden="false" customHeight="false" outlineLevel="0" collapsed="false">
      <c r="I443" s="218"/>
    </row>
    <row r="444" customFormat="false" ht="12" hidden="false" customHeight="false" outlineLevel="0" collapsed="false">
      <c r="I444" s="218"/>
    </row>
    <row r="445" customFormat="false" ht="12" hidden="false" customHeight="false" outlineLevel="0" collapsed="false">
      <c r="I445" s="218"/>
    </row>
    <row r="446" customFormat="false" ht="12" hidden="false" customHeight="false" outlineLevel="0" collapsed="false">
      <c r="I446" s="218"/>
    </row>
    <row r="447" customFormat="false" ht="12" hidden="false" customHeight="false" outlineLevel="0" collapsed="false">
      <c r="I447" s="218"/>
    </row>
    <row r="448" customFormat="false" ht="12" hidden="false" customHeight="false" outlineLevel="0" collapsed="false">
      <c r="I448" s="218"/>
    </row>
    <row r="449" customFormat="false" ht="12" hidden="false" customHeight="false" outlineLevel="0" collapsed="false">
      <c r="I449" s="218"/>
    </row>
    <row r="450" customFormat="false" ht="12" hidden="false" customHeight="false" outlineLevel="0" collapsed="false">
      <c r="I450" s="218"/>
    </row>
    <row r="451" customFormat="false" ht="12" hidden="false" customHeight="false" outlineLevel="0" collapsed="false">
      <c r="I451" s="218"/>
    </row>
    <row r="452" customFormat="false" ht="12" hidden="false" customHeight="false" outlineLevel="0" collapsed="false">
      <c r="I452" s="218"/>
    </row>
    <row r="453" customFormat="false" ht="12" hidden="false" customHeight="false" outlineLevel="0" collapsed="false">
      <c r="I453" s="218"/>
    </row>
    <row r="454" customFormat="false" ht="12" hidden="false" customHeight="false" outlineLevel="0" collapsed="false">
      <c r="I454" s="218"/>
    </row>
    <row r="455" customFormat="false" ht="12" hidden="false" customHeight="false" outlineLevel="0" collapsed="false">
      <c r="I455" s="218"/>
    </row>
    <row r="456" customFormat="false" ht="12" hidden="false" customHeight="false" outlineLevel="0" collapsed="false">
      <c r="I456" s="218"/>
    </row>
    <row r="457" customFormat="false" ht="12" hidden="false" customHeight="false" outlineLevel="0" collapsed="false">
      <c r="I457" s="218"/>
    </row>
    <row r="458" customFormat="false" ht="12" hidden="false" customHeight="false" outlineLevel="0" collapsed="false">
      <c r="I458" s="218"/>
    </row>
    <row r="459" customFormat="false" ht="12" hidden="false" customHeight="false" outlineLevel="0" collapsed="false">
      <c r="I459" s="218"/>
    </row>
    <row r="460" customFormat="false" ht="12" hidden="false" customHeight="false" outlineLevel="0" collapsed="false">
      <c r="I460" s="218"/>
    </row>
    <row r="461" customFormat="false" ht="12" hidden="false" customHeight="false" outlineLevel="0" collapsed="false">
      <c r="I461" s="218"/>
    </row>
    <row r="462" customFormat="false" ht="12" hidden="false" customHeight="false" outlineLevel="0" collapsed="false">
      <c r="I462" s="218"/>
    </row>
    <row r="463" customFormat="false" ht="12" hidden="false" customHeight="false" outlineLevel="0" collapsed="false">
      <c r="I463" s="218"/>
    </row>
    <row r="464" customFormat="false" ht="12" hidden="false" customHeight="false" outlineLevel="0" collapsed="false">
      <c r="I464" s="218"/>
    </row>
    <row r="465" customFormat="false" ht="12" hidden="false" customHeight="false" outlineLevel="0" collapsed="false">
      <c r="I465" s="218"/>
    </row>
    <row r="466" customFormat="false" ht="12" hidden="false" customHeight="false" outlineLevel="0" collapsed="false">
      <c r="I466" s="218"/>
    </row>
    <row r="467" customFormat="false" ht="12" hidden="false" customHeight="false" outlineLevel="0" collapsed="false">
      <c r="I467" s="218"/>
    </row>
    <row r="468" customFormat="false" ht="12" hidden="false" customHeight="false" outlineLevel="0" collapsed="false">
      <c r="I468" s="218"/>
    </row>
    <row r="469" customFormat="false" ht="12" hidden="false" customHeight="false" outlineLevel="0" collapsed="false">
      <c r="I469" s="218"/>
    </row>
    <row r="470" customFormat="false" ht="12" hidden="false" customHeight="false" outlineLevel="0" collapsed="false">
      <c r="I470" s="218"/>
    </row>
    <row r="471" customFormat="false" ht="12" hidden="false" customHeight="false" outlineLevel="0" collapsed="false">
      <c r="I471" s="218"/>
    </row>
    <row r="472" customFormat="false" ht="12" hidden="false" customHeight="false" outlineLevel="0" collapsed="false">
      <c r="I472" s="218"/>
    </row>
    <row r="473" customFormat="false" ht="12" hidden="false" customHeight="false" outlineLevel="0" collapsed="false">
      <c r="I473" s="218"/>
    </row>
    <row r="474" customFormat="false" ht="12" hidden="false" customHeight="false" outlineLevel="0" collapsed="false">
      <c r="I474" s="218"/>
    </row>
    <row r="475" customFormat="false" ht="12" hidden="false" customHeight="false" outlineLevel="0" collapsed="false">
      <c r="I475" s="218"/>
    </row>
    <row r="476" customFormat="false" ht="12" hidden="false" customHeight="false" outlineLevel="0" collapsed="false">
      <c r="I476" s="218"/>
    </row>
    <row r="477" customFormat="false" ht="12" hidden="false" customHeight="false" outlineLevel="0" collapsed="false">
      <c r="I477" s="218"/>
    </row>
    <row r="478" customFormat="false" ht="12" hidden="false" customHeight="false" outlineLevel="0" collapsed="false">
      <c r="I478" s="218"/>
    </row>
    <row r="479" customFormat="false" ht="12" hidden="false" customHeight="false" outlineLevel="0" collapsed="false">
      <c r="I479" s="218"/>
    </row>
    <row r="480" customFormat="false" ht="12" hidden="false" customHeight="false" outlineLevel="0" collapsed="false">
      <c r="I480" s="218"/>
    </row>
    <row r="481" customFormat="false" ht="12" hidden="false" customHeight="false" outlineLevel="0" collapsed="false">
      <c r="I481" s="218"/>
    </row>
    <row r="482" customFormat="false" ht="12" hidden="false" customHeight="false" outlineLevel="0" collapsed="false">
      <c r="I482" s="218"/>
    </row>
    <row r="483" customFormat="false" ht="12" hidden="false" customHeight="false" outlineLevel="0" collapsed="false">
      <c r="I483" s="218"/>
    </row>
    <row r="484" customFormat="false" ht="12" hidden="false" customHeight="false" outlineLevel="0" collapsed="false">
      <c r="I484" s="218"/>
    </row>
    <row r="485" customFormat="false" ht="12" hidden="false" customHeight="false" outlineLevel="0" collapsed="false">
      <c r="I485" s="218"/>
    </row>
    <row r="486" customFormat="false" ht="12" hidden="false" customHeight="false" outlineLevel="0" collapsed="false">
      <c r="I486" s="218"/>
    </row>
  </sheetData>
  <mergeCells count="1">
    <mergeCell ref="CL2:CN2"/>
  </mergeCells>
  <printOptions headings="false" gridLines="false" gridLinesSet="true" horizontalCentered="false" verticalCentered="false"/>
  <pageMargins left="0.2" right="0.229861111111111" top="0.170138888888889" bottom="0.190277777777778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LoadInTheCurves">
                <anchor moveWithCells="true" sizeWithCells="false">
                  <from>
                    <xdr:col>1</xdr:col>
                    <xdr:colOff>603720</xdr:colOff>
                    <xdr:row>4</xdr:row>
                    <xdr:rowOff>114480</xdr:rowOff>
                  </from>
                  <to>
                    <xdr:col>3</xdr:col>
                    <xdr:colOff>765720</xdr:colOff>
                    <xdr:row>6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W13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3" topLeftCell="BK9" activePane="bottomRight" state="frozen"/>
      <selection pane="topLeft" activeCell="A1" activeCellId="0" sqref="A1"/>
      <selection pane="topRight" activeCell="BK1" activeCellId="0" sqref="BK1"/>
      <selection pane="bottomLeft" activeCell="A9" activeCellId="0" sqref="A9"/>
      <selection pane="bottomRight" activeCell="BS22" activeCellId="0" sqref="BS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14"/>
    <col collapsed="false" customWidth="true" hidden="false" outlineLevel="0" max="2" min="2" style="0" width="4.99"/>
    <col collapsed="false" customWidth="true" hidden="false" outlineLevel="0" max="3" min="3" style="0" width="10.13"/>
    <col collapsed="false" customWidth="true" hidden="false" outlineLevel="0" max="4" min="4" style="0" width="5.41"/>
    <col collapsed="false" customWidth="true" hidden="false" outlineLevel="0" max="5" min="5" style="0" width="8.99"/>
    <col collapsed="false" customWidth="true" hidden="false" outlineLevel="0" max="7" min="6" style="0" width="7.7"/>
    <col collapsed="false" customWidth="true" hidden="false" outlineLevel="0" max="8" min="8" style="0" width="11.56"/>
    <col collapsed="false" customWidth="true" hidden="false" outlineLevel="0" max="9" min="9" style="0" width="9.99"/>
    <col collapsed="false" customWidth="true" hidden="false" outlineLevel="0" max="10" min="10" style="0" width="12.42"/>
    <col collapsed="false" customWidth="true" hidden="false" outlineLevel="0" max="11" min="11" style="0" width="9.99"/>
    <col collapsed="false" customWidth="true" hidden="false" outlineLevel="0" max="12" min="12" style="0" width="12.42"/>
    <col collapsed="false" customWidth="true" hidden="false" outlineLevel="0" max="13" min="13" style="0" width="9.99"/>
    <col collapsed="false" customWidth="true" hidden="false" outlineLevel="0" max="14" min="14" style="0" width="12.42"/>
    <col collapsed="false" customWidth="true" hidden="false" outlineLevel="0" max="15" min="15" style="0" width="12.28"/>
    <col collapsed="false" customWidth="true" hidden="false" outlineLevel="0" max="16" min="16" style="0" width="9.99"/>
    <col collapsed="false" customWidth="true" hidden="false" outlineLevel="0" max="17" min="17" style="0" width="12.42"/>
    <col collapsed="false" customWidth="true" hidden="false" outlineLevel="0" max="18" min="18" style="0" width="9.99"/>
    <col collapsed="false" customWidth="true" hidden="false" outlineLevel="0" max="19" min="19" style="0" width="12.42"/>
    <col collapsed="false" customWidth="true" hidden="false" outlineLevel="0" max="20" min="20" style="0" width="9.99"/>
    <col collapsed="false" customWidth="true" hidden="false" outlineLevel="0" max="21" min="21" style="0" width="12.42"/>
    <col collapsed="false" customWidth="true" hidden="false" outlineLevel="0" max="22" min="22" style="0" width="12.28"/>
    <col collapsed="false" customWidth="true" hidden="false" outlineLevel="0" max="23" min="23" style="0" width="11.13"/>
    <col collapsed="false" customWidth="true" hidden="false" outlineLevel="0" max="24" min="24" style="0" width="13.85"/>
    <col collapsed="false" customWidth="true" hidden="false" outlineLevel="0" max="25" min="25" style="0" width="11.13"/>
    <col collapsed="false" customWidth="true" hidden="false" outlineLevel="0" max="26" min="26" style="0" width="13.85"/>
    <col collapsed="false" customWidth="true" hidden="false" outlineLevel="0" max="27" min="27" style="0" width="11.13"/>
    <col collapsed="false" customWidth="true" hidden="false" outlineLevel="0" max="28" min="28" style="0" width="12.42"/>
    <col collapsed="false" customWidth="true" hidden="false" outlineLevel="0" max="29" min="29" style="0" width="12.28"/>
    <col collapsed="false" customWidth="true" hidden="false" outlineLevel="0" max="34" min="30" style="0" width="4.28"/>
    <col collapsed="false" customWidth="true" hidden="false" outlineLevel="0" max="35" min="35" style="0" width="4.56"/>
    <col collapsed="false" customWidth="true" hidden="false" outlineLevel="0" max="36" min="36" style="0" width="5.13"/>
    <col collapsed="false" customWidth="true" hidden="false" outlineLevel="0" max="38" min="37" style="0" width="4.14"/>
    <col collapsed="false" customWidth="true" hidden="false" outlineLevel="0" max="39" min="39" style="0" width="3.14"/>
    <col collapsed="false" customWidth="true" hidden="false" outlineLevel="0" max="40" min="40" style="0" width="2.99"/>
    <col collapsed="false" customWidth="true" hidden="false" outlineLevel="0" max="41" min="41" style="0" width="3.14"/>
    <col collapsed="false" customWidth="true" hidden="false" outlineLevel="0" max="42" min="42" style="0" width="5.85"/>
    <col collapsed="false" customWidth="true" hidden="false" outlineLevel="0" max="43" min="43" style="0" width="4.14"/>
    <col collapsed="false" customWidth="true" hidden="false" outlineLevel="0" max="44" min="44" style="0" width="9.99"/>
    <col collapsed="false" customWidth="true" hidden="false" outlineLevel="0" max="46" min="45" style="0" width="4.56"/>
    <col collapsed="false" customWidth="true" hidden="false" outlineLevel="0" max="47" min="47" style="0" width="4.41"/>
    <col collapsed="false" customWidth="true" hidden="false" outlineLevel="0" max="48" min="48" style="0" width="3.7"/>
    <col collapsed="false" customWidth="true" hidden="false" outlineLevel="0" max="49" min="49" style="0" width="5.13"/>
    <col collapsed="false" customWidth="true" hidden="false" outlineLevel="0" max="50" min="50" style="0" width="3.7"/>
    <col collapsed="false" customWidth="true" hidden="false" outlineLevel="0" max="51" min="51" style="0" width="2.99"/>
    <col collapsed="false" customWidth="true" hidden="false" outlineLevel="0" max="52" min="52" style="0" width="9.99"/>
    <col collapsed="false" customWidth="true" hidden="false" outlineLevel="0" max="53" min="53" style="63" width="8.28"/>
    <col collapsed="false" customWidth="true" hidden="false" outlineLevel="0" max="54" min="54" style="63" width="11.99"/>
    <col collapsed="false" customWidth="true" hidden="false" outlineLevel="0" max="55" min="55" style="63" width="12.42"/>
    <col collapsed="false" customWidth="true" hidden="false" outlineLevel="0" max="56" min="56" style="63" width="11.13"/>
    <col collapsed="false" customWidth="true" hidden="false" outlineLevel="0" max="57" min="57" style="63" width="12.42"/>
    <col collapsed="false" customWidth="true" hidden="false" outlineLevel="0" max="58" min="58" style="63" width="11.13"/>
    <col collapsed="false" customWidth="true" hidden="false" outlineLevel="0" max="59" min="59" style="0" width="12.42"/>
    <col collapsed="false" customWidth="true" hidden="false" outlineLevel="0" max="65" min="60" style="0" width="12.28"/>
    <col collapsed="false" customWidth="true" hidden="false" outlineLevel="0" max="67" min="67" style="0" width="9.28"/>
    <col collapsed="false" customWidth="true" hidden="false" outlineLevel="0" max="69" min="69" style="0" width="8.7"/>
    <col collapsed="false" customWidth="true" hidden="false" outlineLevel="0" max="70" min="70" style="0" width="7.99"/>
    <col collapsed="false" customWidth="true" hidden="false" outlineLevel="0" max="72" min="72" style="0" width="11.56"/>
    <col collapsed="false" customWidth="true" hidden="false" outlineLevel="0" max="73" min="73" style="0" width="9.56"/>
  </cols>
  <sheetData>
    <row r="1" customFormat="false" ht="12.75" hidden="false" customHeight="false" outlineLevel="0" collapsed="false">
      <c r="A1" s="251" t="s">
        <v>1284</v>
      </c>
      <c r="B1" s="251"/>
      <c r="C1" s="251"/>
      <c r="D1" s="251"/>
      <c r="E1" s="251"/>
      <c r="F1" s="251"/>
      <c r="G1" s="251"/>
      <c r="H1" s="251"/>
      <c r="I1" s="252" t="s">
        <v>1285</v>
      </c>
      <c r="J1" s="252"/>
      <c r="K1" s="252"/>
      <c r="L1" s="252"/>
      <c r="M1" s="252"/>
      <c r="N1" s="252"/>
      <c r="O1" s="252"/>
      <c r="P1" s="253" t="s">
        <v>1286</v>
      </c>
      <c r="Q1" s="253"/>
      <c r="R1" s="253"/>
      <c r="S1" s="253"/>
      <c r="T1" s="253"/>
      <c r="U1" s="253"/>
      <c r="V1" s="253"/>
      <c r="W1" s="254" t="s">
        <v>1287</v>
      </c>
      <c r="X1" s="254"/>
      <c r="Y1" s="254"/>
      <c r="Z1" s="254"/>
      <c r="AA1" s="254"/>
      <c r="AB1" s="254"/>
      <c r="AC1" s="254"/>
      <c r="AD1" s="255" t="s">
        <v>1288</v>
      </c>
      <c r="AE1" s="255"/>
      <c r="AF1" s="255"/>
      <c r="AG1" s="255"/>
      <c r="AH1" s="255"/>
      <c r="AI1" s="255"/>
      <c r="AJ1" s="255"/>
      <c r="AK1" s="255" t="s">
        <v>1289</v>
      </c>
      <c r="AL1" s="255"/>
      <c r="AM1" s="255"/>
      <c r="AN1" s="255"/>
      <c r="AO1" s="255"/>
      <c r="AP1" s="255"/>
      <c r="AQ1" s="255"/>
      <c r="AR1" s="255"/>
      <c r="AS1" s="255"/>
      <c r="AT1" s="255"/>
      <c r="AU1" s="255"/>
      <c r="AV1" s="255"/>
      <c r="AW1" s="255"/>
      <c r="AX1" s="255"/>
      <c r="AY1" s="255"/>
      <c r="AZ1" s="255"/>
      <c r="BA1" s="256" t="s">
        <v>1290</v>
      </c>
      <c r="BB1" s="256"/>
      <c r="BC1" s="256"/>
      <c r="BD1" s="256"/>
      <c r="BE1" s="256"/>
      <c r="BF1" s="256"/>
      <c r="BG1" s="256"/>
      <c r="BH1" s="256"/>
      <c r="BI1" s="256"/>
      <c r="BJ1" s="257" t="s">
        <v>1291</v>
      </c>
      <c r="BK1" s="257"/>
      <c r="BL1" s="257"/>
      <c r="BM1" s="257"/>
      <c r="BN1" s="258" t="s">
        <v>1292</v>
      </c>
      <c r="BO1" s="258"/>
      <c r="BP1" s="258"/>
      <c r="BQ1" s="258"/>
      <c r="BR1" s="258"/>
      <c r="BS1" s="258"/>
      <c r="BT1" s="258"/>
      <c r="BU1" s="258"/>
      <c r="BV1" s="258"/>
      <c r="BW1" s="258"/>
    </row>
    <row r="2" customFormat="false" ht="11.25" hidden="false" customHeight="false" outlineLevel="0" collapsed="false">
      <c r="A2" s="259"/>
      <c r="B2" s="259"/>
      <c r="C2" s="259"/>
      <c r="D2" s="259"/>
      <c r="E2" s="260" t="s">
        <v>1293</v>
      </c>
      <c r="F2" s="259"/>
      <c r="G2" s="260" t="s">
        <v>1294</v>
      </c>
      <c r="H2" s="260" t="s">
        <v>1295</v>
      </c>
      <c r="I2" s="261" t="s">
        <v>1296</v>
      </c>
      <c r="J2" s="261" t="s">
        <v>1296</v>
      </c>
      <c r="K2" s="261" t="s">
        <v>1297</v>
      </c>
      <c r="L2" s="261" t="s">
        <v>1297</v>
      </c>
      <c r="M2" s="261" t="s">
        <v>1298</v>
      </c>
      <c r="N2" s="261" t="s">
        <v>1298</v>
      </c>
      <c r="O2" s="261" t="s">
        <v>1299</v>
      </c>
      <c r="P2" s="262" t="s">
        <v>1296</v>
      </c>
      <c r="Q2" s="262" t="s">
        <v>1296</v>
      </c>
      <c r="R2" s="262" t="s">
        <v>1297</v>
      </c>
      <c r="S2" s="262" t="s">
        <v>1297</v>
      </c>
      <c r="T2" s="262" t="s">
        <v>1298</v>
      </c>
      <c r="U2" s="262" t="s">
        <v>1298</v>
      </c>
      <c r="V2" s="262" t="s">
        <v>1299</v>
      </c>
      <c r="W2" s="263" t="s">
        <v>1296</v>
      </c>
      <c r="X2" s="263" t="s">
        <v>1296</v>
      </c>
      <c r="Y2" s="263" t="s">
        <v>1297</v>
      </c>
      <c r="Z2" s="263" t="s">
        <v>1297</v>
      </c>
      <c r="AA2" s="263" t="s">
        <v>1298</v>
      </c>
      <c r="AB2" s="263" t="s">
        <v>1298</v>
      </c>
      <c r="AC2" s="263" t="s">
        <v>1299</v>
      </c>
      <c r="AD2" s="264"/>
      <c r="AE2" s="264"/>
      <c r="AF2" s="264"/>
      <c r="AG2" s="264"/>
      <c r="AH2" s="264"/>
      <c r="AI2" s="265" t="s">
        <v>1300</v>
      </c>
      <c r="AJ2" s="266" t="n">
        <v>100</v>
      </c>
      <c r="AK2" s="264"/>
      <c r="AL2" s="264"/>
      <c r="AM2" s="264"/>
      <c r="AN2" s="264"/>
      <c r="AO2" s="265" t="s">
        <v>1289</v>
      </c>
      <c r="AP2" s="266" t="n">
        <v>1400</v>
      </c>
      <c r="AQ2" s="264"/>
      <c r="AR2" s="264" t="s">
        <v>1301</v>
      </c>
      <c r="AS2" s="267"/>
      <c r="AT2" s="267"/>
      <c r="AU2" s="267"/>
      <c r="AV2" s="267"/>
      <c r="AW2" s="267"/>
      <c r="AX2" s="267"/>
      <c r="AY2" s="267"/>
      <c r="AZ2" s="267" t="s">
        <v>1302</v>
      </c>
      <c r="BA2" s="268"/>
      <c r="BB2" s="269" t="s">
        <v>1296</v>
      </c>
      <c r="BC2" s="269" t="s">
        <v>1296</v>
      </c>
      <c r="BD2" s="269" t="s">
        <v>1297</v>
      </c>
      <c r="BE2" s="269" t="s">
        <v>1297</v>
      </c>
      <c r="BF2" s="269" t="s">
        <v>1298</v>
      </c>
      <c r="BG2" s="269" t="s">
        <v>1298</v>
      </c>
      <c r="BH2" s="269" t="s">
        <v>1299</v>
      </c>
      <c r="BI2" s="269" t="s">
        <v>1302</v>
      </c>
      <c r="BJ2" s="270" t="s">
        <v>1303</v>
      </c>
      <c r="BK2" s="270" t="s">
        <v>1304</v>
      </c>
      <c r="BL2" s="270" t="s">
        <v>1305</v>
      </c>
      <c r="BM2" s="270" t="s">
        <v>1294</v>
      </c>
      <c r="BN2" s="271" t="s">
        <v>30</v>
      </c>
      <c r="BO2" s="271" t="s">
        <v>30</v>
      </c>
      <c r="BP2" s="271" t="s">
        <v>30</v>
      </c>
      <c r="BQ2" s="271" t="s">
        <v>36</v>
      </c>
      <c r="BR2" s="271" t="s">
        <v>36</v>
      </c>
      <c r="BS2" s="271" t="s">
        <v>36</v>
      </c>
      <c r="BT2" s="271" t="s">
        <v>1306</v>
      </c>
      <c r="BU2" s="271" t="s">
        <v>1307</v>
      </c>
      <c r="BV2" s="271" t="s">
        <v>1308</v>
      </c>
      <c r="BW2" s="271" t="s">
        <v>1309</v>
      </c>
    </row>
    <row r="3" customFormat="false" ht="11.25" hidden="false" customHeight="false" outlineLevel="0" collapsed="false">
      <c r="A3" s="260" t="s">
        <v>1310</v>
      </c>
      <c r="B3" s="260" t="s">
        <v>1311</v>
      </c>
      <c r="C3" s="260" t="s">
        <v>36</v>
      </c>
      <c r="D3" s="260" t="s">
        <v>104</v>
      </c>
      <c r="E3" s="260" t="s">
        <v>1312</v>
      </c>
      <c r="F3" s="260" t="s">
        <v>1305</v>
      </c>
      <c r="G3" s="260" t="s">
        <v>74</v>
      </c>
      <c r="H3" s="260" t="s">
        <v>1313</v>
      </c>
      <c r="I3" s="261" t="s">
        <v>1314</v>
      </c>
      <c r="J3" s="261" t="s">
        <v>1315</v>
      </c>
      <c r="K3" s="261" t="s">
        <v>1314</v>
      </c>
      <c r="L3" s="261" t="s">
        <v>1315</v>
      </c>
      <c r="M3" s="261" t="s">
        <v>1314</v>
      </c>
      <c r="N3" s="261" t="s">
        <v>1315</v>
      </c>
      <c r="O3" s="261" t="s">
        <v>1316</v>
      </c>
      <c r="P3" s="262" t="s">
        <v>1314</v>
      </c>
      <c r="Q3" s="262" t="s">
        <v>1315</v>
      </c>
      <c r="R3" s="262" t="s">
        <v>1314</v>
      </c>
      <c r="S3" s="262" t="s">
        <v>1315</v>
      </c>
      <c r="T3" s="262" t="s">
        <v>1314</v>
      </c>
      <c r="U3" s="262" t="s">
        <v>1315</v>
      </c>
      <c r="V3" s="262" t="s">
        <v>1316</v>
      </c>
      <c r="W3" s="263" t="s">
        <v>1314</v>
      </c>
      <c r="X3" s="263" t="s">
        <v>1315</v>
      </c>
      <c r="Y3" s="263" t="s">
        <v>1314</v>
      </c>
      <c r="Z3" s="263" t="s">
        <v>1315</v>
      </c>
      <c r="AA3" s="263" t="s">
        <v>1314</v>
      </c>
      <c r="AB3" s="263" t="s">
        <v>1315</v>
      </c>
      <c r="AC3" s="263" t="s">
        <v>1316</v>
      </c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5"/>
      <c r="AP3" s="264"/>
      <c r="AQ3" s="264"/>
      <c r="AR3" s="264" t="s">
        <v>1311</v>
      </c>
      <c r="AS3" s="267"/>
      <c r="AT3" s="267"/>
      <c r="AU3" s="267"/>
      <c r="AV3" s="267"/>
      <c r="AW3" s="267"/>
      <c r="AX3" s="267"/>
      <c r="AY3" s="267"/>
      <c r="AZ3" s="267" t="s">
        <v>1301</v>
      </c>
      <c r="BA3" s="269" t="s">
        <v>1317</v>
      </c>
      <c r="BB3" s="269" t="s">
        <v>1314</v>
      </c>
      <c r="BC3" s="269" t="s">
        <v>1315</v>
      </c>
      <c r="BD3" s="269" t="s">
        <v>1314</v>
      </c>
      <c r="BE3" s="269" t="s">
        <v>1315</v>
      </c>
      <c r="BF3" s="269" t="s">
        <v>1314</v>
      </c>
      <c r="BG3" s="269" t="s">
        <v>1315</v>
      </c>
      <c r="BH3" s="269" t="s">
        <v>1316</v>
      </c>
      <c r="BI3" s="269" t="s">
        <v>1318</v>
      </c>
      <c r="BJ3" s="270" t="s">
        <v>1319</v>
      </c>
      <c r="BK3" s="270" t="s">
        <v>1320</v>
      </c>
      <c r="BL3" s="270" t="s">
        <v>1320</v>
      </c>
      <c r="BM3" s="270" t="s">
        <v>74</v>
      </c>
      <c r="BN3" s="271" t="s">
        <v>1321</v>
      </c>
      <c r="BO3" s="271" t="s">
        <v>1322</v>
      </c>
      <c r="BP3" s="271" t="s">
        <v>1323</v>
      </c>
      <c r="BQ3" s="271" t="s">
        <v>1321</v>
      </c>
      <c r="BR3" s="271" t="s">
        <v>1324</v>
      </c>
      <c r="BS3" s="271" t="s">
        <v>1325</v>
      </c>
      <c r="BT3" s="271" t="s">
        <v>67</v>
      </c>
      <c r="BU3" s="271" t="s">
        <v>1326</v>
      </c>
      <c r="BV3" s="271" t="s">
        <v>1327</v>
      </c>
      <c r="BW3" s="271" t="s">
        <v>73</v>
      </c>
    </row>
    <row r="4" customFormat="false" ht="12.75" hidden="false" customHeight="false" outlineLevel="0" collapsed="false">
      <c r="A4" s="272" t="n">
        <f aca="false">Inputs!K2</f>
        <v>36892</v>
      </c>
      <c r="B4" s="273" t="n">
        <f aca="false">IF(A4="N/A"," ",YEAR(A4))</f>
        <v>2001</v>
      </c>
      <c r="C4" s="274" t="e">
        <f aca="false">IF(A4="N/A"," ",VLOOKUP(A4,ScaledPrice,10))</f>
        <v>#N/A</v>
      </c>
      <c r="D4" s="275" t="n">
        <f aca="false">IF(A4="N/A"," ",(VLOOKUP(MONTH($A4),Inputs!$A$14:$B$25,2))/1000)</f>
        <v>10.5</v>
      </c>
      <c r="E4" s="276" t="e">
        <f aca="false">IF($A4="N/A"," ",C4*D4)</f>
        <v>#N/A</v>
      </c>
      <c r="F4" s="277" t="n">
        <f aca="false">IF(A4="N/A"," ",Inputs!$F$6)</f>
        <v>2</v>
      </c>
      <c r="G4" s="277" t="n">
        <f aca="false">IF(A4="N/A"," ",Inputs!$F$9/IF(AND('Pricing Inputs'!$AQ$3&gt;=4,'Pricing Inputs'!$AQ$3&lt;=6),16,IF(AND('Pricing Inputs'!$AQ$3&gt;=7,'Pricing Inputs'!$AQ$3&lt;=9),8,24))/(BA4/BW4))</f>
        <v>0</v>
      </c>
      <c r="H4" s="278" t="e">
        <f aca="false">IF(A4="N/A"," ",(C4*D4)+F4+G4)</f>
        <v>#N/A</v>
      </c>
      <c r="I4" s="279" t="n">
        <f aca="false">VLOOKUP(A4,ScaledPrice,(IF(AND('Pricing Inputs'!$AQ$3&gt;=1,'Pricing Inputs'!$AQ$3&lt;=6),2,4)))</f>
        <v>36.342966342429</v>
      </c>
      <c r="J4" s="279" t="n">
        <f aca="false">IF(A4="N/A"," ",IF(AND('Pricing Inputs'!$AQ$3&gt;=1,'Pricing Inputs'!$AQ$3&lt;=6),I4,(VLOOKUP(A4,ScaledPrice,2))*(2-(VLOOKUP(A4,ScaledPrice,3)))))</f>
        <v>38.657033657571</v>
      </c>
      <c r="K4" s="279" t="n">
        <f aca="false">IF(A4="N/A"," ",IF(OR('Pricing Inputs'!$AQ$3=2,'Pricing Inputs'!$AQ$3=3,'Pricing Inputs'!$AQ$3=5,'Pricing Inputs'!$AQ$3=6,'Pricing Inputs'!$AQ$3=8,'Pricing Inputs'!$AQ$3=9),VLOOKUP(A4,ScaledPrice,IF(AND('Pricing Inputs'!$AQ$3&gt;=2,'Pricing Inputs'!$AQ$3&lt;=6),5,6)),0))</f>
        <v>27.8617282472782</v>
      </c>
      <c r="L4" s="279" t="n">
        <f aca="false">IF(A4="N/A"," ",IF(OR('Pricing Inputs'!$AQ$3=2,'Pricing Inputs'!$AQ$3=3,'Pricing Inputs'!$AQ$3=5,'Pricing Inputs'!$AQ$3=6,'Pricing Inputs'!$AQ$3=8,'Pricing Inputs'!$AQ$3=9),IF(AND('Pricing Inputs'!$AQ$3&gt;=2,'Pricing Inputs'!$AQ$3&lt;=6),K4,(VLOOKUP(A4,ScaledPrice,5))*(2-(VLOOKUP(A4,ScaledPrice,3)))),0))</f>
        <v>29.6357693113156</v>
      </c>
      <c r="M4" s="279" t="n">
        <f aca="false">IF(A4="N/A"," ",IF(OR('Pricing Inputs'!$AQ$3=3,'Pricing Inputs'!$AQ$3=6,'Pricing Inputs'!$AQ$3=9),(VLOOKUP(A4,ScaledPrice,IF(AND('Pricing Inputs'!$AQ$3&gt;=3,'Pricing Inputs'!$AQ$3&lt;=6),7,8))),0))</f>
        <v>26.4116455908342</v>
      </c>
      <c r="N4" s="279" t="n">
        <f aca="false">IF(A4="N/A"," ",IF(OR('Pricing Inputs'!$AQ$3=3,'Pricing Inputs'!$AQ$3=6,'Pricing Inputs'!$AQ$3=9),IF(AND('Pricing Inputs'!$AQ$3&gt;=3,'Pricing Inputs'!$AQ$3&lt;=6),M4,(VLOOKUP(A4,ScaledPrice,7))*(2-(VLOOKUP(A4,ScaledPrice,3)))),0))</f>
        <v>28.093355477281</v>
      </c>
      <c r="O4" s="279" t="n">
        <f aca="false">IF(A4="N/A"," ",IF(AND('Pricing Inputs'!$AQ$3&gt;=1,'Pricing Inputs'!$AQ$3&lt;=3),VLOOKUP(A4,ScaledPrice,9),0))</f>
        <v>0</v>
      </c>
      <c r="P4" s="280" t="e">
        <f aca="false">IF($A4="N/A"," ",IF('Pricing Inputs'!$AN$8=2,(I4-H4),IF('Pricing Inputs'!$AN$3=2,IF((I4-$H4)&gt;0,I4-$H4,0),(xSPRDOPT(I4,$E4,$BU4,0,$BP4,$BS4,$BT4,($A4-Inputs!$D$1)+15,1,0)))))</f>
        <v>#NAME?</v>
      </c>
      <c r="Q4" s="280" t="e">
        <f aca="false">IF($A4="N/A"," ",IF('Pricing Inputs'!$AN$8=2,(J4-$H4),IF('Pricing Inputs'!$AN$3=2,IF((J4-$H4)&gt;0,J4-$H4,0),(xSPRDOPT(J4,$E4,$BU4,0,$BP4,$BS4,$BT4,($A4-Inputs!$D$1)+15,1,0)))))</f>
        <v>#NAME?</v>
      </c>
      <c r="R4" s="280" t="e">
        <f aca="false">IF($A4="N/A"," ",IF('Pricing Inputs'!$AN$8=2,(K4-$H4),IF('Pricing Inputs'!$AN$3=2,IF((K4-$H4)&gt;0,K4-$H4,0),(xSPRDOPT(K4,$E4,$BU4,0,$BP4,$BS4,$BT4,($A4-Inputs!$D$1)+15,1,0)))))</f>
        <v>#NAME?</v>
      </c>
      <c r="S4" s="280" t="e">
        <f aca="false">IF($A4="N/A"," ",IF('Pricing Inputs'!$AN$8=2,(L4-$H4),IF('Pricing Inputs'!$AN$3=2,IF((L4-$H4)&gt;0,L4-$H4,0),(xSPRDOPT(L4,$E4,$BU4,0,$BP4,$BS4,$BT4,($A4-Inputs!$D$1)+15,1,0)))))</f>
        <v>#NAME?</v>
      </c>
      <c r="T4" s="280" t="e">
        <f aca="false">IF($A4="N/A"," ",IF('Pricing Inputs'!$AN$8=2,(M4-$H4),IF('Pricing Inputs'!$AN$3=2,IF((M4-$H4)&gt;0,M4-$H4,0),(xSPRDOPT(M4,$E4,$BU4,0,$BP4,$BS4,$BT4,($A4-Inputs!$D$1)+15,1,0)))))</f>
        <v>#NAME?</v>
      </c>
      <c r="U4" s="280" t="e">
        <f aca="false">IF($A4="N/A"," ",IF('Pricing Inputs'!$AN$8=2,(N4-$H4),IF('Pricing Inputs'!$AN$3=2,IF((N4-$H4)&gt;0,N4-$H4,0),(xSPRDOPT(N4,$E4,$BU4,0,$BP4,$BS4,$BT4,($A4-Inputs!$D$1)+15,1,0)))))</f>
        <v>#NAME?</v>
      </c>
      <c r="V4" s="281" t="e">
        <f aca="false">IF($A4="N/A"," ",(IF('Pricing Inputs'!$AN$8=2,(O4-$H4),IF((O4-$H4)&lt;=0,0,(O4-$H4)))))</f>
        <v>#N/A</v>
      </c>
      <c r="W4" s="282" t="e">
        <f aca="false">IF($A4="N/A"," ",IF(0&lt;&gt;P4,IF('Pricing Inputs'!$AN$3=2,8*VLOOKUP($A4,NumberofDaysTable,2),(xSPRDOPT(I4,$E4,$BU4,0,$BP4,$BS4,$BT4,$A4-Inputs!$D$1,1,1))*(8*VLOOKUP($A4,NumberofDaysTable,2))),0))</f>
        <v>#NAME?</v>
      </c>
      <c r="X4" s="282" t="e">
        <f aca="false">IF($A4="N/A"," ",IF(Q4&lt;&gt;0,IF('Pricing Inputs'!$AN$3=2,8*VLOOKUP($A4,NumberofDaysTable,2),(xSPRDOPT(J4,$E4,$BU4,0,$BP4,$BS4,$BT4,$A4-Inputs!$D$1,1,1))*(8*VLOOKUP($A4,NumberofDaysTable,2))),0))</f>
        <v>#NAME?</v>
      </c>
      <c r="Y4" s="282" t="e">
        <f aca="false">IF($A4="N/A"," ",IF(R4&lt;&gt;0,IF('Pricing Inputs'!$AN$3=2,8*VLOOKUP($A4,NumberofDaysTable,3),(xSPRDOPT(K4,$E4,$BU4,0,$BP4,$BS4,$BT4,$A4-Inputs!$D$1,1,1))*(8*VLOOKUP($A4,NumberofDaysTable,3))),0))</f>
        <v>#NAME?</v>
      </c>
      <c r="Z4" s="282" t="e">
        <f aca="false">IF($A4="N/A"," ",IF(S4&lt;&gt;0,IF('Pricing Inputs'!$AN$3=2,8*VLOOKUP($A4,NumberofDaysTable,3),(xSPRDOPT(L4,$E4,$BU4,0,$BP4,$BS4,$BT4,$A4-Inputs!$D$1,1,1))*(8*VLOOKUP($A4,NumberofDaysTable,3))),0))</f>
        <v>#NAME?</v>
      </c>
      <c r="AA4" s="282" t="e">
        <f aca="false">IF($A4="N/A"," ",IF(T4&lt;&gt;0,IF('Pricing Inputs'!$AN$3=2,8*VLOOKUP($A4,NumberofDaysTable,4),(xSPRDOPT(M4,$E4,$BU4,0,$BP4,$BS4,$BT4,$A4-Inputs!$D$1,1,1))*(8*VLOOKUP($A4,NumberofDaysTable,4))),0))</f>
        <v>#NAME?</v>
      </c>
      <c r="AB4" s="282" t="e">
        <f aca="false">IF($A4="N/A"," ",IF(U4&lt;&gt;0,IF('Pricing Inputs'!$AN$3=2,8*VLOOKUP($A4,NumberofDaysTable,4),(xSPRDOPT(N4,$E4,$BU4,0,$BP4,$BS4,$BT4,$A4-Inputs!$D$1,1,1))*(8*VLOOKUP($A4,NumberofDaysTable,4))),0))</f>
        <v>#NAME?</v>
      </c>
      <c r="AC4" s="282" t="e">
        <f aca="false">IF($A4="N/A"," ",(IF(V4&lt;&gt;0,(8*VLOOKUP($A4,NumberofDaysTable,6)),0)))</f>
        <v>#N/A</v>
      </c>
      <c r="AD4" s="283" t="e">
        <f aca="false">IF($A4="N/A"," ",RANK(P4,$P$4:$V$15))</f>
        <v>#NAME?</v>
      </c>
      <c r="AE4" s="284" t="e">
        <f aca="false">IF($A4="N/A"," ",RANK(Q4,$P$4:$V$15))</f>
        <v>#NAME?</v>
      </c>
      <c r="AF4" s="284" t="e">
        <f aca="false">IF($A4="N/A"," ",RANK(R4,$P$4:$V$15))</f>
        <v>#NAME?</v>
      </c>
      <c r="AG4" s="284" t="e">
        <f aca="false">IF($A4="N/A"," ",RANK(S4,$P$4:$V$15))</f>
        <v>#NAME?</v>
      </c>
      <c r="AH4" s="284" t="e">
        <f aca="false">IF($A4="N/A"," ",RANK(T4,$P$4:$V$15))</f>
        <v>#NAME?</v>
      </c>
      <c r="AI4" s="284" t="e">
        <f aca="false">IF($A4="N/A"," ",RANK(U4,$P$4:$V$15))</f>
        <v>#NAME?</v>
      </c>
      <c r="AJ4" s="285" t="e">
        <f aca="false">IF($A4="N/A"," ",RANK(V4,$P$4:$V$15))</f>
        <v>#NAME?</v>
      </c>
      <c r="AK4" s="286" t="e">
        <f aca="false">IF($A4="N/A",0,IF(AD4&lt;=$AJ$2,W4,0))</f>
        <v>#NAME?</v>
      </c>
      <c r="AL4" s="287" t="e">
        <f aca="false">IF($A4="N/A",0,IF(AE4&lt;=$AJ$2,X4,0))</f>
        <v>#NAME?</v>
      </c>
      <c r="AM4" s="287" t="e">
        <f aca="false">IF($A4="N/A",0,IF(AF4&lt;=$AJ$2,Y4,0))</f>
        <v>#NAME?</v>
      </c>
      <c r="AN4" s="287" t="e">
        <f aca="false">IF($A4="N/A",0,IF(AG4&lt;=$AJ$2,Z4,0))</f>
        <v>#NAME?</v>
      </c>
      <c r="AO4" s="287" t="e">
        <f aca="false">IF($A4="N/A",0,IF(AH4&lt;=$AJ$2,AA4,0))</f>
        <v>#NAME?</v>
      </c>
      <c r="AP4" s="287" t="e">
        <f aca="false">IF($A4="N/A",0,IF(AI4&lt;=$AJ$2,AB4,0))</f>
        <v>#NAME?</v>
      </c>
      <c r="AQ4" s="287" t="e">
        <f aca="false">IF($A4="N/A",0,IF(AJ4&lt;=$AJ$2,AC4,0))</f>
        <v>#NAME?</v>
      </c>
      <c r="AR4" s="285"/>
      <c r="AS4" s="288" t="e">
        <f aca="false">IF($A4="N/A",0,IF(AND(AD4=$AJ$2+1,AK4=0),MIN($AR$15,W4),0))</f>
        <v>#NAME?</v>
      </c>
      <c r="AT4" s="289" t="e">
        <f aca="false">IF($A4="N/A",0,IF(AND(AE4=$AJ$2+1,AL4=0),MIN($AR$15,X4),0))</f>
        <v>#NAME?</v>
      </c>
      <c r="AU4" s="289" t="e">
        <f aca="false">IF($A4="N/A",0,IF(AND(AF4=$AJ$2+1,AM4=0),MIN($AR$15,Y4),0))</f>
        <v>#NAME?</v>
      </c>
      <c r="AV4" s="289" t="e">
        <f aca="false">IF($A4="N/A",0,IF(AND(AG4=$AJ$2+1,AN4=0),MIN($AR$15,Z4),0))</f>
        <v>#NAME?</v>
      </c>
      <c r="AW4" s="289" t="e">
        <f aca="false">IF($A4="N/A",0,IF(AND(AH4=$AJ$2+1,AO4=0),MIN($AR$15,AA4),0))</f>
        <v>#NAME?</v>
      </c>
      <c r="AX4" s="289" t="e">
        <f aca="false">IF($A4="N/A",0,IF(AND(AI4=$AJ$2+1,AP4=0),MIN($AR$15,AB4),0))</f>
        <v>#NAME?</v>
      </c>
      <c r="AY4" s="289" t="e">
        <f aca="false">IF($A4="N/A",0,IF(AND(AJ4=$AJ$2+1,AQ4=0),MIN($AR$15,AC4),0))</f>
        <v>#NAME?</v>
      </c>
      <c r="AZ4" s="290"/>
      <c r="BA4" s="291" t="n">
        <f aca="false">IF($A4="N/A"," ",(IF(MONTH(A4)&gt;=4,IF(MONTH(A4)&lt;=10,Inputs!$F$13,Inputs!$F$14),Inputs!$F$14))*$BW4)</f>
        <v>180</v>
      </c>
      <c r="BB4" s="292" t="e">
        <f aca="false">IF($A4="N/A"," ",(IF(AK4&gt;0,($BA4*(8*(VLOOKUP($A4,NumberofDaysTable,2)))*P4),0)+IF(AS4&gt;0,($BA4*((AS4))*P4),0)))</f>
        <v>#NAME?</v>
      </c>
      <c r="BC4" s="292" t="e">
        <f aca="false">IF($A4="N/A"," ",(IF(AL4&gt;0,($BA4*(8*(VLOOKUP($A4,NumberofDaysTable,2)))*Q4),0)+IF(AT4&gt;0,($BA4*((AT4))*Q4),0)))</f>
        <v>#NAME?</v>
      </c>
      <c r="BD4" s="292" t="e">
        <f aca="false">IF($A4="N/A"," ",(IF(AM4&gt;0,($BA4*(8*(VLOOKUP($A4,NumberofDaysTable,3)))*R4),0)+IF(AU4&gt;0,($BA4*((AU4))*R4),0)))</f>
        <v>#NAME?</v>
      </c>
      <c r="BE4" s="292" t="e">
        <f aca="false">IF($A4="N/A"," ",(IF(AN4&gt;0,($BA4*(8*(VLOOKUP($A4,NumberofDaysTable,3)))*S4),0)+IF(AV4&gt;0,($BA4*((AV4))*S4),0)))</f>
        <v>#NAME?</v>
      </c>
      <c r="BF4" s="292" t="e">
        <f aca="false">IF($A4="N/A"," ",(IF(AO4&gt;0,($BA4*(8*(VLOOKUP($A4,NumberofDaysTable,4)+VLOOKUP($A4,NumberofDaysTable,5)))*T4),0)+IF(AW4&gt;0,($BA4*((AW4))*T4),0)))</f>
        <v>#NAME?</v>
      </c>
      <c r="BG4" s="292" t="e">
        <f aca="false">IF($A4="N/A"," ",(IF(AP4&gt;0,($BA4*(8*(VLOOKUP($A4,NumberofDaysTable,4)+VLOOKUP($A4,NumberofDaysTable,5)))*U4),0)+IF(AX4&gt;0,($BA4*((AX4))*U4),0)))</f>
        <v>#NAME?</v>
      </c>
      <c r="BH4" s="292" t="e">
        <f aca="false">IF($A4="N/A"," ",($BA4*AQ4*V4))</f>
        <v>#NAME?</v>
      </c>
      <c r="BI4" s="292" t="e">
        <f aca="false">IF($A4="N/A"," ",SUM(BB4:BH4))</f>
        <v>#NAME?</v>
      </c>
      <c r="BJ4" s="293" t="e">
        <f aca="false">IF($A4="N/A"," ",(H4*(SUM($AK4:$AQ4)+SUM($AS4:$AY4))*$BA4))</f>
        <v>#NAME?</v>
      </c>
      <c r="BK4" s="293" t="e">
        <f aca="false">IF($A4="N/A"," ",((C4*D4)*(SUM($AK4:$AQ4)+SUM($AS4:$AY4))*$BA4))</f>
        <v>#N/A</v>
      </c>
      <c r="BL4" s="293" t="e">
        <f aca="false">IF($A4="N/A"," ",(F4*(SUM($AK4:$AQ4)+SUM($AS4:$AY4))*$BA4))</f>
        <v>#NAME?</v>
      </c>
      <c r="BM4" s="293" t="e">
        <f aca="false">IF($A4="N/A"," ",(G4*(SUM($AK4:$AQ4)+SUM($AS4:$AY4))*$BA4))</f>
        <v>#NAME?</v>
      </c>
      <c r="BN4" s="294" t="n">
        <f aca="false">IF(A4="N/A"," ",(VLOOKUP(A4,PowerVolTable,(IF('Pricing Inputs'!$AT$3=2,7,IF('Pricing Inputs'!$AT$3=1,6,8))),FALSE())))</f>
        <v>0.284</v>
      </c>
      <c r="BO4" s="294" t="n">
        <f aca="false">IF(A4="N/A"," ",(VLOOKUP(A4,IntraPowerVol,(IF('Pricing Inputs'!$AT$3=2,3,IF('Pricing Inputs'!$AT$3=1,2,4))),FALSE())*VLOOKUP(MONTH($A4),Inputs!$A$28:$B$39,2)))</f>
        <v>2.3</v>
      </c>
      <c r="BP4" s="295" t="n">
        <f aca="false">IF($A4="N/A"," ",(IF(DateToday&gt;$A4,$BO4,((($BN4^2)*((($A4-1)-DateToday)/((EOMONTH($A4,0)+1)-DateToday-15)))+((($BO4)^2)*((15)/((EOMONTH($A4,0)+1)-DateToday-15))))^0.5)))</f>
        <v>2.3</v>
      </c>
      <c r="BQ4" s="294" t="e">
        <f aca="false">IF($A4="N/A"," ",(VLOOKUP($A4,GasVolTable,(IF('Pricing Inputs'!$AT$3=2,6,IF('Pricing Inputs'!$AT$3=1,7,5))),FALSE())))</f>
        <v>#N/A</v>
      </c>
      <c r="BR4" s="294" t="e">
        <f aca="false">IF($A4="N/A"," ",(VLOOKUP($A4,OmicronVol,(IF('Pricing Inputs'!$AT$3=2,3,IF('Pricing Inputs'!$AT$3=1,4,2))),FALSE())))</f>
        <v>#N/A</v>
      </c>
      <c r="BS4" s="295" t="e">
        <f aca="false">IF($A4="N/A"," ",IF('Pricing Inputs'!$AN$3=1,(IF(DateToday&gt;$A4,$BR4,((($BQ4^2)*((($A4-1)-DateToday)/((EOMONTH($A4,0)+1)-DateToday-15)))+((($BR4)^2)*((15)/((EOMONTH($A4,0)+1)-DateToday-15))))^0.5)),0.000001))</f>
        <v>#N/A</v>
      </c>
      <c r="BT4" s="294" t="n">
        <f aca="false">IF($A4="N/A"," ",IF('Pricing Inputs'!$AN$3=1,(VLOOKUP($A4,CorrelationTable,2,FALSE())),0))</f>
        <v>0.9</v>
      </c>
      <c r="BU4" s="296" t="e">
        <f aca="false">IF($A4="N/A"," ",F4+G4+(D4*(VLOOKUP($A4,'Gas Curves'!$B$17:$P$310,14,FALSE()))))</f>
        <v>#N/A</v>
      </c>
      <c r="BV4" s="294" t="n">
        <f aca="false">IF($A4="N/A"," ",IF('Pricing Inputs'!$AW$3=1,0,(VLOOKUP($A4,InterestRatesTable,2))))</f>
        <v>0</v>
      </c>
      <c r="BW4" s="297" t="n">
        <f aca="false">IF($A4="N/A"," ",(1+BV4/2)^(-2*((EOMONTH(A4,0)+20)-DateToday)/365.25))</f>
        <v>1</v>
      </c>
    </row>
    <row r="5" customFormat="false" ht="12.75" hidden="false" customHeight="false" outlineLevel="0" collapsed="false">
      <c r="A5" s="272" t="n">
        <f aca="false">IF(A4="N/A","N/A",IF(EDATE(A4,1)&gt;Inputs!$K$3,"N/A",EDATE(A4,1)))</f>
        <v>36923</v>
      </c>
      <c r="B5" s="273" t="n">
        <f aca="false">IF(A5="N/A"," ",YEAR(A5))</f>
        <v>2001</v>
      </c>
      <c r="C5" s="274" t="e">
        <f aca="false">IF(A5="N/A"," ",VLOOKUP(A5,ScaledPrice,10))</f>
        <v>#N/A</v>
      </c>
      <c r="D5" s="275" t="n">
        <f aca="false">IF(A5="N/A"," ",(VLOOKUP(MONTH($A5),Inputs!$A$14:$B$25,2))/1000)</f>
        <v>10.5</v>
      </c>
      <c r="E5" s="276" t="e">
        <f aca="false">IF($A5="N/A"," ",C5*D5)</f>
        <v>#N/A</v>
      </c>
      <c r="F5" s="277" t="n">
        <f aca="false">IF(A5="N/A"," ",Inputs!$F$6)</f>
        <v>2</v>
      </c>
      <c r="G5" s="277" t="n">
        <f aca="false">IF(A5="N/A"," ",Inputs!$F$9/IF(AND('Pricing Inputs'!$AQ$3&gt;=4,'Pricing Inputs'!$AQ$3&lt;=6),16,IF(AND('Pricing Inputs'!$AQ$3&gt;=7,'Pricing Inputs'!$AQ$3&lt;=9),8,24))/(BA5/BW5))</f>
        <v>0</v>
      </c>
      <c r="H5" s="278" t="e">
        <f aca="false">IF(A5="N/A"," ",(C5*D5)+F5+G5)</f>
        <v>#N/A</v>
      </c>
      <c r="I5" s="279" t="n">
        <f aca="false">VLOOKUP(A5,ScaledPrice,(IF(AND('Pricing Inputs'!$AQ$3&gt;=1,'Pricing Inputs'!$AQ$3&lt;=6),2,4)))</f>
        <v>36.342966342429</v>
      </c>
      <c r="J5" s="279" t="n">
        <f aca="false">IF(A5="N/A"," ",IF(AND('Pricing Inputs'!$AQ$3&gt;=1,'Pricing Inputs'!$AQ$3&lt;=6),I5,(VLOOKUP(A5,ScaledPrice,2))*(2-(VLOOKUP(A5,ScaledPrice,3)))))</f>
        <v>38.657033657571</v>
      </c>
      <c r="K5" s="279" t="n">
        <f aca="false">IF(A5="N/A"," ",IF(OR('Pricing Inputs'!$AQ$3=2,'Pricing Inputs'!$AQ$3=3,'Pricing Inputs'!$AQ$3=5,'Pricing Inputs'!$AQ$3=6,'Pricing Inputs'!$AQ$3=8,'Pricing Inputs'!$AQ$3=9),VLOOKUP(A5,ScaledPrice,IF(AND('Pricing Inputs'!$AQ$3&gt;=2,'Pricing Inputs'!$AQ$3&lt;=6),5,6)),0))</f>
        <v>26.8901609446431</v>
      </c>
      <c r="L5" s="279" t="n">
        <f aca="false">IF(A5="N/A"," ",IF(OR('Pricing Inputs'!$AQ$3=2,'Pricing Inputs'!$AQ$3=3,'Pricing Inputs'!$AQ$3=5,'Pricing Inputs'!$AQ$3=6,'Pricing Inputs'!$AQ$3=8,'Pricing Inputs'!$AQ$3=9),IF(AND('Pricing Inputs'!$AQ$3&gt;=2,'Pricing Inputs'!$AQ$3&lt;=6),K5,(VLOOKUP(A5,ScaledPrice,5))*(2-(VLOOKUP(A5,ScaledPrice,3)))),0))</f>
        <v>28.6023393605327</v>
      </c>
      <c r="M5" s="279" t="n">
        <f aca="false">IF(A5="N/A"," ",IF(OR('Pricing Inputs'!$AQ$3=3,'Pricing Inputs'!$AQ$3=6,'Pricing Inputs'!$AQ$3=9),(VLOOKUP(A5,ScaledPrice,IF(AND('Pricing Inputs'!$AQ$3&gt;=3,'Pricing Inputs'!$AQ$3&lt;=6),7,8))),0))</f>
        <v>24.4685072885663</v>
      </c>
      <c r="N5" s="279" t="n">
        <f aca="false">IF(A5="N/A"," ",IF(OR('Pricing Inputs'!$AQ$3=3,'Pricing Inputs'!$AQ$3=6,'Pricing Inputs'!$AQ$3=9),IF(AND('Pricing Inputs'!$AQ$3&gt;=3,'Pricing Inputs'!$AQ$3&lt;=6),M5,(VLOOKUP(A5,ScaledPrice,7))*(2-(VLOOKUP(A5,ScaledPrice,3)))),0))</f>
        <v>26.0264916433184</v>
      </c>
      <c r="O5" s="279" t="n">
        <f aca="false">IF(A5="N/A"," ",IF(AND('Pricing Inputs'!$AQ$3&gt;=1,'Pricing Inputs'!$AQ$3&lt;=3),VLOOKUP(A5,ScaledPrice,9),0))</f>
        <v>0</v>
      </c>
      <c r="P5" s="280" t="e">
        <f aca="false">IF($A5="N/A"," ",IF('Pricing Inputs'!$AN$8=2,(I5-H5),IF('Pricing Inputs'!$AN$3=2,IF((I5-$H5)&gt;0,I5-$H5,0),(xSPRDOPT(I5,$E5,$BU5,0,$BP5,$BS5,$BT5,($A5-Inputs!$D$1)+15,1,0)))))</f>
        <v>#NAME?</v>
      </c>
      <c r="Q5" s="280" t="e">
        <f aca="false">IF($A5="N/A"," ",IF('Pricing Inputs'!$AN$8=2,(J5-$H5),IF('Pricing Inputs'!$AN$3=2,IF((J5-$H5)&gt;0,J5-$H5,0),(xSPRDOPT(J5,$E5,$BU5,0,$BP5,$BS5,$BT5,($A5-Inputs!$D$1)+15,1,0)))))</f>
        <v>#NAME?</v>
      </c>
      <c r="R5" s="280" t="e">
        <f aca="false">IF($A5="N/A"," ",IF('Pricing Inputs'!$AN$8=2,(K5-$H5),IF('Pricing Inputs'!$AN$3=2,IF((K5-$H5)&gt;0,K5-$H5,0),(xSPRDOPT(K5,$E5,$BU5,0,$BP5,$BS5,$BT5,($A5-Inputs!$D$1)+15,1,0)))))</f>
        <v>#NAME?</v>
      </c>
      <c r="S5" s="280" t="e">
        <f aca="false">IF($A5="N/A"," ",IF('Pricing Inputs'!$AN$8=2,(L5-$H5),IF('Pricing Inputs'!$AN$3=2,IF((L5-$H5)&gt;0,L5-$H5,0),(xSPRDOPT(L5,$E5,$BU5,0,$BP5,$BS5,$BT5,($A5-Inputs!$D$1)+15,1,0)))))</f>
        <v>#NAME?</v>
      </c>
      <c r="T5" s="280" t="e">
        <f aca="false">IF($A5="N/A"," ",IF('Pricing Inputs'!$AN$8=2,(M5-$H5),IF('Pricing Inputs'!$AN$3=2,IF((M5-$H5)&gt;0,M5-$H5,0),(xSPRDOPT(M5,$E5,$BU5,0,$BP5,$BS5,$BT5,($A5-Inputs!$D$1)+15,1,0)))))</f>
        <v>#NAME?</v>
      </c>
      <c r="U5" s="280" t="e">
        <f aca="false">IF($A5="N/A"," ",IF('Pricing Inputs'!$AN$8=2,(N5-$H5),IF('Pricing Inputs'!$AN$3=2,IF((N5-$H5)&gt;0,N5-$H5,0),(xSPRDOPT(N5,$E5,$BU5,0,$BP5,$BS5,$BT5,($A5-Inputs!$D$1)+15,1,0)))))</f>
        <v>#NAME?</v>
      </c>
      <c r="V5" s="281" t="e">
        <f aca="false">IF($A5="N/A"," ",(IF('Pricing Inputs'!$AN$8=2,(O5-$H5),IF((O5-$H5)&lt;=0,0,(O5-$H5)))))</f>
        <v>#N/A</v>
      </c>
      <c r="W5" s="282" t="e">
        <f aca="false">IF($A5="N/A"," ",IF(0&lt;&gt;P5,IF('Pricing Inputs'!$AN$3=2,8*VLOOKUP($A5,NumberofDaysTable,2),(xSPRDOPT(I5,$E5,$BU5,0,$BP5,$BS5,$BT5,$A5-Inputs!$D$1,1,1))*(8*VLOOKUP($A5,NumberofDaysTable,2))),0))</f>
        <v>#NAME?</v>
      </c>
      <c r="X5" s="282" t="e">
        <f aca="false">IF($A5="N/A"," ",IF(Q5&lt;&gt;0,IF('Pricing Inputs'!$AN$3=2,8*VLOOKUP($A5,NumberofDaysTable,2),(xSPRDOPT(J5,$E5,$BU5,0,$BP5,$BS5,$BT5,$A5-Inputs!$D$1,1,1))*(8*VLOOKUP($A5,NumberofDaysTable,2))),0))</f>
        <v>#NAME?</v>
      </c>
      <c r="Y5" s="282" t="e">
        <f aca="false">IF($A5="N/A"," ",IF(R5&lt;&gt;0,IF('Pricing Inputs'!$AN$3=2,8*VLOOKUP($A5,NumberofDaysTable,3),(xSPRDOPT(K5,$E5,$BU5,0,$BP5,$BS5,$BT5,$A5-Inputs!$D$1,1,1))*(8*VLOOKUP($A5,NumberofDaysTable,3))),0))</f>
        <v>#NAME?</v>
      </c>
      <c r="Z5" s="282" t="e">
        <f aca="false">IF($A5="N/A"," ",IF(S5&lt;&gt;0,IF('Pricing Inputs'!$AN$3=2,8*VLOOKUP($A5,NumberofDaysTable,3),(xSPRDOPT(L5,$E5,$BU5,0,$BP5,$BS5,$BT5,$A5-Inputs!$D$1,1,1))*(8*VLOOKUP($A5,NumberofDaysTable,3))),0))</f>
        <v>#NAME?</v>
      </c>
      <c r="AA5" s="282" t="e">
        <f aca="false">IF($A5="N/A"," ",IF(T5&lt;&gt;0,IF('Pricing Inputs'!$AN$3=2,8*VLOOKUP($A5,NumberofDaysTable,4),(xSPRDOPT(M5,$E5,$BU5,0,$BP5,$BS5,$BT5,$A5-Inputs!$D$1,1,1))*(8*VLOOKUP($A5,NumberofDaysTable,4))),0))</f>
        <v>#NAME?</v>
      </c>
      <c r="AB5" s="282" t="e">
        <f aca="false">IF($A5="N/A"," ",IF(U5&lt;&gt;0,IF('Pricing Inputs'!$AN$3=2,8*VLOOKUP($A5,NumberofDaysTable,4),(xSPRDOPT(N5,$E5,$BU5,0,$BP5,$BS5,$BT5,$A5-Inputs!$D$1,1,1))*(8*VLOOKUP($A5,NumberofDaysTable,4))),0))</f>
        <v>#NAME?</v>
      </c>
      <c r="AC5" s="282" t="e">
        <f aca="false">IF($A5="N/A"," ",(IF(V5&lt;&gt;0,(8*VLOOKUP($A5,NumberofDaysTable,6)),0)))</f>
        <v>#N/A</v>
      </c>
      <c r="AD5" s="298" t="e">
        <f aca="false">IF($A5="N/A"," ",RANK(P5,$P$4:$V$15))</f>
        <v>#NAME?</v>
      </c>
      <c r="AE5" s="299" t="e">
        <f aca="false">IF($A5="N/A"," ",RANK(Q5,$P$4:$V$15))</f>
        <v>#NAME?</v>
      </c>
      <c r="AF5" s="299" t="e">
        <f aca="false">IF($A5="N/A"," ",RANK(R5,$P$4:$V$15))</f>
        <v>#NAME?</v>
      </c>
      <c r="AG5" s="299" t="e">
        <f aca="false">IF($A5="N/A"," ",RANK(S5,$P$4:$V$15))</f>
        <v>#NAME?</v>
      </c>
      <c r="AH5" s="299" t="e">
        <f aca="false">IF($A5="N/A"," ",RANK(T5,$P$4:$V$15))</f>
        <v>#NAME?</v>
      </c>
      <c r="AI5" s="299" t="e">
        <f aca="false">IF($A5="N/A"," ",RANK(U5,$P$4:$V$15))</f>
        <v>#NAME?</v>
      </c>
      <c r="AJ5" s="300" t="e">
        <f aca="false">IF($A5="N/A"," ",RANK(V5,$P$4:$V$15))</f>
        <v>#NAME?</v>
      </c>
      <c r="AK5" s="286" t="e">
        <f aca="false">IF($A5="N/A",0,IF(AD5&lt;=$AJ$2,W5,0))</f>
        <v>#NAME?</v>
      </c>
      <c r="AL5" s="301" t="e">
        <f aca="false">IF($A5="N/A",0,IF(AE5&lt;=$AJ$2,X5,0))</f>
        <v>#NAME?</v>
      </c>
      <c r="AM5" s="301" t="e">
        <f aca="false">IF($A5="N/A",0,IF(AF5&lt;=$AJ$2,Y5,0))</f>
        <v>#NAME?</v>
      </c>
      <c r="AN5" s="301" t="e">
        <f aca="false">IF($A5="N/A",0,IF(AG5&lt;=$AJ$2,Z5,0))</f>
        <v>#NAME?</v>
      </c>
      <c r="AO5" s="301" t="e">
        <f aca="false">IF($A5="N/A",0,IF(AH5&lt;=$AJ$2,AA5,0))</f>
        <v>#NAME?</v>
      </c>
      <c r="AP5" s="301" t="e">
        <f aca="false">IF($A5="N/A",0,IF(AI5&lt;=$AJ$2,AB5,0))</f>
        <v>#NAME?</v>
      </c>
      <c r="AQ5" s="301" t="e">
        <f aca="false">IF($A5="N/A",0,IF(AJ5&lt;=$AJ$2,AC5,0))</f>
        <v>#NAME?</v>
      </c>
      <c r="AR5" s="300"/>
      <c r="AS5" s="288" t="e">
        <f aca="false">IF($A5="N/A",0,IF(AND(AD5=$AJ$2+1,AK5=0),MIN($AR$15,W5),0))</f>
        <v>#NAME?</v>
      </c>
      <c r="AT5" s="302" t="e">
        <f aca="false">IF($A5="N/A",0,IF(AND(AE5=$AJ$2+1,AL5=0),MIN($AR$15,X5),0))</f>
        <v>#NAME?</v>
      </c>
      <c r="AU5" s="302" t="e">
        <f aca="false">IF($A5="N/A",0,IF(AND(AF5=$AJ$2+1,AM5=0),MIN($AR$15,Y5),0))</f>
        <v>#NAME?</v>
      </c>
      <c r="AV5" s="302" t="e">
        <f aca="false">IF($A5="N/A",0,IF(AND(AG5=$AJ$2+1,AN5=0),MIN($AR$15,Z5),0))</f>
        <v>#NAME?</v>
      </c>
      <c r="AW5" s="302" t="e">
        <f aca="false">IF($A5="N/A",0,IF(AND(AH5=$AJ$2+1,AO5=0),MIN($AR$15,AA5),0))</f>
        <v>#NAME?</v>
      </c>
      <c r="AX5" s="302" t="e">
        <f aca="false">IF($A5="N/A",0,IF(AND(AI5=$AJ$2+1,AP5=0),MIN($AR$15,AB5),0))</f>
        <v>#NAME?</v>
      </c>
      <c r="AY5" s="302" t="e">
        <f aca="false">IF($A5="N/A",0,IF(AND(AJ5=$AJ$2+1,AQ5=0),MIN($AR$15,AC5),0))</f>
        <v>#NAME?</v>
      </c>
      <c r="AZ5" s="303"/>
      <c r="BA5" s="291" t="n">
        <f aca="false">IF($A5="N/A"," ",(IF(MONTH(A5)&gt;=4,IF(MONTH(A5)&lt;=10,Inputs!$F$13,Inputs!$F$14),Inputs!$F$14))*$BW5)</f>
        <v>180</v>
      </c>
      <c r="BB5" s="292" t="e">
        <f aca="false">IF($A5="N/A"," ",(IF(AK5&gt;0,($BA5*(8*(VLOOKUP($A5,NumberofDaysTable,2)))*P5),0)+IF(AS5&gt;0,($BA5*((AS5))*P5),0)))</f>
        <v>#NAME?</v>
      </c>
      <c r="BC5" s="292" t="e">
        <f aca="false">IF($A5="N/A"," ",(IF(AL5&gt;0,($BA5*(8*(VLOOKUP($A5,NumberofDaysTable,2)))*Q5),0)+IF(AT5&gt;0,($BA5*((AT5))*Q5),0)))</f>
        <v>#NAME?</v>
      </c>
      <c r="BD5" s="292" t="e">
        <f aca="false">IF($A5="N/A"," ",(IF(AM5&gt;0,($BA5*(8*(VLOOKUP($A5,NumberofDaysTable,3)))*R5),0)+IF(AU5&gt;0,($BA5*((AU5))*R5),0)))</f>
        <v>#NAME?</v>
      </c>
      <c r="BE5" s="292" t="e">
        <f aca="false">IF($A5="N/A"," ",(IF(AN5&gt;0,($BA5*(8*(VLOOKUP($A5,NumberofDaysTable,3)))*S5),0)+IF(AV5&gt;0,($BA5*((AV5))*S5),0)))</f>
        <v>#NAME?</v>
      </c>
      <c r="BF5" s="292" t="e">
        <f aca="false">IF($A5="N/A"," ",(IF(AO5&gt;0,($BA5*(8*(VLOOKUP($A5,NumberofDaysTable,4)+VLOOKUP($A5,NumberofDaysTable,5)))*T5),0)+IF(AW5&gt;0,($BA5*((AW5))*T5),0)))</f>
        <v>#NAME?</v>
      </c>
      <c r="BG5" s="292" t="e">
        <f aca="false">IF($A5="N/A"," ",(IF(AP5&gt;0,($BA5*(8*(VLOOKUP($A5,NumberofDaysTable,4)+VLOOKUP($A5,NumberofDaysTable,5)))*U5),0)+IF(AX5&gt;0,($BA5*((AX5))*U5),0)))</f>
        <v>#NAME?</v>
      </c>
      <c r="BH5" s="292" t="e">
        <f aca="false">IF($A5="N/A"," ",($BA5*AQ5*V5))</f>
        <v>#NAME?</v>
      </c>
      <c r="BI5" s="292" t="e">
        <f aca="false">IF($A5="N/A"," ",SUM(BB5:BH5))</f>
        <v>#NAME?</v>
      </c>
      <c r="BJ5" s="293" t="e">
        <f aca="false">IF($A5="N/A"," ",(H5*(SUM(AK5:AQ5)+SUM(AS5:AY5))*BA5))</f>
        <v>#NAME?</v>
      </c>
      <c r="BK5" s="293" t="e">
        <f aca="false">IF($A5="N/A"," ",((C5*D5)*(SUM($AK5:$AQ5)+SUM($AS5:$AY5))*$BA5))</f>
        <v>#N/A</v>
      </c>
      <c r="BL5" s="293" t="e">
        <f aca="false">IF($A5="N/A"," ",(F5*(SUM($AK5:$AQ5)+SUM($AS5:$AY5))*$BA5))</f>
        <v>#NAME?</v>
      </c>
      <c r="BM5" s="293" t="e">
        <f aca="false">IF($A5="N/A"," ",(G5*(SUM($AK5:$AQ5)+SUM($AS5:$AY5))*$BA5))</f>
        <v>#NAME?</v>
      </c>
      <c r="BN5" s="294" t="n">
        <f aca="false">IF(A5="N/A"," ",(VLOOKUP(A5,PowerVolTable,(IF('Pricing Inputs'!$AT$3=2,7,IF('Pricing Inputs'!$AT$3=1,6,8))),FALSE())))</f>
        <v>0.274</v>
      </c>
      <c r="BO5" s="294" t="n">
        <f aca="false">IF(A5="N/A"," ",(VLOOKUP(A5,IntraPowerVol,(IF('Pricing Inputs'!$AT$3=2,3,IF('Pricing Inputs'!$AT$3=1,2,4))),FALSE())*VLOOKUP(MONTH($A5),Inputs!$A$28:$B$39,2)))</f>
        <v>2.3</v>
      </c>
      <c r="BP5" s="295" t="n">
        <f aca="false">IF($A5="N/A"," ",(IF(DateToday&gt;$A5,$BO5,((($BN5^2)*((($A5-1)-DateToday)/((EOMONTH($A5,0)+1)-DateToday-15)))+((($BO5)^2)*((15)/((EOMONTH($A5,0)+1)-DateToday-15))))^0.5)))</f>
        <v>2.3</v>
      </c>
      <c r="BQ5" s="294" t="e">
        <f aca="false">IF($A5="N/A"," ",(VLOOKUP($A5,GasVolTable,(IF('Pricing Inputs'!$AT$3=2,6,IF('Pricing Inputs'!$AT$3=1,7,5))),FALSE())))</f>
        <v>#N/A</v>
      </c>
      <c r="BR5" s="294" t="e">
        <f aca="false">IF($A5="N/A"," ",(VLOOKUP($A5,OmicronVol,(IF('Pricing Inputs'!$AT$3=2,3,IF('Pricing Inputs'!$AT$3=1,4,2))),FALSE())))</f>
        <v>#N/A</v>
      </c>
      <c r="BS5" s="295" t="e">
        <f aca="false">IF($A5="N/A"," ",IF('Pricing Inputs'!$AN$3=1,(IF(DateToday&gt;$A5,$BR5,((($BQ5^2)*((($A5-1)-DateToday)/((EOMONTH($A5,0)+1)-DateToday-15)))+((($BR5)^2)*((15)/((EOMONTH($A5,0)+1)-DateToday-15))))^0.5)),0.0001))</f>
        <v>#N/A</v>
      </c>
      <c r="BT5" s="294" t="n">
        <f aca="false">IF($A5="N/A"," ",IF('Pricing Inputs'!$AN$3=1,(VLOOKUP($A5,CorrelationTable,2,FALSE())),0))</f>
        <v>0.9</v>
      </c>
      <c r="BU5" s="296" t="e">
        <f aca="false">IF($A5="N/A"," ",F5+G5+(D5*(VLOOKUP($A5,'Gas Curves'!$B$17:$P$310,14,FALSE()))))</f>
        <v>#N/A</v>
      </c>
      <c r="BV5" s="294" t="n">
        <f aca="false">IF($A5="N/A"," ",IF('Pricing Inputs'!$AW$3=1,0,(VLOOKUP($A5,InterestRatesTable,2))))</f>
        <v>0</v>
      </c>
      <c r="BW5" s="297" t="n">
        <f aca="false">IF($A5="N/A"," ",(1+BV5/2)^(-2*((EOMONTH(A5,0)+20)-DateToday)/365.25))</f>
        <v>1</v>
      </c>
    </row>
    <row r="6" customFormat="false" ht="12.75" hidden="false" customHeight="false" outlineLevel="0" collapsed="false">
      <c r="A6" s="272" t="n">
        <f aca="false">IF(A5="N/A","N/A",IF(EDATE(A5,1)&gt;Inputs!$K$3,"N/A",EDATE(A5,1)))</f>
        <v>36951</v>
      </c>
      <c r="B6" s="273" t="n">
        <f aca="false">IF(A6="N/A"," ",YEAR(A6))</f>
        <v>2001</v>
      </c>
      <c r="C6" s="274" t="e">
        <f aca="false">IF(A6="N/A"," ",VLOOKUP(A6,ScaledPrice,10))</f>
        <v>#N/A</v>
      </c>
      <c r="D6" s="275" t="n">
        <f aca="false">IF(A6="N/A"," ",(VLOOKUP(MONTH($A6),Inputs!$A$14:$B$25,2))/1000)</f>
        <v>10.5</v>
      </c>
      <c r="E6" s="276" t="e">
        <f aca="false">IF($A6="N/A"," ",C6*D6)</f>
        <v>#N/A</v>
      </c>
      <c r="F6" s="277" t="n">
        <f aca="false">IF(A6="N/A"," ",Inputs!$F$6)</f>
        <v>2</v>
      </c>
      <c r="G6" s="277" t="n">
        <f aca="false">IF(A6="N/A"," ",Inputs!$F$9/IF(AND('Pricing Inputs'!$AQ$3&gt;=4,'Pricing Inputs'!$AQ$3&lt;=6),16,IF(AND('Pricing Inputs'!$AQ$3&gt;=7,'Pricing Inputs'!$AQ$3&lt;=9),8,24))/(BA6/BW6))</f>
        <v>0</v>
      </c>
      <c r="H6" s="278" t="e">
        <f aca="false">IF(A6="N/A"," ",(C6*D6)+F6+G6)</f>
        <v>#N/A</v>
      </c>
      <c r="I6" s="279" t="n">
        <f aca="false">VLOOKUP(A6,ScaledPrice,(IF(AND('Pricing Inputs'!$AQ$3&gt;=1,'Pricing Inputs'!$AQ$3&lt;=6),2,4)))</f>
        <v>32.7931875</v>
      </c>
      <c r="J6" s="279" t="n">
        <f aca="false">IF(A6="N/A"," ",IF(AND('Pricing Inputs'!$AQ$3&gt;=1,'Pricing Inputs'!$AQ$3&lt;=6),I6,(VLOOKUP(A6,ScaledPrice,2))*(2-(VLOOKUP(A6,ScaledPrice,3)))))</f>
        <v>34.7068125</v>
      </c>
      <c r="K6" s="279" t="n">
        <f aca="false">IF(A6="N/A"," ",IF(OR('Pricing Inputs'!$AQ$3=2,'Pricing Inputs'!$AQ$3=3,'Pricing Inputs'!$AQ$3=5,'Pricing Inputs'!$AQ$3=6,'Pricing Inputs'!$AQ$3=8,'Pricing Inputs'!$AQ$3=9),VLOOKUP(A6,ScaledPrice,IF(AND('Pricing Inputs'!$AQ$3&gt;=2,'Pricing Inputs'!$AQ$3&lt;=6),5,6)),0))</f>
        <v>20.3412494520187</v>
      </c>
      <c r="L6" s="279" t="n">
        <f aca="false">IF(A6="N/A"," ",IF(OR('Pricing Inputs'!$AQ$3=2,'Pricing Inputs'!$AQ$3=3,'Pricing Inputs'!$AQ$3=5,'Pricing Inputs'!$AQ$3=6,'Pricing Inputs'!$AQ$3=8,'Pricing Inputs'!$AQ$3=9),IF(AND('Pricing Inputs'!$AQ$3&gt;=2,'Pricing Inputs'!$AQ$3&lt;=6),K6,(VLOOKUP(A6,ScaledPrice,5))*(2-(VLOOKUP(A6,ScaledPrice,3)))),0))</f>
        <v>21.5282497545242</v>
      </c>
      <c r="M6" s="279" t="n">
        <f aca="false">IF(A6="N/A"," ",IF(OR('Pricing Inputs'!$AQ$3=3,'Pricing Inputs'!$AQ$3=6,'Pricing Inputs'!$AQ$3=9),(VLOOKUP(A6,ScaledPrice,IF(AND('Pricing Inputs'!$AQ$3&gt;=3,'Pricing Inputs'!$AQ$3&lt;=6),7,8))),0))</f>
        <v>19.9814953575134</v>
      </c>
      <c r="N6" s="279" t="n">
        <f aca="false">IF(A6="N/A"," ",IF(OR('Pricing Inputs'!$AQ$3=3,'Pricing Inputs'!$AQ$3=6,'Pricing Inputs'!$AQ$3=9),IF(AND('Pricing Inputs'!$AQ$3&gt;=3,'Pricing Inputs'!$AQ$3&lt;=6),M6,(VLOOKUP(A6,ScaledPrice,7))*(2-(VLOOKUP(A6,ScaledPrice,3)))),0))</f>
        <v>21.147502445221</v>
      </c>
      <c r="O6" s="279" t="n">
        <f aca="false">IF(A6="N/A"," ",IF(AND('Pricing Inputs'!$AQ$3&gt;=1,'Pricing Inputs'!$AQ$3&lt;=3),VLOOKUP(A6,ScaledPrice,9),0))</f>
        <v>0</v>
      </c>
      <c r="P6" s="280" t="e">
        <f aca="false">IF($A6="N/A"," ",IF('Pricing Inputs'!$AN$8=2,(I6-H6),IF('Pricing Inputs'!$AN$3=2,IF((I6-$H6)&gt;0,I6-$H6,0),(xSPRDOPT(I6,$E6,$BU6,0,$BP6,$BS6,$BT6,($A6-Inputs!$D$1)+15,1,0)))))</f>
        <v>#NAME?</v>
      </c>
      <c r="Q6" s="280" t="e">
        <f aca="false">IF($A6="N/A"," ",IF('Pricing Inputs'!$AN$8=2,(J6-$H6),IF('Pricing Inputs'!$AN$3=2,IF((J6-$H6)&gt;0,J6-$H6,0),(xSPRDOPT(J6,$E6,$BU6,0,$BP6,$BS6,$BT6,($A6-Inputs!$D$1)+15,1,0)))))</f>
        <v>#NAME?</v>
      </c>
      <c r="R6" s="280" t="e">
        <f aca="false">IF($A6="N/A"," ",IF('Pricing Inputs'!$AN$8=2,(K6-$H6),IF('Pricing Inputs'!$AN$3=2,IF((K6-$H6)&gt;0,K6-$H6,0),(xSPRDOPT(K6,$E6,$BU6,0,$BP6,$BS6,$BT6,($A6-Inputs!$D$1)+15,1,0)))))</f>
        <v>#NAME?</v>
      </c>
      <c r="S6" s="280" t="e">
        <f aca="false">IF($A6="N/A"," ",IF('Pricing Inputs'!$AN$8=2,(L6-$H6),IF('Pricing Inputs'!$AN$3=2,IF((L6-$H6)&gt;0,L6-$H6,0),(xSPRDOPT(L6,$E6,$BU6,0,$BP6,$BS6,$BT6,($A6-Inputs!$D$1)+15,1,0)))))</f>
        <v>#NAME?</v>
      </c>
      <c r="T6" s="280" t="e">
        <f aca="false">IF($A6="N/A"," ",IF('Pricing Inputs'!$AN$8=2,(M6-$H6),IF('Pricing Inputs'!$AN$3=2,IF((M6-$H6)&gt;0,M6-$H6,0),(xSPRDOPT(M6,$E6,$BU6,0,$BP6,$BS6,$BT6,($A6-Inputs!$D$1)+15,1,0)))))</f>
        <v>#NAME?</v>
      </c>
      <c r="U6" s="280" t="e">
        <f aca="false">IF($A6="N/A"," ",IF('Pricing Inputs'!$AN$8=2,(N6-$H6),IF('Pricing Inputs'!$AN$3=2,IF((N6-$H6)&gt;0,N6-$H6,0),(xSPRDOPT(N6,$E6,$BU6,0,$BP6,$BS6,$BT6,($A6-Inputs!$D$1)+15,1,0)))))</f>
        <v>#NAME?</v>
      </c>
      <c r="V6" s="281" t="e">
        <f aca="false">IF($A6="N/A"," ",(IF('Pricing Inputs'!$AN$8=2,(O6-$H6),IF((O6-$H6)&lt;=0,0,(O6-$H6)))))</f>
        <v>#N/A</v>
      </c>
      <c r="W6" s="282" t="e">
        <f aca="false">IF($A6="N/A"," ",IF(0&lt;&gt;P6,IF('Pricing Inputs'!$AN$3=2,8*VLOOKUP($A6,NumberofDaysTable,2),(xSPRDOPT(I6,$E6,$BU6,0,$BP6,$BS6,$BT6,$A6-Inputs!$D$1,1,1))*(8*VLOOKUP($A6,NumberofDaysTable,2))),0))</f>
        <v>#NAME?</v>
      </c>
      <c r="X6" s="282" t="e">
        <f aca="false">IF($A6="N/A"," ",IF(Q6&lt;&gt;0,IF('Pricing Inputs'!$AN$3=2,8*VLOOKUP($A6,NumberofDaysTable,2),(xSPRDOPT(J6,$E6,$BU6,0,$BP6,$BS6,$BT6,$A6-Inputs!$D$1,1,1))*(8*VLOOKUP($A6,NumberofDaysTable,2))),0))</f>
        <v>#NAME?</v>
      </c>
      <c r="Y6" s="282" t="e">
        <f aca="false">IF($A6="N/A"," ",IF(R6&lt;&gt;0,IF('Pricing Inputs'!$AN$3=2,8*VLOOKUP($A6,NumberofDaysTable,3),(xSPRDOPT(K6,$E6,$BU6,0,$BP6,$BS6,$BT6,$A6-Inputs!$D$1,1,1))*(8*VLOOKUP($A6,NumberofDaysTable,3))),0))</f>
        <v>#NAME?</v>
      </c>
      <c r="Z6" s="282" t="e">
        <f aca="false">IF($A6="N/A"," ",IF(S6&lt;&gt;0,IF('Pricing Inputs'!$AN$3=2,8*VLOOKUP($A6,NumberofDaysTable,3),(xSPRDOPT(L6,$E6,$BU6,0,$BP6,$BS6,$BT6,$A6-Inputs!$D$1,1,1))*(8*VLOOKUP($A6,NumberofDaysTable,3))),0))</f>
        <v>#NAME?</v>
      </c>
      <c r="AA6" s="282" t="e">
        <f aca="false">IF($A6="N/A"," ",IF(T6&lt;&gt;0,IF('Pricing Inputs'!$AN$3=2,8*VLOOKUP($A6,NumberofDaysTable,4),(xSPRDOPT(M6,$E6,$BU6,0,$BP6,$BS6,$BT6,$A6-Inputs!$D$1,1,1))*(8*VLOOKUP($A6,NumberofDaysTable,4))),0))</f>
        <v>#NAME?</v>
      </c>
      <c r="AB6" s="282" t="e">
        <f aca="false">IF($A6="N/A"," ",IF(U6&lt;&gt;0,IF('Pricing Inputs'!$AN$3=2,8*VLOOKUP($A6,NumberofDaysTable,4),(xSPRDOPT(N6,$E6,$BU6,0,$BP6,$BS6,$BT6,$A6-Inputs!$D$1,1,1))*(8*VLOOKUP($A6,NumberofDaysTable,4))),0))</f>
        <v>#NAME?</v>
      </c>
      <c r="AC6" s="282" t="e">
        <f aca="false">IF($A6="N/A"," ",(IF(V6&lt;&gt;0,(8*VLOOKUP($A6,NumberofDaysTable,6)),0)))</f>
        <v>#N/A</v>
      </c>
      <c r="AD6" s="298" t="e">
        <f aca="false">IF($A6="N/A"," ",RANK(P6,$P$4:$V$15))</f>
        <v>#NAME?</v>
      </c>
      <c r="AE6" s="299" t="e">
        <f aca="false">IF($A6="N/A"," ",RANK(Q6,$P$4:$V$15))</f>
        <v>#NAME?</v>
      </c>
      <c r="AF6" s="299" t="e">
        <f aca="false">IF($A6="N/A"," ",RANK(R6,$P$4:$V$15))</f>
        <v>#NAME?</v>
      </c>
      <c r="AG6" s="299" t="e">
        <f aca="false">IF($A6="N/A"," ",RANK(S6,$P$4:$V$15))</f>
        <v>#NAME?</v>
      </c>
      <c r="AH6" s="299" t="e">
        <f aca="false">IF($A6="N/A"," ",RANK(T6,$P$4:$V$15))</f>
        <v>#NAME?</v>
      </c>
      <c r="AI6" s="299" t="e">
        <f aca="false">IF($A6="N/A"," ",RANK(U6,$P$4:$V$15))</f>
        <v>#NAME?</v>
      </c>
      <c r="AJ6" s="300" t="e">
        <f aca="false">IF($A6="N/A"," ",RANK(V6,$P$4:$V$15))</f>
        <v>#NAME?</v>
      </c>
      <c r="AK6" s="286" t="e">
        <f aca="false">IF($A6="N/A",0,IF(AD6&lt;=$AJ$2,W6,0))</f>
        <v>#NAME?</v>
      </c>
      <c r="AL6" s="301" t="e">
        <f aca="false">IF($A6="N/A",0,IF(AE6&lt;=$AJ$2,X6,0))</f>
        <v>#NAME?</v>
      </c>
      <c r="AM6" s="301" t="e">
        <f aca="false">IF($A6="N/A",0,IF(AF6&lt;=$AJ$2,Y6,0))</f>
        <v>#NAME?</v>
      </c>
      <c r="AN6" s="301" t="e">
        <f aca="false">IF($A6="N/A",0,IF(AG6&lt;=$AJ$2,Z6,0))</f>
        <v>#NAME?</v>
      </c>
      <c r="AO6" s="301" t="e">
        <f aca="false">IF($A6="N/A",0,IF(AH6&lt;=$AJ$2,AA6,0))</f>
        <v>#NAME?</v>
      </c>
      <c r="AP6" s="301" t="e">
        <f aca="false">IF($A6="N/A",0,IF(AI6&lt;=$AJ$2,AB6,0))</f>
        <v>#NAME?</v>
      </c>
      <c r="AQ6" s="301" t="e">
        <f aca="false">IF($A6="N/A",0,IF(AJ6&lt;=$AJ$2,AC6,0))</f>
        <v>#NAME?</v>
      </c>
      <c r="AR6" s="300"/>
      <c r="AS6" s="288" t="e">
        <f aca="false">IF($A6="N/A",0,IF(AND(AD6=$AJ$2+1,AK6=0),MIN($AR$15,W6),0))</f>
        <v>#NAME?</v>
      </c>
      <c r="AT6" s="302" t="e">
        <f aca="false">IF($A6="N/A",0,IF(AND(AE6=$AJ$2+1,AL6=0),MIN($AR$15,X6),0))</f>
        <v>#NAME?</v>
      </c>
      <c r="AU6" s="302" t="e">
        <f aca="false">IF($A6="N/A",0,IF(AND(AF6=$AJ$2+1,AM6=0),MIN($AR$15,Y6),0))</f>
        <v>#NAME?</v>
      </c>
      <c r="AV6" s="302" t="e">
        <f aca="false">IF($A6="N/A",0,IF(AND(AG6=$AJ$2+1,AN6=0),MIN($AR$15,Z6),0))</f>
        <v>#NAME?</v>
      </c>
      <c r="AW6" s="302" t="e">
        <f aca="false">IF($A6="N/A",0,IF(AND(AH6=$AJ$2+1,AO6=0),MIN($AR$15,AA6),0))</f>
        <v>#NAME?</v>
      </c>
      <c r="AX6" s="302" t="e">
        <f aca="false">IF($A6="N/A",0,IF(AND(AI6=$AJ$2+1,AP6=0),MIN($AR$15,AB6),0))</f>
        <v>#NAME?</v>
      </c>
      <c r="AY6" s="302" t="e">
        <f aca="false">IF($A6="N/A",0,IF(AND(AJ6=$AJ$2+1,AQ6=0),MIN($AR$15,AC6),0))</f>
        <v>#NAME?</v>
      </c>
      <c r="AZ6" s="303"/>
      <c r="BA6" s="291" t="n">
        <f aca="false">IF($A6="N/A"," ",(IF(MONTH(A6)&gt;=4,IF(MONTH(A6)&lt;=10,Inputs!$F$13,Inputs!$F$14),Inputs!$F$14))*$BW6)</f>
        <v>180</v>
      </c>
      <c r="BB6" s="292" t="e">
        <f aca="false">IF($A6="N/A"," ",(IF(AK6&gt;0,($BA6*(8*(VLOOKUP($A6,NumberofDaysTable,2)))*P6),0)+IF(AS6&gt;0,($BA6*((AS6))*P6),0)))</f>
        <v>#NAME?</v>
      </c>
      <c r="BC6" s="292" t="e">
        <f aca="false">IF($A6="N/A"," ",(IF(AL6&gt;0,($BA6*(8*(VLOOKUP($A6,NumberofDaysTable,2)))*Q6),0)+IF(AT6&gt;0,($BA6*((AT6))*Q6),0)))</f>
        <v>#NAME?</v>
      </c>
      <c r="BD6" s="292" t="e">
        <f aca="false">IF($A6="N/A"," ",(IF(AM6&gt;0,($BA6*(8*(VLOOKUP($A6,NumberofDaysTable,3)))*R6),0)+IF(AU6&gt;0,($BA6*((AU6))*R6),0)))</f>
        <v>#NAME?</v>
      </c>
      <c r="BE6" s="292" t="e">
        <f aca="false">IF($A6="N/A"," ",(IF(AN6&gt;0,($BA6*(8*(VLOOKUP($A6,NumberofDaysTable,3)))*S6),0)+IF(AV6&gt;0,($BA6*((AV6))*S6),0)))</f>
        <v>#NAME?</v>
      </c>
      <c r="BF6" s="292" t="e">
        <f aca="false">IF($A6="N/A"," ",(IF(AO6&gt;0,($BA6*(8*(VLOOKUP($A6,NumberofDaysTable,4)+VLOOKUP($A6,NumberofDaysTable,5)))*T6),0)+IF(AW6&gt;0,($BA6*((AW6))*T6),0)))</f>
        <v>#NAME?</v>
      </c>
      <c r="BG6" s="292" t="e">
        <f aca="false">IF($A6="N/A"," ",(IF(AP6&gt;0,($BA6*(8*(VLOOKUP($A6,NumberofDaysTable,4)+VLOOKUP($A6,NumberofDaysTable,5)))*U6),0)+IF(AX6&gt;0,($BA6*((AX6))*U6),0)))</f>
        <v>#NAME?</v>
      </c>
      <c r="BH6" s="292" t="e">
        <f aca="false">IF($A6="N/A"," ",($BA6*AQ6*V6))</f>
        <v>#NAME?</v>
      </c>
      <c r="BI6" s="292" t="e">
        <f aca="false">IF($A6="N/A"," ",SUM(BB6:BH6))</f>
        <v>#NAME?</v>
      </c>
      <c r="BJ6" s="293" t="e">
        <f aca="false">IF($A6="N/A"," ",(H6*(SUM(AK6:AQ6)+SUM(AS6:AY6))*BA6))</f>
        <v>#NAME?</v>
      </c>
      <c r="BK6" s="293" t="e">
        <f aca="false">IF($A6="N/A"," ",((C6*D6)*(SUM($AK6:$AQ6)+SUM($AS6:$AY6))*$BA6))</f>
        <v>#N/A</v>
      </c>
      <c r="BL6" s="293" t="e">
        <f aca="false">IF($A6="N/A"," ",(F6*(SUM($AK6:$AQ6)+SUM($AS6:$AY6))*$BA6))</f>
        <v>#NAME?</v>
      </c>
      <c r="BM6" s="293" t="e">
        <f aca="false">IF($A6="N/A"," ",(G6*(SUM($AK6:$AQ6)+SUM($AS6:$AY6))*$BA6))</f>
        <v>#NAME?</v>
      </c>
      <c r="BN6" s="294" t="n">
        <f aca="false">IF(A6="N/A"," ",(VLOOKUP(A6,PowerVolTable,(IF('Pricing Inputs'!$AT$3=2,7,IF('Pricing Inputs'!$AT$3=1,6,8))),FALSE())))</f>
        <v>0.267075</v>
      </c>
      <c r="BO6" s="294" t="n">
        <f aca="false">IF(A6="N/A"," ",(VLOOKUP(A6,IntraPowerVol,(IF('Pricing Inputs'!$AT$3=2,3,IF('Pricing Inputs'!$AT$3=1,2,4))),FALSE())*VLOOKUP(MONTH($A6),Inputs!$A$28:$B$39,2)))</f>
        <v>1.495</v>
      </c>
      <c r="BP6" s="295" t="n">
        <f aca="false">IF($A6="N/A"," ",(IF(DateToday&gt;$A6,$BO6,((($BN6^2)*((($A6-1)-DateToday)/((EOMONTH($A6,0)+1)-DateToday-15)))+((($BO6)^2)*((15)/((EOMONTH($A6,0)+1)-DateToday-15))))^0.5)))</f>
        <v>1.495</v>
      </c>
      <c r="BQ6" s="294" t="e">
        <f aca="false">IF($A6="N/A"," ",(VLOOKUP($A6,GasVolTable,(IF('Pricing Inputs'!$AT$3=2,6,IF('Pricing Inputs'!$AT$3=1,7,5))),FALSE())))</f>
        <v>#N/A</v>
      </c>
      <c r="BR6" s="294" t="e">
        <f aca="false">IF($A6="N/A"," ",(VLOOKUP($A6,OmicronVol,(IF('Pricing Inputs'!$AT$3=2,3,IF('Pricing Inputs'!$AT$3=1,4,2))),FALSE())))</f>
        <v>#N/A</v>
      </c>
      <c r="BS6" s="295" t="e">
        <f aca="false">IF($A6="N/A"," ",IF('Pricing Inputs'!$AN$3=1,(IF(DateToday&gt;$A6,$BR6,((($BQ6^2)*((($A6-1)-DateToday)/((EOMONTH($A6,0)+1)-DateToday-15)))+((($BR6)^2)*((15)/((EOMONTH($A6,0)+1)-DateToday-15))))^0.5)),0.0001))</f>
        <v>#N/A</v>
      </c>
      <c r="BT6" s="294" t="n">
        <f aca="false">IF($A6="N/A"," ",IF('Pricing Inputs'!$AN$3=1,(VLOOKUP($A6,CorrelationTable,2,FALSE())),0))</f>
        <v>0.9</v>
      </c>
      <c r="BU6" s="296" t="e">
        <f aca="false">IF($A6="N/A"," ",F6+G6+(D6*(VLOOKUP($A6,'Gas Curves'!$B$17:$P$310,14,FALSE()))))</f>
        <v>#N/A</v>
      </c>
      <c r="BV6" s="294" t="n">
        <f aca="false">IF($A6="N/A"," ",IF('Pricing Inputs'!$AW$3=1,0,(VLOOKUP($A6,InterestRatesTable,2))))</f>
        <v>0</v>
      </c>
      <c r="BW6" s="297" t="n">
        <f aca="false">IF($A6="N/A"," ",(1+BV6/2)^(-2*((EOMONTH(A6,0)+20)-DateToday)/365.25))</f>
        <v>1</v>
      </c>
    </row>
    <row r="7" customFormat="false" ht="12.75" hidden="false" customHeight="false" outlineLevel="0" collapsed="false">
      <c r="A7" s="272" t="n">
        <f aca="false">IF(A6="N/A","N/A",IF(EDATE(A6,1)&gt;Inputs!$K$3,"N/A",EDATE(A6,1)))</f>
        <v>36982</v>
      </c>
      <c r="B7" s="273" t="n">
        <f aca="false">IF(A7="N/A"," ",YEAR(A7))</f>
        <v>2001</v>
      </c>
      <c r="C7" s="274" t="e">
        <f aca="false">IF(A7="N/A"," ",VLOOKUP(A7,ScaledPrice,10))</f>
        <v>#N/A</v>
      </c>
      <c r="D7" s="275" t="n">
        <f aca="false">IF(A7="N/A"," ",(VLOOKUP(MONTH($A7),Inputs!$A$14:$B$25,2))/1000)</f>
        <v>10.5</v>
      </c>
      <c r="E7" s="276" t="e">
        <f aca="false">IF($A7="N/A"," ",C7*D7)</f>
        <v>#N/A</v>
      </c>
      <c r="F7" s="277" t="n">
        <f aca="false">IF(A7="N/A"," ",Inputs!$F$6)</f>
        <v>2</v>
      </c>
      <c r="G7" s="277" t="n">
        <f aca="false">IF(A7="N/A"," ",Inputs!$F$9/IF(AND('Pricing Inputs'!$AQ$3&gt;=4,'Pricing Inputs'!$AQ$3&lt;=6),16,IF(AND('Pricing Inputs'!$AQ$3&gt;=7,'Pricing Inputs'!$AQ$3&lt;=9),8,24))/(BA7/BW7))</f>
        <v>0</v>
      </c>
      <c r="H7" s="278" t="e">
        <f aca="false">IF(A7="N/A"," ",(C7*D7)+F7+G7)</f>
        <v>#N/A</v>
      </c>
      <c r="I7" s="279" t="n">
        <f aca="false">VLOOKUP(A7,ScaledPrice,(IF(AND('Pricing Inputs'!$AQ$3&gt;=1,'Pricing Inputs'!$AQ$3&lt;=6),2,4)))</f>
        <v>30.0621428233715</v>
      </c>
      <c r="J7" s="279" t="n">
        <f aca="false">IF(A7="N/A"," ",IF(AND('Pricing Inputs'!$AQ$3&gt;=1,'Pricing Inputs'!$AQ$3&lt;=6),I7,(VLOOKUP(A7,ScaledPrice,2))*(2-(VLOOKUP(A7,ScaledPrice,3)))))</f>
        <v>34.9378571766285</v>
      </c>
      <c r="K7" s="279" t="n">
        <f aca="false">IF(A7="N/A"," ",IF(OR('Pricing Inputs'!$AQ$3=2,'Pricing Inputs'!$AQ$3=3,'Pricing Inputs'!$AQ$3=5,'Pricing Inputs'!$AQ$3=6,'Pricing Inputs'!$AQ$3=8,'Pricing Inputs'!$AQ$3=9),VLOOKUP(A7,ScaledPrice,IF(AND('Pricing Inputs'!$AQ$3&gt;=2,'Pricing Inputs'!$AQ$3&lt;=6),5,6)),0))</f>
        <v>19.9959502048761</v>
      </c>
      <c r="L7" s="279" t="n">
        <f aca="false">IF(A7="N/A"," ",IF(OR('Pricing Inputs'!$AQ$3=2,'Pricing Inputs'!$AQ$3=3,'Pricing Inputs'!$AQ$3=5,'Pricing Inputs'!$AQ$3=6,'Pricing Inputs'!$AQ$3=8,'Pricing Inputs'!$AQ$3=9),IF(AND('Pricing Inputs'!$AQ$3&gt;=2,'Pricing Inputs'!$AQ$3&lt;=6),K7,(VLOOKUP(A7,ScaledPrice,5))*(2-(VLOOKUP(A7,ScaledPrice,3)))),0))</f>
        <v>23.2390504054755</v>
      </c>
      <c r="M7" s="279" t="n">
        <f aca="false">IF(A7="N/A"," ",IF(OR('Pricing Inputs'!$AQ$3=3,'Pricing Inputs'!$AQ$3=6,'Pricing Inputs'!$AQ$3=9),(VLOOKUP(A7,ScaledPrice,IF(AND('Pricing Inputs'!$AQ$3&gt;=3,'Pricing Inputs'!$AQ$3&lt;=6),7,8))),0))</f>
        <v>18.8096506704783</v>
      </c>
      <c r="N7" s="279" t="n">
        <f aca="false">IF(A7="N/A"," ",IF(OR('Pricing Inputs'!$AQ$3=3,'Pricing Inputs'!$AQ$3=6,'Pricing Inputs'!$AQ$3=9),IF(AND('Pricing Inputs'!$AQ$3&gt;=3,'Pricing Inputs'!$AQ$3&lt;=6),M7,(VLOOKUP(A7,ScaledPrice,7))*(2-(VLOOKUP(A7,ScaledPrice,3)))),0))</f>
        <v>21.860347498467</v>
      </c>
      <c r="O7" s="279" t="n">
        <f aca="false">IF(A7="N/A"," ",IF(AND('Pricing Inputs'!$AQ$3&gt;=1,'Pricing Inputs'!$AQ$3&lt;=3),VLOOKUP(A7,ScaledPrice,9),0))</f>
        <v>0</v>
      </c>
      <c r="P7" s="280" t="e">
        <f aca="false">IF($A7="N/A"," ",IF('Pricing Inputs'!$AN$8=2,(I7-H7),IF('Pricing Inputs'!$AN$3=2,IF((I7-$H7)&gt;0,I7-$H7,0),(xSPRDOPT(I7,$E7,$BU7,0,$BP7,$BS7,$BT7,($A7-Inputs!$D$1)+15,1,0)))))</f>
        <v>#NAME?</v>
      </c>
      <c r="Q7" s="280" t="e">
        <f aca="false">IF($A7="N/A"," ",IF('Pricing Inputs'!$AN$8=2,(J7-$H7),IF('Pricing Inputs'!$AN$3=2,IF((J7-$H7)&gt;0,J7-$H7,0),(xSPRDOPT(J7,$E7,$BU7,0,$BP7,$BS7,$BT7,($A7-Inputs!$D$1)+15,1,0)))))</f>
        <v>#NAME?</v>
      </c>
      <c r="R7" s="280" t="e">
        <f aca="false">IF($A7="N/A"," ",IF('Pricing Inputs'!$AN$8=2,(K7-$H7),IF('Pricing Inputs'!$AN$3=2,IF((K7-$H7)&gt;0,K7-$H7,0),(xSPRDOPT(K7,$E7,$BU7,0,$BP7,$BS7,$BT7,($A7-Inputs!$D$1)+15,1,0)))))</f>
        <v>#NAME?</v>
      </c>
      <c r="S7" s="280" t="e">
        <f aca="false">IF($A7="N/A"," ",IF('Pricing Inputs'!$AN$8=2,(L7-$H7),IF('Pricing Inputs'!$AN$3=2,IF((L7-$H7)&gt;0,L7-$H7,0),(xSPRDOPT(L7,$E7,$BU7,0,$BP7,$BS7,$BT7,($A7-Inputs!$D$1)+15,1,0)))))</f>
        <v>#NAME?</v>
      </c>
      <c r="T7" s="280" t="e">
        <f aca="false">IF($A7="N/A"," ",IF('Pricing Inputs'!$AN$8=2,(M7-$H7),IF('Pricing Inputs'!$AN$3=2,IF((M7-$H7)&gt;0,M7-$H7,0),(xSPRDOPT(M7,$E7,$BU7,0,$BP7,$BS7,$BT7,($A7-Inputs!$D$1)+15,1,0)))))</f>
        <v>#NAME?</v>
      </c>
      <c r="U7" s="280" t="e">
        <f aca="false">IF($A7="N/A"," ",IF('Pricing Inputs'!$AN$8=2,(N7-$H7),IF('Pricing Inputs'!$AN$3=2,IF((N7-$H7)&gt;0,N7-$H7,0),(xSPRDOPT(N7,$E7,$BU7,0,$BP7,$BS7,$BT7,($A7-Inputs!$D$1)+15,1,0)))))</f>
        <v>#NAME?</v>
      </c>
      <c r="V7" s="281" t="e">
        <f aca="false">IF($A7="N/A"," ",(IF('Pricing Inputs'!$AN$8=2,(O7-$H7),IF((O7-$H7)&lt;=0,0,(O7-$H7)))))</f>
        <v>#N/A</v>
      </c>
      <c r="W7" s="282" t="e">
        <f aca="false">IF($A7="N/A"," ",IF(0&lt;&gt;P7,IF('Pricing Inputs'!$AN$3=2,8*VLOOKUP($A7,NumberofDaysTable,2),(xSPRDOPT(I7,$E7,$BU7,0,$BP7,$BS7,$BT7,$A7-Inputs!$D$1,1,1))*(8*VLOOKUP($A7,NumberofDaysTable,2))),0))</f>
        <v>#NAME?</v>
      </c>
      <c r="X7" s="282" t="e">
        <f aca="false">IF($A7="N/A"," ",IF(Q7&lt;&gt;0,IF('Pricing Inputs'!$AN$3=2,8*VLOOKUP($A7,NumberofDaysTable,2),(xSPRDOPT(J7,$E7,$BU7,0,$BP7,$BS7,$BT7,$A7-Inputs!$D$1,1,1))*(8*VLOOKUP($A7,NumberofDaysTable,2))),0))</f>
        <v>#NAME?</v>
      </c>
      <c r="Y7" s="282" t="e">
        <f aca="false">IF($A7="N/A"," ",IF(R7&lt;&gt;0,IF('Pricing Inputs'!$AN$3=2,8*VLOOKUP($A7,NumberofDaysTable,3),(xSPRDOPT(K7,$E7,$BU7,0,$BP7,$BS7,$BT7,$A7-Inputs!$D$1,1,1))*(8*VLOOKUP($A7,NumberofDaysTable,3))),0))</f>
        <v>#NAME?</v>
      </c>
      <c r="Z7" s="282" t="e">
        <f aca="false">IF($A7="N/A"," ",IF(S7&lt;&gt;0,IF('Pricing Inputs'!$AN$3=2,8*VLOOKUP($A7,NumberofDaysTable,3),(xSPRDOPT(L7,$E7,$BU7,0,$BP7,$BS7,$BT7,$A7-Inputs!$D$1,1,1))*(8*VLOOKUP($A7,NumberofDaysTable,3))),0))</f>
        <v>#NAME?</v>
      </c>
      <c r="AA7" s="282" t="e">
        <f aca="false">IF($A7="N/A"," ",IF(T7&lt;&gt;0,IF('Pricing Inputs'!$AN$3=2,8*VLOOKUP($A7,NumberofDaysTable,4),(xSPRDOPT(M7,$E7,$BU7,0,$BP7,$BS7,$BT7,$A7-Inputs!$D$1,1,1))*(8*VLOOKUP($A7,NumberofDaysTable,4))),0))</f>
        <v>#NAME?</v>
      </c>
      <c r="AB7" s="282" t="e">
        <f aca="false">IF($A7="N/A"," ",IF(U7&lt;&gt;0,IF('Pricing Inputs'!$AN$3=2,8*VLOOKUP($A7,NumberofDaysTable,4),(xSPRDOPT(N7,$E7,$BU7,0,$BP7,$BS7,$BT7,$A7-Inputs!$D$1,1,1))*(8*VLOOKUP($A7,NumberofDaysTable,4))),0))</f>
        <v>#NAME?</v>
      </c>
      <c r="AC7" s="282" t="e">
        <f aca="false">IF($A7="N/A"," ",(IF(V7&lt;&gt;0,(8*VLOOKUP($A7,NumberofDaysTable,6)),0)))</f>
        <v>#N/A</v>
      </c>
      <c r="AD7" s="298" t="e">
        <f aca="false">IF($A7="N/A"," ",RANK(P7,$P$4:$V$15))</f>
        <v>#NAME?</v>
      </c>
      <c r="AE7" s="299" t="e">
        <f aca="false">IF($A7="N/A"," ",RANK(Q7,$P$4:$V$15))</f>
        <v>#NAME?</v>
      </c>
      <c r="AF7" s="299" t="e">
        <f aca="false">IF($A7="N/A"," ",RANK(R7,$P$4:$V$15))</f>
        <v>#NAME?</v>
      </c>
      <c r="AG7" s="299" t="e">
        <f aca="false">IF($A7="N/A"," ",RANK(S7,$P$4:$V$15))</f>
        <v>#NAME?</v>
      </c>
      <c r="AH7" s="299" t="e">
        <f aca="false">IF($A7="N/A"," ",RANK(T7,$P$4:$V$15))</f>
        <v>#NAME?</v>
      </c>
      <c r="AI7" s="299" t="e">
        <f aca="false">IF($A7="N/A"," ",RANK(U7,$P$4:$V$15))</f>
        <v>#NAME?</v>
      </c>
      <c r="AJ7" s="300" t="e">
        <f aca="false">IF($A7="N/A"," ",RANK(V7,$P$4:$V$15))</f>
        <v>#NAME?</v>
      </c>
      <c r="AK7" s="286" t="e">
        <f aca="false">IF($A7="N/A",0,IF(AD7&lt;=$AJ$2,W7,0))</f>
        <v>#NAME?</v>
      </c>
      <c r="AL7" s="301" t="e">
        <f aca="false">IF($A7="N/A",0,IF(AE7&lt;=$AJ$2,X7,0))</f>
        <v>#NAME?</v>
      </c>
      <c r="AM7" s="301" t="e">
        <f aca="false">IF($A7="N/A",0,IF(AF7&lt;=$AJ$2,Y7,0))</f>
        <v>#NAME?</v>
      </c>
      <c r="AN7" s="301" t="e">
        <f aca="false">IF($A7="N/A",0,IF(AG7&lt;=$AJ$2,Z7,0))</f>
        <v>#NAME?</v>
      </c>
      <c r="AO7" s="301" t="e">
        <f aca="false">IF($A7="N/A",0,IF(AH7&lt;=$AJ$2,AA7,0))</f>
        <v>#NAME?</v>
      </c>
      <c r="AP7" s="301" t="e">
        <f aca="false">IF($A7="N/A",0,IF(AI7&lt;=$AJ$2,AB7,0))</f>
        <v>#NAME?</v>
      </c>
      <c r="AQ7" s="301" t="e">
        <f aca="false">IF($A7="N/A",0,IF(AJ7&lt;=$AJ$2,AC7,0))</f>
        <v>#NAME?</v>
      </c>
      <c r="AR7" s="300"/>
      <c r="AS7" s="288" t="e">
        <f aca="false">IF($A7="N/A",0,IF(AND(AD7=$AJ$2+1,AK7=0),MIN($AR$15,W7),0))</f>
        <v>#NAME?</v>
      </c>
      <c r="AT7" s="302" t="e">
        <f aca="false">IF($A7="N/A",0,IF(AND(AE7=$AJ$2+1,AL7=0),MIN($AR$15,X7),0))</f>
        <v>#NAME?</v>
      </c>
      <c r="AU7" s="302" t="e">
        <f aca="false">IF($A7="N/A",0,IF(AND(AF7=$AJ$2+1,AM7=0),MIN($AR$15,Y7),0))</f>
        <v>#NAME?</v>
      </c>
      <c r="AV7" s="302" t="e">
        <f aca="false">IF($A7="N/A",0,IF(AND(AG7=$AJ$2+1,AN7=0),MIN($AR$15,Z7),0))</f>
        <v>#NAME?</v>
      </c>
      <c r="AW7" s="302" t="e">
        <f aca="false">IF($A7="N/A",0,IF(AND(AH7=$AJ$2+1,AO7=0),MIN($AR$15,AA7),0))</f>
        <v>#NAME?</v>
      </c>
      <c r="AX7" s="302" t="e">
        <f aca="false">IF($A7="N/A",0,IF(AND(AI7=$AJ$2+1,AP7=0),MIN($AR$15,AB7),0))</f>
        <v>#NAME?</v>
      </c>
      <c r="AY7" s="302" t="e">
        <f aca="false">IF($A7="N/A",0,IF(AND(AJ7=$AJ$2+1,AQ7=0),MIN($AR$15,AC7),0))</f>
        <v>#NAME?</v>
      </c>
      <c r="AZ7" s="303"/>
      <c r="BA7" s="291" t="n">
        <f aca="false">IF($A7="N/A"," ",(IF(MONTH(A7)&gt;=4,IF(MONTH(A7)&lt;=10,Inputs!$F$13,Inputs!$F$14),Inputs!$F$14))*$BW7)</f>
        <v>180</v>
      </c>
      <c r="BB7" s="292" t="e">
        <f aca="false">IF($A7="N/A"," ",(IF(AK7&gt;0,($BA7*(8*(VLOOKUP($A7,NumberofDaysTable,2)))*P7),0)+IF(AS7&gt;0,($BA7*((AS7))*P7),0)))</f>
        <v>#NAME?</v>
      </c>
      <c r="BC7" s="292" t="e">
        <f aca="false">IF($A7="N/A"," ",(IF(AL7&gt;0,($BA7*(8*(VLOOKUP($A7,NumberofDaysTable,2)))*Q7),0)+IF(AT7&gt;0,($BA7*((AT7))*Q7),0)))</f>
        <v>#NAME?</v>
      </c>
      <c r="BD7" s="292" t="e">
        <f aca="false">IF($A7="N/A"," ",(IF(AM7&gt;0,($BA7*(8*(VLOOKUP($A7,NumberofDaysTable,3)))*R7),0)+IF(AU7&gt;0,($BA7*((AU7))*R7),0)))</f>
        <v>#NAME?</v>
      </c>
      <c r="BE7" s="292" t="e">
        <f aca="false">IF($A7="N/A"," ",(IF(AN7&gt;0,($BA7*(8*(VLOOKUP($A7,NumberofDaysTable,3)))*S7),0)+IF(AV7&gt;0,($BA7*((AV7))*S7),0)))</f>
        <v>#NAME?</v>
      </c>
      <c r="BF7" s="292" t="e">
        <f aca="false">IF($A7="N/A"," ",(IF(AO7&gt;0,($BA7*(8*(VLOOKUP($A7,NumberofDaysTable,4)+VLOOKUP($A7,NumberofDaysTable,5)))*T7),0)+IF(AW7&gt;0,($BA7*((AW7))*T7),0)))</f>
        <v>#NAME?</v>
      </c>
      <c r="BG7" s="292" t="e">
        <f aca="false">IF($A7="N/A"," ",(IF(AP7&gt;0,($BA7*(8*(VLOOKUP($A7,NumberofDaysTable,4)+VLOOKUP($A7,NumberofDaysTable,5)))*U7),0)+IF(AX7&gt;0,($BA7*((AX7))*U7),0)))</f>
        <v>#NAME?</v>
      </c>
      <c r="BH7" s="292" t="e">
        <f aca="false">IF($A7="N/A"," ",($BA7*AQ7*V7))</f>
        <v>#NAME?</v>
      </c>
      <c r="BI7" s="292" t="e">
        <f aca="false">IF($A7="N/A"," ",SUM(BB7:BH7))</f>
        <v>#NAME?</v>
      </c>
      <c r="BJ7" s="293" t="e">
        <f aca="false">IF($A7="N/A"," ",(H7*(SUM(AK7:AQ7)+SUM(AS7:AY7))*BA7))</f>
        <v>#NAME?</v>
      </c>
      <c r="BK7" s="293" t="e">
        <f aca="false">IF($A7="N/A"," ",((C7*D7)*(SUM($AK7:$AQ7)+SUM($AS7:$AY7))*$BA7))</f>
        <v>#N/A</v>
      </c>
      <c r="BL7" s="293" t="e">
        <f aca="false">IF($A7="N/A"," ",(F7*(SUM($AK7:$AQ7)+SUM($AS7:$AY7))*$BA7))</f>
        <v>#NAME?</v>
      </c>
      <c r="BM7" s="293" t="e">
        <f aca="false">IF($A7="N/A"," ",(G7*(SUM($AK7:$AQ7)+SUM($AS7:$AY7))*$BA7))</f>
        <v>#NAME?</v>
      </c>
      <c r="BN7" s="294" t="n">
        <f aca="false">IF(A7="N/A"," ",(VLOOKUP(A7,PowerVolTable,(IF('Pricing Inputs'!$AT$3=2,7,IF('Pricing Inputs'!$AT$3=1,6,8))),FALSE())))</f>
        <v>0.23805</v>
      </c>
      <c r="BO7" s="294" t="n">
        <f aca="false">IF(A7="N/A"," ",(VLOOKUP(A7,IntraPowerVol,(IF('Pricing Inputs'!$AT$3=2,3,IF('Pricing Inputs'!$AT$3=1,2,4))),FALSE())*VLOOKUP(MONTH($A7),Inputs!$A$28:$B$39,2)))</f>
        <v>1.265</v>
      </c>
      <c r="BP7" s="295" t="n">
        <f aca="false">IF($A7="N/A"," ",(IF(DateToday&gt;$A7,$BO7,((($BN7^2)*((($A7-1)-DateToday)/((EOMONTH($A7,0)+1)-DateToday-15)))+((($BO7)^2)*((15)/((EOMONTH($A7,0)+1)-DateToday-15))))^0.5)))</f>
        <v>1.265</v>
      </c>
      <c r="BQ7" s="294" t="e">
        <f aca="false">IF($A7="N/A"," ",(VLOOKUP($A7,GasVolTable,(IF('Pricing Inputs'!$AT$3=2,6,IF('Pricing Inputs'!$AT$3=1,7,5))),FALSE())))</f>
        <v>#N/A</v>
      </c>
      <c r="BR7" s="294" t="e">
        <f aca="false">IF($A7="N/A"," ",(VLOOKUP($A7,OmicronVol,(IF('Pricing Inputs'!$AT$3=2,3,IF('Pricing Inputs'!$AT$3=1,4,2))),FALSE())))</f>
        <v>#N/A</v>
      </c>
      <c r="BS7" s="295" t="e">
        <f aca="false">IF($A7="N/A"," ",IF('Pricing Inputs'!$AN$3=1,(IF(DateToday&gt;$A7,$BR7,((($BQ7^2)*((($A7-1)-DateToday)/((EOMONTH($A7,0)+1)-DateToday-15)))+((($BR7)^2)*((15)/((EOMONTH($A7,0)+1)-DateToday-15))))^0.5)),0.0001))</f>
        <v>#N/A</v>
      </c>
      <c r="BT7" s="294" t="n">
        <f aca="false">IF($A7="N/A"," ",IF('Pricing Inputs'!$AN$3=1,(VLOOKUP($A7,CorrelationTable,2,FALSE())),0))</f>
        <v>0.9</v>
      </c>
      <c r="BU7" s="296" t="e">
        <f aca="false">IF($A7="N/A"," ",F7+G7+(D7*(VLOOKUP($A7,'Gas Curves'!$B$17:$P$310,14,FALSE()))))</f>
        <v>#N/A</v>
      </c>
      <c r="BV7" s="294" t="n">
        <f aca="false">IF($A7="N/A"," ",IF('Pricing Inputs'!$AW$3=1,0,(VLOOKUP($A7,InterestRatesTable,2))))</f>
        <v>0</v>
      </c>
      <c r="BW7" s="297" t="n">
        <f aca="false">IF($A7="N/A"," ",(1+BV7/2)^(-2*((EOMONTH(A7,0)+20)-DateToday)/365.25))</f>
        <v>1</v>
      </c>
    </row>
    <row r="8" customFormat="false" ht="12.75" hidden="false" customHeight="false" outlineLevel="0" collapsed="false">
      <c r="A8" s="272" t="n">
        <f aca="false">IF(A7="N/A","N/A",IF(EDATE(A7,1)&gt;Inputs!$K$3,"N/A",EDATE(A7,1)))</f>
        <v>37012</v>
      </c>
      <c r="B8" s="273" t="n">
        <f aca="false">IF(A8="N/A"," ",YEAR(A8))</f>
        <v>2001</v>
      </c>
      <c r="C8" s="274" t="e">
        <f aca="false">IF(A8="N/A"," ",VLOOKUP(A8,ScaledPrice,10))</f>
        <v>#N/A</v>
      </c>
      <c r="D8" s="275" t="n">
        <f aca="false">IF(A8="N/A"," ",(VLOOKUP(MONTH($A8),Inputs!$A$14:$B$25,2))/1000)</f>
        <v>10.5</v>
      </c>
      <c r="E8" s="276" t="e">
        <f aca="false">IF($A8="N/A"," ",C8*D8)</f>
        <v>#N/A</v>
      </c>
      <c r="F8" s="277" t="n">
        <f aca="false">IF(A8="N/A"," ",Inputs!$F$6)</f>
        <v>2</v>
      </c>
      <c r="G8" s="277" t="n">
        <f aca="false">IF(A8="N/A"," ",Inputs!$F$9/IF(AND('Pricing Inputs'!$AQ$3&gt;=4,'Pricing Inputs'!$AQ$3&lt;=6),16,IF(AND('Pricing Inputs'!$AQ$3&gt;=7,'Pricing Inputs'!$AQ$3&lt;=9),8,24))/(BA8/BW8))</f>
        <v>0</v>
      </c>
      <c r="H8" s="278" t="e">
        <f aca="false">IF(A8="N/A"," ",(C8*D8)+F8+G8)</f>
        <v>#N/A</v>
      </c>
      <c r="I8" s="279" t="n">
        <f aca="false">VLOOKUP(A8,ScaledPrice,(IF(AND('Pricing Inputs'!$AQ$3&gt;=1,'Pricing Inputs'!$AQ$3&lt;=6),2,4)))</f>
        <v>33.5462634361864</v>
      </c>
      <c r="J8" s="279" t="n">
        <f aca="false">IF(A8="N/A"," ",IF(AND('Pricing Inputs'!$AQ$3&gt;=1,'Pricing Inputs'!$AQ$3&lt;=6),I8,(VLOOKUP(A8,ScaledPrice,2))*(2-(VLOOKUP(A8,ScaledPrice,3)))))</f>
        <v>35.4537365638136</v>
      </c>
      <c r="K8" s="279" t="n">
        <f aca="false">IF(A8="N/A"," ",IF(OR('Pricing Inputs'!$AQ$3=2,'Pricing Inputs'!$AQ$3=3,'Pricing Inputs'!$AQ$3=5,'Pricing Inputs'!$AQ$3=6,'Pricing Inputs'!$AQ$3=8,'Pricing Inputs'!$AQ$3=9),VLOOKUP(A8,ScaledPrice,IF(AND('Pricing Inputs'!$AQ$3&gt;=2,'Pricing Inputs'!$AQ$3&lt;=6),5,6)),0))</f>
        <v>21.1317151503275</v>
      </c>
      <c r="L8" s="279" t="n">
        <f aca="false">IF(A8="N/A"," ",IF(OR('Pricing Inputs'!$AQ$3=2,'Pricing Inputs'!$AQ$3=3,'Pricing Inputs'!$AQ$3=5,'Pricing Inputs'!$AQ$3=6,'Pricing Inputs'!$AQ$3=8,'Pricing Inputs'!$AQ$3=9),IF(AND('Pricing Inputs'!$AQ$3&gt;=2,'Pricing Inputs'!$AQ$3&lt;=6),K8,(VLOOKUP(A8,ScaledPrice,5))*(2-(VLOOKUP(A8,ScaledPrice,3)))),0))</f>
        <v>22.3332850022604</v>
      </c>
      <c r="M8" s="279" t="n">
        <f aca="false">IF(A8="N/A"," ",IF(OR('Pricing Inputs'!$AQ$3=3,'Pricing Inputs'!$AQ$3=6,'Pricing Inputs'!$AQ$3=9),(VLOOKUP(A8,ScaledPrice,IF(AND('Pricing Inputs'!$AQ$3&gt;=3,'Pricing Inputs'!$AQ$3&lt;=6),7,8))),0))</f>
        <v>20.2881964903739</v>
      </c>
      <c r="N8" s="279" t="n">
        <f aca="false">IF(A8="N/A"," ",IF(OR('Pricing Inputs'!$AQ$3=3,'Pricing Inputs'!$AQ$3=6,'Pricing Inputs'!$AQ$3=9),IF(AND('Pricing Inputs'!$AQ$3&gt;=3,'Pricing Inputs'!$AQ$3&lt;=6),M8,(VLOOKUP(A8,ScaledPrice,7))*(2-(VLOOKUP(A8,ScaledPrice,3)))),0))</f>
        <v>21.4418030518624</v>
      </c>
      <c r="O8" s="279" t="n">
        <f aca="false">IF(A8="N/A"," ",IF(AND('Pricing Inputs'!$AQ$3&gt;=1,'Pricing Inputs'!$AQ$3&lt;=3),VLOOKUP(A8,ScaledPrice,9),0))</f>
        <v>0</v>
      </c>
      <c r="P8" s="280" t="e">
        <f aca="false">IF($A8="N/A"," ",IF('Pricing Inputs'!$AN$8=2,(I8-H8),IF('Pricing Inputs'!$AN$3=2,IF((I8-$H8)&gt;0,I8-$H8,0),(xSPRDOPT(I8,$E8,$BU8,0,$BP8,$BS8,$BT8,($A8-Inputs!$D$1)+15,1,0)))))</f>
        <v>#NAME?</v>
      </c>
      <c r="Q8" s="280" t="e">
        <f aca="false">IF($A8="N/A"," ",IF('Pricing Inputs'!$AN$8=2,(J8-$H8),IF('Pricing Inputs'!$AN$3=2,IF((J8-$H8)&gt;0,J8-$H8,0),(xSPRDOPT(J8,$E8,$BU8,0,$BP8,$BS8,$BT8,($A8-Inputs!$D$1)+15,1,0)))))</f>
        <v>#NAME?</v>
      </c>
      <c r="R8" s="280" t="e">
        <f aca="false">IF($A8="N/A"," ",IF('Pricing Inputs'!$AN$8=2,(K8-$H8),IF('Pricing Inputs'!$AN$3=2,IF((K8-$H8)&gt;0,K8-$H8,0),(xSPRDOPT(K8,$E8,$BU8,0,$BP8,$BS8,$BT8,($A8-Inputs!$D$1)+15,1,0)))))</f>
        <v>#NAME?</v>
      </c>
      <c r="S8" s="280" t="e">
        <f aca="false">IF($A8="N/A"," ",IF('Pricing Inputs'!$AN$8=2,(L8-$H8),IF('Pricing Inputs'!$AN$3=2,IF((L8-$H8)&gt;0,L8-$H8,0),(xSPRDOPT(L8,$E8,$BU8,0,$BP8,$BS8,$BT8,($A8-Inputs!$D$1)+15,1,0)))))</f>
        <v>#NAME?</v>
      </c>
      <c r="T8" s="280" t="e">
        <f aca="false">IF($A8="N/A"," ",IF('Pricing Inputs'!$AN$8=2,(M8-$H8),IF('Pricing Inputs'!$AN$3=2,IF((M8-$H8)&gt;0,M8-$H8,0),(xSPRDOPT(M8,$E8,$BU8,0,$BP8,$BS8,$BT8,($A8-Inputs!$D$1)+15,1,0)))))</f>
        <v>#NAME?</v>
      </c>
      <c r="U8" s="280" t="e">
        <f aca="false">IF($A8="N/A"," ",IF('Pricing Inputs'!$AN$8=2,(N8-$H8),IF('Pricing Inputs'!$AN$3=2,IF((N8-$H8)&gt;0,N8-$H8,0),(xSPRDOPT(N8,$E8,$BU8,0,$BP8,$BS8,$BT8,($A8-Inputs!$D$1)+15,1,0)))))</f>
        <v>#NAME?</v>
      </c>
      <c r="V8" s="281" t="e">
        <f aca="false">IF($A8="N/A"," ",(IF('Pricing Inputs'!$AN$8=2,(O8-$H8),IF((O8-$H8)&lt;=0,0,(O8-$H8)))))</f>
        <v>#N/A</v>
      </c>
      <c r="W8" s="282" t="e">
        <f aca="false">IF($A8="N/A"," ",IF(0&lt;&gt;P8,IF('Pricing Inputs'!$AN$3=2,8*VLOOKUP($A8,NumberofDaysTable,2),(xSPRDOPT(I8,$E8,$BU8,0,$BP8,$BS8,$BT8,$A8-Inputs!$D$1,1,1))*(8*VLOOKUP($A8,NumberofDaysTable,2))),0))</f>
        <v>#NAME?</v>
      </c>
      <c r="X8" s="282" t="e">
        <f aca="false">IF($A8="N/A"," ",IF(Q8&lt;&gt;0,IF('Pricing Inputs'!$AN$3=2,8*VLOOKUP($A8,NumberofDaysTable,2),(xSPRDOPT(J8,$E8,$BU8,0,$BP8,$BS8,$BT8,$A8-Inputs!$D$1,1,1))*(8*VLOOKUP($A8,NumberofDaysTable,2))),0))</f>
        <v>#NAME?</v>
      </c>
      <c r="Y8" s="282" t="e">
        <f aca="false">IF($A8="N/A"," ",IF(R8&lt;&gt;0,IF('Pricing Inputs'!$AN$3=2,8*VLOOKUP($A8,NumberofDaysTable,3),(xSPRDOPT(K8,$E8,$BU8,0,$BP8,$BS8,$BT8,$A8-Inputs!$D$1,1,1))*(8*VLOOKUP($A8,NumberofDaysTable,3))),0))</f>
        <v>#NAME?</v>
      </c>
      <c r="Z8" s="282" t="e">
        <f aca="false">IF($A8="N/A"," ",IF(S8&lt;&gt;0,IF('Pricing Inputs'!$AN$3=2,8*VLOOKUP($A8,NumberofDaysTable,3),(xSPRDOPT(L8,$E8,$BU8,0,$BP8,$BS8,$BT8,$A8-Inputs!$D$1,1,1))*(8*VLOOKUP($A8,NumberofDaysTable,3))),0))</f>
        <v>#NAME?</v>
      </c>
      <c r="AA8" s="282" t="e">
        <f aca="false">IF($A8="N/A"," ",IF(T8&lt;&gt;0,IF('Pricing Inputs'!$AN$3=2,8*VLOOKUP($A8,NumberofDaysTable,4),(xSPRDOPT(M8,$E8,$BU8,0,$BP8,$BS8,$BT8,$A8-Inputs!$D$1,1,1))*(8*VLOOKUP($A8,NumberofDaysTable,4))),0))</f>
        <v>#NAME?</v>
      </c>
      <c r="AB8" s="282" t="e">
        <f aca="false">IF($A8="N/A"," ",IF(U8&lt;&gt;0,IF('Pricing Inputs'!$AN$3=2,8*VLOOKUP($A8,NumberofDaysTable,4),(xSPRDOPT(N8,$E8,$BU8,0,$BP8,$BS8,$BT8,$A8-Inputs!$D$1,1,1))*(8*VLOOKUP($A8,NumberofDaysTable,4))),0))</f>
        <v>#NAME?</v>
      </c>
      <c r="AC8" s="282" t="e">
        <f aca="false">IF($A8="N/A"," ",(IF(V8&lt;&gt;0,(8*VLOOKUP($A8,NumberofDaysTable,6)),0)))</f>
        <v>#N/A</v>
      </c>
      <c r="AD8" s="298" t="e">
        <f aca="false">IF($A8="N/A"," ",RANK(P8,$P$4:$V$15))</f>
        <v>#NAME?</v>
      </c>
      <c r="AE8" s="299" t="e">
        <f aca="false">IF($A8="N/A"," ",RANK(Q8,$P$4:$V$15))</f>
        <v>#NAME?</v>
      </c>
      <c r="AF8" s="299" t="e">
        <f aca="false">IF($A8="N/A"," ",RANK(R8,$P$4:$V$15))</f>
        <v>#NAME?</v>
      </c>
      <c r="AG8" s="299" t="e">
        <f aca="false">IF($A8="N/A"," ",RANK(S8,$P$4:$V$15))</f>
        <v>#NAME?</v>
      </c>
      <c r="AH8" s="299" t="e">
        <f aca="false">IF($A8="N/A"," ",RANK(T8,$P$4:$V$15))</f>
        <v>#NAME?</v>
      </c>
      <c r="AI8" s="299" t="e">
        <f aca="false">IF($A8="N/A"," ",RANK(U8,$P$4:$V$15))</f>
        <v>#NAME?</v>
      </c>
      <c r="AJ8" s="300" t="e">
        <f aca="false">IF($A8="N/A"," ",RANK(V8,$P$4:$V$15))</f>
        <v>#NAME?</v>
      </c>
      <c r="AK8" s="286" t="e">
        <f aca="false">IF($A8="N/A",0,IF(AD8&lt;=$AJ$2,W8,0))</f>
        <v>#NAME?</v>
      </c>
      <c r="AL8" s="301" t="e">
        <f aca="false">IF($A8="N/A",0,IF(AE8&lt;=$AJ$2,X8,0))</f>
        <v>#NAME?</v>
      </c>
      <c r="AM8" s="301" t="e">
        <f aca="false">IF($A8="N/A",0,IF(AF8&lt;=$AJ$2,Y8,0))</f>
        <v>#NAME?</v>
      </c>
      <c r="AN8" s="301" t="e">
        <f aca="false">IF($A8="N/A",0,IF(AG8&lt;=$AJ$2,Z8,0))</f>
        <v>#NAME?</v>
      </c>
      <c r="AO8" s="301" t="e">
        <f aca="false">IF($A8="N/A",0,IF(AH8&lt;=$AJ$2,AA8,0))</f>
        <v>#NAME?</v>
      </c>
      <c r="AP8" s="301" t="e">
        <f aca="false">IF($A8="N/A",0,IF(AI8&lt;=$AJ$2,AB8,0))</f>
        <v>#NAME?</v>
      </c>
      <c r="AQ8" s="301" t="e">
        <f aca="false">IF($A8="N/A",0,IF(AJ8&lt;=$AJ$2,AC8,0))</f>
        <v>#NAME?</v>
      </c>
      <c r="AR8" s="300"/>
      <c r="AS8" s="288" t="e">
        <f aca="false">IF($A8="N/A",0,IF(AND(AD8=$AJ$2+1,AK8=0),MIN($AR$15,W8),0))</f>
        <v>#NAME?</v>
      </c>
      <c r="AT8" s="302" t="e">
        <f aca="false">IF($A8="N/A",0,IF(AND(AE8=$AJ$2+1,AL8=0),MIN($AR$15,X8),0))</f>
        <v>#NAME?</v>
      </c>
      <c r="AU8" s="302" t="e">
        <f aca="false">IF($A8="N/A",0,IF(AND(AF8=$AJ$2+1,AM8=0),MIN($AR$15,Y8),0))</f>
        <v>#NAME?</v>
      </c>
      <c r="AV8" s="302" t="e">
        <f aca="false">IF($A8="N/A",0,IF(AND(AG8=$AJ$2+1,AN8=0),MIN($AR$15,Z8),0))</f>
        <v>#NAME?</v>
      </c>
      <c r="AW8" s="302" t="e">
        <f aca="false">IF($A8="N/A",0,IF(AND(AH8=$AJ$2+1,AO8=0),MIN($AR$15,AA8),0))</f>
        <v>#NAME?</v>
      </c>
      <c r="AX8" s="302" t="e">
        <f aca="false">IF($A8="N/A",0,IF(AND(AI8=$AJ$2+1,AP8=0),MIN($AR$15,AB8),0))</f>
        <v>#NAME?</v>
      </c>
      <c r="AY8" s="302" t="e">
        <f aca="false">IF($A8="N/A",0,IF(AND(AJ8=$AJ$2+1,AQ8=0),MIN($AR$15,AC8),0))</f>
        <v>#NAME?</v>
      </c>
      <c r="AZ8" s="303"/>
      <c r="BA8" s="291" t="n">
        <f aca="false">IF($A8="N/A"," ",(IF(MONTH(A8)&gt;=4,IF(MONTH(A8)&lt;=10,Inputs!$F$13,Inputs!$F$14),Inputs!$F$14))*$BW8)</f>
        <v>180</v>
      </c>
      <c r="BB8" s="292" t="e">
        <f aca="false">IF($A8="N/A"," ",(IF(AK8&gt;0,($BA8*(8*(VLOOKUP($A8,NumberofDaysTable,2)))*P8),0)+IF(AS8&gt;0,($BA8*((AS8))*P8),0)))</f>
        <v>#NAME?</v>
      </c>
      <c r="BC8" s="292" t="e">
        <f aca="false">IF($A8="N/A"," ",(IF(AL8&gt;0,($BA8*(8*(VLOOKUP($A8,NumberofDaysTable,2)))*Q8),0)+IF(AT8&gt;0,($BA8*((AT8))*Q8),0)))</f>
        <v>#NAME?</v>
      </c>
      <c r="BD8" s="292" t="e">
        <f aca="false">IF($A8="N/A"," ",(IF(AM8&gt;0,($BA8*(8*(VLOOKUP($A8,NumberofDaysTable,3)))*R8),0)+IF(AU8&gt;0,($BA8*((AU8))*R8),0)))</f>
        <v>#NAME?</v>
      </c>
      <c r="BE8" s="292" t="e">
        <f aca="false">IF($A8="N/A"," ",(IF(AN8&gt;0,($BA8*(8*(VLOOKUP($A8,NumberofDaysTable,3)))*S8),0)+IF(AV8&gt;0,($BA8*((AV8))*S8),0)))</f>
        <v>#NAME?</v>
      </c>
      <c r="BF8" s="292" t="e">
        <f aca="false">IF($A8="N/A"," ",(IF(AO8&gt;0,($BA8*(8*(VLOOKUP($A8,NumberofDaysTable,4)+VLOOKUP($A8,NumberofDaysTable,5)))*T8),0)+IF(AW8&gt;0,($BA8*((AW8))*T8),0)))</f>
        <v>#NAME?</v>
      </c>
      <c r="BG8" s="292" t="e">
        <f aca="false">IF($A8="N/A"," ",(IF(AP8&gt;0,($BA8*(8*(VLOOKUP($A8,NumberofDaysTable,4)+VLOOKUP($A8,NumberofDaysTable,5)))*U8),0)+IF(AX8&gt;0,($BA8*((AX8))*U8),0)))</f>
        <v>#NAME?</v>
      </c>
      <c r="BH8" s="292" t="e">
        <f aca="false">IF($A8="N/A"," ",($BA8*AQ8*V8))</f>
        <v>#NAME?</v>
      </c>
      <c r="BI8" s="292" t="e">
        <f aca="false">IF($A8="N/A"," ",SUM(BB8:BH8))</f>
        <v>#NAME?</v>
      </c>
      <c r="BJ8" s="293" t="e">
        <f aca="false">IF($A8="N/A"," ",(H8*(SUM(AK8:AQ8)+SUM(AS8:AY8))*BA8))</f>
        <v>#NAME?</v>
      </c>
      <c r="BK8" s="293" t="e">
        <f aca="false">IF($A8="N/A"," ",((C8*D8)*(SUM($AK8:$AQ8)+SUM($AS8:$AY8))*$BA8))</f>
        <v>#N/A</v>
      </c>
      <c r="BL8" s="293" t="e">
        <f aca="false">IF($A8="N/A"," ",(F8*(SUM($AK8:$AQ8)+SUM($AS8:$AY8))*$BA8))</f>
        <v>#NAME?</v>
      </c>
      <c r="BM8" s="293" t="e">
        <f aca="false">IF($A8="N/A"," ",(G8*(SUM($AK8:$AQ8)+SUM($AS8:$AY8))*$BA8))</f>
        <v>#NAME?</v>
      </c>
      <c r="BN8" s="294" t="n">
        <f aca="false">IF(A8="N/A"," ",(VLOOKUP(A8,PowerVolTable,(IF('Pricing Inputs'!$AT$3=2,7,IF('Pricing Inputs'!$AT$3=1,6,8))),FALSE())))</f>
        <v>0.27405</v>
      </c>
      <c r="BO8" s="294" t="n">
        <f aca="false">IF(A8="N/A"," ",(VLOOKUP(A8,IntraPowerVol,(IF('Pricing Inputs'!$AT$3=2,3,IF('Pricing Inputs'!$AT$3=1,2,4))),FALSE())*VLOOKUP(MONTH($A8),Inputs!$A$28:$B$39,2)))</f>
        <v>1.265</v>
      </c>
      <c r="BP8" s="295" t="n">
        <f aca="false">IF($A8="N/A"," ",(IF(DateToday&gt;$A8,$BO8,((($BN8^2)*((($A8-1)-DateToday)/((EOMONTH($A8,0)+1)-DateToday-15)))+((($BO8)^2)*((15)/((EOMONTH($A8,0)+1)-DateToday-15))))^0.5)))</f>
        <v>1.265</v>
      </c>
      <c r="BQ8" s="294" t="e">
        <f aca="false">IF($A8="N/A"," ",(VLOOKUP($A8,GasVolTable,(IF('Pricing Inputs'!$AT$3=2,6,IF('Pricing Inputs'!$AT$3=1,7,5))),FALSE())))</f>
        <v>#N/A</v>
      </c>
      <c r="BR8" s="294" t="e">
        <f aca="false">IF($A8="N/A"," ",(VLOOKUP($A8,OmicronVol,(IF('Pricing Inputs'!$AT$3=2,3,IF('Pricing Inputs'!$AT$3=1,4,2))),FALSE())))</f>
        <v>#N/A</v>
      </c>
      <c r="BS8" s="295" t="e">
        <f aca="false">IF($A8="N/A"," ",IF('Pricing Inputs'!$AN$3=1,(IF(DateToday&gt;$A8,$BR8,((($BQ8^2)*((($A8-1)-DateToday)/((EOMONTH($A8,0)+1)-DateToday-15)))+((($BR8)^2)*((15)/((EOMONTH($A8,0)+1)-DateToday-15))))^0.5)),0.0001))</f>
        <v>#N/A</v>
      </c>
      <c r="BT8" s="294" t="n">
        <f aca="false">IF($A8="N/A"," ",IF('Pricing Inputs'!$AN$3=1,(VLOOKUP($A8,CorrelationTable,2,FALSE())),0))</f>
        <v>0.9</v>
      </c>
      <c r="BU8" s="296" t="e">
        <f aca="false">IF($A8="N/A"," ",F8+G8+(D8*(VLOOKUP($A8,'Gas Curves'!$B$17:$P$310,14,FALSE()))))</f>
        <v>#N/A</v>
      </c>
      <c r="BV8" s="294" t="n">
        <f aca="false">IF($A8="N/A"," ",IF('Pricing Inputs'!$AW$3=1,0,(VLOOKUP($A8,InterestRatesTable,2))))</f>
        <v>0</v>
      </c>
      <c r="BW8" s="297" t="n">
        <f aca="false">IF($A8="N/A"," ",(1+BV8/2)^(-2*((EOMONTH(A8,0)+20)-DateToday)/365.25))</f>
        <v>1</v>
      </c>
    </row>
    <row r="9" customFormat="false" ht="12.75" hidden="false" customHeight="false" outlineLevel="0" collapsed="false">
      <c r="A9" s="272" t="n">
        <f aca="false">IF(A8="N/A","N/A",IF(EDATE(A8,1)&gt;Inputs!$K$3,"N/A",EDATE(A8,1)))</f>
        <v>37043</v>
      </c>
      <c r="B9" s="273" t="n">
        <f aca="false">IF(A9="N/A"," ",YEAR(A9))</f>
        <v>2001</v>
      </c>
      <c r="C9" s="274" t="e">
        <f aca="false">IF(A9="N/A"," ",VLOOKUP(A9,ScaledPrice,10))</f>
        <v>#N/A</v>
      </c>
      <c r="D9" s="275" t="n">
        <f aca="false">IF(A9="N/A"," ",(VLOOKUP(MONTH($A9),Inputs!$A$14:$B$25,2))/1000)</f>
        <v>10.5</v>
      </c>
      <c r="E9" s="276" t="e">
        <f aca="false">IF($A9="N/A"," ",C9*D9)</f>
        <v>#N/A</v>
      </c>
      <c r="F9" s="277" t="n">
        <f aca="false">IF(A9="N/A"," ",Inputs!$F$6)</f>
        <v>2</v>
      </c>
      <c r="G9" s="277" t="n">
        <f aca="false">IF(A9="N/A"," ",Inputs!$F$9/IF(AND('Pricing Inputs'!$AQ$3&gt;=4,'Pricing Inputs'!$AQ$3&lt;=6),16,IF(AND('Pricing Inputs'!$AQ$3&gt;=7,'Pricing Inputs'!$AQ$3&lt;=9),8,24))/(BA9/BW9))</f>
        <v>0</v>
      </c>
      <c r="H9" s="278" t="e">
        <f aca="false">IF(A9="N/A"," ",(C9*D9)+F9+G9)</f>
        <v>#N/A</v>
      </c>
      <c r="I9" s="279" t="n">
        <f aca="false">VLOOKUP(A9,ScaledPrice,(IF(AND('Pricing Inputs'!$AQ$3&gt;=1,'Pricing Inputs'!$AQ$3&lt;=6),2,4)))</f>
        <v>58.1549301681835</v>
      </c>
      <c r="J9" s="279" t="n">
        <f aca="false">IF(A9="N/A"," ",IF(AND('Pricing Inputs'!$AQ$3&gt;=1,'Pricing Inputs'!$AQ$3&lt;=6),I9,(VLOOKUP(A9,ScaledPrice,2))*(2-(VLOOKUP(A9,ScaledPrice,3)))))</f>
        <v>43.8450698318165</v>
      </c>
      <c r="K9" s="279" t="n">
        <f aca="false">IF(A9="N/A"," ",IF(OR('Pricing Inputs'!$AQ$3=2,'Pricing Inputs'!$AQ$3=3,'Pricing Inputs'!$AQ$3=5,'Pricing Inputs'!$AQ$3=6,'Pricing Inputs'!$AQ$3=8,'Pricing Inputs'!$AQ$3=9),VLOOKUP(A9,ScaledPrice,IF(AND('Pricing Inputs'!$AQ$3&gt;=2,'Pricing Inputs'!$AQ$3&lt;=6),5,6)),0))</f>
        <v>29.9996770183517</v>
      </c>
      <c r="L9" s="279" t="n">
        <f aca="false">IF(A9="N/A"," ",IF(OR('Pricing Inputs'!$AQ$3=2,'Pricing Inputs'!$AQ$3=3,'Pricing Inputs'!$AQ$3=5,'Pricing Inputs'!$AQ$3=6,'Pricing Inputs'!$AQ$3=8,'Pricing Inputs'!$AQ$3=9),IF(AND('Pricing Inputs'!$AQ$3&gt;=2,'Pricing Inputs'!$AQ$3&lt;=6),K9,(VLOOKUP(A9,ScaledPrice,5))*(2-(VLOOKUP(A9,ScaledPrice,3)))),0))</f>
        <v>22.6178232868241</v>
      </c>
      <c r="M9" s="279" t="n">
        <f aca="false">IF(A9="N/A"," ",IF(OR('Pricing Inputs'!$AQ$3=3,'Pricing Inputs'!$AQ$3=6,'Pricing Inputs'!$AQ$3=9),(VLOOKUP(A9,ScaledPrice,IF(AND('Pricing Inputs'!$AQ$3&gt;=3,'Pricing Inputs'!$AQ$3&lt;=6),7,8))),0))</f>
        <v>22.5692437006384</v>
      </c>
      <c r="N9" s="279" t="n">
        <f aca="false">IF(A9="N/A"," ",IF(OR('Pricing Inputs'!$AQ$3=3,'Pricing Inputs'!$AQ$3=6,'Pricing Inputs'!$AQ$3=9),IF(AND('Pricing Inputs'!$AQ$3&gt;=3,'Pricing Inputs'!$AQ$3&lt;=6),M9,(VLOOKUP(A9,ScaledPrice,7))*(2-(VLOOKUP(A9,ScaledPrice,3)))),0))</f>
        <v>17.0157553838343</v>
      </c>
      <c r="O9" s="279" t="n">
        <f aca="false">IF(A9="N/A"," ",IF(AND('Pricing Inputs'!$AQ$3&gt;=1,'Pricing Inputs'!$AQ$3&lt;=3),VLOOKUP(A9,ScaledPrice,9),0))</f>
        <v>0</v>
      </c>
      <c r="P9" s="280" t="e">
        <f aca="false">IF($A9="N/A"," ",IF('Pricing Inputs'!$AN$8=2,(I9-H9),IF('Pricing Inputs'!$AN$3=2,IF((I9-$H9)&gt;0,I9-$H9,0),(xSPRDOPT(I9,$E9,$BU9,0,$BP9,$BS9,$BT9,($A9-Inputs!$D$1)+15,1,0)))))</f>
        <v>#NAME?</v>
      </c>
      <c r="Q9" s="280" t="e">
        <f aca="false">IF($A9="N/A"," ",IF('Pricing Inputs'!$AN$8=2,(J9-$H9),IF('Pricing Inputs'!$AN$3=2,IF((J9-$H9)&gt;0,J9-$H9,0),(xSPRDOPT(J9,$E9,$BU9,0,$BP9,$BS9,$BT9,($A9-Inputs!$D$1)+15,1,0)))))</f>
        <v>#NAME?</v>
      </c>
      <c r="R9" s="280" t="e">
        <f aca="false">IF($A9="N/A"," ",IF('Pricing Inputs'!$AN$8=2,(K9-$H9),IF('Pricing Inputs'!$AN$3=2,IF((K9-$H9)&gt;0,K9-$H9,0),(xSPRDOPT(K9,$E9,$BU9,0,$BP9,$BS9,$BT9,($A9-Inputs!$D$1)+15,1,0)))))</f>
        <v>#NAME?</v>
      </c>
      <c r="S9" s="280" t="e">
        <f aca="false">IF($A9="N/A"," ",IF('Pricing Inputs'!$AN$8=2,(L9-$H9),IF('Pricing Inputs'!$AN$3=2,IF((L9-$H9)&gt;0,L9-$H9,0),(xSPRDOPT(L9,$E9,$BU9,0,$BP9,$BS9,$BT9,($A9-Inputs!$D$1)+15,1,0)))))</f>
        <v>#NAME?</v>
      </c>
      <c r="T9" s="280" t="e">
        <f aca="false">IF($A9="N/A"," ",IF('Pricing Inputs'!$AN$8=2,(M9-$H9),IF('Pricing Inputs'!$AN$3=2,IF((M9-$H9)&gt;0,M9-$H9,0),(xSPRDOPT(M9,$E9,$BU9,0,$BP9,$BS9,$BT9,($A9-Inputs!$D$1)+15,1,0)))))</f>
        <v>#NAME?</v>
      </c>
      <c r="U9" s="280" t="e">
        <f aca="false">IF($A9="N/A"," ",IF('Pricing Inputs'!$AN$8=2,(N9-$H9),IF('Pricing Inputs'!$AN$3=2,IF((N9-$H9)&gt;0,N9-$H9,0),(xSPRDOPT(N9,$E9,$BU9,0,$BP9,$BS9,$BT9,($A9-Inputs!$D$1)+15,1,0)))))</f>
        <v>#NAME?</v>
      </c>
      <c r="V9" s="281" t="e">
        <f aca="false">IF($A9="N/A"," ",(IF('Pricing Inputs'!$AN$8=2,(O9-$H9),IF((O9-$H9)&lt;=0,0,(O9-$H9)))))</f>
        <v>#N/A</v>
      </c>
      <c r="W9" s="282" t="e">
        <f aca="false">IF($A9="N/A"," ",IF(0&lt;&gt;P9,IF('Pricing Inputs'!$AN$3=2,8*VLOOKUP($A9,NumberofDaysTable,2),(xSPRDOPT(I9,$E9,$BU9,0,$BP9,$BS9,$BT9,$A9-Inputs!$D$1,1,1))*(8*VLOOKUP($A9,NumberofDaysTable,2))),0))</f>
        <v>#NAME?</v>
      </c>
      <c r="X9" s="282" t="e">
        <f aca="false">IF($A9="N/A"," ",IF(Q9&lt;&gt;0,IF('Pricing Inputs'!$AN$3=2,8*VLOOKUP($A9,NumberofDaysTable,2),(xSPRDOPT(J9,$E9,$BU9,0,$BP9,$BS9,$BT9,$A9-Inputs!$D$1,1,1))*(8*VLOOKUP($A9,NumberofDaysTable,2))),0))</f>
        <v>#NAME?</v>
      </c>
      <c r="Y9" s="282" t="e">
        <f aca="false">IF($A9="N/A"," ",IF(R9&lt;&gt;0,IF('Pricing Inputs'!$AN$3=2,8*VLOOKUP($A9,NumberofDaysTable,3),(xSPRDOPT(K9,$E9,$BU9,0,$BP9,$BS9,$BT9,$A9-Inputs!$D$1,1,1))*(8*VLOOKUP($A9,NumberofDaysTable,3))),0))</f>
        <v>#NAME?</v>
      </c>
      <c r="Z9" s="282" t="e">
        <f aca="false">IF($A9="N/A"," ",IF(S9&lt;&gt;0,IF('Pricing Inputs'!$AN$3=2,8*VLOOKUP($A9,NumberofDaysTable,3),(xSPRDOPT(L9,$E9,$BU9,0,$BP9,$BS9,$BT9,$A9-Inputs!$D$1,1,1))*(8*VLOOKUP($A9,NumberofDaysTable,3))),0))</f>
        <v>#NAME?</v>
      </c>
      <c r="AA9" s="282" t="e">
        <f aca="false">IF($A9="N/A"," ",IF(T9&lt;&gt;0,IF('Pricing Inputs'!$AN$3=2,8*VLOOKUP($A9,NumberofDaysTable,4),(xSPRDOPT(M9,$E9,$BU9,0,$BP9,$BS9,$BT9,$A9-Inputs!$D$1,1,1))*(8*VLOOKUP($A9,NumberofDaysTable,4))),0))</f>
        <v>#NAME?</v>
      </c>
      <c r="AB9" s="282" t="e">
        <f aca="false">IF($A9="N/A"," ",IF(U9&lt;&gt;0,IF('Pricing Inputs'!$AN$3=2,8*VLOOKUP($A9,NumberofDaysTable,4),(xSPRDOPT(N9,$E9,$BU9,0,$BP9,$BS9,$BT9,$A9-Inputs!$D$1,1,1))*(8*VLOOKUP($A9,NumberofDaysTable,4))),0))</f>
        <v>#NAME?</v>
      </c>
      <c r="AC9" s="282" t="e">
        <f aca="false">IF($A9="N/A"," ",(IF(V9&lt;&gt;0,(8*VLOOKUP($A9,NumberofDaysTable,6)),0)))</f>
        <v>#N/A</v>
      </c>
      <c r="AD9" s="298" t="e">
        <f aca="false">IF($A9="N/A"," ",RANK(P9,$P$4:$V$15))</f>
        <v>#NAME?</v>
      </c>
      <c r="AE9" s="299" t="e">
        <f aca="false">IF($A9="N/A"," ",RANK(Q9,$P$4:$V$15))</f>
        <v>#NAME?</v>
      </c>
      <c r="AF9" s="299" t="e">
        <f aca="false">IF($A9="N/A"," ",RANK(R9,$P$4:$V$15))</f>
        <v>#NAME?</v>
      </c>
      <c r="AG9" s="299" t="e">
        <f aca="false">IF($A9="N/A"," ",RANK(S9,$P$4:$V$15))</f>
        <v>#NAME?</v>
      </c>
      <c r="AH9" s="299" t="e">
        <f aca="false">IF($A9="N/A"," ",RANK(T9,$P$4:$V$15))</f>
        <v>#NAME?</v>
      </c>
      <c r="AI9" s="299" t="e">
        <f aca="false">IF($A9="N/A"," ",RANK(U9,$P$4:$V$15))</f>
        <v>#NAME?</v>
      </c>
      <c r="AJ9" s="300" t="e">
        <f aca="false">IF($A9="N/A"," ",RANK(V9,$P$4:$V$15))</f>
        <v>#NAME?</v>
      </c>
      <c r="AK9" s="286" t="e">
        <f aca="false">IF($A9="N/A",0,IF(AD9&lt;=$AJ$2,W9,0))</f>
        <v>#NAME?</v>
      </c>
      <c r="AL9" s="301" t="e">
        <f aca="false">IF($A9="N/A",0,IF(AE9&lt;=$AJ$2,X9,0))</f>
        <v>#NAME?</v>
      </c>
      <c r="AM9" s="301" t="e">
        <f aca="false">IF($A9="N/A",0,IF(AF9&lt;=$AJ$2,Y9,0))</f>
        <v>#NAME?</v>
      </c>
      <c r="AN9" s="301" t="e">
        <f aca="false">IF($A9="N/A",0,IF(AG9&lt;=$AJ$2,Z9,0))</f>
        <v>#NAME?</v>
      </c>
      <c r="AO9" s="301" t="e">
        <f aca="false">IF($A9="N/A",0,IF(AH9&lt;=$AJ$2,AA9,0))</f>
        <v>#NAME?</v>
      </c>
      <c r="AP9" s="301" t="e">
        <f aca="false">IF($A9="N/A",0,IF(AI9&lt;=$AJ$2,AB9,0))</f>
        <v>#NAME?</v>
      </c>
      <c r="AQ9" s="301" t="e">
        <f aca="false">IF($A9="N/A",0,IF(AJ9&lt;=$AJ$2,AC9,0))</f>
        <v>#NAME?</v>
      </c>
      <c r="AR9" s="300"/>
      <c r="AS9" s="288" t="e">
        <f aca="false">IF($A9="N/A",0,IF(AND(AD9=$AJ$2+1,AK9=0),MIN($AR$15,W9),0))</f>
        <v>#NAME?</v>
      </c>
      <c r="AT9" s="302" t="e">
        <f aca="false">IF($A9="N/A",0,IF(AND(AE9=$AJ$2+1,AL9=0),MIN($AR$15,X9),0))</f>
        <v>#NAME?</v>
      </c>
      <c r="AU9" s="302" t="e">
        <f aca="false">IF($A9="N/A",0,IF(AND(AF9=$AJ$2+1,AM9=0),MIN($AR$15,Y9),0))</f>
        <v>#NAME?</v>
      </c>
      <c r="AV9" s="302" t="e">
        <f aca="false">IF($A9="N/A",0,IF(AND(AG9=$AJ$2+1,AN9=0),MIN($AR$15,Z9),0))</f>
        <v>#NAME?</v>
      </c>
      <c r="AW9" s="302" t="e">
        <f aca="false">IF($A9="N/A",0,IF(AND(AH9=$AJ$2+1,AO9=0),MIN($AR$15,AA9),0))</f>
        <v>#NAME?</v>
      </c>
      <c r="AX9" s="302" t="e">
        <f aca="false">IF($A9="N/A",0,IF(AND(AI9=$AJ$2+1,AP9=0),MIN($AR$15,AB9),0))</f>
        <v>#NAME?</v>
      </c>
      <c r="AY9" s="302" t="e">
        <f aca="false">IF($A9="N/A",0,IF(AND(AJ9=$AJ$2+1,AQ9=0),MIN($AR$15,AC9),0))</f>
        <v>#NAME?</v>
      </c>
      <c r="AZ9" s="303"/>
      <c r="BA9" s="291" t="n">
        <f aca="false">IF($A9="N/A"," ",(IF(MONTH(A9)&gt;=4,IF(MONTH(A9)&lt;=10,Inputs!$F$13,Inputs!$F$14),Inputs!$F$14))*$BW9)</f>
        <v>180</v>
      </c>
      <c r="BB9" s="292" t="e">
        <f aca="false">IF($A9="N/A"," ",(IF(AK9&gt;0,($BA9*(8*(VLOOKUP($A9,NumberofDaysTable,2)))*P9),0)+IF(AS9&gt;0,($BA9*((AS9))*P9),0)))</f>
        <v>#NAME?</v>
      </c>
      <c r="BC9" s="292" t="e">
        <f aca="false">IF($A9="N/A"," ",(IF(AL9&gt;0,($BA9*(8*(VLOOKUP($A9,NumberofDaysTable,2)))*Q9),0)+IF(AT9&gt;0,($BA9*((AT9))*Q9),0)))</f>
        <v>#NAME?</v>
      </c>
      <c r="BD9" s="292" t="e">
        <f aca="false">IF($A9="N/A"," ",(IF(AM9&gt;0,($BA9*(8*(VLOOKUP($A9,NumberofDaysTable,3)))*R9),0)+IF(AU9&gt;0,($BA9*((AU9))*R9),0)))</f>
        <v>#NAME?</v>
      </c>
      <c r="BE9" s="292" t="e">
        <f aca="false">IF($A9="N/A"," ",(IF(AN9&gt;0,($BA9*(8*(VLOOKUP($A9,NumberofDaysTable,3)))*S9),0)+IF(AV9&gt;0,($BA9*((AV9))*S9),0)))</f>
        <v>#NAME?</v>
      </c>
      <c r="BF9" s="292" t="e">
        <f aca="false">IF($A9="N/A"," ",(IF(AO9&gt;0,($BA9*(8*(VLOOKUP($A9,NumberofDaysTable,4)+VLOOKUP($A9,NumberofDaysTable,5)))*T9),0)+IF(AW9&gt;0,($BA9*((AW9))*T9),0)))</f>
        <v>#NAME?</v>
      </c>
      <c r="BG9" s="292" t="e">
        <f aca="false">IF($A9="N/A"," ",(IF(AP9&gt;0,($BA9*(8*(VLOOKUP($A9,NumberofDaysTable,4)+VLOOKUP($A9,NumberofDaysTable,5)))*U9),0)+IF(AX9&gt;0,($BA9*((AX9))*U9),0)))</f>
        <v>#NAME?</v>
      </c>
      <c r="BH9" s="292" t="e">
        <f aca="false">IF($A9="N/A"," ",($BA9*AQ9*V9))</f>
        <v>#NAME?</v>
      </c>
      <c r="BI9" s="292" t="e">
        <f aca="false">IF($A9="N/A"," ",SUM(BB9:BH9))</f>
        <v>#NAME?</v>
      </c>
      <c r="BJ9" s="293" t="e">
        <f aca="false">IF($A9="N/A"," ",(H9*(SUM(AK9:AQ9)+SUM(AS9:AY9))*BA9))</f>
        <v>#NAME?</v>
      </c>
      <c r="BK9" s="293" t="e">
        <f aca="false">IF($A9="N/A"," ",((C9*D9)*(SUM($AK9:$AQ9)+SUM($AS9:$AY9))*$BA9))</f>
        <v>#N/A</v>
      </c>
      <c r="BL9" s="293" t="e">
        <f aca="false">IF($A9="N/A"," ",(F9*(SUM($AK9:$AQ9)+SUM($AS9:$AY9))*$BA9))</f>
        <v>#NAME?</v>
      </c>
      <c r="BM9" s="293" t="e">
        <f aca="false">IF($A9="N/A"," ",(G9*(SUM($AK9:$AQ9)+SUM($AS9:$AY9))*$BA9))</f>
        <v>#NAME?</v>
      </c>
      <c r="BN9" s="294" t="n">
        <f aca="false">IF(A9="N/A"," ",(VLOOKUP(A9,PowerVolTable,(IF('Pricing Inputs'!$AT$3=2,7,IF('Pricing Inputs'!$AT$3=1,6,8))),FALSE())))</f>
        <v>0.343575</v>
      </c>
      <c r="BO9" s="294" t="n">
        <f aca="false">IF(A9="N/A"," ",(VLOOKUP(A9,IntraPowerVol,(IF('Pricing Inputs'!$AT$3=2,3,IF('Pricing Inputs'!$AT$3=1,2,4))),FALSE())*VLOOKUP(MONTH($A9),Inputs!$A$28:$B$39,2)))</f>
        <v>2.5875</v>
      </c>
      <c r="BP9" s="295" t="n">
        <f aca="false">IF($A9="N/A"," ",(IF(DateToday&gt;$A9,$BO9,((($BN9^2)*((($A9-1)-DateToday)/((EOMONTH($A9,0)+1)-DateToday-15)))+((($BO9)^2)*((15)/((EOMONTH($A9,0)+1)-DateToday-15))))^0.5)))</f>
        <v>2.5875</v>
      </c>
      <c r="BQ9" s="294" t="e">
        <f aca="false">IF($A9="N/A"," ",(VLOOKUP($A9,GasVolTable,(IF('Pricing Inputs'!$AT$3=2,6,IF('Pricing Inputs'!$AT$3=1,7,5))),FALSE())))</f>
        <v>#N/A</v>
      </c>
      <c r="BR9" s="294" t="e">
        <f aca="false">IF($A9="N/A"," ",(VLOOKUP($A9,OmicronVol,(IF('Pricing Inputs'!$AT$3=2,3,IF('Pricing Inputs'!$AT$3=1,4,2))),FALSE())))</f>
        <v>#N/A</v>
      </c>
      <c r="BS9" s="295" t="e">
        <f aca="false">IF($A9="N/A"," ",IF('Pricing Inputs'!$AN$3=1,(IF(DateToday&gt;$A9,$BR9,((($BQ9^2)*((($A9-1)-DateToday)/((EOMONTH($A9,0)+1)-DateToday-15)))+((($BR9)^2)*((15)/((EOMONTH($A9,0)+1)-DateToday-15))))^0.5)),0.0001))</f>
        <v>#N/A</v>
      </c>
      <c r="BT9" s="294" t="n">
        <f aca="false">IF($A9="N/A"," ",IF('Pricing Inputs'!$AN$3=1,(VLOOKUP($A9,CorrelationTable,2,FALSE())),0))</f>
        <v>0.9</v>
      </c>
      <c r="BU9" s="296" t="e">
        <f aca="false">IF($A9="N/A"," ",F9+G9+(D9*(VLOOKUP($A9,'Gas Curves'!$B$17:$P$310,14,FALSE()))))</f>
        <v>#N/A</v>
      </c>
      <c r="BV9" s="294" t="n">
        <f aca="false">IF($A9="N/A"," ",IF('Pricing Inputs'!$AW$3=1,0,(VLOOKUP($A9,InterestRatesTable,2))))</f>
        <v>0</v>
      </c>
      <c r="BW9" s="297" t="n">
        <f aca="false">IF($A9="N/A"," ",(1+BV9/2)^(-2*((EOMONTH(A9,0)+20)-DateToday)/365.25))</f>
        <v>1</v>
      </c>
    </row>
    <row r="10" customFormat="false" ht="12.75" hidden="false" customHeight="false" outlineLevel="0" collapsed="false">
      <c r="A10" s="272" t="n">
        <f aca="false">IF(A9="N/A","N/A",IF(EDATE(A9,1)&gt;Inputs!$K$3,"N/A",EDATE(A9,1)))</f>
        <v>37073</v>
      </c>
      <c r="B10" s="273" t="n">
        <f aca="false">IF(A10="N/A"," ",YEAR(A10))</f>
        <v>2001</v>
      </c>
      <c r="C10" s="274" t="e">
        <f aca="false">IF(A10="N/A"," ",VLOOKUP(A10,ScaledPrice,10))</f>
        <v>#N/A</v>
      </c>
      <c r="D10" s="275" t="n">
        <f aca="false">IF(A10="N/A"," ",(VLOOKUP(MONTH($A10),Inputs!$A$14:$B$25,2))/1000)</f>
        <v>10.5</v>
      </c>
      <c r="E10" s="276" t="e">
        <f aca="false">IF($A10="N/A"," ",C10*D10)</f>
        <v>#N/A</v>
      </c>
      <c r="F10" s="277" t="n">
        <f aca="false">IF(A10="N/A"," ",Inputs!$F$6)</f>
        <v>2</v>
      </c>
      <c r="G10" s="277" t="n">
        <f aca="false">IF(A10="N/A"," ",Inputs!$F$9/IF(AND('Pricing Inputs'!$AQ$3&gt;=4,'Pricing Inputs'!$AQ$3&lt;=6),16,IF(AND('Pricing Inputs'!$AQ$3&gt;=7,'Pricing Inputs'!$AQ$3&lt;=9),8,24))/(BA10/BW10))</f>
        <v>0</v>
      </c>
      <c r="H10" s="278" t="e">
        <f aca="false">IF(A10="N/A"," ",(C10*D10)+F10+G10)</f>
        <v>#N/A</v>
      </c>
      <c r="I10" s="279" t="n">
        <f aca="false">VLOOKUP(A10,ScaledPrice,(IF(AND('Pricing Inputs'!$AQ$3&gt;=1,'Pricing Inputs'!$AQ$3&lt;=6),2,4)))</f>
        <v>89.3748685922752</v>
      </c>
      <c r="J10" s="279" t="n">
        <f aca="false">IF(A10="N/A"," ",IF(AND('Pricing Inputs'!$AQ$3&gt;=1,'Pricing Inputs'!$AQ$3&lt;=6),I10,(VLOOKUP(A10,ScaledPrice,2))*(2-(VLOOKUP(A10,ScaledPrice,3)))))</f>
        <v>60.6251314077248</v>
      </c>
      <c r="K10" s="279" t="n">
        <f aca="false">IF(A10="N/A"," ",IF(OR('Pricing Inputs'!$AQ$3=2,'Pricing Inputs'!$AQ$3=3,'Pricing Inputs'!$AQ$3=5,'Pricing Inputs'!$AQ$3=6,'Pricing Inputs'!$AQ$3=8,'Pricing Inputs'!$AQ$3=9),VLOOKUP(A10,ScaledPrice,IF(AND('Pricing Inputs'!$AQ$3&gt;=2,'Pricing Inputs'!$AQ$3&lt;=6),5,6)),0))</f>
        <v>48.5737509532574</v>
      </c>
      <c r="L10" s="279" t="n">
        <f aca="false">IF(A10="N/A"," ",IF(OR('Pricing Inputs'!$AQ$3=2,'Pricing Inputs'!$AQ$3=3,'Pricing Inputs'!$AQ$3=5,'Pricing Inputs'!$AQ$3=6,'Pricing Inputs'!$AQ$3=8,'Pricing Inputs'!$AQ$3=9),IF(AND('Pricing Inputs'!$AQ$3&gt;=2,'Pricing Inputs'!$AQ$3&lt;=6),K10,(VLOOKUP(A10,ScaledPrice,5))*(2-(VLOOKUP(A10,ScaledPrice,3)))),0))</f>
        <v>32.9487481312152</v>
      </c>
      <c r="M10" s="279" t="n">
        <f aca="false">IF(A10="N/A"," ",IF(OR('Pricing Inputs'!$AQ$3=3,'Pricing Inputs'!$AQ$3=6,'Pricing Inputs'!$AQ$3=9),(VLOOKUP(A10,ScaledPrice,IF(AND('Pricing Inputs'!$AQ$3&gt;=3,'Pricing Inputs'!$AQ$3&lt;=6),7,8))),0))</f>
        <v>36.0448838668468</v>
      </c>
      <c r="N10" s="279" t="n">
        <f aca="false">IF(A10="N/A"," ",IF(OR('Pricing Inputs'!$AQ$3=3,'Pricing Inputs'!$AQ$3=6,'Pricing Inputs'!$AQ$3=9),IF(AND('Pricing Inputs'!$AQ$3&gt;=3,'Pricing Inputs'!$AQ$3&lt;=6),M10,(VLOOKUP(A10,ScaledPrice,7))*(2-(VLOOKUP(A10,ScaledPrice,3)))),0))</f>
        <v>24.4501150650379</v>
      </c>
      <c r="O10" s="279" t="n">
        <f aca="false">IF(A10="N/A"," ",IF(AND('Pricing Inputs'!$AQ$3&gt;=1,'Pricing Inputs'!$AQ$3&lt;=3),VLOOKUP(A10,ScaledPrice,9),0))</f>
        <v>0</v>
      </c>
      <c r="P10" s="280" t="e">
        <f aca="false">IF($A10="N/A"," ",IF('Pricing Inputs'!$AN$8=2,(I10-H10),IF('Pricing Inputs'!$AN$3=2,IF((I10-$H10)&gt;0,I10-$H10,0),(xSPRDOPT(I10,$E10,$BU10,0,$BP10,$BS10,$BT10,($A10-Inputs!$D$1)+15,1,0)))))</f>
        <v>#NAME?</v>
      </c>
      <c r="Q10" s="280" t="e">
        <f aca="false">IF($A10="N/A"," ",IF('Pricing Inputs'!$AN$8=2,(J10-$H10),IF('Pricing Inputs'!$AN$3=2,IF((J10-$H10)&gt;0,J10-$H10,0),(xSPRDOPT(J10,$E10,$BU10,0,$BP10,$BS10,$BT10,($A10-Inputs!$D$1)+15,1,0)))))</f>
        <v>#NAME?</v>
      </c>
      <c r="R10" s="280" t="e">
        <f aca="false">IF($A10="N/A"," ",IF('Pricing Inputs'!$AN$8=2,(K10-$H10),IF('Pricing Inputs'!$AN$3=2,IF((K10-$H10)&gt;0,K10-$H10,0),(xSPRDOPT(K10,$E10,$BU10,0,$BP10,$BS10,$BT10,($A10-Inputs!$D$1)+15,1,0)))))</f>
        <v>#NAME?</v>
      </c>
      <c r="S10" s="280" t="e">
        <f aca="false">IF($A10="N/A"," ",IF('Pricing Inputs'!$AN$8=2,(L10-$H10),IF('Pricing Inputs'!$AN$3=2,IF((L10-$H10)&gt;0,L10-$H10,0),(xSPRDOPT(L10,$E10,$BU10,0,$BP10,$BS10,$BT10,($A10-Inputs!$D$1)+15,1,0)))))</f>
        <v>#NAME?</v>
      </c>
      <c r="T10" s="280" t="e">
        <f aca="false">IF($A10="N/A"," ",IF('Pricing Inputs'!$AN$8=2,(M10-$H10),IF('Pricing Inputs'!$AN$3=2,IF((M10-$H10)&gt;0,M10-$H10,0),(xSPRDOPT(M10,$E10,$BU10,0,$BP10,$BS10,$BT10,($A10-Inputs!$D$1)+15,1,0)))))</f>
        <v>#NAME?</v>
      </c>
      <c r="U10" s="280" t="e">
        <f aca="false">IF($A10="N/A"," ",IF('Pricing Inputs'!$AN$8=2,(N10-$H10),IF('Pricing Inputs'!$AN$3=2,IF((N10-$H10)&gt;0,N10-$H10,0),(xSPRDOPT(N10,$E10,$BU10,0,$BP10,$BS10,$BT10,($A10-Inputs!$D$1)+15,1,0)))))</f>
        <v>#NAME?</v>
      </c>
      <c r="V10" s="281" t="e">
        <f aca="false">IF($A10="N/A"," ",(IF('Pricing Inputs'!$AN$8=2,(O10-$H10),IF((O10-$H10)&lt;=0,0,(O10-$H10)))))</f>
        <v>#N/A</v>
      </c>
      <c r="W10" s="282" t="e">
        <f aca="false">IF($A10="N/A"," ",IF(0&lt;&gt;P10,IF('Pricing Inputs'!$AN$3=2,8*VLOOKUP($A10,NumberofDaysTable,2),(xSPRDOPT(I10,$E10,$BU10,0,$BP10,$BS10,$BT10,$A10-Inputs!$D$1,1,1))*(8*VLOOKUP($A10,NumberofDaysTable,2))),0))</f>
        <v>#NAME?</v>
      </c>
      <c r="X10" s="282" t="e">
        <f aca="false">IF($A10="N/A"," ",IF(Q10&lt;&gt;0,IF('Pricing Inputs'!$AN$3=2,8*VLOOKUP($A10,NumberofDaysTable,2),(xSPRDOPT(J10,$E10,$BU10,0,$BP10,$BS10,$BT10,$A10-Inputs!$D$1,1,1))*(8*VLOOKUP($A10,NumberofDaysTable,2))),0))</f>
        <v>#NAME?</v>
      </c>
      <c r="Y10" s="282" t="e">
        <f aca="false">IF($A10="N/A"," ",IF(R10&lt;&gt;0,IF('Pricing Inputs'!$AN$3=2,8*VLOOKUP($A10,NumberofDaysTable,3),(xSPRDOPT(K10,$E10,$BU10,0,$BP10,$BS10,$BT10,$A10-Inputs!$D$1,1,1))*(8*VLOOKUP($A10,NumberofDaysTable,3))),0))</f>
        <v>#NAME?</v>
      </c>
      <c r="Z10" s="282" t="e">
        <f aca="false">IF($A10="N/A"," ",IF(S10&lt;&gt;0,IF('Pricing Inputs'!$AN$3=2,8*VLOOKUP($A10,NumberofDaysTable,3),(xSPRDOPT(L10,$E10,$BU10,0,$BP10,$BS10,$BT10,$A10-Inputs!$D$1,1,1))*(8*VLOOKUP($A10,NumberofDaysTable,3))),0))</f>
        <v>#NAME?</v>
      </c>
      <c r="AA10" s="282" t="e">
        <f aca="false">IF($A10="N/A"," ",IF(T10&lt;&gt;0,IF('Pricing Inputs'!$AN$3=2,8*VLOOKUP($A10,NumberofDaysTable,4),(xSPRDOPT(M10,$E10,$BU10,0,$BP10,$BS10,$BT10,$A10-Inputs!$D$1,1,1))*(8*VLOOKUP($A10,NumberofDaysTable,4))),0))</f>
        <v>#NAME?</v>
      </c>
      <c r="AB10" s="282" t="e">
        <f aca="false">IF($A10="N/A"," ",IF(U10&lt;&gt;0,IF('Pricing Inputs'!$AN$3=2,8*VLOOKUP($A10,NumberofDaysTable,4),(xSPRDOPT(N10,$E10,$BU10,0,$BP10,$BS10,$BT10,$A10-Inputs!$D$1,1,1))*(8*VLOOKUP($A10,NumberofDaysTable,4))),0))</f>
        <v>#NAME?</v>
      </c>
      <c r="AC10" s="282" t="e">
        <f aca="false">IF($A10="N/A"," ",(IF(V10&lt;&gt;0,(8*VLOOKUP($A10,NumberofDaysTable,6)),0)))</f>
        <v>#N/A</v>
      </c>
      <c r="AD10" s="298" t="e">
        <f aca="false">IF($A10="N/A"," ",RANK(P10,$P$4:$V$15))</f>
        <v>#NAME?</v>
      </c>
      <c r="AE10" s="299" t="e">
        <f aca="false">IF($A10="N/A"," ",RANK(Q10,$P$4:$V$15))</f>
        <v>#NAME?</v>
      </c>
      <c r="AF10" s="299" t="e">
        <f aca="false">IF($A10="N/A"," ",RANK(R10,$P$4:$V$15))</f>
        <v>#NAME?</v>
      </c>
      <c r="AG10" s="299" t="e">
        <f aca="false">IF($A10="N/A"," ",RANK(S10,$P$4:$V$15))</f>
        <v>#NAME?</v>
      </c>
      <c r="AH10" s="299" t="e">
        <f aca="false">IF($A10="N/A"," ",RANK(T10,$P$4:$V$15))</f>
        <v>#NAME?</v>
      </c>
      <c r="AI10" s="299" t="e">
        <f aca="false">IF($A10="N/A"," ",RANK(U10,$P$4:$V$15))</f>
        <v>#NAME?</v>
      </c>
      <c r="AJ10" s="300" t="e">
        <f aca="false">IF($A10="N/A"," ",RANK(V10,$P$4:$V$15))</f>
        <v>#NAME?</v>
      </c>
      <c r="AK10" s="286" t="e">
        <f aca="false">IF($A10="N/A",0,IF(AD10&lt;=$AJ$2,W10,0))</f>
        <v>#NAME?</v>
      </c>
      <c r="AL10" s="301" t="e">
        <f aca="false">IF($A10="N/A",0,IF(AE10&lt;=$AJ$2,X10,0))</f>
        <v>#NAME?</v>
      </c>
      <c r="AM10" s="301" t="e">
        <f aca="false">IF($A10="N/A",0,IF(AF10&lt;=$AJ$2,Y10,0))</f>
        <v>#NAME?</v>
      </c>
      <c r="AN10" s="301" t="e">
        <f aca="false">IF($A10="N/A",0,IF(AG10&lt;=$AJ$2,Z10,0))</f>
        <v>#NAME?</v>
      </c>
      <c r="AO10" s="301" t="e">
        <f aca="false">IF($A10="N/A",0,IF(AH10&lt;=$AJ$2,AA10,0))</f>
        <v>#NAME?</v>
      </c>
      <c r="AP10" s="301" t="e">
        <f aca="false">IF($A10="N/A",0,IF(AI10&lt;=$AJ$2,AB10,0))</f>
        <v>#NAME?</v>
      </c>
      <c r="AQ10" s="301" t="e">
        <f aca="false">IF($A10="N/A",0,IF(AJ10&lt;=$AJ$2,AC10,0))</f>
        <v>#NAME?</v>
      </c>
      <c r="AR10" s="300"/>
      <c r="AS10" s="288" t="e">
        <f aca="false">IF($A10="N/A",0,IF(AND(AD10=$AJ$2+1,AK10=0),MIN($AR$15,W10),0))</f>
        <v>#NAME?</v>
      </c>
      <c r="AT10" s="302" t="e">
        <f aca="false">IF($A10="N/A",0,IF(AND(AE10=$AJ$2+1,AL10=0),MIN($AR$15,X10),0))</f>
        <v>#NAME?</v>
      </c>
      <c r="AU10" s="302" t="e">
        <f aca="false">IF($A10="N/A",0,IF(AND(AF10=$AJ$2+1,AM10=0),MIN($AR$15,Y10),0))</f>
        <v>#NAME?</v>
      </c>
      <c r="AV10" s="302" t="e">
        <f aca="false">IF($A10="N/A",0,IF(AND(AG10=$AJ$2+1,AN10=0),MIN($AR$15,Z10),0))</f>
        <v>#NAME?</v>
      </c>
      <c r="AW10" s="302" t="e">
        <f aca="false">IF($A10="N/A",0,IF(AND(AH10=$AJ$2+1,AO10=0),MIN($AR$15,AA10),0))</f>
        <v>#NAME?</v>
      </c>
      <c r="AX10" s="302" t="e">
        <f aca="false">IF($A10="N/A",0,IF(AND(AI10=$AJ$2+1,AP10=0),MIN($AR$15,AB10),0))</f>
        <v>#NAME?</v>
      </c>
      <c r="AY10" s="302" t="e">
        <f aca="false">IF($A10="N/A",0,IF(AND(AJ10=$AJ$2+1,AQ10=0),MIN($AR$15,AC10),0))</f>
        <v>#NAME?</v>
      </c>
      <c r="AZ10" s="303"/>
      <c r="BA10" s="291" t="n">
        <f aca="false">IF($A10="N/A"," ",(IF(MONTH(A10)&gt;=4,IF(MONTH(A10)&lt;=10,Inputs!$F$13,Inputs!$F$14),Inputs!$F$14))*$BW10)</f>
        <v>180</v>
      </c>
      <c r="BB10" s="292" t="e">
        <f aca="false">IF($A10="N/A"," ",(IF(AK10&gt;0,($BA10*(8*(VLOOKUP($A10,NumberofDaysTable,2)))*P10),0)+IF(AS10&gt;0,($BA10*((AS10))*P10),0)))</f>
        <v>#NAME?</v>
      </c>
      <c r="BC10" s="292" t="e">
        <f aca="false">IF($A10="N/A"," ",(IF(AL10&gt;0,($BA10*(8*(VLOOKUP($A10,NumberofDaysTable,2)))*Q10),0)+IF(AT10&gt;0,($BA10*((AT10))*Q10),0)))</f>
        <v>#NAME?</v>
      </c>
      <c r="BD10" s="292" t="e">
        <f aca="false">IF($A10="N/A"," ",(IF(AM10&gt;0,($BA10*(8*(VLOOKUP($A10,NumberofDaysTable,3)))*R10),0)+IF(AU10&gt;0,($BA10*((AU10))*R10),0)))</f>
        <v>#NAME?</v>
      </c>
      <c r="BE10" s="292" t="e">
        <f aca="false">IF($A10="N/A"," ",(IF(AN10&gt;0,($BA10*(8*(VLOOKUP($A10,NumberofDaysTable,3)))*S10),0)+IF(AV10&gt;0,($BA10*((AV10))*S10),0)))</f>
        <v>#NAME?</v>
      </c>
      <c r="BF10" s="292" t="e">
        <f aca="false">IF($A10="N/A"," ",(IF(AO10&gt;0,($BA10*(8*(VLOOKUP($A10,NumberofDaysTable,4)+VLOOKUP($A10,NumberofDaysTable,5)))*T10),0)+IF(AW10&gt;0,($BA10*((AW10))*T10),0)))</f>
        <v>#NAME?</v>
      </c>
      <c r="BG10" s="292" t="e">
        <f aca="false">IF($A10="N/A"," ",(IF(AP10&gt;0,($BA10*(8*(VLOOKUP($A10,NumberofDaysTable,4)+VLOOKUP($A10,NumberofDaysTable,5)))*U10),0)+IF(AX10&gt;0,($BA10*((AX10))*U10),0)))</f>
        <v>#NAME?</v>
      </c>
      <c r="BH10" s="292" t="e">
        <f aca="false">IF($A10="N/A"," ",($BA10*AQ10*V10))</f>
        <v>#NAME?</v>
      </c>
      <c r="BI10" s="292" t="e">
        <f aca="false">IF($A10="N/A"," ",SUM(BB10:BH10))</f>
        <v>#NAME?</v>
      </c>
      <c r="BJ10" s="293" t="e">
        <f aca="false">IF($A10="N/A"," ",(H10*(SUM(AK10:AQ10)+SUM(AS10:AY10))*BA10))</f>
        <v>#NAME?</v>
      </c>
      <c r="BK10" s="293" t="e">
        <f aca="false">IF($A10="N/A"," ",((C10*D10)*(SUM($AK10:$AQ10)+SUM($AS10:$AY10))*$BA10))</f>
        <v>#N/A</v>
      </c>
      <c r="BL10" s="293" t="e">
        <f aca="false">IF($A10="N/A"," ",(F10*(SUM($AK10:$AQ10)+SUM($AS10:$AY10))*$BA10))</f>
        <v>#NAME?</v>
      </c>
      <c r="BM10" s="293" t="e">
        <f aca="false">IF($A10="N/A"," ",(G10*(SUM($AK10:$AQ10)+SUM($AS10:$AY10))*$BA10))</f>
        <v>#NAME?</v>
      </c>
      <c r="BN10" s="294" t="n">
        <f aca="false">IF(A10="N/A"," ",(VLOOKUP(A10,PowerVolTable,(IF('Pricing Inputs'!$AT$3=2,7,IF('Pricing Inputs'!$AT$3=1,6,8))),FALSE())))</f>
        <v>0.406575</v>
      </c>
      <c r="BO10" s="294" t="n">
        <f aca="false">IF(A10="N/A"," ",(VLOOKUP(A10,IntraPowerVol,(IF('Pricing Inputs'!$AT$3=2,3,IF('Pricing Inputs'!$AT$3=1,2,4))),FALSE())*VLOOKUP(MONTH($A10),Inputs!$A$28:$B$39,2)))</f>
        <v>4.3125</v>
      </c>
      <c r="BP10" s="295" t="n">
        <f aca="false">IF($A10="N/A"," ",(IF(DateToday&gt;$A10,$BO10,((($BN10^2)*((($A10-1)-DateToday)/((EOMONTH($A10,0)+1)-DateToday-15)))+((($BO10)^2)*((15)/((EOMONTH($A10,0)+1)-DateToday-15))))^0.5)))</f>
        <v>4.3125</v>
      </c>
      <c r="BQ10" s="294" t="e">
        <f aca="false">IF($A10="N/A"," ",(VLOOKUP($A10,GasVolTable,(IF('Pricing Inputs'!$AT$3=2,6,IF('Pricing Inputs'!$AT$3=1,7,5))),FALSE())))</f>
        <v>#N/A</v>
      </c>
      <c r="BR10" s="294" t="e">
        <f aca="false">IF($A10="N/A"," ",(VLOOKUP($A10,OmicronVol,(IF('Pricing Inputs'!$AT$3=2,3,IF('Pricing Inputs'!$AT$3=1,4,2))),FALSE())))</f>
        <v>#N/A</v>
      </c>
      <c r="BS10" s="295" t="e">
        <f aca="false">IF($A10="N/A"," ",IF('Pricing Inputs'!$AN$3=1,(IF(DateToday&gt;$A10,$BR10,((($BQ10^2)*((($A10-1)-DateToday)/((EOMONTH($A10,0)+1)-DateToday-15)))+((($BR10)^2)*((15)/((EOMONTH($A10,0)+1)-DateToday-15))))^0.5)),0.0001))</f>
        <v>#N/A</v>
      </c>
      <c r="BT10" s="294" t="n">
        <f aca="false">IF($A10="N/A"," ",IF('Pricing Inputs'!$AN$3=1,(VLOOKUP($A10,CorrelationTable,2,FALSE())),0))</f>
        <v>0.9</v>
      </c>
      <c r="BU10" s="296" t="e">
        <f aca="false">IF($A10="N/A"," ",F10+G10+(D10*(VLOOKUP($A10,'Gas Curves'!$B$17:$P$310,14,FALSE()))))</f>
        <v>#N/A</v>
      </c>
      <c r="BV10" s="294" t="n">
        <f aca="false">IF($A10="N/A"," ",IF('Pricing Inputs'!$AW$3=1,0,(VLOOKUP($A10,InterestRatesTable,2))))</f>
        <v>0</v>
      </c>
      <c r="BW10" s="297" t="n">
        <f aca="false">IF($A10="N/A"," ",(1+BV10/2)^(-2*((EOMONTH(A10,0)+20)-DateToday)/365.25))</f>
        <v>1</v>
      </c>
    </row>
    <row r="11" customFormat="false" ht="12.75" hidden="false" customHeight="false" outlineLevel="0" collapsed="false">
      <c r="A11" s="272" t="n">
        <f aca="false">IF(A10="N/A","N/A",IF(EDATE(A10,1)&gt;Inputs!$K$3,"N/A",EDATE(A10,1)))</f>
        <v>37104</v>
      </c>
      <c r="B11" s="273" t="n">
        <f aca="false">IF(A11="N/A"," ",YEAR(A11))</f>
        <v>2001</v>
      </c>
      <c r="C11" s="274" t="e">
        <f aca="false">IF(A11="N/A"," ",VLOOKUP(A11,ScaledPrice,10))</f>
        <v>#N/A</v>
      </c>
      <c r="D11" s="275" t="n">
        <f aca="false">IF(A11="N/A"," ",(VLOOKUP(MONTH($A11),Inputs!$A$14:$B$25,2))/1000)</f>
        <v>10.5</v>
      </c>
      <c r="E11" s="276" t="e">
        <f aca="false">IF($A11="N/A"," ",C11*D11)</f>
        <v>#N/A</v>
      </c>
      <c r="F11" s="277" t="n">
        <f aca="false">IF(A11="N/A"," ",Inputs!$F$6)</f>
        <v>2</v>
      </c>
      <c r="G11" s="277" t="n">
        <f aca="false">IF(A11="N/A"," ",Inputs!$F$9/IF(AND('Pricing Inputs'!$AQ$3&gt;=4,'Pricing Inputs'!$AQ$3&lt;=6),16,IF(AND('Pricing Inputs'!$AQ$3&gt;=7,'Pricing Inputs'!$AQ$3&lt;=9),8,24))/(BA11/BW11))</f>
        <v>0</v>
      </c>
      <c r="H11" s="278" t="e">
        <f aca="false">IF(A11="N/A"," ",(C11*D11)+F11+G11)</f>
        <v>#N/A</v>
      </c>
      <c r="I11" s="279" t="n">
        <f aca="false">VLOOKUP(A11,ScaledPrice,(IF(AND('Pricing Inputs'!$AQ$3&gt;=1,'Pricing Inputs'!$AQ$3&lt;=6),2,4)))</f>
        <v>78.1794908599654</v>
      </c>
      <c r="J11" s="279" t="n">
        <f aca="false">IF(A11="N/A"," ",IF(AND('Pricing Inputs'!$AQ$3&gt;=1,'Pricing Inputs'!$AQ$3&lt;=6),I11,(VLOOKUP(A11,ScaledPrice,2))*(2-(VLOOKUP(A11,ScaledPrice,3)))))</f>
        <v>62.8205091400346</v>
      </c>
      <c r="K11" s="279" t="n">
        <f aca="false">IF(A11="N/A"," ",IF(OR('Pricing Inputs'!$AQ$3=2,'Pricing Inputs'!$AQ$3=3,'Pricing Inputs'!$AQ$3=5,'Pricing Inputs'!$AQ$3=6,'Pricing Inputs'!$AQ$3=8,'Pricing Inputs'!$AQ$3=9),VLOOKUP(A11,ScaledPrice,IF(AND('Pricing Inputs'!$AQ$3&gt;=2,'Pricing Inputs'!$AQ$3&lt;=6),5,6)),0))</f>
        <v>47.7088946659205</v>
      </c>
      <c r="L11" s="279" t="n">
        <f aca="false">IF(A11="N/A"," ",IF(OR('Pricing Inputs'!$AQ$3=2,'Pricing Inputs'!$AQ$3=3,'Pricing Inputs'!$AQ$3=5,'Pricing Inputs'!$AQ$3=6,'Pricing Inputs'!$AQ$3=8,'Pricing Inputs'!$AQ$3=9),IF(AND('Pricing Inputs'!$AQ$3&gt;=2,'Pricing Inputs'!$AQ$3&lt;=6),K11,(VLOOKUP(A11,ScaledPrice,5))*(2-(VLOOKUP(A11,ScaledPrice,3)))),0))</f>
        <v>38.3361035030248</v>
      </c>
      <c r="M11" s="279" t="n">
        <f aca="false">IF(A11="N/A"," ",IF(OR('Pricing Inputs'!$AQ$3=3,'Pricing Inputs'!$AQ$3=6,'Pricing Inputs'!$AQ$3=9),(VLOOKUP(A11,ScaledPrice,IF(AND('Pricing Inputs'!$AQ$3&gt;=3,'Pricing Inputs'!$AQ$3&lt;=6),7,8))),0))</f>
        <v>35.202950396602</v>
      </c>
      <c r="N11" s="279" t="n">
        <f aca="false">IF(A11="N/A"," ",IF(OR('Pricing Inputs'!$AQ$3=3,'Pricing Inputs'!$AQ$3=6,'Pricing Inputs'!$AQ$3=9),IF(AND('Pricing Inputs'!$AQ$3&gt;=3,'Pricing Inputs'!$AQ$3&lt;=6),M11,(VLOOKUP(A11,ScaledPrice,7))*(2-(VLOOKUP(A11,ScaledPrice,3)))),0))</f>
        <v>28.2870512818648</v>
      </c>
      <c r="O11" s="279" t="n">
        <f aca="false">IF(A11="N/A"," ",IF(AND('Pricing Inputs'!$AQ$3&gt;=1,'Pricing Inputs'!$AQ$3&lt;=3),VLOOKUP(A11,ScaledPrice,9),0))</f>
        <v>0</v>
      </c>
      <c r="P11" s="280" t="e">
        <f aca="false">IF($A11="N/A"," ",IF('Pricing Inputs'!$AN$8=2,(I11-H11),IF('Pricing Inputs'!$AN$3=2,IF((I11-$H11)&gt;0,I11-$H11,0),(xSPRDOPT(I11,$E11,$BU11,0,$BP11,$BS11,$BT11,($A11-Inputs!$D$1)+15,1,0)))))</f>
        <v>#NAME?</v>
      </c>
      <c r="Q11" s="280" t="e">
        <f aca="false">IF($A11="N/A"," ",IF('Pricing Inputs'!$AN$8=2,(J11-$H11),IF('Pricing Inputs'!$AN$3=2,IF((J11-$H11)&gt;0,J11-$H11,0),(xSPRDOPT(J11,$E11,$BU11,0,$BP11,$BS11,$BT11,($A11-Inputs!$D$1)+15,1,0)))))</f>
        <v>#NAME?</v>
      </c>
      <c r="R11" s="280" t="e">
        <f aca="false">IF($A11="N/A"," ",IF('Pricing Inputs'!$AN$8=2,(K11-$H11),IF('Pricing Inputs'!$AN$3=2,IF((K11-$H11)&gt;0,K11-$H11,0),(xSPRDOPT(K11,$E11,$BU11,0,$BP11,$BS11,$BT11,($A11-Inputs!$D$1)+15,1,0)))))</f>
        <v>#NAME?</v>
      </c>
      <c r="S11" s="280" t="e">
        <f aca="false">IF($A11="N/A"," ",IF('Pricing Inputs'!$AN$8=2,(L11-$H11),IF('Pricing Inputs'!$AN$3=2,IF((L11-$H11)&gt;0,L11-$H11,0),(xSPRDOPT(L11,$E11,$BU11,0,$BP11,$BS11,$BT11,($A11-Inputs!$D$1)+15,1,0)))))</f>
        <v>#NAME?</v>
      </c>
      <c r="T11" s="280" t="e">
        <f aca="false">IF($A11="N/A"," ",IF('Pricing Inputs'!$AN$8=2,(M11-$H11),IF('Pricing Inputs'!$AN$3=2,IF((M11-$H11)&gt;0,M11-$H11,0),(xSPRDOPT(M11,$E11,$BU11,0,$BP11,$BS11,$BT11,($A11-Inputs!$D$1)+15,1,0)))))</f>
        <v>#NAME?</v>
      </c>
      <c r="U11" s="280" t="e">
        <f aca="false">IF($A11="N/A"," ",IF('Pricing Inputs'!$AN$8=2,(N11-$H11),IF('Pricing Inputs'!$AN$3=2,IF((N11-$H11)&gt;0,N11-$H11,0),(xSPRDOPT(N11,$E11,$BU11,0,$BP11,$BS11,$BT11,($A11-Inputs!$D$1)+15,1,0)))))</f>
        <v>#NAME?</v>
      </c>
      <c r="V11" s="281" t="e">
        <f aca="false">IF($A11="N/A"," ",(IF('Pricing Inputs'!$AN$8=2,(O11-$H11),IF((O11-$H11)&lt;=0,0,(O11-$H11)))))</f>
        <v>#N/A</v>
      </c>
      <c r="W11" s="282" t="e">
        <f aca="false">IF($A11="N/A"," ",IF(0&lt;&gt;P11,IF('Pricing Inputs'!$AN$3=2,8*VLOOKUP($A11,NumberofDaysTable,2),(xSPRDOPT(I11,$E11,$BU11,0,$BP11,$BS11,$BT11,$A11-Inputs!$D$1,1,1))*(8*VLOOKUP($A11,NumberofDaysTable,2))),0))</f>
        <v>#NAME?</v>
      </c>
      <c r="X11" s="282" t="e">
        <f aca="false">IF($A11="N/A"," ",IF(Q11&lt;&gt;0,IF('Pricing Inputs'!$AN$3=2,8*VLOOKUP($A11,NumberofDaysTable,2),(xSPRDOPT(J11,$E11,$BU11,0,$BP11,$BS11,$BT11,$A11-Inputs!$D$1,1,1))*(8*VLOOKUP($A11,NumberofDaysTable,2))),0))</f>
        <v>#NAME?</v>
      </c>
      <c r="Y11" s="282" t="e">
        <f aca="false">IF($A11="N/A"," ",IF(R11&lt;&gt;0,IF('Pricing Inputs'!$AN$3=2,8*VLOOKUP($A11,NumberofDaysTable,3),(xSPRDOPT(K11,$E11,$BU11,0,$BP11,$BS11,$BT11,$A11-Inputs!$D$1,1,1))*(8*VLOOKUP($A11,NumberofDaysTable,3))),0))</f>
        <v>#NAME?</v>
      </c>
      <c r="Z11" s="282" t="e">
        <f aca="false">IF($A11="N/A"," ",IF(S11&lt;&gt;0,IF('Pricing Inputs'!$AN$3=2,8*VLOOKUP($A11,NumberofDaysTable,3),(xSPRDOPT(L11,$E11,$BU11,0,$BP11,$BS11,$BT11,$A11-Inputs!$D$1,1,1))*(8*VLOOKUP($A11,NumberofDaysTable,3))),0))</f>
        <v>#NAME?</v>
      </c>
      <c r="AA11" s="282" t="e">
        <f aca="false">IF($A11="N/A"," ",IF(T11&lt;&gt;0,IF('Pricing Inputs'!$AN$3=2,8*VLOOKUP($A11,NumberofDaysTable,4),(xSPRDOPT(M11,$E11,$BU11,0,$BP11,$BS11,$BT11,$A11-Inputs!$D$1,1,1))*(8*VLOOKUP($A11,NumberofDaysTable,4))),0))</f>
        <v>#NAME?</v>
      </c>
      <c r="AB11" s="282" t="e">
        <f aca="false">IF($A11="N/A"," ",IF(U11&lt;&gt;0,IF('Pricing Inputs'!$AN$3=2,8*VLOOKUP($A11,NumberofDaysTable,4),(xSPRDOPT(N11,$E11,$BU11,0,$BP11,$BS11,$BT11,$A11-Inputs!$D$1,1,1))*(8*VLOOKUP($A11,NumberofDaysTable,4))),0))</f>
        <v>#NAME?</v>
      </c>
      <c r="AC11" s="282" t="e">
        <f aca="false">IF($A11="N/A"," ",(IF(V11&lt;&gt;0,(8*VLOOKUP($A11,NumberofDaysTable,6)),0)))</f>
        <v>#N/A</v>
      </c>
      <c r="AD11" s="298" t="e">
        <f aca="false">IF($A11="N/A"," ",RANK(P11,$P$4:$V$15))</f>
        <v>#NAME?</v>
      </c>
      <c r="AE11" s="299" t="e">
        <f aca="false">IF($A11="N/A"," ",RANK(Q11,$P$4:$V$15))</f>
        <v>#NAME?</v>
      </c>
      <c r="AF11" s="299" t="e">
        <f aca="false">IF($A11="N/A"," ",RANK(R11,$P$4:$V$15))</f>
        <v>#NAME?</v>
      </c>
      <c r="AG11" s="299" t="e">
        <f aca="false">IF($A11="N/A"," ",RANK(S11,$P$4:$V$15))</f>
        <v>#NAME?</v>
      </c>
      <c r="AH11" s="299" t="e">
        <f aca="false">IF($A11="N/A"," ",RANK(T11,$P$4:$V$15))</f>
        <v>#NAME?</v>
      </c>
      <c r="AI11" s="299" t="e">
        <f aca="false">IF($A11="N/A"," ",RANK(U11,$P$4:$V$15))</f>
        <v>#NAME?</v>
      </c>
      <c r="AJ11" s="300" t="e">
        <f aca="false">IF($A11="N/A"," ",RANK(V11,$P$4:$V$15))</f>
        <v>#NAME?</v>
      </c>
      <c r="AK11" s="286" t="e">
        <f aca="false">IF($A11="N/A",0,IF(AD11&lt;=$AJ$2,W11,0))</f>
        <v>#NAME?</v>
      </c>
      <c r="AL11" s="301" t="e">
        <f aca="false">IF($A11="N/A",0,IF(AE11&lt;=$AJ$2,X11,0))</f>
        <v>#NAME?</v>
      </c>
      <c r="AM11" s="301" t="e">
        <f aca="false">IF($A11="N/A",0,IF(AF11&lt;=$AJ$2,Y11,0))</f>
        <v>#NAME?</v>
      </c>
      <c r="AN11" s="301" t="e">
        <f aca="false">IF($A11="N/A",0,IF(AG11&lt;=$AJ$2,Z11,0))</f>
        <v>#NAME?</v>
      </c>
      <c r="AO11" s="301" t="e">
        <f aca="false">IF($A11="N/A",0,IF(AH11&lt;=$AJ$2,AA11,0))</f>
        <v>#NAME?</v>
      </c>
      <c r="AP11" s="301" t="e">
        <f aca="false">IF($A11="N/A",0,IF(AI11&lt;=$AJ$2,AB11,0))</f>
        <v>#NAME?</v>
      </c>
      <c r="AQ11" s="301" t="e">
        <f aca="false">IF($A11="N/A",0,IF(AJ11&lt;=$AJ$2,AC11,0))</f>
        <v>#NAME?</v>
      </c>
      <c r="AR11" s="300"/>
      <c r="AS11" s="288" t="e">
        <f aca="false">IF($A11="N/A",0,IF(AND(AD11=$AJ$2+1,AK11=0),MIN($AR$15,W11),0))</f>
        <v>#NAME?</v>
      </c>
      <c r="AT11" s="302" t="e">
        <f aca="false">IF($A11="N/A",0,IF(AND(AE11=$AJ$2+1,AL11=0),MIN($AR$15,X11),0))</f>
        <v>#NAME?</v>
      </c>
      <c r="AU11" s="302" t="e">
        <f aca="false">IF($A11="N/A",0,IF(AND(AF11=$AJ$2+1,AM11=0),MIN($AR$15,Y11),0))</f>
        <v>#NAME?</v>
      </c>
      <c r="AV11" s="302" t="e">
        <f aca="false">IF($A11="N/A",0,IF(AND(AG11=$AJ$2+1,AN11=0),MIN($AR$15,Z11),0))</f>
        <v>#NAME?</v>
      </c>
      <c r="AW11" s="302" t="e">
        <f aca="false">IF($A11="N/A",0,IF(AND(AH11=$AJ$2+1,AO11=0),MIN($AR$15,AA11),0))</f>
        <v>#NAME?</v>
      </c>
      <c r="AX11" s="302" t="e">
        <f aca="false">IF($A11="N/A",0,IF(AND(AI11=$AJ$2+1,AP11=0),MIN($AR$15,AB11),0))</f>
        <v>#NAME?</v>
      </c>
      <c r="AY11" s="302" t="e">
        <f aca="false">IF($A11="N/A",0,IF(AND(AJ11=$AJ$2+1,AQ11=0),MIN($AR$15,AC11),0))</f>
        <v>#NAME?</v>
      </c>
      <c r="AZ11" s="303"/>
      <c r="BA11" s="291" t="n">
        <f aca="false">IF($A11="N/A"," ",(IF(MONTH(A11)&gt;=4,IF(MONTH(A11)&lt;=10,Inputs!$F$13,Inputs!$F$14),Inputs!$F$14))*$BW11)</f>
        <v>180</v>
      </c>
      <c r="BB11" s="292" t="e">
        <f aca="false">IF($A11="N/A"," ",(IF(AK11&gt;0,($BA11*(8*(VLOOKUP($A11,NumberofDaysTable,2)))*P11),0)+IF(AS11&gt;0,($BA11*((AS11))*P11),0)))</f>
        <v>#NAME?</v>
      </c>
      <c r="BC11" s="292" t="e">
        <f aca="false">IF($A11="N/A"," ",(IF(AL11&gt;0,($BA11*(8*(VLOOKUP($A11,NumberofDaysTable,2)))*Q11),0)+IF(AT11&gt;0,($BA11*((AT11))*Q11),0)))</f>
        <v>#NAME?</v>
      </c>
      <c r="BD11" s="292" t="e">
        <f aca="false">IF($A11="N/A"," ",(IF(AM11&gt;0,($BA11*(8*(VLOOKUP($A11,NumberofDaysTable,3)))*R11),0)+IF(AU11&gt;0,($BA11*((AU11))*R11),0)))</f>
        <v>#NAME?</v>
      </c>
      <c r="BE11" s="292" t="e">
        <f aca="false">IF($A11="N/A"," ",(IF(AN11&gt;0,($BA11*(8*(VLOOKUP($A11,NumberofDaysTable,3)))*S11),0)+IF(AV11&gt;0,($BA11*((AV11))*S11),0)))</f>
        <v>#NAME?</v>
      </c>
      <c r="BF11" s="292" t="e">
        <f aca="false">IF($A11="N/A"," ",(IF(AO11&gt;0,($BA11*(8*(VLOOKUP($A11,NumberofDaysTable,4)+VLOOKUP($A11,NumberofDaysTable,5)))*T11),0)+IF(AW11&gt;0,($BA11*((AW11))*T11),0)))</f>
        <v>#NAME?</v>
      </c>
      <c r="BG11" s="292" t="e">
        <f aca="false">IF($A11="N/A"," ",(IF(AP11&gt;0,($BA11*(8*(VLOOKUP($A11,NumberofDaysTable,4)+VLOOKUP($A11,NumberofDaysTable,5)))*U11),0)+IF(AX11&gt;0,($BA11*((AX11))*U11),0)))</f>
        <v>#NAME?</v>
      </c>
      <c r="BH11" s="292" t="e">
        <f aca="false">IF($A11="N/A"," ",($BA11*AQ11*V11))</f>
        <v>#NAME?</v>
      </c>
      <c r="BI11" s="292" t="e">
        <f aca="false">IF($A11="N/A"," ",SUM(BB11:BH11))</f>
        <v>#NAME?</v>
      </c>
      <c r="BJ11" s="293" t="e">
        <f aca="false">IF($A11="N/A"," ",(H11*(SUM(AK11:AQ11)+SUM(AS11:AY11))*BA11))</f>
        <v>#NAME?</v>
      </c>
      <c r="BK11" s="293" t="e">
        <f aca="false">IF($A11="N/A"," ",((C11*D11)*(SUM($AK11:$AQ11)+SUM($AS11:$AY11))*$BA11))</f>
        <v>#N/A</v>
      </c>
      <c r="BL11" s="293" t="e">
        <f aca="false">IF($A11="N/A"," ",(F11*(SUM($AK11:$AQ11)+SUM($AS11:$AY11))*$BA11))</f>
        <v>#NAME?</v>
      </c>
      <c r="BM11" s="293" t="e">
        <f aca="false">IF($A11="N/A"," ",(G11*(SUM($AK11:$AQ11)+SUM($AS11:$AY11))*$BA11))</f>
        <v>#NAME?</v>
      </c>
      <c r="BN11" s="294" t="n">
        <f aca="false">IF(A11="N/A"," ",(VLOOKUP(A11,PowerVolTable,(IF('Pricing Inputs'!$AT$3=2,7,IF('Pricing Inputs'!$AT$3=1,6,8))),FALSE())))</f>
        <v>0.40005</v>
      </c>
      <c r="BO11" s="294" t="n">
        <f aca="false">IF(A11="N/A"," ",(VLOOKUP(A11,IntraPowerVol,(IF('Pricing Inputs'!$AT$3=2,3,IF('Pricing Inputs'!$AT$3=1,2,4))),FALSE())*VLOOKUP(MONTH($A11),Inputs!$A$28:$B$39,2)))</f>
        <v>4.3125</v>
      </c>
      <c r="BP11" s="295" t="n">
        <f aca="false">IF($A11="N/A"," ",(IF(DateToday&gt;$A11,$BO11,((($BN11^2)*((($A11-1)-DateToday)/((EOMONTH($A11,0)+1)-DateToday-15)))+((($BO11)^2)*((15)/((EOMONTH($A11,0)+1)-DateToday-15))))^0.5)))</f>
        <v>4.3125</v>
      </c>
      <c r="BQ11" s="294" t="e">
        <f aca="false">IF($A11="N/A"," ",(VLOOKUP($A11,GasVolTable,(IF('Pricing Inputs'!$AT$3=2,6,IF('Pricing Inputs'!$AT$3=1,7,5))),FALSE())))</f>
        <v>#N/A</v>
      </c>
      <c r="BR11" s="294" t="e">
        <f aca="false">IF($A11="N/A"," ",(VLOOKUP($A11,OmicronVol,(IF('Pricing Inputs'!$AT$3=2,3,IF('Pricing Inputs'!$AT$3=1,4,2))),FALSE())))</f>
        <v>#N/A</v>
      </c>
      <c r="BS11" s="295" t="e">
        <f aca="false">IF($A11="N/A"," ",IF('Pricing Inputs'!$AN$3=1,(IF(DateToday&gt;$A11,$BR11,((($BQ11^2)*((($A11-1)-DateToday)/((EOMONTH($A11,0)+1)-DateToday-15)))+((($BR11)^2)*((15)/((EOMONTH($A11,0)+1)-DateToday-15))))^0.5)),0.0001))</f>
        <v>#N/A</v>
      </c>
      <c r="BT11" s="294" t="n">
        <f aca="false">IF($A11="N/A"," ",IF('Pricing Inputs'!$AN$3=1,(VLOOKUP($A11,CorrelationTable,2,FALSE())),0))</f>
        <v>0.9</v>
      </c>
      <c r="BU11" s="296" t="e">
        <f aca="false">IF($A11="N/A"," ",F11+G11+(D11*(VLOOKUP($A11,'Gas Curves'!$B$17:$P$310,14,FALSE()))))</f>
        <v>#N/A</v>
      </c>
      <c r="BV11" s="294" t="n">
        <f aca="false">IF($A11="N/A"," ",IF('Pricing Inputs'!$AW$3=1,0,(VLOOKUP($A11,InterestRatesTable,2))))</f>
        <v>0</v>
      </c>
      <c r="BW11" s="297" t="n">
        <f aca="false">IF($A11="N/A"," ",(1+BV11/2)^(-2*((EOMONTH(A11,0)+20)-DateToday)/365.25))</f>
        <v>1</v>
      </c>
    </row>
    <row r="12" customFormat="false" ht="12.75" hidden="false" customHeight="false" outlineLevel="0" collapsed="false">
      <c r="A12" s="272" t="n">
        <f aca="false">IF(A11="N/A","N/A",IF(EDATE(A11,1)&gt;Inputs!$K$3,"N/A",EDATE(A11,1)))</f>
        <v>37135</v>
      </c>
      <c r="B12" s="273" t="n">
        <f aca="false">IF(A12="N/A"," ",YEAR(A12))</f>
        <v>2001</v>
      </c>
      <c r="C12" s="274" t="e">
        <f aca="false">IF(A12="N/A"," ",VLOOKUP(A12,ScaledPrice,10))</f>
        <v>#N/A</v>
      </c>
      <c r="D12" s="275" t="n">
        <f aca="false">IF(A12="N/A"," ",(VLOOKUP(MONTH($A12),Inputs!$A$14:$B$25,2))/1000)</f>
        <v>10.5</v>
      </c>
      <c r="E12" s="276" t="e">
        <f aca="false">IF($A12="N/A"," ",C12*D12)</f>
        <v>#N/A</v>
      </c>
      <c r="F12" s="277" t="n">
        <f aca="false">IF(A12="N/A"," ",Inputs!$F$6)</f>
        <v>2</v>
      </c>
      <c r="G12" s="277" t="n">
        <f aca="false">IF(A12="N/A"," ",Inputs!$F$9/IF(AND('Pricing Inputs'!$AQ$3&gt;=4,'Pricing Inputs'!$AQ$3&lt;=6),16,IF(AND('Pricing Inputs'!$AQ$3&gt;=7,'Pricing Inputs'!$AQ$3&lt;=9),8,24))/(BA12/BW12))</f>
        <v>0</v>
      </c>
      <c r="H12" s="278" t="e">
        <f aca="false">IF(A12="N/A"," ",(C12*D12)+F12+G12)</f>
        <v>#N/A</v>
      </c>
      <c r="I12" s="279" t="n">
        <f aca="false">VLOOKUP(A12,ScaledPrice,(IF(AND('Pricing Inputs'!$AQ$3&gt;=1,'Pricing Inputs'!$AQ$3&lt;=6),2,4)))</f>
        <v>36.7338820427371</v>
      </c>
      <c r="J12" s="279" t="n">
        <f aca="false">IF(A12="N/A"," ",IF(AND('Pricing Inputs'!$AQ$3&gt;=1,'Pricing Inputs'!$AQ$3&lt;=6),I12,(VLOOKUP(A12,ScaledPrice,2))*(2-(VLOOKUP(A12,ScaledPrice,3)))))</f>
        <v>30.2661179572629</v>
      </c>
      <c r="K12" s="279" t="n">
        <f aca="false">IF(A12="N/A"," ",IF(OR('Pricing Inputs'!$AQ$3=2,'Pricing Inputs'!$AQ$3=3,'Pricing Inputs'!$AQ$3=5,'Pricing Inputs'!$AQ$3=6,'Pricing Inputs'!$AQ$3=8,'Pricing Inputs'!$AQ$3=9),VLOOKUP(A12,ScaledPrice,IF(AND('Pricing Inputs'!$AQ$3&gt;=2,'Pricing Inputs'!$AQ$3&lt;=6),5,6)),0))</f>
        <v>25.2257589720856</v>
      </c>
      <c r="L12" s="279" t="n">
        <f aca="false">IF(A12="N/A"," ",IF(OR('Pricing Inputs'!$AQ$3=2,'Pricing Inputs'!$AQ$3=3,'Pricing Inputs'!$AQ$3=5,'Pricing Inputs'!$AQ$3=6,'Pricing Inputs'!$AQ$3=8,'Pricing Inputs'!$AQ$3=9),IF(AND('Pricing Inputs'!$AQ$3&gt;=2,'Pricing Inputs'!$AQ$3&lt;=6),K12,(VLOOKUP(A12,ScaledPrice,5))*(2-(VLOOKUP(A12,ScaledPrice,3)))),0))</f>
        <v>20.7842393494476</v>
      </c>
      <c r="M12" s="279" t="n">
        <f aca="false">IF(A12="N/A"," ",IF(OR('Pricing Inputs'!$AQ$3=3,'Pricing Inputs'!$AQ$3=6,'Pricing Inputs'!$AQ$3=9),(VLOOKUP(A12,ScaledPrice,IF(AND('Pricing Inputs'!$AQ$3&gt;=3,'Pricing Inputs'!$AQ$3&lt;=6),7,8))),0))</f>
        <v>25.768544119532</v>
      </c>
      <c r="N12" s="279" t="n">
        <f aca="false">IF(A12="N/A"," ",IF(OR('Pricing Inputs'!$AQ$3=3,'Pricing Inputs'!$AQ$3=6,'Pricing Inputs'!$AQ$3=9),IF(AND('Pricing Inputs'!$AQ$3&gt;=3,'Pricing Inputs'!$AQ$3&lt;=6),M12,(VLOOKUP(A12,ScaledPrice,7))*(2-(VLOOKUP(A12,ScaledPrice,3)))),0))</f>
        <v>21.231455880468</v>
      </c>
      <c r="O12" s="279" t="n">
        <f aca="false">IF(A12="N/A"," ",IF(AND('Pricing Inputs'!$AQ$3&gt;=1,'Pricing Inputs'!$AQ$3&lt;=3),VLOOKUP(A12,ScaledPrice,9),0))</f>
        <v>0</v>
      </c>
      <c r="P12" s="280" t="e">
        <f aca="false">IF($A12="N/A"," ",IF('Pricing Inputs'!$AN$8=2,(I12-H12),IF('Pricing Inputs'!$AN$3=2,IF((I12-$H12)&gt;0,I12-$H12,0),(xSPRDOPT(I12,$E12,$BU12,0,$BP12,$BS12,$BT12,($A12-Inputs!$D$1)+15,1,0)))))</f>
        <v>#NAME?</v>
      </c>
      <c r="Q12" s="280" t="e">
        <f aca="false">IF($A12="N/A"," ",IF('Pricing Inputs'!$AN$8=2,(J12-$H12),IF('Pricing Inputs'!$AN$3=2,IF((J12-$H12)&gt;0,J12-$H12,0),(xSPRDOPT(J12,$E12,$BU12,0,$BP12,$BS12,$BT12,($A12-Inputs!$D$1)+15,1,0)))))</f>
        <v>#NAME?</v>
      </c>
      <c r="R12" s="280" t="e">
        <f aca="false">IF($A12="N/A"," ",IF('Pricing Inputs'!$AN$8=2,(K12-$H12),IF('Pricing Inputs'!$AN$3=2,IF((K12-$H12)&gt;0,K12-$H12,0),(xSPRDOPT(K12,$E12,$BU12,0,$BP12,$BS12,$BT12,($A12-Inputs!$D$1)+15,1,0)))))</f>
        <v>#NAME?</v>
      </c>
      <c r="S12" s="280" t="e">
        <f aca="false">IF($A12="N/A"," ",IF('Pricing Inputs'!$AN$8=2,(L12-$H12),IF('Pricing Inputs'!$AN$3=2,IF((L12-$H12)&gt;0,L12-$H12,0),(xSPRDOPT(L12,$E12,$BU12,0,$BP12,$BS12,$BT12,($A12-Inputs!$D$1)+15,1,0)))))</f>
        <v>#NAME?</v>
      </c>
      <c r="T12" s="280" t="e">
        <f aca="false">IF($A12="N/A"," ",IF('Pricing Inputs'!$AN$8=2,(M12-$H12),IF('Pricing Inputs'!$AN$3=2,IF((M12-$H12)&gt;0,M12-$H12,0),(xSPRDOPT(M12,$E12,$BU12,0,$BP12,$BS12,$BT12,($A12-Inputs!$D$1)+15,1,0)))))</f>
        <v>#NAME?</v>
      </c>
      <c r="U12" s="280" t="e">
        <f aca="false">IF($A12="N/A"," ",IF('Pricing Inputs'!$AN$8=2,(N12-$H12),IF('Pricing Inputs'!$AN$3=2,IF((N12-$H12)&gt;0,N12-$H12,0),(xSPRDOPT(N12,$E12,$BU12,0,$BP12,$BS12,$BT12,($A12-Inputs!$D$1)+15,1,0)))))</f>
        <v>#NAME?</v>
      </c>
      <c r="V12" s="281" t="e">
        <f aca="false">IF($A12="N/A"," ",(IF('Pricing Inputs'!$AN$8=2,(O12-$H12),IF((O12-$H12)&lt;=0,0,(O12-$H12)))))</f>
        <v>#N/A</v>
      </c>
      <c r="W12" s="282" t="e">
        <f aca="false">IF($A12="N/A"," ",IF(0&lt;&gt;P12,IF('Pricing Inputs'!$AN$3=2,8*VLOOKUP($A12,NumberofDaysTable,2),(xSPRDOPT(I12,$E12,$BU12,0,$BP12,$BS12,$BT12,$A12-Inputs!$D$1,1,1))*(8*VLOOKUP($A12,NumberofDaysTable,2))),0))</f>
        <v>#NAME?</v>
      </c>
      <c r="X12" s="282" t="e">
        <f aca="false">IF($A12="N/A"," ",IF(Q12&lt;&gt;0,IF('Pricing Inputs'!$AN$3=2,8*VLOOKUP($A12,NumberofDaysTable,2),(xSPRDOPT(J12,$E12,$BU12,0,$BP12,$BS12,$BT12,$A12-Inputs!$D$1,1,1))*(8*VLOOKUP($A12,NumberofDaysTable,2))),0))</f>
        <v>#NAME?</v>
      </c>
      <c r="Y12" s="282" t="e">
        <f aca="false">IF($A12="N/A"," ",IF(R12&lt;&gt;0,IF('Pricing Inputs'!$AN$3=2,8*VLOOKUP($A12,NumberofDaysTable,3),(xSPRDOPT(K12,$E12,$BU12,0,$BP12,$BS12,$BT12,$A12-Inputs!$D$1,1,1))*(8*VLOOKUP($A12,NumberofDaysTable,3))),0))</f>
        <v>#NAME?</v>
      </c>
      <c r="Z12" s="282" t="e">
        <f aca="false">IF($A12="N/A"," ",IF(S12&lt;&gt;0,IF('Pricing Inputs'!$AN$3=2,8*VLOOKUP($A12,NumberofDaysTable,3),(xSPRDOPT(L12,$E12,$BU12,0,$BP12,$BS12,$BT12,$A12-Inputs!$D$1,1,1))*(8*VLOOKUP($A12,NumberofDaysTable,3))),0))</f>
        <v>#NAME?</v>
      </c>
      <c r="AA12" s="282" t="e">
        <f aca="false">IF($A12="N/A"," ",IF(T12&lt;&gt;0,IF('Pricing Inputs'!$AN$3=2,8*VLOOKUP($A12,NumberofDaysTable,4),(xSPRDOPT(M12,$E12,$BU12,0,$BP12,$BS12,$BT12,$A12-Inputs!$D$1,1,1))*(8*VLOOKUP($A12,NumberofDaysTable,4))),0))</f>
        <v>#NAME?</v>
      </c>
      <c r="AB12" s="282" t="e">
        <f aca="false">IF($A12="N/A"," ",IF(U12&lt;&gt;0,IF('Pricing Inputs'!$AN$3=2,8*VLOOKUP($A12,NumberofDaysTable,4),(xSPRDOPT(N12,$E12,$BU12,0,$BP12,$BS12,$BT12,$A12-Inputs!$D$1,1,1))*(8*VLOOKUP($A12,NumberofDaysTable,4))),0))</f>
        <v>#NAME?</v>
      </c>
      <c r="AC12" s="282" t="e">
        <f aca="false">IF($A12="N/A"," ",(IF(V12&lt;&gt;0,(8*VLOOKUP($A12,NumberofDaysTable,6)),0)))</f>
        <v>#N/A</v>
      </c>
      <c r="AD12" s="298" t="e">
        <f aca="false">IF($A12="N/A"," ",RANK(P12,$P$4:$V$15))</f>
        <v>#NAME?</v>
      </c>
      <c r="AE12" s="299" t="e">
        <f aca="false">IF($A12="N/A"," ",RANK(Q12,$P$4:$V$15))</f>
        <v>#NAME?</v>
      </c>
      <c r="AF12" s="299" t="e">
        <f aca="false">IF($A12="N/A"," ",RANK(R12,$P$4:$V$15))</f>
        <v>#NAME?</v>
      </c>
      <c r="AG12" s="299" t="e">
        <f aca="false">IF($A12="N/A"," ",RANK(S12,$P$4:$V$15))</f>
        <v>#NAME?</v>
      </c>
      <c r="AH12" s="299" t="e">
        <f aca="false">IF($A12="N/A"," ",RANK(T12,$P$4:$V$15))</f>
        <v>#NAME?</v>
      </c>
      <c r="AI12" s="299" t="e">
        <f aca="false">IF($A12="N/A"," ",RANK(U12,$P$4:$V$15))</f>
        <v>#NAME?</v>
      </c>
      <c r="AJ12" s="300" t="e">
        <f aca="false">IF($A12="N/A"," ",RANK(V12,$P$4:$V$15))</f>
        <v>#NAME?</v>
      </c>
      <c r="AK12" s="286" t="e">
        <f aca="false">IF($A12="N/A",0,IF(AD12&lt;=$AJ$2,W12,0))</f>
        <v>#NAME?</v>
      </c>
      <c r="AL12" s="301" t="e">
        <f aca="false">IF($A12="N/A",0,IF(AE12&lt;=$AJ$2,X12,0))</f>
        <v>#NAME?</v>
      </c>
      <c r="AM12" s="301" t="e">
        <f aca="false">IF($A12="N/A",0,IF(AF12&lt;=$AJ$2,Y12,0))</f>
        <v>#NAME?</v>
      </c>
      <c r="AN12" s="301" t="e">
        <f aca="false">IF($A12="N/A",0,IF(AG12&lt;=$AJ$2,Z12,0))</f>
        <v>#NAME?</v>
      </c>
      <c r="AO12" s="301" t="e">
        <f aca="false">IF($A12="N/A",0,IF(AH12&lt;=$AJ$2,AA12,0))</f>
        <v>#NAME?</v>
      </c>
      <c r="AP12" s="301" t="e">
        <f aca="false">IF($A12="N/A",0,IF(AI12&lt;=$AJ$2,AB12,0))</f>
        <v>#NAME?</v>
      </c>
      <c r="AQ12" s="301" t="e">
        <f aca="false">IF($A12="N/A",0,IF(AJ12&lt;=$AJ$2,AC12,0))</f>
        <v>#NAME?</v>
      </c>
      <c r="AR12" s="300"/>
      <c r="AS12" s="288" t="e">
        <f aca="false">IF($A12="N/A",0,IF(AND(AD12=$AJ$2+1,AK12=0),MIN($AR$15,W12),0))</f>
        <v>#NAME?</v>
      </c>
      <c r="AT12" s="302" t="e">
        <f aca="false">IF($A12="N/A",0,IF(AND(AE12=$AJ$2+1,AL12=0),MIN($AR$15,X12),0))</f>
        <v>#NAME?</v>
      </c>
      <c r="AU12" s="302" t="e">
        <f aca="false">IF($A12="N/A",0,IF(AND(AF12=$AJ$2+1,AM12=0),MIN($AR$15,Y12),0))</f>
        <v>#NAME?</v>
      </c>
      <c r="AV12" s="302" t="e">
        <f aca="false">IF($A12="N/A",0,IF(AND(AG12=$AJ$2+1,AN12=0),MIN($AR$15,Z12),0))</f>
        <v>#NAME?</v>
      </c>
      <c r="AW12" s="302" t="e">
        <f aca="false">IF($A12="N/A",0,IF(AND(AH12=$AJ$2+1,AO12=0),MIN($AR$15,AA12),0))</f>
        <v>#NAME?</v>
      </c>
      <c r="AX12" s="302" t="e">
        <f aca="false">IF($A12="N/A",0,IF(AND(AI12=$AJ$2+1,AP12=0),MIN($AR$15,AB12),0))</f>
        <v>#NAME?</v>
      </c>
      <c r="AY12" s="302" t="e">
        <f aca="false">IF($A12="N/A",0,IF(AND(AJ12=$AJ$2+1,AQ12=0),MIN($AR$15,AC12),0))</f>
        <v>#NAME?</v>
      </c>
      <c r="AZ12" s="303"/>
      <c r="BA12" s="291" t="n">
        <f aca="false">IF($A12="N/A"," ",(IF(MONTH(A12)&gt;=4,IF(MONTH(A12)&lt;=10,Inputs!$F$13,Inputs!$F$14),Inputs!$F$14))*$BW12)</f>
        <v>180</v>
      </c>
      <c r="BB12" s="292" t="e">
        <f aca="false">IF($A12="N/A"," ",(IF(AK12&gt;0,($BA12*(8*(VLOOKUP($A12,NumberofDaysTable,2)))*P12),0)+IF(AS12&gt;0,($BA12*((AS12))*P12),0)))</f>
        <v>#NAME?</v>
      </c>
      <c r="BC12" s="292" t="e">
        <f aca="false">IF($A12="N/A"," ",(IF(AL12&gt;0,($BA12*(8*(VLOOKUP($A12,NumberofDaysTable,2)))*Q12),0)+IF(AT12&gt;0,($BA12*((AT12))*Q12),0)))</f>
        <v>#NAME?</v>
      </c>
      <c r="BD12" s="292" t="e">
        <f aca="false">IF($A12="N/A"," ",(IF(AM12&gt;0,($BA12*(8*(VLOOKUP($A12,NumberofDaysTable,3)))*R12),0)+IF(AU12&gt;0,($BA12*((AU12))*R12),0)))</f>
        <v>#NAME?</v>
      </c>
      <c r="BE12" s="292" t="e">
        <f aca="false">IF($A12="N/A"," ",(IF(AN12&gt;0,($BA12*(8*(VLOOKUP($A12,NumberofDaysTable,3)))*S12),0)+IF(AV12&gt;0,($BA12*((AV12))*S12),0)))</f>
        <v>#NAME?</v>
      </c>
      <c r="BF12" s="292" t="e">
        <f aca="false">IF($A12="N/A"," ",(IF(AO12&gt;0,($BA12*(8*(VLOOKUP($A12,NumberofDaysTable,4)+VLOOKUP($A12,NumberofDaysTable,5)))*T12),0)+IF(AW12&gt;0,($BA12*((AW12))*T12),0)))</f>
        <v>#NAME?</v>
      </c>
      <c r="BG12" s="292" t="e">
        <f aca="false">IF($A12="N/A"," ",(IF(AP12&gt;0,($BA12*(8*(VLOOKUP($A12,NumberofDaysTable,4)+VLOOKUP($A12,NumberofDaysTable,5)))*U12),0)+IF(AX12&gt;0,($BA12*((AX12))*U12),0)))</f>
        <v>#NAME?</v>
      </c>
      <c r="BH12" s="292" t="e">
        <f aca="false">IF($A12="N/A"," ",($BA12*AQ12*V12))</f>
        <v>#NAME?</v>
      </c>
      <c r="BI12" s="292" t="e">
        <f aca="false">IF($A12="N/A"," ",SUM(BB12:BH12))</f>
        <v>#NAME?</v>
      </c>
      <c r="BJ12" s="293" t="e">
        <f aca="false">IF($A12="N/A"," ",(H12*(SUM(AK12:AQ12)+SUM(AS12:AY12))*BA12))</f>
        <v>#NAME?</v>
      </c>
      <c r="BK12" s="293" t="e">
        <f aca="false">IF($A12="N/A"," ",((C12*D12)*(SUM($AK12:$AQ12)+SUM($AS12:$AY12))*$BA12))</f>
        <v>#N/A</v>
      </c>
      <c r="BL12" s="293" t="e">
        <f aca="false">IF($A12="N/A"," ",(F12*(SUM($AK12:$AQ12)+SUM($AS12:$AY12))*$BA12))</f>
        <v>#NAME?</v>
      </c>
      <c r="BM12" s="293" t="e">
        <f aca="false">IF($A12="N/A"," ",(G12*(SUM($AK12:$AQ12)+SUM($AS12:$AY12))*$BA12))</f>
        <v>#NAME?</v>
      </c>
      <c r="BN12" s="294" t="n">
        <f aca="false">IF(A12="N/A"," ",(VLOOKUP(A12,PowerVolTable,(IF('Pricing Inputs'!$AT$3=2,7,IF('Pricing Inputs'!$AT$3=1,6,8))),FALSE())))</f>
        <v>0.26505</v>
      </c>
      <c r="BO12" s="294" t="n">
        <f aca="false">IF(A12="N/A"," ",(VLOOKUP(A12,IntraPowerVol,(IF('Pricing Inputs'!$AT$3=2,3,IF('Pricing Inputs'!$AT$3=1,2,4))),FALSE())*VLOOKUP(MONTH($A12),Inputs!$A$28:$B$39,2)))</f>
        <v>1.725</v>
      </c>
      <c r="BP12" s="295" t="n">
        <f aca="false">IF($A12="N/A"," ",(IF(DateToday&gt;$A12,$BO12,((($BN12^2)*((($A12-1)-DateToday)/((EOMONTH($A12,0)+1)-DateToday-15)))+((($BO12)^2)*((15)/((EOMONTH($A12,0)+1)-DateToday-15))))^0.5)))</f>
        <v>1.725</v>
      </c>
      <c r="BQ12" s="294" t="e">
        <f aca="false">IF($A12="N/A"," ",(VLOOKUP($A12,GasVolTable,(IF('Pricing Inputs'!$AT$3=2,6,IF('Pricing Inputs'!$AT$3=1,7,5))),FALSE())))</f>
        <v>#N/A</v>
      </c>
      <c r="BR12" s="294" t="e">
        <f aca="false">IF($A12="N/A"," ",(VLOOKUP($A12,OmicronVol,(IF('Pricing Inputs'!$AT$3=2,3,IF('Pricing Inputs'!$AT$3=1,4,2))),FALSE())))</f>
        <v>#N/A</v>
      </c>
      <c r="BS12" s="295" t="e">
        <f aca="false">IF($A12="N/A"," ",IF('Pricing Inputs'!$AN$3=1,(IF(DateToday&gt;$A12,$BR12,((($BQ12^2)*((($A12-1)-DateToday)/((EOMONTH($A12,0)+1)-DateToday-15)))+((($BR12)^2)*((15)/((EOMONTH($A12,0)+1)-DateToday-15))))^0.5)),0.0001))</f>
        <v>#N/A</v>
      </c>
      <c r="BT12" s="294" t="n">
        <f aca="false">IF($A12="N/A"," ",IF('Pricing Inputs'!$AN$3=1,(VLOOKUP($A12,CorrelationTable,2,FALSE())),0))</f>
        <v>0.9</v>
      </c>
      <c r="BU12" s="296" t="e">
        <f aca="false">IF($A12="N/A"," ",F12+G12+(D12*(VLOOKUP($A12,'Gas Curves'!$B$17:$P$310,14,FALSE()))))</f>
        <v>#N/A</v>
      </c>
      <c r="BV12" s="294" t="n">
        <f aca="false">IF($A12="N/A"," ",IF('Pricing Inputs'!$AW$3=1,0,(VLOOKUP($A12,InterestRatesTable,2))))</f>
        <v>0</v>
      </c>
      <c r="BW12" s="297" t="n">
        <f aca="false">IF($A12="N/A"," ",(1+BV12/2)^(-2*((EOMONTH(A12,0)+20)-DateToday)/365.25))</f>
        <v>1</v>
      </c>
    </row>
    <row r="13" customFormat="false" ht="12.75" hidden="false" customHeight="false" outlineLevel="0" collapsed="false">
      <c r="A13" s="272" t="n">
        <f aca="false">IF(A12="N/A","N/A",IF(EDATE(A12,1)&gt;Inputs!$K$3,"N/A",EDATE(A12,1)))</f>
        <v>37165</v>
      </c>
      <c r="B13" s="273" t="n">
        <f aca="false">IF(A13="N/A"," ",YEAR(A13))</f>
        <v>2001</v>
      </c>
      <c r="C13" s="274" t="e">
        <f aca="false">IF(A13="N/A"," ",VLOOKUP(A13,ScaledPrice,10))</f>
        <v>#N/A</v>
      </c>
      <c r="D13" s="275" t="n">
        <f aca="false">IF(A13="N/A"," ",(VLOOKUP(MONTH($A13),Inputs!$A$14:$B$25,2))/1000)</f>
        <v>10.5</v>
      </c>
      <c r="E13" s="276" t="e">
        <f aca="false">IF($A13="N/A"," ",C13*D13)</f>
        <v>#N/A</v>
      </c>
      <c r="F13" s="277" t="n">
        <f aca="false">IF(A13="N/A"," ",Inputs!$F$6)</f>
        <v>2</v>
      </c>
      <c r="G13" s="277" t="n">
        <f aca="false">IF(A13="N/A"," ",Inputs!$F$9/IF(AND('Pricing Inputs'!$AQ$3&gt;=4,'Pricing Inputs'!$AQ$3&lt;=6),16,IF(AND('Pricing Inputs'!$AQ$3&gt;=7,'Pricing Inputs'!$AQ$3&lt;=9),8,24))/(BA13/BW13))</f>
        <v>0</v>
      </c>
      <c r="H13" s="278" t="e">
        <f aca="false">IF(A13="N/A"," ",(C13*D13)+F13+G13)</f>
        <v>#N/A</v>
      </c>
      <c r="I13" s="279" t="n">
        <f aca="false">VLOOKUP(A13,ScaledPrice,(IF(AND('Pricing Inputs'!$AQ$3&gt;=1,'Pricing Inputs'!$AQ$3&lt;=6),2,4)))</f>
        <v>30.84140625</v>
      </c>
      <c r="J13" s="279" t="n">
        <f aca="false">IF(A13="N/A"," ",IF(AND('Pricing Inputs'!$AQ$3&gt;=1,'Pricing Inputs'!$AQ$3&lt;=6),I13,(VLOOKUP(A13,ScaledPrice,2))*(2-(VLOOKUP(A13,ScaledPrice,3)))))</f>
        <v>31.65859375</v>
      </c>
      <c r="K13" s="279" t="n">
        <f aca="false">IF(A13="N/A"," ",IF(OR('Pricing Inputs'!$AQ$3=2,'Pricing Inputs'!$AQ$3=3,'Pricing Inputs'!$AQ$3=5,'Pricing Inputs'!$AQ$3=6,'Pricing Inputs'!$AQ$3=8,'Pricing Inputs'!$AQ$3=9),VLOOKUP(A13,ScaledPrice,IF(AND('Pricing Inputs'!$AQ$3&gt;=2,'Pricing Inputs'!$AQ$3&lt;=6),5,6)),0))</f>
        <v>22.798461067915</v>
      </c>
      <c r="L13" s="279" t="n">
        <f aca="false">IF(A13="N/A"," ",IF(OR('Pricing Inputs'!$AQ$3=2,'Pricing Inputs'!$AQ$3=3,'Pricing Inputs'!$AQ$3=5,'Pricing Inputs'!$AQ$3=6,'Pricing Inputs'!$AQ$3=8,'Pricing Inputs'!$AQ$3=9),IF(AND('Pricing Inputs'!$AQ$3&gt;=2,'Pricing Inputs'!$AQ$3&lt;=6),K13,(VLOOKUP(A13,ScaledPrice,5))*(2-(VLOOKUP(A13,ScaledPrice,3)))),0))</f>
        <v>23.4025391457081</v>
      </c>
      <c r="M13" s="279" t="n">
        <f aca="false">IF(A13="N/A"," ",IF(OR('Pricing Inputs'!$AQ$3=3,'Pricing Inputs'!$AQ$3=6,'Pricing Inputs'!$AQ$3=9),(VLOOKUP(A13,ScaledPrice,IF(AND('Pricing Inputs'!$AQ$3&gt;=3,'Pricing Inputs'!$AQ$3&lt;=6),7,8))),0))</f>
        <v>20.8251042593479</v>
      </c>
      <c r="N13" s="279" t="n">
        <f aca="false">IF(A13="N/A"," ",IF(OR('Pricing Inputs'!$AQ$3=3,'Pricing Inputs'!$AQ$3=6,'Pricing Inputs'!$AQ$3=9),IF(AND('Pricing Inputs'!$AQ$3&gt;=3,'Pricing Inputs'!$AQ$3&lt;=6),M13,(VLOOKUP(A13,ScaledPrice,7))*(2-(VLOOKUP(A13,ScaledPrice,3)))),0))</f>
        <v>21.3768954049587</v>
      </c>
      <c r="O13" s="279" t="n">
        <f aca="false">IF(A13="N/A"," ",IF(AND('Pricing Inputs'!$AQ$3&gt;=1,'Pricing Inputs'!$AQ$3&lt;=3),VLOOKUP(A13,ScaledPrice,9),0))</f>
        <v>0</v>
      </c>
      <c r="P13" s="280" t="e">
        <f aca="false">IF($A13="N/A"," ",IF('Pricing Inputs'!$AN$8=2,(I13-H13),IF('Pricing Inputs'!$AN$3=2,IF((I13-$H13)&gt;0,I13-$H13,0),(xSPRDOPT(I13,$E13,$BU13,0,$BP13,$BS13,$BT13,($A13-Inputs!$D$1)+15,1,0)))))</f>
        <v>#NAME?</v>
      </c>
      <c r="Q13" s="280" t="e">
        <f aca="false">IF($A13="N/A"," ",IF('Pricing Inputs'!$AN$8=2,(J13-$H13),IF('Pricing Inputs'!$AN$3=2,IF((J13-$H13)&gt;0,J13-$H13,0),(xSPRDOPT(J13,$E13,$BU13,0,$BP13,$BS13,$BT13,($A13-Inputs!$D$1)+15,1,0)))))</f>
        <v>#NAME?</v>
      </c>
      <c r="R13" s="280" t="e">
        <f aca="false">IF($A13="N/A"," ",IF('Pricing Inputs'!$AN$8=2,(K13-$H13),IF('Pricing Inputs'!$AN$3=2,IF((K13-$H13)&gt;0,K13-$H13,0),(xSPRDOPT(K13,$E13,$BU13,0,$BP13,$BS13,$BT13,($A13-Inputs!$D$1)+15,1,0)))))</f>
        <v>#NAME?</v>
      </c>
      <c r="S13" s="280" t="e">
        <f aca="false">IF($A13="N/A"," ",IF('Pricing Inputs'!$AN$8=2,(L13-$H13),IF('Pricing Inputs'!$AN$3=2,IF((L13-$H13)&gt;0,L13-$H13,0),(xSPRDOPT(L13,$E13,$BU13,0,$BP13,$BS13,$BT13,($A13-Inputs!$D$1)+15,1,0)))))</f>
        <v>#NAME?</v>
      </c>
      <c r="T13" s="280" t="e">
        <f aca="false">IF($A13="N/A"," ",IF('Pricing Inputs'!$AN$8=2,(M13-$H13),IF('Pricing Inputs'!$AN$3=2,IF((M13-$H13)&gt;0,M13-$H13,0),(xSPRDOPT(M13,$E13,$BU13,0,$BP13,$BS13,$BT13,($A13-Inputs!$D$1)+15,1,0)))))</f>
        <v>#NAME?</v>
      </c>
      <c r="U13" s="280" t="e">
        <f aca="false">IF($A13="N/A"," ",IF('Pricing Inputs'!$AN$8=2,(N13-$H13),IF('Pricing Inputs'!$AN$3=2,IF((N13-$H13)&gt;0,N13-$H13,0),(xSPRDOPT(N13,$E13,$BU13,0,$BP13,$BS13,$BT13,($A13-Inputs!$D$1)+15,1,0)))))</f>
        <v>#NAME?</v>
      </c>
      <c r="V13" s="281" t="e">
        <f aca="false">IF($A13="N/A"," ",(IF('Pricing Inputs'!$AN$8=2,(O13-$H13),IF((O13-$H13)&lt;=0,0,(O13-$H13)))))</f>
        <v>#N/A</v>
      </c>
      <c r="W13" s="282" t="e">
        <f aca="false">IF($A13="N/A"," ",IF(0&lt;&gt;P13,IF('Pricing Inputs'!$AN$3=2,8*VLOOKUP($A13,NumberofDaysTable,2),(xSPRDOPT(I13,$E13,$BU13,0,$BP13,$BS13,$BT13,$A13-Inputs!$D$1,1,1))*(8*VLOOKUP($A13,NumberofDaysTable,2))),0))</f>
        <v>#NAME?</v>
      </c>
      <c r="X13" s="282" t="e">
        <f aca="false">IF($A13="N/A"," ",IF(Q13&lt;&gt;0,IF('Pricing Inputs'!$AN$3=2,8*VLOOKUP($A13,NumberofDaysTable,2),(xSPRDOPT(J13,$E13,$BU13,0,$BP13,$BS13,$BT13,$A13-Inputs!$D$1,1,1))*(8*VLOOKUP($A13,NumberofDaysTable,2))),0))</f>
        <v>#NAME?</v>
      </c>
      <c r="Y13" s="282" t="e">
        <f aca="false">IF($A13="N/A"," ",IF(R13&lt;&gt;0,IF('Pricing Inputs'!$AN$3=2,8*VLOOKUP($A13,NumberofDaysTable,3),(xSPRDOPT(K13,$E13,$BU13,0,$BP13,$BS13,$BT13,$A13-Inputs!$D$1,1,1))*(8*VLOOKUP($A13,NumberofDaysTable,3))),0))</f>
        <v>#NAME?</v>
      </c>
      <c r="Z13" s="282" t="e">
        <f aca="false">IF($A13="N/A"," ",IF(S13&lt;&gt;0,IF('Pricing Inputs'!$AN$3=2,8*VLOOKUP($A13,NumberofDaysTable,3),(xSPRDOPT(L13,$E13,$BU13,0,$BP13,$BS13,$BT13,$A13-Inputs!$D$1,1,1))*(8*VLOOKUP($A13,NumberofDaysTable,3))),0))</f>
        <v>#NAME?</v>
      </c>
      <c r="AA13" s="282" t="e">
        <f aca="false">IF($A13="N/A"," ",IF(T13&lt;&gt;0,IF('Pricing Inputs'!$AN$3=2,8*VLOOKUP($A13,NumberofDaysTable,4),(xSPRDOPT(M13,$E13,$BU13,0,$BP13,$BS13,$BT13,$A13-Inputs!$D$1,1,1))*(8*VLOOKUP($A13,NumberofDaysTable,4))),0))</f>
        <v>#NAME?</v>
      </c>
      <c r="AB13" s="282" t="e">
        <f aca="false">IF($A13="N/A"," ",IF(U13&lt;&gt;0,IF('Pricing Inputs'!$AN$3=2,8*VLOOKUP($A13,NumberofDaysTable,4),(xSPRDOPT(N13,$E13,$BU13,0,$BP13,$BS13,$BT13,$A13-Inputs!$D$1,1,1))*(8*VLOOKUP($A13,NumberofDaysTable,4))),0))</f>
        <v>#NAME?</v>
      </c>
      <c r="AC13" s="282" t="e">
        <f aca="false">IF($A13="N/A"," ",(IF(V13&lt;&gt;0,(8*VLOOKUP($A13,NumberofDaysTable,6)),0)))</f>
        <v>#N/A</v>
      </c>
      <c r="AD13" s="298" t="e">
        <f aca="false">IF($A13="N/A"," ",RANK(P13,$P$4:$V$15))</f>
        <v>#NAME?</v>
      </c>
      <c r="AE13" s="299" t="e">
        <f aca="false">IF($A13="N/A"," ",RANK(Q13,$P$4:$V$15))</f>
        <v>#NAME?</v>
      </c>
      <c r="AF13" s="299" t="e">
        <f aca="false">IF($A13="N/A"," ",RANK(R13,$P$4:$V$15))</f>
        <v>#NAME?</v>
      </c>
      <c r="AG13" s="299" t="e">
        <f aca="false">IF($A13="N/A"," ",RANK(S13,$P$4:$V$15))</f>
        <v>#NAME?</v>
      </c>
      <c r="AH13" s="299" t="e">
        <f aca="false">IF($A13="N/A"," ",RANK(T13,$P$4:$V$15))</f>
        <v>#NAME?</v>
      </c>
      <c r="AI13" s="299" t="e">
        <f aca="false">IF($A13="N/A"," ",RANK(U13,$P$4:$V$15))</f>
        <v>#NAME?</v>
      </c>
      <c r="AJ13" s="300" t="e">
        <f aca="false">IF($A13="N/A"," ",RANK(V13,$P$4:$V$15))</f>
        <v>#NAME?</v>
      </c>
      <c r="AK13" s="286" t="e">
        <f aca="false">IF($A13="N/A",0,IF(AD13&lt;=$AJ$2,W13,0))</f>
        <v>#NAME?</v>
      </c>
      <c r="AL13" s="301" t="e">
        <f aca="false">IF($A13="N/A",0,IF(AE13&lt;=$AJ$2,X13,0))</f>
        <v>#NAME?</v>
      </c>
      <c r="AM13" s="301" t="e">
        <f aca="false">IF($A13="N/A",0,IF(AF13&lt;=$AJ$2,Y13,0))</f>
        <v>#NAME?</v>
      </c>
      <c r="AN13" s="301" t="e">
        <f aca="false">IF($A13="N/A",0,IF(AG13&lt;=$AJ$2,Z13,0))</f>
        <v>#NAME?</v>
      </c>
      <c r="AO13" s="301" t="e">
        <f aca="false">IF($A13="N/A",0,IF(AH13&lt;=$AJ$2,AA13,0))</f>
        <v>#NAME?</v>
      </c>
      <c r="AP13" s="301" t="e">
        <f aca="false">IF($A13="N/A",0,IF(AI13&lt;=$AJ$2,AB13,0))</f>
        <v>#NAME?</v>
      </c>
      <c r="AQ13" s="301" t="e">
        <f aca="false">IF($A13="N/A",0,IF(AJ13&lt;=$AJ$2,AC13,0))</f>
        <v>#NAME?</v>
      </c>
      <c r="AR13" s="304" t="s">
        <v>1301</v>
      </c>
      <c r="AS13" s="288" t="e">
        <f aca="false">IF($A13="N/A",0,IF(AND(AD13=$AJ$2+1,AK13=0),MIN($AR$15,W13),0))</f>
        <v>#NAME?</v>
      </c>
      <c r="AT13" s="302" t="e">
        <f aca="false">IF($A13="N/A",0,IF(AND(AE13=$AJ$2+1,AL13=0),MIN($AR$15,X13),0))</f>
        <v>#NAME?</v>
      </c>
      <c r="AU13" s="302" t="e">
        <f aca="false">IF($A13="N/A",0,IF(AND(AF13=$AJ$2+1,AM13=0),MIN($AR$15,Y13),0))</f>
        <v>#NAME?</v>
      </c>
      <c r="AV13" s="302" t="e">
        <f aca="false">IF($A13="N/A",0,IF(AND(AG13=$AJ$2+1,AN13=0),MIN($AR$15,Z13),0))</f>
        <v>#NAME?</v>
      </c>
      <c r="AW13" s="302" t="e">
        <f aca="false">IF($A13="N/A",0,IF(AND(AH13=$AJ$2+1,AO13=0),MIN($AR$15,AA13),0))</f>
        <v>#NAME?</v>
      </c>
      <c r="AX13" s="302" t="e">
        <f aca="false">IF($A13="N/A",0,IF(AND(AI13=$AJ$2+1,AP13=0),MIN($AR$15,AB13),0))</f>
        <v>#NAME?</v>
      </c>
      <c r="AY13" s="302" t="e">
        <f aca="false">IF($A13="N/A",0,IF(AND(AJ13=$AJ$2+1,AQ13=0),MIN($AR$15,AC13),0))</f>
        <v>#NAME?</v>
      </c>
      <c r="AZ13" s="303" t="s">
        <v>1328</v>
      </c>
      <c r="BA13" s="291" t="n">
        <f aca="false">IF($A13="N/A"," ",(IF(MONTH(A13)&gt;=4,IF(MONTH(A13)&lt;=10,Inputs!$F$13,Inputs!$F$14),Inputs!$F$14))*$BW13)</f>
        <v>180</v>
      </c>
      <c r="BB13" s="292" t="e">
        <f aca="false">IF($A13="N/A"," ",(IF(AK13&gt;0,($BA13*(8*(VLOOKUP($A13,NumberofDaysTable,2)))*P13),0)+IF(AS13&gt;0,($BA13*((AS13))*P13),0)))</f>
        <v>#NAME?</v>
      </c>
      <c r="BC13" s="292" t="e">
        <f aca="false">IF($A13="N/A"," ",(IF(AL13&gt;0,($BA13*(8*(VLOOKUP($A13,NumberofDaysTable,2)))*Q13),0)+IF(AT13&gt;0,($BA13*((AT13))*Q13),0)))</f>
        <v>#NAME?</v>
      </c>
      <c r="BD13" s="292" t="e">
        <f aca="false">IF($A13="N/A"," ",(IF(AM13&gt;0,($BA13*(8*(VLOOKUP($A13,NumberofDaysTable,3)))*R13),0)+IF(AU13&gt;0,($BA13*((AU13))*R13),0)))</f>
        <v>#NAME?</v>
      </c>
      <c r="BE13" s="292" t="e">
        <f aca="false">IF($A13="N/A"," ",(IF(AN13&gt;0,($BA13*(8*(VLOOKUP($A13,NumberofDaysTable,3)))*S13),0)+IF(AV13&gt;0,($BA13*((AV13))*S13),0)))</f>
        <v>#NAME?</v>
      </c>
      <c r="BF13" s="292" t="e">
        <f aca="false">IF($A13="N/A"," ",(IF(AO13&gt;0,($BA13*(8*(VLOOKUP($A13,NumberofDaysTable,4)+VLOOKUP($A13,NumberofDaysTable,5)))*T13),0)+IF(AW13&gt;0,($BA13*((AW13))*T13),0)))</f>
        <v>#NAME?</v>
      </c>
      <c r="BG13" s="292" t="e">
        <f aca="false">IF($A13="N/A"," ",(IF(AP13&gt;0,($BA13*(8*(VLOOKUP($A13,NumberofDaysTable,4)+VLOOKUP($A13,NumberofDaysTable,5)))*U13),0)+IF(AX13&gt;0,($BA13*((AX13))*U13),0)))</f>
        <v>#NAME?</v>
      </c>
      <c r="BH13" s="292" t="e">
        <f aca="false">IF($A13="N/A"," ",($BA13*AQ13*V13))</f>
        <v>#NAME?</v>
      </c>
      <c r="BI13" s="292" t="e">
        <f aca="false">IF($A13="N/A"," ",SUM(BB13:BH13))</f>
        <v>#NAME?</v>
      </c>
      <c r="BJ13" s="293" t="e">
        <f aca="false">IF($A13="N/A"," ",(H13*(SUM(AK13:AQ13)+SUM(AS13:AY13))*BA13))</f>
        <v>#NAME?</v>
      </c>
      <c r="BK13" s="293" t="e">
        <f aca="false">IF($A13="N/A"," ",((C13*D13)*(SUM($AK13:$AQ13)+SUM($AS13:$AY13))*$BA13))</f>
        <v>#N/A</v>
      </c>
      <c r="BL13" s="293" t="e">
        <f aca="false">IF($A13="N/A"," ",(F13*(SUM($AK13:$AQ13)+SUM($AS13:$AY13))*$BA13))</f>
        <v>#NAME?</v>
      </c>
      <c r="BM13" s="293" t="e">
        <f aca="false">IF($A13="N/A"," ",(G13*(SUM($AK13:$AQ13)+SUM($AS13:$AY13))*$BA13))</f>
        <v>#NAME?</v>
      </c>
      <c r="BN13" s="294" t="n">
        <f aca="false">IF(A13="N/A"," ",(VLOOKUP(A13,PowerVolTable,(IF('Pricing Inputs'!$AT$3=2,7,IF('Pricing Inputs'!$AT$3=1,6,8))),FALSE())))</f>
        <v>0.2421</v>
      </c>
      <c r="BO13" s="294" t="n">
        <f aca="false">IF(A13="N/A"," ",(VLOOKUP(A13,IntraPowerVol,(IF('Pricing Inputs'!$AT$3=2,3,IF('Pricing Inputs'!$AT$3=1,2,4))),FALSE())*VLOOKUP(MONTH($A13),Inputs!$A$28:$B$39,2)))</f>
        <v>1.265</v>
      </c>
      <c r="BP13" s="295" t="n">
        <f aca="false">IF($A13="N/A"," ",(IF(DateToday&gt;$A13,$BO13,((($BN13^2)*((($A13-1)-DateToday)/((EOMONTH($A13,0)+1)-DateToday-15)))+((($BO13)^2)*((15)/((EOMONTH($A13,0)+1)-DateToday-15))))^0.5)))</f>
        <v>1.265</v>
      </c>
      <c r="BQ13" s="294" t="e">
        <f aca="false">IF($A13="N/A"," ",(VLOOKUP($A13,GasVolTable,(IF('Pricing Inputs'!$AT$3=2,6,IF('Pricing Inputs'!$AT$3=1,7,5))),FALSE())))</f>
        <v>#N/A</v>
      </c>
      <c r="BR13" s="294" t="e">
        <f aca="false">IF($A13="N/A"," ",(VLOOKUP($A13,OmicronVol,(IF('Pricing Inputs'!$AT$3=2,3,IF('Pricing Inputs'!$AT$3=1,4,2))),FALSE())))</f>
        <v>#N/A</v>
      </c>
      <c r="BS13" s="295" t="e">
        <f aca="false">IF($A13="N/A"," ",IF('Pricing Inputs'!$AN$3=1,(IF(DateToday&gt;$A13,$BR13,((($BQ13^2)*((($A13-1)-DateToday)/((EOMONTH($A13,0)+1)-DateToday-15)))+((($BR13)^2)*((15)/((EOMONTH($A13,0)+1)-DateToday-15))))^0.5)),0.0001))</f>
        <v>#N/A</v>
      </c>
      <c r="BT13" s="294" t="n">
        <f aca="false">IF($A13="N/A"," ",IF('Pricing Inputs'!$AN$3=1,(VLOOKUP($A13,CorrelationTable,2,FALSE())),0))</f>
        <v>0.9</v>
      </c>
      <c r="BU13" s="296" t="e">
        <f aca="false">IF($A13="N/A"," ",F13+G13+(D13*(VLOOKUP($A13,'Gas Curves'!$B$17:$P$310,14,FALSE()))))</f>
        <v>#N/A</v>
      </c>
      <c r="BV13" s="294" t="n">
        <f aca="false">IF($A13="N/A"," ",IF('Pricing Inputs'!$AW$3=1,0,(VLOOKUP($A13,InterestRatesTable,2))))</f>
        <v>0</v>
      </c>
      <c r="BW13" s="297" t="n">
        <f aca="false">IF($A13="N/A"," ",(1+BV13/2)^(-2*((EOMONTH(A13,0)+20)-DateToday)/365.25))</f>
        <v>1</v>
      </c>
    </row>
    <row r="14" customFormat="false" ht="12.75" hidden="false" customHeight="false" outlineLevel="0" collapsed="false">
      <c r="A14" s="272" t="n">
        <f aca="false">IF(A13="N/A","N/A",IF(EDATE(A13,1)&gt;Inputs!$K$3,"N/A",EDATE(A13,1)))</f>
        <v>37196</v>
      </c>
      <c r="B14" s="273" t="n">
        <f aca="false">IF(A14="N/A"," ",YEAR(A14))</f>
        <v>2001</v>
      </c>
      <c r="C14" s="274" t="e">
        <f aca="false">IF(A14="N/A"," ",VLOOKUP(A14,ScaledPrice,10))</f>
        <v>#N/A</v>
      </c>
      <c r="D14" s="275" t="n">
        <f aca="false">IF(A14="N/A"," ",(VLOOKUP(MONTH($A14),Inputs!$A$14:$B$25,2))/1000)</f>
        <v>10.5</v>
      </c>
      <c r="E14" s="276" t="e">
        <f aca="false">IF($A14="N/A"," ",C14*D14)</f>
        <v>#N/A</v>
      </c>
      <c r="F14" s="277" t="n">
        <f aca="false">IF(A14="N/A"," ",Inputs!$F$6)</f>
        <v>2</v>
      </c>
      <c r="G14" s="277" t="n">
        <f aca="false">IF(A14="N/A"," ",Inputs!$F$9/IF(AND('Pricing Inputs'!$AQ$3&gt;=4,'Pricing Inputs'!$AQ$3&lt;=6),16,IF(AND('Pricing Inputs'!$AQ$3&gt;=7,'Pricing Inputs'!$AQ$3&lt;=9),8,24))/(BA14/BW14))</f>
        <v>0</v>
      </c>
      <c r="H14" s="278" t="e">
        <f aca="false">IF(A14="N/A"," ",(C14*D14)+F14+G14)</f>
        <v>#N/A</v>
      </c>
      <c r="I14" s="279" t="n">
        <f aca="false">VLOOKUP(A14,ScaledPrice,(IF(AND('Pricing Inputs'!$AQ$3&gt;=1,'Pricing Inputs'!$AQ$3&lt;=6),2,4)))</f>
        <v>31.284240625</v>
      </c>
      <c r="J14" s="279" t="n">
        <f aca="false">IF(A14="N/A"," ",IF(AND('Pricing Inputs'!$AQ$3&gt;=1,'Pricing Inputs'!$AQ$3&lt;=6),I14,(VLOOKUP(A14,ScaledPrice,2))*(2-(VLOOKUP(A14,ScaledPrice,3)))))</f>
        <v>31.965759375</v>
      </c>
      <c r="K14" s="279" t="n">
        <f aca="false">IF(A14="N/A"," ",IF(OR('Pricing Inputs'!$AQ$3=2,'Pricing Inputs'!$AQ$3=3,'Pricing Inputs'!$AQ$3=5,'Pricing Inputs'!$AQ$3=6,'Pricing Inputs'!$AQ$3=8,'Pricing Inputs'!$AQ$3=9),VLOOKUP(A14,ScaledPrice,IF(AND('Pricing Inputs'!$AQ$3&gt;=2,'Pricing Inputs'!$AQ$3&lt;=6),5,6)),0))</f>
        <v>23.8450228885651</v>
      </c>
      <c r="L14" s="279" t="n">
        <f aca="false">IF(A14="N/A"," ",IF(OR('Pricing Inputs'!$AQ$3=2,'Pricing Inputs'!$AQ$3=3,'Pricing Inputs'!$AQ$3=5,'Pricing Inputs'!$AQ$3=6,'Pricing Inputs'!$AQ$3=8,'Pricing Inputs'!$AQ$3=9),IF(AND('Pricing Inputs'!$AQ$3&gt;=2,'Pricing Inputs'!$AQ$3&lt;=6),K14,(VLOOKUP(A14,ScaledPrice,5))*(2-(VLOOKUP(A14,ScaledPrice,3)))),0))</f>
        <v>24.3644802852631</v>
      </c>
      <c r="M14" s="279" t="n">
        <f aca="false">IF(A14="N/A"," ",IF(OR('Pricing Inputs'!$AQ$3=3,'Pricing Inputs'!$AQ$3=6,'Pricing Inputs'!$AQ$3=9),(VLOOKUP(A14,ScaledPrice,IF(AND('Pricing Inputs'!$AQ$3&gt;=3,'Pricing Inputs'!$AQ$3&lt;=6),7,8))),0))</f>
        <v>21.8663238313675</v>
      </c>
      <c r="N14" s="279" t="n">
        <f aca="false">IF(A14="N/A"," ",IF(OR('Pricing Inputs'!$AQ$3=3,'Pricing Inputs'!$AQ$3=6,'Pricing Inputs'!$AQ$3=9),IF(AND('Pricing Inputs'!$AQ$3&gt;=3,'Pricing Inputs'!$AQ$3&lt;=6),M14,(VLOOKUP(A14,ScaledPrice,7))*(2-(VLOOKUP(A14,ScaledPrice,3)))),0))</f>
        <v>22.3426758024216</v>
      </c>
      <c r="O14" s="279" t="n">
        <f aca="false">IF(A14="N/A"," ",IF(AND('Pricing Inputs'!$AQ$3&gt;=1,'Pricing Inputs'!$AQ$3&lt;=3),VLOOKUP(A14,ScaledPrice,9),0))</f>
        <v>0</v>
      </c>
      <c r="P14" s="280" t="e">
        <f aca="false">IF($A14="N/A"," ",IF('Pricing Inputs'!$AN$8=2,(I14-H14),IF('Pricing Inputs'!$AN$3=2,IF((I14-$H14)&gt;0,I14-$H14,0),(xSPRDOPT(I14,$E14,$BU14,0,$BP14,$BS14,$BT14,($A14-Inputs!$D$1)+15,1,0)))))</f>
        <v>#NAME?</v>
      </c>
      <c r="Q14" s="280" t="e">
        <f aca="false">IF($A14="N/A"," ",IF('Pricing Inputs'!$AN$8=2,(J14-$H14),IF('Pricing Inputs'!$AN$3=2,IF((J14-$H14)&gt;0,J14-$H14,0),(xSPRDOPT(J14,$E14,$BU14,0,$BP14,$BS14,$BT14,($A14-Inputs!$D$1)+15,1,0)))))</f>
        <v>#NAME?</v>
      </c>
      <c r="R14" s="280" t="e">
        <f aca="false">IF($A14="N/A"," ",IF('Pricing Inputs'!$AN$8=2,(K14-$H14),IF('Pricing Inputs'!$AN$3=2,IF((K14-$H14)&gt;0,K14-$H14,0),(xSPRDOPT(K14,$E14,$BU14,0,$BP14,$BS14,$BT14,($A14-Inputs!$D$1)+15,1,0)))))</f>
        <v>#NAME?</v>
      </c>
      <c r="S14" s="280" t="e">
        <f aca="false">IF($A14="N/A"," ",IF('Pricing Inputs'!$AN$8=2,(L14-$H14),IF('Pricing Inputs'!$AN$3=2,IF((L14-$H14)&gt;0,L14-$H14,0),(xSPRDOPT(L14,$E14,$BU14,0,$BP14,$BS14,$BT14,($A14-Inputs!$D$1)+15,1,0)))))</f>
        <v>#NAME?</v>
      </c>
      <c r="T14" s="280" t="e">
        <f aca="false">IF($A14="N/A"," ",IF('Pricing Inputs'!$AN$8=2,(M14-$H14),IF('Pricing Inputs'!$AN$3=2,IF((M14-$H14)&gt;0,M14-$H14,0),(xSPRDOPT(M14,$E14,$BU14,0,$BP14,$BS14,$BT14,($A14-Inputs!$D$1)+15,1,0)))))</f>
        <v>#NAME?</v>
      </c>
      <c r="U14" s="280" t="e">
        <f aca="false">IF($A14="N/A"," ",IF('Pricing Inputs'!$AN$8=2,(N14-$H14),IF('Pricing Inputs'!$AN$3=2,IF((N14-$H14)&gt;0,N14-$H14,0),(xSPRDOPT(N14,$E14,$BU14,0,$BP14,$BS14,$BT14,($A14-Inputs!$D$1)+15,1,0)))))</f>
        <v>#NAME?</v>
      </c>
      <c r="V14" s="281" t="e">
        <f aca="false">IF($A14="N/A"," ",(IF('Pricing Inputs'!$AN$8=2,(O14-$H14),IF((O14-$H14)&lt;=0,0,(O14-$H14)))))</f>
        <v>#N/A</v>
      </c>
      <c r="W14" s="282" t="e">
        <f aca="false">IF($A14="N/A"," ",IF(0&lt;&gt;P14,IF('Pricing Inputs'!$AN$3=2,8*VLOOKUP($A14,NumberofDaysTable,2),(xSPRDOPT(I14,$E14,$BU14,0,$BP14,$BS14,$BT14,$A14-Inputs!$D$1,1,1))*(8*VLOOKUP($A14,NumberofDaysTable,2))),0))</f>
        <v>#NAME?</v>
      </c>
      <c r="X14" s="282" t="e">
        <f aca="false">IF($A14="N/A"," ",IF(Q14&lt;&gt;0,IF('Pricing Inputs'!$AN$3=2,8*VLOOKUP($A14,NumberofDaysTable,2),(xSPRDOPT(J14,$E14,$BU14,0,$BP14,$BS14,$BT14,$A14-Inputs!$D$1,1,1))*(8*VLOOKUP($A14,NumberofDaysTable,2))),0))</f>
        <v>#NAME?</v>
      </c>
      <c r="Y14" s="282" t="e">
        <f aca="false">IF($A14="N/A"," ",IF(R14&lt;&gt;0,IF('Pricing Inputs'!$AN$3=2,8*VLOOKUP($A14,NumberofDaysTable,3),(xSPRDOPT(K14,$E14,$BU14,0,$BP14,$BS14,$BT14,$A14-Inputs!$D$1,1,1))*(8*VLOOKUP($A14,NumberofDaysTable,3))),0))</f>
        <v>#NAME?</v>
      </c>
      <c r="Z14" s="282" t="e">
        <f aca="false">IF($A14="N/A"," ",IF(S14&lt;&gt;0,IF('Pricing Inputs'!$AN$3=2,8*VLOOKUP($A14,NumberofDaysTable,3),(xSPRDOPT(L14,$E14,$BU14,0,$BP14,$BS14,$BT14,$A14-Inputs!$D$1,1,1))*(8*VLOOKUP($A14,NumberofDaysTable,3))),0))</f>
        <v>#NAME?</v>
      </c>
      <c r="AA14" s="282" t="e">
        <f aca="false">IF($A14="N/A"," ",IF(T14&lt;&gt;0,IF('Pricing Inputs'!$AN$3=2,8*VLOOKUP($A14,NumberofDaysTable,4),(xSPRDOPT(M14,$E14,$BU14,0,$BP14,$BS14,$BT14,$A14-Inputs!$D$1,1,1))*(8*VLOOKUP($A14,NumberofDaysTable,4))),0))</f>
        <v>#NAME?</v>
      </c>
      <c r="AB14" s="282" t="e">
        <f aca="false">IF($A14="N/A"," ",IF(U14&lt;&gt;0,IF('Pricing Inputs'!$AN$3=2,8*VLOOKUP($A14,NumberofDaysTable,4),(xSPRDOPT(N14,$E14,$BU14,0,$BP14,$BS14,$BT14,$A14-Inputs!$D$1,1,1))*(8*VLOOKUP($A14,NumberofDaysTable,4))),0))</f>
        <v>#NAME?</v>
      </c>
      <c r="AC14" s="282" t="e">
        <f aca="false">IF($A14="N/A"," ",(IF(V14&lt;&gt;0,(8*VLOOKUP($A14,NumberofDaysTable,6)),0)))</f>
        <v>#N/A</v>
      </c>
      <c r="AD14" s="298" t="e">
        <f aca="false">IF($A14="N/A"," ",RANK(P14,$P$4:$V$15))</f>
        <v>#NAME?</v>
      </c>
      <c r="AE14" s="299" t="e">
        <f aca="false">IF($A14="N/A"," ",RANK(Q14,$P$4:$V$15))</f>
        <v>#NAME?</v>
      </c>
      <c r="AF14" s="299" t="e">
        <f aca="false">IF($A14="N/A"," ",RANK(R14,$P$4:$V$15))</f>
        <v>#NAME?</v>
      </c>
      <c r="AG14" s="299" t="e">
        <f aca="false">IF($A14="N/A"," ",RANK(S14,$P$4:$V$15))</f>
        <v>#NAME?</v>
      </c>
      <c r="AH14" s="299" t="e">
        <f aca="false">IF($A14="N/A"," ",RANK(T14,$P$4:$V$15))</f>
        <v>#NAME?</v>
      </c>
      <c r="AI14" s="299" t="e">
        <f aca="false">IF($A14="N/A"," ",RANK(U14,$P$4:$V$15))</f>
        <v>#NAME?</v>
      </c>
      <c r="AJ14" s="300" t="e">
        <f aca="false">IF($A14="N/A"," ",RANK(V14,$P$4:$V$15))</f>
        <v>#NAME?</v>
      </c>
      <c r="AK14" s="286" t="e">
        <f aca="false">IF($A14="N/A",0,IF(AD14&lt;=$AJ$2,W14,0))</f>
        <v>#NAME?</v>
      </c>
      <c r="AL14" s="301" t="e">
        <f aca="false">IF($A14="N/A",0,IF(AE14&lt;=$AJ$2,X14,0))</f>
        <v>#NAME?</v>
      </c>
      <c r="AM14" s="301" t="e">
        <f aca="false">IF($A14="N/A",0,IF(AF14&lt;=$AJ$2,Y14,0))</f>
        <v>#NAME?</v>
      </c>
      <c r="AN14" s="301" t="e">
        <f aca="false">IF($A14="N/A",0,IF(AG14&lt;=$AJ$2,Z14,0))</f>
        <v>#NAME?</v>
      </c>
      <c r="AO14" s="301" t="e">
        <f aca="false">IF($A14="N/A",0,IF(AH14&lt;=$AJ$2,AA14,0))</f>
        <v>#NAME?</v>
      </c>
      <c r="AP14" s="301" t="e">
        <f aca="false">IF($A14="N/A",0,IF(AI14&lt;=$AJ$2,AB14,0))</f>
        <v>#NAME?</v>
      </c>
      <c r="AQ14" s="301" t="e">
        <f aca="false">IF($A14="N/A",0,IF(AJ14&lt;=$AJ$2,AC14,0))</f>
        <v>#NAME?</v>
      </c>
      <c r="AR14" s="300" t="e">
        <f aca="false">SUM(AK4:AQ15)</f>
        <v>#NAME?</v>
      </c>
      <c r="AS14" s="288" t="e">
        <f aca="false">IF($A14="N/A",0,IF(AND(AD14=$AJ$2+1,AK14=0),MIN($AR$15,W14),0))</f>
        <v>#NAME?</v>
      </c>
      <c r="AT14" s="302" t="e">
        <f aca="false">IF($A14="N/A",0,IF(AND(AE14=$AJ$2+1,AL14=0),MIN($AR$15,X14),0))</f>
        <v>#NAME?</v>
      </c>
      <c r="AU14" s="302" t="e">
        <f aca="false">IF($A14="N/A",0,IF(AND(AF14=$AJ$2+1,AM14=0),MIN($AR$15,Y14),0))</f>
        <v>#NAME?</v>
      </c>
      <c r="AV14" s="302" t="e">
        <f aca="false">IF($A14="N/A",0,IF(AND(AG14=$AJ$2+1,AN14=0),MIN($AR$15,Z14),0))</f>
        <v>#NAME?</v>
      </c>
      <c r="AW14" s="302" t="e">
        <f aca="false">IF($A14="N/A",0,IF(AND(AH14=$AJ$2+1,AO14=0),MIN($AR$15,AA14),0))</f>
        <v>#NAME?</v>
      </c>
      <c r="AX14" s="302" t="e">
        <f aca="false">IF($A14="N/A",0,IF(AND(AI14=$AJ$2+1,AP14=0),MIN($AR$15,AB14),0))</f>
        <v>#NAME?</v>
      </c>
      <c r="AY14" s="302" t="e">
        <f aca="false">IF($A14="N/A",0,IF(AND(AJ14=$AJ$2+1,AQ14=0),MIN($AR$15,AC14),0))</f>
        <v>#NAME?</v>
      </c>
      <c r="AZ14" s="300" t="e">
        <f aca="false">SUM(AS4:AY15)</f>
        <v>#NAME?</v>
      </c>
      <c r="BA14" s="291" t="n">
        <f aca="false">IF($A14="N/A"," ",(IF(MONTH(A14)&gt;=4,IF(MONTH(A14)&lt;=10,Inputs!$F$13,Inputs!$F$14),Inputs!$F$14))*$BW14)</f>
        <v>180</v>
      </c>
      <c r="BB14" s="292" t="e">
        <f aca="false">IF($A14="N/A"," ",(IF(AK14&gt;0,($BA14*(8*(VLOOKUP($A14,NumberofDaysTable,2)))*P14),0)+IF(AS14&gt;0,($BA14*((AS14))*P14),0)))</f>
        <v>#NAME?</v>
      </c>
      <c r="BC14" s="292" t="e">
        <f aca="false">IF($A14="N/A"," ",(IF(AL14&gt;0,($BA14*(8*(VLOOKUP($A14,NumberofDaysTable,2)))*Q14),0)+IF(AT14&gt;0,($BA14*((AT14))*Q14),0)))</f>
        <v>#NAME?</v>
      </c>
      <c r="BD14" s="292" t="e">
        <f aca="false">IF($A14="N/A"," ",(IF(AM14&gt;0,($BA14*(8*(VLOOKUP($A14,NumberofDaysTable,3)))*R14),0)+IF(AU14&gt;0,($BA14*((AU14))*R14),0)))</f>
        <v>#NAME?</v>
      </c>
      <c r="BE14" s="292" t="e">
        <f aca="false">IF($A14="N/A"," ",(IF(AN14&gt;0,($BA14*(8*(VLOOKUP($A14,NumberofDaysTable,3)))*S14),0)+IF(AV14&gt;0,($BA14*((AV14))*S14),0)))</f>
        <v>#NAME?</v>
      </c>
      <c r="BF14" s="292" t="e">
        <f aca="false">IF($A14="N/A"," ",(IF(AO14&gt;0,($BA14*(8*(VLOOKUP($A14,NumberofDaysTable,4)+VLOOKUP($A14,NumberofDaysTable,5)))*T14),0)+IF(AW14&gt;0,($BA14*((AW14))*T14),0)))</f>
        <v>#NAME?</v>
      </c>
      <c r="BG14" s="292" t="e">
        <f aca="false">IF($A14="N/A"," ",(IF(AP14&gt;0,($BA14*(8*(VLOOKUP($A14,NumberofDaysTable,4)+VLOOKUP($A14,NumberofDaysTable,5)))*U14),0)+IF(AX14&gt;0,($BA14*((AX14))*U14),0)))</f>
        <v>#NAME?</v>
      </c>
      <c r="BH14" s="292" t="e">
        <f aca="false">IF($A14="N/A"," ",($BA14*AQ14*V14))</f>
        <v>#NAME?</v>
      </c>
      <c r="BI14" s="292" t="e">
        <f aca="false">IF($A14="N/A"," ",SUM(BB14:BH14))</f>
        <v>#NAME?</v>
      </c>
      <c r="BJ14" s="293" t="e">
        <f aca="false">IF($A14="N/A"," ",(H14*(SUM(AK14:AQ14)+SUM(AS14:AY14))*BA14))</f>
        <v>#NAME?</v>
      </c>
      <c r="BK14" s="293" t="e">
        <f aca="false">IF($A14="N/A"," ",((C14*D14)*(SUM($AK14:$AQ14)+SUM($AS14:$AY14))*$BA14))</f>
        <v>#N/A</v>
      </c>
      <c r="BL14" s="293" t="e">
        <f aca="false">IF($A14="N/A"," ",(F14*(SUM($AK14:$AQ14)+SUM($AS14:$AY14))*$BA14))</f>
        <v>#NAME?</v>
      </c>
      <c r="BM14" s="293" t="e">
        <f aca="false">IF($A14="N/A"," ",(G14*(SUM($AK14:$AQ14)+SUM($AS14:$AY14))*$BA14))</f>
        <v>#NAME?</v>
      </c>
      <c r="BN14" s="294" t="n">
        <f aca="false">IF(A14="N/A"," ",(VLOOKUP(A14,PowerVolTable,(IF('Pricing Inputs'!$AT$3=2,7,IF('Pricing Inputs'!$AT$3=1,6,8))),FALSE())))</f>
        <v>0.2421</v>
      </c>
      <c r="BO14" s="294" t="n">
        <f aca="false">IF(A14="N/A"," ",(VLOOKUP(A14,IntraPowerVol,(IF('Pricing Inputs'!$AT$3=2,3,IF('Pricing Inputs'!$AT$3=1,2,4))),FALSE())*VLOOKUP(MONTH($A14),Inputs!$A$28:$B$39,2)))</f>
        <v>1.4375</v>
      </c>
      <c r="BP14" s="295" t="n">
        <f aca="false">IF($A14="N/A"," ",(IF(DateToday&gt;$A14,$BO14,((($BN14^2)*((($A14-1)-DateToday)/((EOMONTH($A14,0)+1)-DateToday-15)))+((($BO14)^2)*((15)/((EOMONTH($A14,0)+1)-DateToday-15))))^0.5)))</f>
        <v>1.4375</v>
      </c>
      <c r="BQ14" s="294" t="e">
        <f aca="false">IF($A14="N/A"," ",(VLOOKUP($A14,GasVolTable,(IF('Pricing Inputs'!$AT$3=2,6,IF('Pricing Inputs'!$AT$3=1,7,5))),FALSE())))</f>
        <v>#N/A</v>
      </c>
      <c r="BR14" s="294" t="e">
        <f aca="false">IF($A14="N/A"," ",(VLOOKUP($A14,OmicronVol,(IF('Pricing Inputs'!$AT$3=2,3,IF('Pricing Inputs'!$AT$3=1,4,2))),FALSE())))</f>
        <v>#N/A</v>
      </c>
      <c r="BS14" s="295" t="e">
        <f aca="false">IF($A14="N/A"," ",IF('Pricing Inputs'!$AN$3=1,(IF(DateToday&gt;$A14,$BR14,((($BQ14^2)*((($A14-1)-DateToday)/((EOMONTH($A14,0)+1)-DateToday-15)))+((($BR14)^2)*((15)/((EOMONTH($A14,0)+1)-DateToday-15))))^0.5)),0.0001))</f>
        <v>#N/A</v>
      </c>
      <c r="BT14" s="294" t="n">
        <f aca="false">IF($A14="N/A"," ",IF('Pricing Inputs'!$AN$3=1,(VLOOKUP($A14,CorrelationTable,2,FALSE())),0))</f>
        <v>0.9</v>
      </c>
      <c r="BU14" s="296" t="e">
        <f aca="false">IF($A14="N/A"," ",F14+G14+(D14*(VLOOKUP($A14,'Gas Curves'!$B$17:$P$310,14,FALSE()))))</f>
        <v>#N/A</v>
      </c>
      <c r="BV14" s="294" t="n">
        <f aca="false">IF($A14="N/A"," ",IF('Pricing Inputs'!$AW$3=1,0,(VLOOKUP($A14,InterestRatesTable,2))))</f>
        <v>0</v>
      </c>
      <c r="BW14" s="297" t="n">
        <f aca="false">IF($A14="N/A"," ",(1+BV14/2)^(-2*((EOMONTH(A14,0)+20)-DateToday)/365.25))</f>
        <v>1</v>
      </c>
    </row>
    <row r="15" customFormat="false" ht="12.75" hidden="false" customHeight="false" outlineLevel="0" collapsed="false">
      <c r="A15" s="272" t="n">
        <f aca="false">IF(A14="N/A","N/A",IF(EDATE(A14,1)&gt;Inputs!$K$3,"N/A",EDATE(A14,1)))</f>
        <v>37226</v>
      </c>
      <c r="B15" s="273" t="n">
        <f aca="false">IF(A15="N/A"," ",YEAR(A15))</f>
        <v>2001</v>
      </c>
      <c r="C15" s="274" t="e">
        <f aca="false">IF(A15="N/A"," ",VLOOKUP(A15,ScaledPrice,10))</f>
        <v>#N/A</v>
      </c>
      <c r="D15" s="275" t="n">
        <f aca="false">IF(A15="N/A"," ",(VLOOKUP(MONTH($A15),Inputs!$A$14:$B$25,2))/1000)</f>
        <v>10.5</v>
      </c>
      <c r="E15" s="276" t="e">
        <f aca="false">IF($A15="N/A"," ",C15*D15)</f>
        <v>#N/A</v>
      </c>
      <c r="F15" s="277" t="n">
        <f aca="false">IF(A15="N/A"," ",Inputs!$F$6)</f>
        <v>2</v>
      </c>
      <c r="G15" s="277" t="n">
        <f aca="false">IF(A15="N/A"," ",Inputs!$F$9/IF(AND('Pricing Inputs'!$AQ$3&gt;=4,'Pricing Inputs'!$AQ$3&lt;=6),16,IF(AND('Pricing Inputs'!$AQ$3&gt;=7,'Pricing Inputs'!$AQ$3&lt;=9),8,24))/(BA15/BW15))</f>
        <v>0</v>
      </c>
      <c r="H15" s="278" t="e">
        <f aca="false">IF(A15="N/A"," ",(C15*D15)+F15+G15)</f>
        <v>#N/A</v>
      </c>
      <c r="I15" s="279" t="n">
        <f aca="false">VLOOKUP(A15,ScaledPrice,(IF(AND('Pricing Inputs'!$AQ$3&gt;=1,'Pricing Inputs'!$AQ$3&lt;=6),2,4)))</f>
        <v>30.8233625221373</v>
      </c>
      <c r="J15" s="279" t="n">
        <f aca="false">IF(A15="N/A"," ",IF(AND('Pricing Inputs'!$AQ$3&gt;=1,'Pricing Inputs'!$AQ$3&lt;=6),I15,(VLOOKUP(A15,ScaledPrice,2))*(2-(VLOOKUP(A15,ScaledPrice,3)))))</f>
        <v>32.1766374778627</v>
      </c>
      <c r="K15" s="279" t="n">
        <f aca="false">IF(A15="N/A"," ",IF(OR('Pricing Inputs'!$AQ$3=2,'Pricing Inputs'!$AQ$3=3,'Pricing Inputs'!$AQ$3=5,'Pricing Inputs'!$AQ$3=6,'Pricing Inputs'!$AQ$3=8,'Pricing Inputs'!$AQ$3=9),VLOOKUP(A15,ScaledPrice,IF(AND('Pricing Inputs'!$AQ$3&gt;=2,'Pricing Inputs'!$AQ$3&lt;=6),5,6)),0))</f>
        <v>25.0060628529798</v>
      </c>
      <c r="L15" s="279" t="n">
        <f aca="false">IF(A15="N/A"," ",IF(OR('Pricing Inputs'!$AQ$3=2,'Pricing Inputs'!$AQ$3=3,'Pricing Inputs'!$AQ$3=5,'Pricing Inputs'!$AQ$3=6,'Pricing Inputs'!$AQ$3=8,'Pricing Inputs'!$AQ$3=9),IF(AND('Pricing Inputs'!$AQ$3&gt;=2,'Pricing Inputs'!$AQ$3&lt;=6),K15,(VLOOKUP(A15,ScaledPrice,5))*(2-(VLOOKUP(A15,ScaledPrice,3)))),0))</f>
        <v>26.1039339426745</v>
      </c>
      <c r="M15" s="279" t="n">
        <f aca="false">IF(A15="N/A"," ",IF(OR('Pricing Inputs'!$AQ$3=3,'Pricing Inputs'!$AQ$3=6,'Pricing Inputs'!$AQ$3=9),(VLOOKUP(A15,ScaledPrice,IF(AND('Pricing Inputs'!$AQ$3&gt;=3,'Pricing Inputs'!$AQ$3&lt;=6),7,8))),0))</f>
        <v>21.576353018945</v>
      </c>
      <c r="N15" s="279" t="n">
        <f aca="false">IF(A15="N/A"," ",IF(OR('Pricing Inputs'!$AQ$3=3,'Pricing Inputs'!$AQ$3=6,'Pricing Inputs'!$AQ$3=9),IF(AND('Pricing Inputs'!$AQ$3&gt;=3,'Pricing Inputs'!$AQ$3&lt;=6),M15,(VLOOKUP(A15,ScaledPrice,7))*(2-(VLOOKUP(A15,ScaledPrice,3)))),0))</f>
        <v>22.5236454551761</v>
      </c>
      <c r="O15" s="279" t="n">
        <f aca="false">IF(A15="N/A"," ",IF(AND('Pricing Inputs'!$AQ$3&gt;=1,'Pricing Inputs'!$AQ$3&lt;=3),VLOOKUP(A15,ScaledPrice,9),0))</f>
        <v>0</v>
      </c>
      <c r="P15" s="280" t="e">
        <f aca="false">IF($A15="N/A"," ",IF('Pricing Inputs'!$AN$8=2,(I15-H15),IF('Pricing Inputs'!$AN$3=2,IF((I15-$H15)&gt;0,I15-$H15,0),(xSPRDOPT(I15,$E15,$BU15,0,$BP15,$BS15,$BT15,($A15-Inputs!$D$1)+15,1,0)))))</f>
        <v>#NAME?</v>
      </c>
      <c r="Q15" s="280" t="e">
        <f aca="false">IF($A15="N/A"," ",IF('Pricing Inputs'!$AN$8=2,(J15-$H15),IF('Pricing Inputs'!$AN$3=2,IF((J15-$H15)&gt;0,J15-$H15,0),(xSPRDOPT(J15,$E15,$BU15,0,$BP15,$BS15,$BT15,($A15-Inputs!$D$1)+15,1,0)))))</f>
        <v>#NAME?</v>
      </c>
      <c r="R15" s="280" t="e">
        <f aca="false">IF($A15="N/A"," ",IF('Pricing Inputs'!$AN$8=2,(K15-$H15),IF('Pricing Inputs'!$AN$3=2,IF((K15-$H15)&gt;0,K15-$H15,0),(xSPRDOPT(K15,$E15,$BU15,0,$BP15,$BS15,$BT15,($A15-Inputs!$D$1)+15,1,0)))))</f>
        <v>#NAME?</v>
      </c>
      <c r="S15" s="280" t="e">
        <f aca="false">IF($A15="N/A"," ",IF('Pricing Inputs'!$AN$8=2,(L15-$H15),IF('Pricing Inputs'!$AN$3=2,IF((L15-$H15)&gt;0,L15-$H15,0),(xSPRDOPT(L15,$E15,$BU15,0,$BP15,$BS15,$BT15,($A15-Inputs!$D$1)+15,1,0)))))</f>
        <v>#NAME?</v>
      </c>
      <c r="T15" s="280" t="e">
        <f aca="false">IF($A15="N/A"," ",IF('Pricing Inputs'!$AN$8=2,(M15-$H15),IF('Pricing Inputs'!$AN$3=2,IF((M15-$H15)&gt;0,M15-$H15,0),(xSPRDOPT(M15,$E15,$BU15,0,$BP15,$BS15,$BT15,($A15-Inputs!$D$1)+15,1,0)))))</f>
        <v>#NAME?</v>
      </c>
      <c r="U15" s="280" t="e">
        <f aca="false">IF($A15="N/A"," ",IF('Pricing Inputs'!$AN$8=2,(N15-$H15),IF('Pricing Inputs'!$AN$3=2,IF((N15-$H15)&gt;0,N15-$H15,0),(xSPRDOPT(N15,$E15,$BU15,0,$BP15,$BS15,$BT15,($A15-Inputs!$D$1)+15,1,0)))))</f>
        <v>#NAME?</v>
      </c>
      <c r="V15" s="281" t="e">
        <f aca="false">IF($A15="N/A"," ",(IF('Pricing Inputs'!$AN$8=2,(O15-$H15),IF((O15-$H15)&lt;=0,0,(O15-$H15)))))</f>
        <v>#N/A</v>
      </c>
      <c r="W15" s="282" t="e">
        <f aca="false">IF($A15="N/A"," ",IF(0&lt;&gt;P15,IF('Pricing Inputs'!$AN$3=2,8*VLOOKUP($A15,NumberofDaysTable,2),(xSPRDOPT(I15,$E15,$BU15,0,$BP15,$BS15,$BT15,$A15-Inputs!$D$1,1,1))*(8*VLOOKUP($A15,NumberofDaysTable,2))),0))</f>
        <v>#NAME?</v>
      </c>
      <c r="X15" s="282" t="e">
        <f aca="false">IF($A15="N/A"," ",IF(Q15&lt;&gt;0,IF('Pricing Inputs'!$AN$3=2,8*VLOOKUP($A15,NumberofDaysTable,2),(xSPRDOPT(J15,$E15,$BU15,0,$BP15,$BS15,$BT15,$A15-Inputs!$D$1,1,1))*(8*VLOOKUP($A15,NumberofDaysTable,2))),0))</f>
        <v>#NAME?</v>
      </c>
      <c r="Y15" s="282" t="e">
        <f aca="false">IF($A15="N/A"," ",IF(R15&lt;&gt;0,IF('Pricing Inputs'!$AN$3=2,8*VLOOKUP($A15,NumberofDaysTable,3),(xSPRDOPT(K15,$E15,$BU15,0,$BP15,$BS15,$BT15,$A15-Inputs!$D$1,1,1))*(8*VLOOKUP($A15,NumberofDaysTable,3))),0))</f>
        <v>#NAME?</v>
      </c>
      <c r="Z15" s="282" t="e">
        <f aca="false">IF($A15="N/A"," ",IF(S15&lt;&gt;0,IF('Pricing Inputs'!$AN$3=2,8*VLOOKUP($A15,NumberofDaysTable,3),(xSPRDOPT(L15,$E15,$BU15,0,$BP15,$BS15,$BT15,$A15-Inputs!$D$1,1,1))*(8*VLOOKUP($A15,NumberofDaysTable,3))),0))</f>
        <v>#NAME?</v>
      </c>
      <c r="AA15" s="282" t="e">
        <f aca="false">IF($A15="N/A"," ",IF(T15&lt;&gt;0,IF('Pricing Inputs'!$AN$3=2,8*VLOOKUP($A15,NumberofDaysTable,4),(xSPRDOPT(M15,$E15,$BU15,0,$BP15,$BS15,$BT15,$A15-Inputs!$D$1,1,1))*(8*VLOOKUP($A15,NumberofDaysTable,4))),0))</f>
        <v>#NAME?</v>
      </c>
      <c r="AB15" s="282" t="e">
        <f aca="false">IF($A15="N/A"," ",IF(U15&lt;&gt;0,IF('Pricing Inputs'!$AN$3=2,8*VLOOKUP($A15,NumberofDaysTable,4),(xSPRDOPT(N15,$E15,$BU15,0,$BP15,$BS15,$BT15,$A15-Inputs!$D$1,1,1))*(8*VLOOKUP($A15,NumberofDaysTable,4))),0))</f>
        <v>#NAME?</v>
      </c>
      <c r="AC15" s="282" t="e">
        <f aca="false">IF($A15="N/A"," ",(IF(V15&lt;&gt;0,(8*VLOOKUP($A15,NumberofDaysTable,6)),0)))</f>
        <v>#N/A</v>
      </c>
      <c r="AD15" s="305" t="e">
        <f aca="false">IF($A15="N/A"," ",RANK(P15,$P$4:$V$15))</f>
        <v>#NAME?</v>
      </c>
      <c r="AE15" s="306" t="e">
        <f aca="false">IF($A15="N/A"," ",RANK(Q15,$P$4:$V$15))</f>
        <v>#NAME?</v>
      </c>
      <c r="AF15" s="306" t="e">
        <f aca="false">IF($A15="N/A"," ",RANK(R15,$P$4:$V$15))</f>
        <v>#NAME?</v>
      </c>
      <c r="AG15" s="306" t="e">
        <f aca="false">IF($A15="N/A"," ",RANK(S15,$P$4:$V$15))</f>
        <v>#NAME?</v>
      </c>
      <c r="AH15" s="306" t="e">
        <f aca="false">IF($A15="N/A"," ",RANK(T15,$P$4:$V$15))</f>
        <v>#NAME?</v>
      </c>
      <c r="AI15" s="306" t="e">
        <f aca="false">IF($A15="N/A"," ",RANK(U15,$P$4:$V$15))</f>
        <v>#NAME?</v>
      </c>
      <c r="AJ15" s="307" t="e">
        <f aca="false">IF($A15="N/A"," ",RANK(V15,$P$4:$V$15))</f>
        <v>#NAME?</v>
      </c>
      <c r="AK15" s="308" t="e">
        <f aca="false">IF($A15="N/A",0,IF(AD15&lt;=$AJ$2,W15,0))</f>
        <v>#NAME?</v>
      </c>
      <c r="AL15" s="309" t="e">
        <f aca="false">IF($A15="N/A",0,IF(AE15&lt;=$AJ$2,X15,0))</f>
        <v>#NAME?</v>
      </c>
      <c r="AM15" s="309" t="e">
        <f aca="false">IF($A15="N/A",0,IF(AF15&lt;=$AJ$2,Y15,0))</f>
        <v>#NAME?</v>
      </c>
      <c r="AN15" s="309" t="e">
        <f aca="false">IF($A15="N/A",0,IF(AG15&lt;=$AJ$2,Z15,0))</f>
        <v>#NAME?</v>
      </c>
      <c r="AO15" s="309" t="e">
        <f aca="false">IF($A15="N/A",0,IF(AH15&lt;=$AJ$2,AA15,0))</f>
        <v>#NAME?</v>
      </c>
      <c r="AP15" s="309" t="e">
        <f aca="false">IF($A15="N/A",0,IF(AI15&lt;=$AJ$2,AB15,0))</f>
        <v>#NAME?</v>
      </c>
      <c r="AQ15" s="309" t="e">
        <f aca="false">IF($A15="N/A",0,IF(AJ15&lt;=$AJ$2,AC15,0))</f>
        <v>#NAME?</v>
      </c>
      <c r="AR15" s="307" t="e">
        <f aca="false">IF(($AP$2-AR14)&gt;=0,$AP$2-AR14,0)</f>
        <v>#NAME?</v>
      </c>
      <c r="AS15" s="310" t="e">
        <f aca="false">IF($A15="N/A",0,IF(AND(AD15=$AJ$2+1,AK15=0),MIN($AR$15,W15),0))</f>
        <v>#NAME?</v>
      </c>
      <c r="AT15" s="311" t="e">
        <f aca="false">IF($A15="N/A",0,IF(AND(AE15=$AJ$2+1,AL15=0),MIN($AR$15,X15),0))</f>
        <v>#NAME?</v>
      </c>
      <c r="AU15" s="311" t="e">
        <f aca="false">IF($A15="N/A",0,IF(AND(AF15=$AJ$2+1,AM15=0),MIN($AR$15,Y15),0))</f>
        <v>#NAME?</v>
      </c>
      <c r="AV15" s="311" t="e">
        <f aca="false">IF($A15="N/A",0,IF(AND(AG15=$AJ$2+1,AN15=0),MIN($AR$15,Z15),0))</f>
        <v>#NAME?</v>
      </c>
      <c r="AW15" s="311" t="e">
        <f aca="false">IF($A15="N/A",0,IF(AND(AH15=$AJ$2+1,AO15=0),MIN($AR$15,AA15),0))</f>
        <v>#NAME?</v>
      </c>
      <c r="AX15" s="311" t="e">
        <f aca="false">IF($A15="N/A",0,IF(AND(AI15=$AJ$2+1,AP15=0),MIN($AR$15,AB15),0))</f>
        <v>#NAME?</v>
      </c>
      <c r="AY15" s="311" t="e">
        <f aca="false">IF($A15="N/A",0,IF(AND(AJ15=$AJ$2+1,AQ15=0),MIN($AR$15,AC15),0))</f>
        <v>#NAME?</v>
      </c>
      <c r="AZ15" s="312" t="e">
        <f aca="false">AR14+AZ14</f>
        <v>#NAME?</v>
      </c>
      <c r="BA15" s="291" t="n">
        <f aca="false">IF($A15="N/A"," ",(IF(MONTH(A15)&gt;=4,IF(MONTH(A15)&lt;=10,Inputs!$F$13,Inputs!$F$14),Inputs!$F$14))*$BW15)</f>
        <v>180</v>
      </c>
      <c r="BB15" s="292" t="e">
        <f aca="false">IF($A15="N/A"," ",(IF(AK15&gt;0,($BA15*(8*(VLOOKUP($A15,NumberofDaysTable,2)))*P15),0)+IF(AS15&gt;0,($BA15*((AS15))*P15),0)))</f>
        <v>#NAME?</v>
      </c>
      <c r="BC15" s="292" t="e">
        <f aca="false">IF($A15="N/A"," ",(IF(AL15&gt;0,($BA15*(8*(VLOOKUP($A15,NumberofDaysTable,2)))*Q15),0)+IF(AT15&gt;0,($BA15*((AT15))*Q15),0)))</f>
        <v>#NAME?</v>
      </c>
      <c r="BD15" s="292" t="e">
        <f aca="false">IF($A15="N/A"," ",(IF(AM15&gt;0,($BA15*(8*(VLOOKUP($A15,NumberofDaysTable,3)))*R15),0)+IF(AU15&gt;0,($BA15*((AU15))*R15),0)))</f>
        <v>#NAME?</v>
      </c>
      <c r="BE15" s="292" t="e">
        <f aca="false">IF($A15="N/A"," ",(IF(AN15&gt;0,($BA15*(8*(VLOOKUP($A15,NumberofDaysTable,3)))*S15),0)+IF(AV15&gt;0,($BA15*((AV15))*S15),0)))</f>
        <v>#NAME?</v>
      </c>
      <c r="BF15" s="292" t="e">
        <f aca="false">IF($A15="N/A"," ",(IF(AO15&gt;0,($BA15*(8*(VLOOKUP($A15,NumberofDaysTable,4)+VLOOKUP($A15,NumberofDaysTable,5)))*T15),0)+IF(AW15&gt;0,($BA15*((AW15))*T15),0)))</f>
        <v>#NAME?</v>
      </c>
      <c r="BG15" s="292" t="e">
        <f aca="false">IF($A15="N/A"," ",(IF(AP15&gt;0,($BA15*(8*(VLOOKUP($A15,NumberofDaysTable,4)+VLOOKUP($A15,NumberofDaysTable,5)))*U15),0)+IF(AX15&gt;0,($BA15*((AX15))*U15),0)))</f>
        <v>#NAME?</v>
      </c>
      <c r="BH15" s="292" t="e">
        <f aca="false">IF($A15="N/A"," ",($BA15*AQ15*V15))</f>
        <v>#NAME?</v>
      </c>
      <c r="BI15" s="292" t="e">
        <f aca="false">IF($A15="N/A"," ",SUM(BB15:BH15))</f>
        <v>#NAME?</v>
      </c>
      <c r="BJ15" s="293" t="e">
        <f aca="false">IF($A15="N/A"," ",(H15*(SUM(AK15:AQ15)+SUM(AS15:AY15))*BA15))</f>
        <v>#NAME?</v>
      </c>
      <c r="BK15" s="293" t="e">
        <f aca="false">IF($A15="N/A"," ",((C15*D15)*(SUM($AK15:$AQ15)+SUM($AS15:$AY15))*$BA15))</f>
        <v>#N/A</v>
      </c>
      <c r="BL15" s="293" t="e">
        <f aca="false">IF($A15="N/A"," ",(F15*(SUM($AK15:$AQ15)+SUM($AS15:$AY15))*$BA15))</f>
        <v>#NAME?</v>
      </c>
      <c r="BM15" s="293" t="e">
        <f aca="false">IF($A15="N/A"," ",(G15*(SUM($AK15:$AQ15)+SUM($AS15:$AY15))*$BA15))</f>
        <v>#NAME?</v>
      </c>
      <c r="BN15" s="294" t="n">
        <f aca="false">IF(A15="N/A"," ",(VLOOKUP(A15,PowerVolTable,(IF('Pricing Inputs'!$AT$3=2,7,IF('Pricing Inputs'!$AT$3=1,6,8))),FALSE())))</f>
        <v>0.25074</v>
      </c>
      <c r="BO15" s="294" t="n">
        <f aca="false">IF(A15="N/A"," ",(VLOOKUP(A15,IntraPowerVol,(IF('Pricing Inputs'!$AT$3=2,3,IF('Pricing Inputs'!$AT$3=1,2,4))),FALSE())*VLOOKUP(MONTH($A15),Inputs!$A$28:$B$39,2)))</f>
        <v>1.4375</v>
      </c>
      <c r="BP15" s="295" t="n">
        <f aca="false">IF($A15="N/A"," ",(IF(DateToday&gt;$A15,$BO15,((($BN15^2)*((($A15-1)-DateToday)/((EOMONTH($A15,0)+1)-DateToday-15)))+((($BO15)^2)*((15)/((EOMONTH($A15,0)+1)-DateToday-15))))^0.5)))</f>
        <v>1.4375</v>
      </c>
      <c r="BQ15" s="294" t="e">
        <f aca="false">IF($A15="N/A"," ",(VLOOKUP($A15,GasVolTable,(IF('Pricing Inputs'!$AT$3=2,6,IF('Pricing Inputs'!$AT$3=1,7,5))),FALSE())))</f>
        <v>#N/A</v>
      </c>
      <c r="BR15" s="294" t="e">
        <f aca="false">IF($A15="N/A"," ",(VLOOKUP($A15,OmicronVol,(IF('Pricing Inputs'!$AT$3=2,3,IF('Pricing Inputs'!$AT$3=1,4,2))),FALSE())))</f>
        <v>#N/A</v>
      </c>
      <c r="BS15" s="295" t="e">
        <f aca="false">IF($A15="N/A"," ",IF('Pricing Inputs'!$AN$3=1,(IF(DateToday&gt;$A15,$BR15,((($BQ15^2)*((($A15-1)-DateToday)/((EOMONTH($A15,0)+1)-DateToday-15)))+((($BR15)^2)*((15)/((EOMONTH($A15,0)+1)-DateToday-15))))^0.5)),0.0001))</f>
        <v>#N/A</v>
      </c>
      <c r="BT15" s="294" t="n">
        <f aca="false">IF($A15="N/A"," ",IF('Pricing Inputs'!$AN$3=1,(VLOOKUP($A15,CorrelationTable,2,FALSE())),0))</f>
        <v>0.9</v>
      </c>
      <c r="BU15" s="296" t="e">
        <f aca="false">IF($A15="N/A"," ",F15+G15+(D15*(VLOOKUP($A15,'Gas Curves'!$B$17:$P$310,14,FALSE()))))</f>
        <v>#N/A</v>
      </c>
      <c r="BV15" s="294" t="n">
        <f aca="false">IF($A15="N/A"," ",IF('Pricing Inputs'!$AW$3=1,0,(VLOOKUP($A15,InterestRatesTable,2))))</f>
        <v>0</v>
      </c>
      <c r="BW15" s="297" t="n">
        <f aca="false">IF($A15="N/A"," ",(1+BV15/2)^(-2*((EOMONTH(A15,0)+20)-DateToday)/365.25))</f>
        <v>1</v>
      </c>
    </row>
    <row r="16" customFormat="false" ht="12.75" hidden="false" customHeight="false" outlineLevel="0" collapsed="false">
      <c r="A16" s="272" t="n">
        <f aca="false">IF(A15="N/A","N/A",IF(EDATE(A15,1)&gt;Inputs!$K$3,"N/A",EDATE(A15,1)))</f>
        <v>37257</v>
      </c>
      <c r="B16" s="273" t="n">
        <f aca="false">IF(A16="N/A"," ",YEAR(A16))</f>
        <v>2002</v>
      </c>
      <c r="C16" s="274" t="e">
        <f aca="false">IF(A16="N/A"," ",VLOOKUP(A16,ScaledPrice,10))</f>
        <v>#N/A</v>
      </c>
      <c r="D16" s="275" t="n">
        <f aca="false">IF(A16="N/A"," ",(VLOOKUP(MONTH($A16),Inputs!$A$14:$B$25,2))/1000)</f>
        <v>10.5</v>
      </c>
      <c r="E16" s="276" t="e">
        <f aca="false">IF($A16="N/A"," ",C16*D16)</f>
        <v>#N/A</v>
      </c>
      <c r="F16" s="277" t="n">
        <f aca="false">IF(A16="N/A"," ",Inputs!$F$6)</f>
        <v>2</v>
      </c>
      <c r="G16" s="277" t="n">
        <f aca="false">IF(A16="N/A"," ",Inputs!$F$9/IF(AND('Pricing Inputs'!$AQ$3&gt;=4,'Pricing Inputs'!$AQ$3&lt;=6),16,IF(AND('Pricing Inputs'!$AQ$3&gt;=7,'Pricing Inputs'!$AQ$3&lt;=9),8,24))/(BA16/BW16))</f>
        <v>0</v>
      </c>
      <c r="H16" s="278" t="e">
        <f aca="false">IF(A16="N/A"," ",(C16*D16)+F16+G16)</f>
        <v>#N/A</v>
      </c>
      <c r="I16" s="279" t="n">
        <f aca="false">VLOOKUP(A16,ScaledPrice,(IF(AND('Pricing Inputs'!$AQ$3&gt;=1,'Pricing Inputs'!$AQ$3&lt;=6),2,4)))</f>
        <v>35.8583934578633</v>
      </c>
      <c r="J16" s="279" t="n">
        <f aca="false">IF(A16="N/A"," ",IF(AND('Pricing Inputs'!$AQ$3&gt;=1,'Pricing Inputs'!$AQ$3&lt;=6),I16,(VLOOKUP(A16,ScaledPrice,2))*(2-(VLOOKUP(A16,ScaledPrice,3)))))</f>
        <v>38.1416065421368</v>
      </c>
      <c r="K16" s="279" t="n">
        <f aca="false">IF(A16="N/A"," ",IF(OR('Pricing Inputs'!$AQ$3=2,'Pricing Inputs'!$AQ$3=3,'Pricing Inputs'!$AQ$3=5,'Pricing Inputs'!$AQ$3=6,'Pricing Inputs'!$AQ$3=8,'Pricing Inputs'!$AQ$3=9),VLOOKUP(A16,ScaledPrice,IF(AND('Pricing Inputs'!$AQ$3&gt;=2,'Pricing Inputs'!$AQ$3&lt;=6),5,6)),0))</f>
        <v>27.7648133006653</v>
      </c>
      <c r="L16" s="279" t="n">
        <f aca="false">IF(A16="N/A"," ",IF(OR('Pricing Inputs'!$AQ$3=2,'Pricing Inputs'!$AQ$3=3,'Pricing Inputs'!$AQ$3=5,'Pricing Inputs'!$AQ$3=6,'Pricing Inputs'!$AQ$3=8,'Pricing Inputs'!$AQ$3=9),IF(AND('Pricing Inputs'!$AQ$3&gt;=2,'Pricing Inputs'!$AQ$3&lt;=6),K16,(VLOOKUP(A16,ScaledPrice,5))*(2-(VLOOKUP(A16,ScaledPrice,3)))),0))</f>
        <v>29.532683494989</v>
      </c>
      <c r="M16" s="279" t="n">
        <f aca="false">IF(A16="N/A"," ",IF(OR('Pricing Inputs'!$AQ$3=3,'Pricing Inputs'!$AQ$3=6,'Pricing Inputs'!$AQ$3=9),(VLOOKUP(A16,ScaledPrice,IF(AND('Pricing Inputs'!$AQ$3&gt;=3,'Pricing Inputs'!$AQ$3&lt;=6),7,8))),0))</f>
        <v>26.3147306442213</v>
      </c>
      <c r="N16" s="279" t="n">
        <f aca="false">IF(A16="N/A"," ",IF(OR('Pricing Inputs'!$AQ$3=3,'Pricing Inputs'!$AQ$3=6,'Pricing Inputs'!$AQ$3=9),IF(AND('Pricing Inputs'!$AQ$3&gt;=3,'Pricing Inputs'!$AQ$3&lt;=6),M16,(VLOOKUP(A16,ScaledPrice,7))*(2-(VLOOKUP(A16,ScaledPrice,3)))),0))</f>
        <v>27.9902696609545</v>
      </c>
      <c r="O16" s="279" t="n">
        <f aca="false">IF(A16="N/A"," ",IF(AND('Pricing Inputs'!$AQ$3&gt;=1,'Pricing Inputs'!$AQ$3&lt;=3),VLOOKUP(A16,ScaledPrice,9),0))</f>
        <v>0</v>
      </c>
      <c r="P16" s="280" t="e">
        <f aca="false">IF($A16="N/A"," ",IF('Pricing Inputs'!$AN$8=2,(I16-H16),IF('Pricing Inputs'!$AN$3=2,IF((I16-$H16)&gt;0,I16-$H16,0),(xSPRDOPT(I16,$E16,$BU16,0,$BP16,$BS16,$BT16,($A16-Inputs!$D$1)+15,1,0)))))</f>
        <v>#NAME?</v>
      </c>
      <c r="Q16" s="280" t="e">
        <f aca="false">IF($A16="N/A"," ",IF('Pricing Inputs'!$AN$8=2,(J16-$H16),IF('Pricing Inputs'!$AN$3=2,IF((J16-$H16)&gt;0,J16-$H16,0),(xSPRDOPT(J16,$E16,$BU16,0,$BP16,$BS16,$BT16,($A16-Inputs!$D$1)+15,1,0)))))</f>
        <v>#NAME?</v>
      </c>
      <c r="R16" s="280" t="e">
        <f aca="false">IF($A16="N/A"," ",IF('Pricing Inputs'!$AN$8=2,(K16-$H16),IF('Pricing Inputs'!$AN$3=2,IF((K16-$H16)&gt;0,K16-$H16,0),(xSPRDOPT(K16,$E16,$BU16,0,$BP16,$BS16,$BT16,($A16-Inputs!$D$1)+15,1,0)))))</f>
        <v>#NAME?</v>
      </c>
      <c r="S16" s="280" t="e">
        <f aca="false">IF($A16="N/A"," ",IF('Pricing Inputs'!$AN$8=2,(L16-$H16),IF('Pricing Inputs'!$AN$3=2,IF((L16-$H16)&gt;0,L16-$H16,0),(xSPRDOPT(L16,$E16,$BU16,0,$BP16,$BS16,$BT16,($A16-Inputs!$D$1)+15,1,0)))))</f>
        <v>#NAME?</v>
      </c>
      <c r="T16" s="280" t="e">
        <f aca="false">IF($A16="N/A"," ",IF('Pricing Inputs'!$AN$8=2,(M16-$H16),IF('Pricing Inputs'!$AN$3=2,IF((M16-$H16)&gt;0,M16-$H16,0),(xSPRDOPT(M16,$E16,$BU16,0,$BP16,$BS16,$BT16,($A16-Inputs!$D$1)+15,1,0)))))</f>
        <v>#NAME?</v>
      </c>
      <c r="U16" s="280" t="e">
        <f aca="false">IF($A16="N/A"," ",IF('Pricing Inputs'!$AN$8=2,(N16-$H16),IF('Pricing Inputs'!$AN$3=2,IF((N16-$H16)&gt;0,N16-$H16,0),(xSPRDOPT(N16,$E16,$BU16,0,$BP16,$BS16,$BT16,($A16-Inputs!$D$1)+15,1,0)))))</f>
        <v>#NAME?</v>
      </c>
      <c r="V16" s="281" t="e">
        <f aca="false">IF($A16="N/A"," ",(IF('Pricing Inputs'!$AN$8=2,(O16-$H16),IF((O16-$H16)&lt;=0,0,(O16-$H16)))))</f>
        <v>#N/A</v>
      </c>
      <c r="W16" s="282" t="e">
        <f aca="false">IF($A16="N/A"," ",IF(0&lt;&gt;P16,IF('Pricing Inputs'!$AN$3=2,8*VLOOKUP($A16,NumberofDaysTable,2),(xSPRDOPT(I16,$E16,$BU16,0,$BP16,$BS16,$BT16,$A16-Inputs!$D$1,1,1))*(8*VLOOKUP($A16,NumberofDaysTable,2))),0))</f>
        <v>#NAME?</v>
      </c>
      <c r="X16" s="282" t="e">
        <f aca="false">IF($A16="N/A"," ",IF(Q16&lt;&gt;0,IF('Pricing Inputs'!$AN$3=2,8*VLOOKUP($A16,NumberofDaysTable,2),(xSPRDOPT(J16,$E16,$BU16,0,$BP16,$BS16,$BT16,$A16-Inputs!$D$1,1,1))*(8*VLOOKUP($A16,NumberofDaysTable,2))),0))</f>
        <v>#NAME?</v>
      </c>
      <c r="Y16" s="282" t="e">
        <f aca="false">IF($A16="N/A"," ",IF(R16&lt;&gt;0,IF('Pricing Inputs'!$AN$3=2,8*VLOOKUP($A16,NumberofDaysTable,3),(xSPRDOPT(K16,$E16,$BU16,0,$BP16,$BS16,$BT16,$A16-Inputs!$D$1,1,1))*(8*VLOOKUP($A16,NumberofDaysTable,3))),0))</f>
        <v>#NAME?</v>
      </c>
      <c r="Z16" s="282" t="e">
        <f aca="false">IF($A16="N/A"," ",IF(S16&lt;&gt;0,IF('Pricing Inputs'!$AN$3=2,8*VLOOKUP($A16,NumberofDaysTable,3),(xSPRDOPT(L16,$E16,$BU16,0,$BP16,$BS16,$BT16,$A16-Inputs!$D$1,1,1))*(8*VLOOKUP($A16,NumberofDaysTable,3))),0))</f>
        <v>#NAME?</v>
      </c>
      <c r="AA16" s="282" t="e">
        <f aca="false">IF($A16="N/A"," ",IF(T16&lt;&gt;0,IF('Pricing Inputs'!$AN$3=2,8*VLOOKUP($A16,NumberofDaysTable,4),(xSPRDOPT(M16,$E16,$BU16,0,$BP16,$BS16,$BT16,$A16-Inputs!$D$1,1,1))*(8*VLOOKUP($A16,NumberofDaysTable,4))),0))</f>
        <v>#NAME?</v>
      </c>
      <c r="AB16" s="282" t="e">
        <f aca="false">IF($A16="N/A"," ",IF(U16&lt;&gt;0,IF('Pricing Inputs'!$AN$3=2,8*VLOOKUP($A16,NumberofDaysTable,4),(xSPRDOPT(N16,$E16,$BU16,0,$BP16,$BS16,$BT16,$A16-Inputs!$D$1,1,1))*(8*VLOOKUP($A16,NumberofDaysTable,4))),0))</f>
        <v>#NAME?</v>
      </c>
      <c r="AC16" s="282" t="e">
        <f aca="false">IF($A16="N/A"," ",(IF(V16&lt;&gt;0,(8*VLOOKUP($A16,NumberofDaysTable,6)),0)))</f>
        <v>#N/A</v>
      </c>
      <c r="AD16" s="283" t="e">
        <f aca="false">IF($A16="N/A"," ",RANK(P16,$P$16:$V$27))</f>
        <v>#NAME?</v>
      </c>
      <c r="AE16" s="284" t="e">
        <f aca="false">IF($A16="N/A"," ",RANK(Q16,$P$16:$V$27))</f>
        <v>#NAME?</v>
      </c>
      <c r="AF16" s="284" t="e">
        <f aca="false">IF($A16="N/A"," ",RANK(R16,$P$16:$V$27))</f>
        <v>#NAME?</v>
      </c>
      <c r="AG16" s="284" t="e">
        <f aca="false">IF($A16="N/A"," ",RANK(S16,$P$16:$V$27))</f>
        <v>#NAME?</v>
      </c>
      <c r="AH16" s="284" t="e">
        <f aca="false">IF($A16="N/A"," ",RANK(T16,$P$16:$V$27))</f>
        <v>#NAME?</v>
      </c>
      <c r="AI16" s="284" t="e">
        <f aca="false">IF($A16="N/A"," ",RANK(U16,$P$16:$V$27))</f>
        <v>#NAME?</v>
      </c>
      <c r="AJ16" s="285" t="e">
        <f aca="false">IF($A16="N/A"," ",RANK(V16,$P$16:$V$27))</f>
        <v>#NAME?</v>
      </c>
      <c r="AK16" s="313" t="e">
        <f aca="false">IF($A16="N/A"," ",IF(AD16&lt;=$AJ$2,W16,0))</f>
        <v>#NAME?</v>
      </c>
      <c r="AL16" s="287" t="e">
        <f aca="false">IF($A16="N/A"," ",IF(AE16&lt;=$AJ$2,X16,0))</f>
        <v>#NAME?</v>
      </c>
      <c r="AM16" s="287" t="e">
        <f aca="false">IF($A16="N/A"," ",IF(AF16&lt;=$AJ$2,Y16,0))</f>
        <v>#NAME?</v>
      </c>
      <c r="AN16" s="287" t="e">
        <f aca="false">IF($A16="N/A"," ",IF(AG16&lt;=$AJ$2,Z16,0))</f>
        <v>#NAME?</v>
      </c>
      <c r="AO16" s="287" t="e">
        <f aca="false">IF($A16="N/A"," ",IF(AH16&lt;=$AJ$2,AA16,0))</f>
        <v>#NAME?</v>
      </c>
      <c r="AP16" s="287" t="e">
        <f aca="false">IF($A16="N/A"," ",IF(AI16&lt;=$AJ$2,AB16,0))</f>
        <v>#NAME?</v>
      </c>
      <c r="AQ16" s="287" t="e">
        <f aca="false">IF($A16="N/A"," ",IF(AJ16&lt;=$AJ$2,AC16,0))</f>
        <v>#NAME?</v>
      </c>
      <c r="AR16" s="284"/>
      <c r="AS16" s="314" t="e">
        <f aca="false">IF($A16="N/A"," ",IF(AND(AD16=$AJ$2+1,AK16=0),MIN($AR$27,W16),0))</f>
        <v>#NAME?</v>
      </c>
      <c r="AT16" s="289" t="e">
        <f aca="false">IF($A16="N/A"," ",IF(AND(AE16=$AJ$2+1,AL16=0),MIN($AR$27,X16),0))</f>
        <v>#NAME?</v>
      </c>
      <c r="AU16" s="289" t="e">
        <f aca="false">IF($A16="N/A"," ",IF(AND(AF16=$AJ$2+1,AM16=0),MIN($AR$27,Y16),0))</f>
        <v>#NAME?</v>
      </c>
      <c r="AV16" s="289" t="e">
        <f aca="false">IF($A16="N/A"," ",IF(AND(AG16=$AJ$2+1,AN16=0),MIN($AR$27,Z16),0))</f>
        <v>#NAME?</v>
      </c>
      <c r="AW16" s="289" t="e">
        <f aca="false">IF($A16="N/A"," ",IF(AND(AH16=$AJ$2+1,AO16=0),MIN($AR$27,AA16),0))</f>
        <v>#NAME?</v>
      </c>
      <c r="AX16" s="289" t="e">
        <f aca="false">IF($A16="N/A"," ",IF(AND(AI16=$AJ$2+1,AP16=0),MIN($AR$27,AB16),0))</f>
        <v>#NAME?</v>
      </c>
      <c r="AY16" s="289" t="e">
        <f aca="false">IF($A16="N/A"," ",IF(AND(AJ16=$AJ$2+1,AQ16=0),MIN($AR$27,AC16),0))</f>
        <v>#NAME?</v>
      </c>
      <c r="AZ16" s="315"/>
      <c r="BA16" s="291" t="n">
        <f aca="false">IF($A16="N/A"," ",(IF(MONTH(A16)&gt;=4,IF(MONTH(A16)&lt;=10,Inputs!$F$13,Inputs!$F$14),Inputs!$F$14))*$BW16)</f>
        <v>180</v>
      </c>
      <c r="BB16" s="292" t="e">
        <f aca="false">IF($A16="N/A"," ",(IF(AK16&gt;0,($BA16*(8*(VLOOKUP($A16,NumberofDaysTable,2)))*P16),0)+IF(AS16&gt;0,($BA16*((AS16))*P16),0)))</f>
        <v>#NAME?</v>
      </c>
      <c r="BC16" s="292" t="e">
        <f aca="false">IF($A16="N/A"," ",(IF(AL16&gt;0,($BA16*(8*(VLOOKUP($A16,NumberofDaysTable,2)))*Q16),0)+IF(AT16&gt;0,($BA16*((AT16))*Q16),0)))</f>
        <v>#NAME?</v>
      </c>
      <c r="BD16" s="292" t="e">
        <f aca="false">IF($A16="N/A"," ",(IF(AM16&gt;0,($BA16*(8*(VLOOKUP($A16,NumberofDaysTable,3)))*R16),0)+IF(AU16&gt;0,($BA16*((AU16))*R16),0)))</f>
        <v>#NAME?</v>
      </c>
      <c r="BE16" s="292" t="e">
        <f aca="false">IF($A16="N/A"," ",(IF(AN16&gt;0,($BA16*(8*(VLOOKUP($A16,NumberofDaysTable,3)))*S16),0)+IF(AV16&gt;0,($BA16*((AV16))*S16),0)))</f>
        <v>#NAME?</v>
      </c>
      <c r="BF16" s="292" t="e">
        <f aca="false">IF($A16="N/A"," ",(IF(AO16&gt;0,($BA16*(8*(VLOOKUP($A16,NumberofDaysTable,4)+VLOOKUP($A16,NumberofDaysTable,5)))*T16),0)+IF(AW16&gt;0,($BA16*((AW16))*T16),0)))</f>
        <v>#NAME?</v>
      </c>
      <c r="BG16" s="292" t="e">
        <f aca="false">IF($A16="N/A"," ",(IF(AP16&gt;0,($BA16*(8*(VLOOKUP($A16,NumberofDaysTable,4)+VLOOKUP($A16,NumberofDaysTable,5)))*U16),0)+IF(AX16&gt;0,($BA16*((AX16))*U16),0)))</f>
        <v>#NAME?</v>
      </c>
      <c r="BH16" s="292" t="e">
        <f aca="false">IF($A16="N/A"," ",($BA16*AQ16*V16))</f>
        <v>#NAME?</v>
      </c>
      <c r="BI16" s="292" t="e">
        <f aca="false">IF($A16="N/A"," ",SUM(BB16:BH16))</f>
        <v>#NAME?</v>
      </c>
      <c r="BJ16" s="293" t="e">
        <f aca="false">IF($A16="N/A"," ",(H16*(SUM(AK16:AQ16)+SUM(AS16:AY16))*BA16))</f>
        <v>#NAME?</v>
      </c>
      <c r="BK16" s="293" t="e">
        <f aca="false">IF($A16="N/A"," ",((C16*D16)*(SUM($AK16:$AQ16)+SUM($AS16:$AY16))*$BA16))</f>
        <v>#N/A</v>
      </c>
      <c r="BL16" s="293" t="e">
        <f aca="false">IF($A16="N/A"," ",(F16*(SUM($AK16:$AQ16)+SUM($AS16:$AY16))*$BA16))</f>
        <v>#NAME?</v>
      </c>
      <c r="BM16" s="293" t="e">
        <f aca="false">IF($A16="N/A"," ",(G16*(SUM($AK16:$AQ16)+SUM($AS16:$AY16))*$BA16))</f>
        <v>#NAME?</v>
      </c>
      <c r="BN16" s="294" t="n">
        <f aca="false">IF(A16="N/A"," ",(VLOOKUP(A16,PowerVolTable,(IF('Pricing Inputs'!$AT$3=2,7,IF('Pricing Inputs'!$AT$3=1,6,8))),FALSE())))</f>
        <v>0.2698</v>
      </c>
      <c r="BO16" s="294" t="n">
        <f aca="false">IF(A16="N/A"," ",(VLOOKUP(A16,IntraPowerVol,(IF('Pricing Inputs'!$AT$3=2,3,IF('Pricing Inputs'!$AT$3=1,2,4))),FALSE())*VLOOKUP(MONTH($A16),Inputs!$A$28:$B$39,2)))</f>
        <v>2.3</v>
      </c>
      <c r="BP16" s="295" t="n">
        <f aca="false">IF($A16="N/A"," ",(IF(DateToday&gt;$A16,$BO16,((($BN16^2)*((($A16-1)-DateToday)/((EOMONTH($A16,0)+1)-DateToday-15)))+((($BO16)^2)*((15)/((EOMONTH($A16,0)+1)-DateToday-15))))^0.5)))</f>
        <v>2.3</v>
      </c>
      <c r="BQ16" s="294" t="e">
        <f aca="false">IF($A16="N/A"," ",(VLOOKUP($A16,GasVolTable,(IF('Pricing Inputs'!$AT$3=2,6,IF('Pricing Inputs'!$AT$3=1,7,5))),FALSE())))</f>
        <v>#N/A</v>
      </c>
      <c r="BR16" s="294" t="e">
        <f aca="false">IF($A16="N/A"," ",(VLOOKUP($A16,OmicronVol,(IF('Pricing Inputs'!$AT$3=2,3,IF('Pricing Inputs'!$AT$3=1,4,2))),FALSE())))</f>
        <v>#N/A</v>
      </c>
      <c r="BS16" s="295" t="e">
        <f aca="false">IF($A16="N/A"," ",IF('Pricing Inputs'!$AN$3=1,(IF(DateToday&gt;$A16,$BR16,((($BQ16^2)*((($A16-1)-DateToday)/((EOMONTH($A16,0)+1)-DateToday-15)))+((($BR16)^2)*((15)/((EOMONTH($A16,0)+1)-DateToday-15))))^0.5)),0.0001))</f>
        <v>#N/A</v>
      </c>
      <c r="BT16" s="294" t="n">
        <f aca="false">IF($A16="N/A"," ",IF('Pricing Inputs'!$AN$3=1,(VLOOKUP($A16,CorrelationTable,2,FALSE())),0))</f>
        <v>0.9</v>
      </c>
      <c r="BU16" s="296" t="e">
        <f aca="false">IF($A16="N/A"," ",F16+G16+(D16*(VLOOKUP($A16,'Gas Curves'!$B$17:$P$310,14,FALSE()))))</f>
        <v>#N/A</v>
      </c>
      <c r="BV16" s="294" t="n">
        <f aca="false">IF($A16="N/A"," ",IF('Pricing Inputs'!$AW$3=1,0,(VLOOKUP($A16,InterestRatesTable,2))))</f>
        <v>0</v>
      </c>
      <c r="BW16" s="297" t="n">
        <f aca="false">IF($A16="N/A"," ",(1+BV16/2)^(-2*((EOMONTH(A16,0)+20)-DateToday)/365.25))</f>
        <v>1</v>
      </c>
    </row>
    <row r="17" customFormat="false" ht="12.75" hidden="false" customHeight="false" outlineLevel="0" collapsed="false">
      <c r="A17" s="272" t="n">
        <f aca="false">IF(A16="N/A","N/A",IF(EDATE(A16,1)&gt;Inputs!$K$3,"N/A",EDATE(A16,1)))</f>
        <v>37288</v>
      </c>
      <c r="B17" s="273" t="n">
        <f aca="false">IF(A17="N/A"," ",YEAR(A17))</f>
        <v>2002</v>
      </c>
      <c r="C17" s="274" t="e">
        <f aca="false">IF(A17="N/A"," ",VLOOKUP(A17,ScaledPrice,10))</f>
        <v>#N/A</v>
      </c>
      <c r="D17" s="275" t="n">
        <f aca="false">IF(A17="N/A"," ",(VLOOKUP(MONTH($A17),Inputs!$A$14:$B$25,2))/1000)</f>
        <v>10.5</v>
      </c>
      <c r="E17" s="276" t="e">
        <f aca="false">IF($A17="N/A"," ",C17*D17)</f>
        <v>#N/A</v>
      </c>
      <c r="F17" s="277" t="n">
        <f aca="false">IF(A17="N/A"," ",Inputs!$F$6)</f>
        <v>2</v>
      </c>
      <c r="G17" s="277" t="n">
        <f aca="false">IF(A17="N/A"," ",Inputs!$F$9/IF(AND('Pricing Inputs'!$AQ$3&gt;=4,'Pricing Inputs'!$AQ$3&lt;=6),16,IF(AND('Pricing Inputs'!$AQ$3&gt;=7,'Pricing Inputs'!$AQ$3&lt;=9),8,24))/(BA17/BW17))</f>
        <v>0</v>
      </c>
      <c r="H17" s="278" t="e">
        <f aca="false">IF(A17="N/A"," ",(C17*D17)+F17+G17)</f>
        <v>#N/A</v>
      </c>
      <c r="I17" s="279" t="n">
        <f aca="false">VLOOKUP(A17,ScaledPrice,(IF(AND('Pricing Inputs'!$AQ$3&gt;=1,'Pricing Inputs'!$AQ$3&lt;=6),2,4)))</f>
        <v>35.8583934578633</v>
      </c>
      <c r="J17" s="279" t="n">
        <f aca="false">IF(A17="N/A"," ",IF(AND('Pricing Inputs'!$AQ$3&gt;=1,'Pricing Inputs'!$AQ$3&lt;=6),I17,(VLOOKUP(A17,ScaledPrice,2))*(2-(VLOOKUP(A17,ScaledPrice,3)))))</f>
        <v>38.1416065421368</v>
      </c>
      <c r="K17" s="279" t="n">
        <f aca="false">IF(A17="N/A"," ",IF(OR('Pricing Inputs'!$AQ$3=2,'Pricing Inputs'!$AQ$3=3,'Pricing Inputs'!$AQ$3=5,'Pricing Inputs'!$AQ$3=6,'Pricing Inputs'!$AQ$3=8,'Pricing Inputs'!$AQ$3=9),VLOOKUP(A17,ScaledPrice,IF(AND('Pricing Inputs'!$AQ$3&gt;=2,'Pricing Inputs'!$AQ$3&lt;=6),5,6)),0))</f>
        <v>26.79324636773</v>
      </c>
      <c r="L17" s="279" t="n">
        <f aca="false">IF(A17="N/A"," ",IF(OR('Pricing Inputs'!$AQ$3=2,'Pricing Inputs'!$AQ$3=3,'Pricing Inputs'!$AQ$3=5,'Pricing Inputs'!$AQ$3=6,'Pricing Inputs'!$AQ$3=8,'Pricing Inputs'!$AQ$3=9),IF(AND('Pricing Inputs'!$AQ$3&gt;=2,'Pricing Inputs'!$AQ$3&lt;=6),K17,(VLOOKUP(A17,ScaledPrice,5))*(2-(VLOOKUP(A17,ScaledPrice,3)))),0))</f>
        <v>28.4992539374458</v>
      </c>
      <c r="M17" s="279" t="n">
        <f aca="false">IF(A17="N/A"," ",IF(OR('Pricing Inputs'!$AQ$3=3,'Pricing Inputs'!$AQ$3=6,'Pricing Inputs'!$AQ$3=9),(VLOOKUP(A17,ScaledPrice,IF(AND('Pricing Inputs'!$AQ$3&gt;=3,'Pricing Inputs'!$AQ$3&lt;=6),7,8))),0))</f>
        <v>24.3715927116532</v>
      </c>
      <c r="N17" s="279" t="n">
        <f aca="false">IF(A17="N/A"," ",IF(OR('Pricing Inputs'!$AQ$3=3,'Pricing Inputs'!$AQ$3=6,'Pricing Inputs'!$AQ$3=9),IF(AND('Pricing Inputs'!$AQ$3&gt;=3,'Pricing Inputs'!$AQ$3&lt;=6),M17,(VLOOKUP(A17,ScaledPrice,7))*(2-(VLOOKUP(A17,ScaledPrice,3)))),0))</f>
        <v>25.9234062202316</v>
      </c>
      <c r="O17" s="279" t="n">
        <f aca="false">IF(A17="N/A"," ",IF(AND('Pricing Inputs'!$AQ$3&gt;=1,'Pricing Inputs'!$AQ$3&lt;=3),VLOOKUP(A17,ScaledPrice,9),0))</f>
        <v>0</v>
      </c>
      <c r="P17" s="280" t="e">
        <f aca="false">IF($A17="N/A"," ",IF('Pricing Inputs'!$AN$8=2,(I17-H17),IF('Pricing Inputs'!$AN$3=2,IF((I17-$H17)&gt;0,I17-$H17,0),(xSPRDOPT(I17,$E17,$BU17,0,$BP17,$BS17,$BT17,($A17-Inputs!$D$1)+15,1,0)))))</f>
        <v>#NAME?</v>
      </c>
      <c r="Q17" s="280" t="e">
        <f aca="false">IF($A17="N/A"," ",IF('Pricing Inputs'!$AN$8=2,(J17-$H17),IF('Pricing Inputs'!$AN$3=2,IF((J17-$H17)&gt;0,J17-$H17,0),(xSPRDOPT(J17,$E17,$BU17,0,$BP17,$BS17,$BT17,($A17-Inputs!$D$1)+15,1,0)))))</f>
        <v>#NAME?</v>
      </c>
      <c r="R17" s="280" t="e">
        <f aca="false">IF($A17="N/A"," ",IF('Pricing Inputs'!$AN$8=2,(K17-$H17),IF('Pricing Inputs'!$AN$3=2,IF((K17-$H17)&gt;0,K17-$H17,0),(xSPRDOPT(K17,$E17,$BU17,0,$BP17,$BS17,$BT17,($A17-Inputs!$D$1)+15,1,0)))))</f>
        <v>#NAME?</v>
      </c>
      <c r="S17" s="280" t="e">
        <f aca="false">IF($A17="N/A"," ",IF('Pricing Inputs'!$AN$8=2,(L17-$H17),IF('Pricing Inputs'!$AN$3=2,IF((L17-$H17)&gt;0,L17-$H17,0),(xSPRDOPT(L17,$E17,$BU17,0,$BP17,$BS17,$BT17,($A17-Inputs!$D$1)+15,1,0)))))</f>
        <v>#NAME?</v>
      </c>
      <c r="T17" s="280" t="e">
        <f aca="false">IF($A17="N/A"," ",IF('Pricing Inputs'!$AN$8=2,(M17-$H17),IF('Pricing Inputs'!$AN$3=2,IF((M17-$H17)&gt;0,M17-$H17,0),(xSPRDOPT(M17,$E17,$BU17,0,$BP17,$BS17,$BT17,($A17-Inputs!$D$1)+15,1,0)))))</f>
        <v>#NAME?</v>
      </c>
      <c r="U17" s="280" t="e">
        <f aca="false">IF($A17="N/A"," ",IF('Pricing Inputs'!$AN$8=2,(N17-$H17),IF('Pricing Inputs'!$AN$3=2,IF((N17-$H17)&gt;0,N17-$H17,0),(xSPRDOPT(N17,$E17,$BU17,0,$BP17,$BS17,$BT17,($A17-Inputs!$D$1)+15,1,0)))))</f>
        <v>#NAME?</v>
      </c>
      <c r="V17" s="281" t="e">
        <f aca="false">IF($A17="N/A"," ",(IF('Pricing Inputs'!$AN$8=2,(O17-$H17),IF((O17-$H17)&lt;=0,0,(O17-$H17)))))</f>
        <v>#N/A</v>
      </c>
      <c r="W17" s="282" t="e">
        <f aca="false">IF($A17="N/A"," ",IF(0&lt;&gt;P17,IF('Pricing Inputs'!$AN$3=2,8*VLOOKUP($A17,NumberofDaysTable,2),(xSPRDOPT(I17,$E17,$BU17,0,$BP17,$BS17,$BT17,$A17-Inputs!$D$1,1,1))*(8*VLOOKUP($A17,NumberofDaysTable,2))),0))</f>
        <v>#NAME?</v>
      </c>
      <c r="X17" s="282" t="e">
        <f aca="false">IF($A17="N/A"," ",IF(Q17&lt;&gt;0,IF('Pricing Inputs'!$AN$3=2,8*VLOOKUP($A17,NumberofDaysTable,2),(xSPRDOPT(J17,$E17,$BU17,0,$BP17,$BS17,$BT17,$A17-Inputs!$D$1,1,1))*(8*VLOOKUP($A17,NumberofDaysTable,2))),0))</f>
        <v>#NAME?</v>
      </c>
      <c r="Y17" s="282" t="e">
        <f aca="false">IF($A17="N/A"," ",IF(R17&lt;&gt;0,IF('Pricing Inputs'!$AN$3=2,8*VLOOKUP($A17,NumberofDaysTable,3),(xSPRDOPT(K17,$E17,$BU17,0,$BP17,$BS17,$BT17,$A17-Inputs!$D$1,1,1))*(8*VLOOKUP($A17,NumberofDaysTable,3))),0))</f>
        <v>#NAME?</v>
      </c>
      <c r="Z17" s="282" t="e">
        <f aca="false">IF($A17="N/A"," ",IF(S17&lt;&gt;0,IF('Pricing Inputs'!$AN$3=2,8*VLOOKUP($A17,NumberofDaysTable,3),(xSPRDOPT(L17,$E17,$BU17,0,$BP17,$BS17,$BT17,$A17-Inputs!$D$1,1,1))*(8*VLOOKUP($A17,NumberofDaysTable,3))),0))</f>
        <v>#NAME?</v>
      </c>
      <c r="AA17" s="282" t="e">
        <f aca="false">IF($A17="N/A"," ",IF(T17&lt;&gt;0,IF('Pricing Inputs'!$AN$3=2,8*VLOOKUP($A17,NumberofDaysTable,4),(xSPRDOPT(M17,$E17,$BU17,0,$BP17,$BS17,$BT17,$A17-Inputs!$D$1,1,1))*(8*VLOOKUP($A17,NumberofDaysTable,4))),0))</f>
        <v>#NAME?</v>
      </c>
      <c r="AB17" s="282" t="e">
        <f aca="false">IF($A17="N/A"," ",IF(U17&lt;&gt;0,IF('Pricing Inputs'!$AN$3=2,8*VLOOKUP($A17,NumberofDaysTable,4),(xSPRDOPT(N17,$E17,$BU17,0,$BP17,$BS17,$BT17,$A17-Inputs!$D$1,1,1))*(8*VLOOKUP($A17,NumberofDaysTable,4))),0))</f>
        <v>#NAME?</v>
      </c>
      <c r="AC17" s="282" t="e">
        <f aca="false">IF($A17="N/A"," ",(IF(V17&lt;&gt;0,(8*VLOOKUP($A17,NumberofDaysTable,6)),0)))</f>
        <v>#N/A</v>
      </c>
      <c r="AD17" s="298" t="e">
        <f aca="false">IF($A17="N/A"," ",RANK(P17,$P$16:$V$27))</f>
        <v>#NAME?</v>
      </c>
      <c r="AE17" s="299" t="e">
        <f aca="false">IF($A17="N/A"," ",RANK(Q17,$P$16:$V$27))</f>
        <v>#NAME?</v>
      </c>
      <c r="AF17" s="299" t="e">
        <f aca="false">IF($A17="N/A"," ",RANK(R17,$P$16:$V$27))</f>
        <v>#NAME?</v>
      </c>
      <c r="AG17" s="299" t="e">
        <f aca="false">IF($A17="N/A"," ",RANK(S17,$P$16:$V$27))</f>
        <v>#NAME?</v>
      </c>
      <c r="AH17" s="299" t="e">
        <f aca="false">IF($A17="N/A"," ",RANK(T17,$P$16:$V$27))</f>
        <v>#NAME?</v>
      </c>
      <c r="AI17" s="299" t="e">
        <f aca="false">IF($A17="N/A"," ",RANK(U17,$P$16:$V$27))</f>
        <v>#NAME?</v>
      </c>
      <c r="AJ17" s="300" t="e">
        <f aca="false">IF($A17="N/A"," ",RANK(V17,$P$16:$V$27))</f>
        <v>#NAME?</v>
      </c>
      <c r="AK17" s="286" t="e">
        <f aca="false">IF($A17="N/A"," ",IF(AD17&lt;=$AJ$2,W17,0))</f>
        <v>#NAME?</v>
      </c>
      <c r="AL17" s="301" t="e">
        <f aca="false">IF($A17="N/A"," ",IF(AE17&lt;=$AJ$2,X17,0))</f>
        <v>#NAME?</v>
      </c>
      <c r="AM17" s="301" t="e">
        <f aca="false">IF($A17="N/A"," ",IF(AF17&lt;=$AJ$2,Y17,0))</f>
        <v>#NAME?</v>
      </c>
      <c r="AN17" s="301" t="e">
        <f aca="false">IF($A17="N/A"," ",IF(AG17&lt;=$AJ$2,Z17,0))</f>
        <v>#NAME?</v>
      </c>
      <c r="AO17" s="301" t="e">
        <f aca="false">IF($A17="N/A"," ",IF(AH17&lt;=$AJ$2,AA17,0))</f>
        <v>#NAME?</v>
      </c>
      <c r="AP17" s="301" t="e">
        <f aca="false">IF($A17="N/A"," ",IF(AI17&lt;=$AJ$2,AB17,0))</f>
        <v>#NAME?</v>
      </c>
      <c r="AQ17" s="301" t="e">
        <f aca="false">IF($A17="N/A"," ",IF(AJ17&lt;=$AJ$2,AC17,0))</f>
        <v>#NAME?</v>
      </c>
      <c r="AR17" s="299"/>
      <c r="AS17" s="288" t="e">
        <f aca="false">IF($A17="N/A"," ",IF(AND(AD17=$AJ$2+1,AK17=0),MIN($AR$27,W17),0))</f>
        <v>#NAME?</v>
      </c>
      <c r="AT17" s="302" t="e">
        <f aca="false">IF($A17="N/A"," ",IF(AND(AE17=$AJ$2+1,AL17=0),MIN($AR$27,X17),0))</f>
        <v>#NAME?</v>
      </c>
      <c r="AU17" s="302" t="e">
        <f aca="false">IF($A17="N/A"," ",IF(AND(AF17=$AJ$2+1,AM17=0),MIN($AR$27,Y17),0))</f>
        <v>#NAME?</v>
      </c>
      <c r="AV17" s="302" t="e">
        <f aca="false">IF($A17="N/A"," ",IF(AND(AG17=$AJ$2+1,AN17=0),MIN($AR$27,Z17),0))</f>
        <v>#NAME?</v>
      </c>
      <c r="AW17" s="302" t="e">
        <f aca="false">IF($A17="N/A"," ",IF(AND(AH17=$AJ$2+1,AO17=0),MIN($AR$27,AA17),0))</f>
        <v>#NAME?</v>
      </c>
      <c r="AX17" s="302" t="e">
        <f aca="false">IF($A17="N/A"," ",IF(AND(AI17=$AJ$2+1,AP17=0),MIN($AR$27,AB17),0))</f>
        <v>#NAME?</v>
      </c>
      <c r="AY17" s="302" t="e">
        <f aca="false">IF($A17="N/A"," ",IF(AND(AJ17=$AJ$2+1,AQ17=0),MIN($AR$27,AC17),0))</f>
        <v>#NAME?</v>
      </c>
      <c r="AZ17" s="316"/>
      <c r="BA17" s="291" t="n">
        <f aca="false">IF($A17="N/A"," ",(IF(MONTH(A17)&gt;=4,IF(MONTH(A17)&lt;=10,Inputs!$F$13,Inputs!$F$14),Inputs!$F$14))*$BW17)</f>
        <v>180</v>
      </c>
      <c r="BB17" s="292" t="e">
        <f aca="false">IF($A17="N/A"," ",(IF(AK17&gt;0,($BA17*(8*(VLOOKUP($A17,NumberofDaysTable,2)))*P17),0)+IF(AS17&gt;0,($BA17*((AS17))*P17),0)))</f>
        <v>#NAME?</v>
      </c>
      <c r="BC17" s="292" t="e">
        <f aca="false">IF($A17="N/A"," ",(IF(AL17&gt;0,($BA17*(8*(VLOOKUP($A17,NumberofDaysTable,2)))*Q17),0)+IF(AT17&gt;0,($BA17*((AT17))*Q17),0)))</f>
        <v>#NAME?</v>
      </c>
      <c r="BD17" s="292" t="e">
        <f aca="false">IF($A17="N/A"," ",(IF(AM17&gt;0,($BA17*(8*(VLOOKUP($A17,NumberofDaysTable,3)))*R17),0)+IF(AU17&gt;0,($BA17*((AU17))*R17),0)))</f>
        <v>#NAME?</v>
      </c>
      <c r="BE17" s="292" t="e">
        <f aca="false">IF($A17="N/A"," ",(IF(AN17&gt;0,($BA17*(8*(VLOOKUP($A17,NumberofDaysTable,3)))*S17),0)+IF(AV17&gt;0,($BA17*((AV17))*S17),0)))</f>
        <v>#NAME?</v>
      </c>
      <c r="BF17" s="292" t="e">
        <f aca="false">IF($A17="N/A"," ",(IF(AO17&gt;0,($BA17*(8*(VLOOKUP($A17,NumberofDaysTable,4)+VLOOKUP($A17,NumberofDaysTable,5)))*T17),0)+IF(AW17&gt;0,($BA17*((AW17))*T17),0)))</f>
        <v>#NAME?</v>
      </c>
      <c r="BG17" s="292" t="e">
        <f aca="false">IF($A17="N/A"," ",(IF(AP17&gt;0,($BA17*(8*(VLOOKUP($A17,NumberofDaysTable,4)+VLOOKUP($A17,NumberofDaysTable,5)))*U17),0)+IF(AX17&gt;0,($BA17*((AX17))*U17),0)))</f>
        <v>#NAME?</v>
      </c>
      <c r="BH17" s="292" t="e">
        <f aca="false">IF($A17="N/A"," ",($BA17*AQ17*V17))</f>
        <v>#NAME?</v>
      </c>
      <c r="BI17" s="292" t="e">
        <f aca="false">IF($A17="N/A"," ",SUM(BB17:BH17))</f>
        <v>#NAME?</v>
      </c>
      <c r="BJ17" s="293" t="e">
        <f aca="false">IF($A17="N/A"," ",(H17*(SUM(AK17:AQ17)+SUM(AS17:AY17))*BA17))</f>
        <v>#NAME?</v>
      </c>
      <c r="BK17" s="293" t="e">
        <f aca="false">IF($A17="N/A"," ",((C17*D17)*(SUM($AK17:$AQ17)+SUM($AS17:$AY17))*$BA17))</f>
        <v>#N/A</v>
      </c>
      <c r="BL17" s="293" t="e">
        <f aca="false">IF($A17="N/A"," ",(F17*(SUM($AK17:$AQ17)+SUM($AS17:$AY17))*$BA17))</f>
        <v>#NAME?</v>
      </c>
      <c r="BM17" s="293" t="e">
        <f aca="false">IF($A17="N/A"," ",(G17*(SUM($AK17:$AQ17)+SUM($AS17:$AY17))*$BA17))</f>
        <v>#NAME?</v>
      </c>
      <c r="BN17" s="294" t="n">
        <f aca="false">IF(A17="N/A"," ",(VLOOKUP(A17,PowerVolTable,(IF('Pricing Inputs'!$AT$3=2,7,IF('Pricing Inputs'!$AT$3=1,6,8))),FALSE())))</f>
        <v>0.2603</v>
      </c>
      <c r="BO17" s="294" t="n">
        <f aca="false">IF(A17="N/A"," ",(VLOOKUP(A17,IntraPowerVol,(IF('Pricing Inputs'!$AT$3=2,3,IF('Pricing Inputs'!$AT$3=1,2,4))),FALSE())*VLOOKUP(MONTH($A17),Inputs!$A$28:$B$39,2)))</f>
        <v>2.3</v>
      </c>
      <c r="BP17" s="295" t="n">
        <f aca="false">IF($A17="N/A"," ",(IF(DateToday&gt;$A17,$BO17,((($BN17^2)*((($A17-1)-DateToday)/((EOMONTH($A17,0)+1)-DateToday-15)))+((($BO17)^2)*((15)/((EOMONTH($A17,0)+1)-DateToday-15))))^0.5)))</f>
        <v>2.3</v>
      </c>
      <c r="BQ17" s="294" t="e">
        <f aca="false">IF($A17="N/A"," ",(VLOOKUP($A17,GasVolTable,(IF('Pricing Inputs'!$AT$3=2,6,IF('Pricing Inputs'!$AT$3=1,7,5))),FALSE())))</f>
        <v>#N/A</v>
      </c>
      <c r="BR17" s="294" t="e">
        <f aca="false">IF($A17="N/A"," ",(VLOOKUP($A17,OmicronVol,(IF('Pricing Inputs'!$AT$3=2,3,IF('Pricing Inputs'!$AT$3=1,4,2))),FALSE())))</f>
        <v>#N/A</v>
      </c>
      <c r="BS17" s="295" t="e">
        <f aca="false">IF($A17="N/A"," ",IF('Pricing Inputs'!$AN$3=1,(IF(DateToday&gt;$A17,$BR17,((($BQ17^2)*((($A17-1)-DateToday)/((EOMONTH($A17,0)+1)-DateToday-15)))+((($BR17)^2)*((15)/((EOMONTH($A17,0)+1)-DateToday-15))))^0.5)),0.0001))</f>
        <v>#N/A</v>
      </c>
      <c r="BT17" s="294" t="n">
        <f aca="false">IF($A17="N/A"," ",IF('Pricing Inputs'!$AN$3=1,(VLOOKUP($A17,CorrelationTable,2,FALSE())),0))</f>
        <v>0.9</v>
      </c>
      <c r="BU17" s="296" t="e">
        <f aca="false">IF($A17="N/A"," ",F17+G17+(D17*(VLOOKUP($A17,'Gas Curves'!$B$17:$P$310,14,FALSE()))))</f>
        <v>#N/A</v>
      </c>
      <c r="BV17" s="294" t="n">
        <f aca="false">IF($A17="N/A"," ",IF('Pricing Inputs'!$AW$3=1,0,(VLOOKUP($A17,InterestRatesTable,2))))</f>
        <v>0</v>
      </c>
      <c r="BW17" s="297" t="n">
        <f aca="false">IF($A17="N/A"," ",(1+BV17/2)^(-2*((EOMONTH(A17,0)+20)-DateToday)/365.25))</f>
        <v>1</v>
      </c>
    </row>
    <row r="18" customFormat="false" ht="12.75" hidden="false" customHeight="false" outlineLevel="0" collapsed="false">
      <c r="A18" s="272" t="n">
        <f aca="false">IF(A17="N/A","N/A",IF(EDATE(A17,1)&gt;Inputs!$K$3,"N/A",EDATE(A17,1)))</f>
        <v>37316</v>
      </c>
      <c r="B18" s="273" t="n">
        <f aca="false">IF(A18="N/A"," ",YEAR(A18))</f>
        <v>2002</v>
      </c>
      <c r="C18" s="274" t="e">
        <f aca="false">IF(A18="N/A"," ",VLOOKUP(A18,ScaledPrice,10))</f>
        <v>#N/A</v>
      </c>
      <c r="D18" s="275" t="n">
        <f aca="false">IF(A18="N/A"," ",(VLOOKUP(MONTH($A18),Inputs!$A$14:$B$25,2))/1000)</f>
        <v>10.5</v>
      </c>
      <c r="E18" s="276" t="e">
        <f aca="false">IF($A18="N/A"," ",C18*D18)</f>
        <v>#N/A</v>
      </c>
      <c r="F18" s="277" t="n">
        <f aca="false">IF(A18="N/A"," ",Inputs!$F$6)</f>
        <v>2</v>
      </c>
      <c r="G18" s="277" t="n">
        <f aca="false">IF(A18="N/A"," ",Inputs!$F$9/IF(AND('Pricing Inputs'!$AQ$3&gt;=4,'Pricing Inputs'!$AQ$3&lt;=6),16,IF(AND('Pricing Inputs'!$AQ$3&gt;=7,'Pricing Inputs'!$AQ$3&lt;=9),8,24))/(BA18/BW18))</f>
        <v>0</v>
      </c>
      <c r="H18" s="278" t="e">
        <f aca="false">IF(A18="N/A"," ",(C18*D18)+F18+G18)</f>
        <v>#N/A</v>
      </c>
      <c r="I18" s="279" t="n">
        <f aca="false">VLOOKUP(A18,ScaledPrice,(IF(AND('Pricing Inputs'!$AQ$3&gt;=1,'Pricing Inputs'!$AQ$3&lt;=6),2,4)))</f>
        <v>32.3073625</v>
      </c>
      <c r="J18" s="279" t="n">
        <f aca="false">IF(A18="N/A"," ",IF(AND('Pricing Inputs'!$AQ$3&gt;=1,'Pricing Inputs'!$AQ$3&lt;=6),I18,(VLOOKUP(A18,ScaledPrice,2))*(2-(VLOOKUP(A18,ScaledPrice,3)))))</f>
        <v>34.1926375</v>
      </c>
      <c r="K18" s="279" t="n">
        <f aca="false">IF(A18="N/A"," ",IF(OR('Pricing Inputs'!$AQ$3=2,'Pricing Inputs'!$AQ$3=3,'Pricing Inputs'!$AQ$3=5,'Pricing Inputs'!$AQ$3=6,'Pricing Inputs'!$AQ$3=8,'Pricing Inputs'!$AQ$3=9),VLOOKUP(A18,ScaledPrice,IF(AND('Pricing Inputs'!$AQ$3&gt;=2,'Pricing Inputs'!$AQ$3&lt;=6),5,6)),0))</f>
        <v>20.2440844520187</v>
      </c>
      <c r="L18" s="279" t="n">
        <f aca="false">IF(A18="N/A"," ",IF(OR('Pricing Inputs'!$AQ$3=2,'Pricing Inputs'!$AQ$3=3,'Pricing Inputs'!$AQ$3=5,'Pricing Inputs'!$AQ$3=6,'Pricing Inputs'!$AQ$3=8,'Pricing Inputs'!$AQ$3=9),IF(AND('Pricing Inputs'!$AQ$3&gt;=2,'Pricing Inputs'!$AQ$3&lt;=6),K18,(VLOOKUP(A18,ScaledPrice,5))*(2-(VLOOKUP(A18,ScaledPrice,3)))),0))</f>
        <v>21.4254147545242</v>
      </c>
      <c r="M18" s="279" t="n">
        <f aca="false">IF(A18="N/A"," ",IF(OR('Pricing Inputs'!$AQ$3=3,'Pricing Inputs'!$AQ$3=6,'Pricing Inputs'!$AQ$3=9),(VLOOKUP(A18,ScaledPrice,IF(AND('Pricing Inputs'!$AQ$3&gt;=3,'Pricing Inputs'!$AQ$3&lt;=6),7,8))),0))</f>
        <v>19.8843303575134</v>
      </c>
      <c r="N18" s="279" t="n">
        <f aca="false">IF(A18="N/A"," ",IF(OR('Pricing Inputs'!$AQ$3=3,'Pricing Inputs'!$AQ$3=6,'Pricing Inputs'!$AQ$3=9),IF(AND('Pricing Inputs'!$AQ$3&gt;=3,'Pricing Inputs'!$AQ$3&lt;=6),M18,(VLOOKUP(A18,ScaledPrice,7))*(2-(VLOOKUP(A18,ScaledPrice,3)))),0))</f>
        <v>21.044667445221</v>
      </c>
      <c r="O18" s="279" t="n">
        <f aca="false">IF(A18="N/A"," ",IF(AND('Pricing Inputs'!$AQ$3&gt;=1,'Pricing Inputs'!$AQ$3&lt;=3),VLOOKUP(A18,ScaledPrice,9),0))</f>
        <v>0</v>
      </c>
      <c r="P18" s="280" t="e">
        <f aca="false">IF($A18="N/A"," ",IF('Pricing Inputs'!$AN$8=2,(I18-H18),IF('Pricing Inputs'!$AN$3=2,IF((I18-$H18)&gt;0,I18-$H18,0),(xSPRDOPT(I18,$E18,$BU18,0,$BP18,$BS18,$BT18,($A18-Inputs!$D$1)+15,1,0)))))</f>
        <v>#NAME?</v>
      </c>
      <c r="Q18" s="280" t="e">
        <f aca="false">IF($A18="N/A"," ",IF('Pricing Inputs'!$AN$8=2,(J18-$H18),IF('Pricing Inputs'!$AN$3=2,IF((J18-$H18)&gt;0,J18-$H18,0),(xSPRDOPT(J18,$E18,$BU18,0,$BP18,$BS18,$BT18,($A18-Inputs!$D$1)+15,1,0)))))</f>
        <v>#NAME?</v>
      </c>
      <c r="R18" s="280" t="e">
        <f aca="false">IF($A18="N/A"," ",IF('Pricing Inputs'!$AN$8=2,(K18-$H18),IF('Pricing Inputs'!$AN$3=2,IF((K18-$H18)&gt;0,K18-$H18,0),(xSPRDOPT(K18,$E18,$BU18,0,$BP18,$BS18,$BT18,($A18-Inputs!$D$1)+15,1,0)))))</f>
        <v>#NAME?</v>
      </c>
      <c r="S18" s="280" t="e">
        <f aca="false">IF($A18="N/A"," ",IF('Pricing Inputs'!$AN$8=2,(L18-$H18),IF('Pricing Inputs'!$AN$3=2,IF((L18-$H18)&gt;0,L18-$H18,0),(xSPRDOPT(L18,$E18,$BU18,0,$BP18,$BS18,$BT18,($A18-Inputs!$D$1)+15,1,0)))))</f>
        <v>#NAME?</v>
      </c>
      <c r="T18" s="280" t="e">
        <f aca="false">IF($A18="N/A"," ",IF('Pricing Inputs'!$AN$8=2,(M18-$H18),IF('Pricing Inputs'!$AN$3=2,IF((M18-$H18)&gt;0,M18-$H18,0),(xSPRDOPT(M18,$E18,$BU18,0,$BP18,$BS18,$BT18,($A18-Inputs!$D$1)+15,1,0)))))</f>
        <v>#NAME?</v>
      </c>
      <c r="U18" s="280" t="e">
        <f aca="false">IF($A18="N/A"," ",IF('Pricing Inputs'!$AN$8=2,(N18-$H18),IF('Pricing Inputs'!$AN$3=2,IF((N18-$H18)&gt;0,N18-$H18,0),(xSPRDOPT(N18,$E18,$BU18,0,$BP18,$BS18,$BT18,($A18-Inputs!$D$1)+15,1,0)))))</f>
        <v>#NAME?</v>
      </c>
      <c r="V18" s="281" t="e">
        <f aca="false">IF($A18="N/A"," ",(IF('Pricing Inputs'!$AN$8=2,(O18-$H18),IF((O18-$H18)&lt;=0,0,(O18-$H18)))))</f>
        <v>#N/A</v>
      </c>
      <c r="W18" s="282" t="e">
        <f aca="false">IF($A18="N/A"," ",IF(0&lt;&gt;P18,IF('Pricing Inputs'!$AN$3=2,8*VLOOKUP($A18,NumberofDaysTable,2),(xSPRDOPT(I18,$E18,$BU18,0,$BP18,$BS18,$BT18,$A18-Inputs!$D$1,1,1))*(8*VLOOKUP($A18,NumberofDaysTable,2))),0))</f>
        <v>#NAME?</v>
      </c>
      <c r="X18" s="282" t="e">
        <f aca="false">IF($A18="N/A"," ",IF(Q18&lt;&gt;0,IF('Pricing Inputs'!$AN$3=2,8*VLOOKUP($A18,NumberofDaysTable,2),(xSPRDOPT(J18,$E18,$BU18,0,$BP18,$BS18,$BT18,$A18-Inputs!$D$1,1,1))*(8*VLOOKUP($A18,NumberofDaysTable,2))),0))</f>
        <v>#NAME?</v>
      </c>
      <c r="Y18" s="282" t="e">
        <f aca="false">IF($A18="N/A"," ",IF(R18&lt;&gt;0,IF('Pricing Inputs'!$AN$3=2,8*VLOOKUP($A18,NumberofDaysTable,3),(xSPRDOPT(K18,$E18,$BU18,0,$BP18,$BS18,$BT18,$A18-Inputs!$D$1,1,1))*(8*VLOOKUP($A18,NumberofDaysTable,3))),0))</f>
        <v>#NAME?</v>
      </c>
      <c r="Z18" s="282" t="e">
        <f aca="false">IF($A18="N/A"," ",IF(S18&lt;&gt;0,IF('Pricing Inputs'!$AN$3=2,8*VLOOKUP($A18,NumberofDaysTable,3),(xSPRDOPT(L18,$E18,$BU18,0,$BP18,$BS18,$BT18,$A18-Inputs!$D$1,1,1))*(8*VLOOKUP($A18,NumberofDaysTable,3))),0))</f>
        <v>#NAME?</v>
      </c>
      <c r="AA18" s="282" t="e">
        <f aca="false">IF($A18="N/A"," ",IF(T18&lt;&gt;0,IF('Pricing Inputs'!$AN$3=2,8*VLOOKUP($A18,NumberofDaysTable,4),(xSPRDOPT(M18,$E18,$BU18,0,$BP18,$BS18,$BT18,$A18-Inputs!$D$1,1,1))*(8*VLOOKUP($A18,NumberofDaysTable,4))),0))</f>
        <v>#NAME?</v>
      </c>
      <c r="AB18" s="282" t="e">
        <f aca="false">IF($A18="N/A"," ",IF(U18&lt;&gt;0,IF('Pricing Inputs'!$AN$3=2,8*VLOOKUP($A18,NumberofDaysTable,4),(xSPRDOPT(N18,$E18,$BU18,0,$BP18,$BS18,$BT18,$A18-Inputs!$D$1,1,1))*(8*VLOOKUP($A18,NumberofDaysTable,4))),0))</f>
        <v>#NAME?</v>
      </c>
      <c r="AC18" s="282" t="e">
        <f aca="false">IF($A18="N/A"," ",(IF(V18&lt;&gt;0,(8*VLOOKUP($A18,NumberofDaysTable,6)),0)))</f>
        <v>#N/A</v>
      </c>
      <c r="AD18" s="298" t="e">
        <f aca="false">IF($A18="N/A"," ",RANK(P18,$P$16:$V$27))</f>
        <v>#NAME?</v>
      </c>
      <c r="AE18" s="299" t="e">
        <f aca="false">IF($A18="N/A"," ",RANK(Q18,$P$16:$V$27))</f>
        <v>#NAME?</v>
      </c>
      <c r="AF18" s="299" t="e">
        <f aca="false">IF($A18="N/A"," ",RANK(R18,$P$16:$V$27))</f>
        <v>#NAME?</v>
      </c>
      <c r="AG18" s="299" t="e">
        <f aca="false">IF($A18="N/A"," ",RANK(S18,$P$16:$V$27))</f>
        <v>#NAME?</v>
      </c>
      <c r="AH18" s="299" t="e">
        <f aca="false">IF($A18="N/A"," ",RANK(T18,$P$16:$V$27))</f>
        <v>#NAME?</v>
      </c>
      <c r="AI18" s="299" t="e">
        <f aca="false">IF($A18="N/A"," ",RANK(U18,$P$16:$V$27))</f>
        <v>#NAME?</v>
      </c>
      <c r="AJ18" s="300" t="e">
        <f aca="false">IF($A18="N/A"," ",RANK(V18,$P$16:$V$27))</f>
        <v>#NAME?</v>
      </c>
      <c r="AK18" s="286" t="e">
        <f aca="false">IF($A18="N/A"," ",IF(AD18&lt;=$AJ$2,W18,0))</f>
        <v>#NAME?</v>
      </c>
      <c r="AL18" s="301" t="e">
        <f aca="false">IF($A18="N/A"," ",IF(AE18&lt;=$AJ$2,X18,0))</f>
        <v>#NAME?</v>
      </c>
      <c r="AM18" s="301" t="e">
        <f aca="false">IF($A18="N/A"," ",IF(AF18&lt;=$AJ$2,Y18,0))</f>
        <v>#NAME?</v>
      </c>
      <c r="AN18" s="301" t="e">
        <f aca="false">IF($A18="N/A"," ",IF(AG18&lt;=$AJ$2,Z18,0))</f>
        <v>#NAME?</v>
      </c>
      <c r="AO18" s="301" t="e">
        <f aca="false">IF($A18="N/A"," ",IF(AH18&lt;=$AJ$2,AA18,0))</f>
        <v>#NAME?</v>
      </c>
      <c r="AP18" s="301" t="e">
        <f aca="false">IF($A18="N/A"," ",IF(AI18&lt;=$AJ$2,AB18,0))</f>
        <v>#NAME?</v>
      </c>
      <c r="AQ18" s="301" t="e">
        <f aca="false">IF($A18="N/A"," ",IF(AJ18&lt;=$AJ$2,AC18,0))</f>
        <v>#NAME?</v>
      </c>
      <c r="AR18" s="299"/>
      <c r="AS18" s="288" t="e">
        <f aca="false">IF($A18="N/A"," ",IF(AND(AD18=$AJ$2+1,AK18=0),MIN($AR$27,W18),0))</f>
        <v>#NAME?</v>
      </c>
      <c r="AT18" s="302" t="e">
        <f aca="false">IF($A18="N/A"," ",IF(AND(AE18=$AJ$2+1,AL18=0),MIN($AR$27,X18),0))</f>
        <v>#NAME?</v>
      </c>
      <c r="AU18" s="302" t="e">
        <f aca="false">IF($A18="N/A"," ",IF(AND(AF18=$AJ$2+1,AM18=0),MIN($AR$27,Y18),0))</f>
        <v>#NAME?</v>
      </c>
      <c r="AV18" s="302" t="e">
        <f aca="false">IF($A18="N/A"," ",IF(AND(AG18=$AJ$2+1,AN18=0),MIN($AR$27,Z18),0))</f>
        <v>#NAME?</v>
      </c>
      <c r="AW18" s="302" t="e">
        <f aca="false">IF($A18="N/A"," ",IF(AND(AH18=$AJ$2+1,AO18=0),MIN($AR$27,AA18),0))</f>
        <v>#NAME?</v>
      </c>
      <c r="AX18" s="302" t="e">
        <f aca="false">IF($A18="N/A"," ",IF(AND(AI18=$AJ$2+1,AP18=0),MIN($AR$27,AB18),0))</f>
        <v>#NAME?</v>
      </c>
      <c r="AY18" s="302" t="e">
        <f aca="false">IF($A18="N/A"," ",IF(AND(AJ18=$AJ$2+1,AQ18=0),MIN($AR$27,AC18),0))</f>
        <v>#NAME?</v>
      </c>
      <c r="AZ18" s="316"/>
      <c r="BA18" s="291" t="n">
        <f aca="false">IF($A18="N/A"," ",(IF(MONTH(A18)&gt;=4,IF(MONTH(A18)&lt;=10,Inputs!$F$13,Inputs!$F$14),Inputs!$F$14))*$BW18)</f>
        <v>180</v>
      </c>
      <c r="BB18" s="292" t="e">
        <f aca="false">IF($A18="N/A"," ",(IF(AK18&gt;0,($BA18*(8*(VLOOKUP($A18,NumberofDaysTable,2)))*P18),0)+IF(AS18&gt;0,($BA18*((AS18))*P18),0)))</f>
        <v>#NAME?</v>
      </c>
      <c r="BC18" s="292" t="e">
        <f aca="false">IF($A18="N/A"," ",(IF(AL18&gt;0,($BA18*(8*(VLOOKUP($A18,NumberofDaysTable,2)))*Q18),0)+IF(AT18&gt;0,($BA18*((AT18))*Q18),0)))</f>
        <v>#NAME?</v>
      </c>
      <c r="BD18" s="292" t="e">
        <f aca="false">IF($A18="N/A"," ",(IF(AM18&gt;0,($BA18*(8*(VLOOKUP($A18,NumberofDaysTable,3)))*R18),0)+IF(AU18&gt;0,($BA18*((AU18))*R18),0)))</f>
        <v>#NAME?</v>
      </c>
      <c r="BE18" s="292" t="e">
        <f aca="false">IF($A18="N/A"," ",(IF(AN18&gt;0,($BA18*(8*(VLOOKUP($A18,NumberofDaysTable,3)))*S18),0)+IF(AV18&gt;0,($BA18*((AV18))*S18),0)))</f>
        <v>#NAME?</v>
      </c>
      <c r="BF18" s="292" t="e">
        <f aca="false">IF($A18="N/A"," ",(IF(AO18&gt;0,($BA18*(8*(VLOOKUP($A18,NumberofDaysTable,4)+VLOOKUP($A18,NumberofDaysTable,5)))*T18),0)+IF(AW18&gt;0,($BA18*((AW18))*T18),0)))</f>
        <v>#NAME?</v>
      </c>
      <c r="BG18" s="292" t="e">
        <f aca="false">IF($A18="N/A"," ",(IF(AP18&gt;0,($BA18*(8*(VLOOKUP($A18,NumberofDaysTable,4)+VLOOKUP($A18,NumberofDaysTable,5)))*U18),0)+IF(AX18&gt;0,($BA18*((AX18))*U18),0)))</f>
        <v>#NAME?</v>
      </c>
      <c r="BH18" s="292" t="e">
        <f aca="false">IF($A18="N/A"," ",($BA18*AQ18*V18))</f>
        <v>#NAME?</v>
      </c>
      <c r="BI18" s="292" t="e">
        <f aca="false">IF($A18="N/A"," ",SUM(BB18:BH18))</f>
        <v>#NAME?</v>
      </c>
      <c r="BJ18" s="293" t="e">
        <f aca="false">IF($A18="N/A"," ",(H18*(SUM(AK18:AQ18)+SUM(AS18:AY18))*BA18))</f>
        <v>#NAME?</v>
      </c>
      <c r="BK18" s="293" t="e">
        <f aca="false">IF($A18="N/A"," ",((C18*D18)*(SUM($AK18:$AQ18)+SUM($AS18:$AY18))*$BA18))</f>
        <v>#N/A</v>
      </c>
      <c r="BL18" s="293" t="e">
        <f aca="false">IF($A18="N/A"," ",(F18*(SUM($AK18:$AQ18)+SUM($AS18:$AY18))*$BA18))</f>
        <v>#NAME?</v>
      </c>
      <c r="BM18" s="293" t="e">
        <f aca="false">IF($A18="N/A"," ",(G18*(SUM($AK18:$AQ18)+SUM($AS18:$AY18))*$BA18))</f>
        <v>#NAME?</v>
      </c>
      <c r="BN18" s="294" t="n">
        <f aca="false">IF(A18="N/A"," ",(VLOOKUP(A18,PowerVolTable,(IF('Pricing Inputs'!$AT$3=2,7,IF('Pricing Inputs'!$AT$3=1,6,8))),FALSE())))</f>
        <v>0.25372125</v>
      </c>
      <c r="BO18" s="294" t="n">
        <f aca="false">IF(A18="N/A"," ",(VLOOKUP(A18,IntraPowerVol,(IF('Pricing Inputs'!$AT$3=2,3,IF('Pricing Inputs'!$AT$3=1,2,4))),FALSE())*VLOOKUP(MONTH($A18),Inputs!$A$28:$B$39,2)))</f>
        <v>1.495</v>
      </c>
      <c r="BP18" s="295" t="n">
        <f aca="false">IF($A18="N/A"," ",(IF(DateToday&gt;$A18,$BO18,((($BN18^2)*((($A18-1)-DateToday)/((EOMONTH($A18,0)+1)-DateToday-15)))+((($BO18)^2)*((15)/((EOMONTH($A18,0)+1)-DateToday-15))))^0.5)))</f>
        <v>1.495</v>
      </c>
      <c r="BQ18" s="294" t="e">
        <f aca="false">IF($A18="N/A"," ",(VLOOKUP($A18,GasVolTable,(IF('Pricing Inputs'!$AT$3=2,6,IF('Pricing Inputs'!$AT$3=1,7,5))),FALSE())))</f>
        <v>#N/A</v>
      </c>
      <c r="BR18" s="294" t="e">
        <f aca="false">IF($A18="N/A"," ",(VLOOKUP($A18,OmicronVol,(IF('Pricing Inputs'!$AT$3=2,3,IF('Pricing Inputs'!$AT$3=1,4,2))),FALSE())))</f>
        <v>#N/A</v>
      </c>
      <c r="BS18" s="295" t="e">
        <f aca="false">IF($A18="N/A"," ",IF('Pricing Inputs'!$AN$3=1,(IF(DateToday&gt;$A18,$BR18,((($BQ18^2)*((($A18-1)-DateToday)/((EOMONTH($A18,0)+1)-DateToday-15)))+((($BR18)^2)*((15)/((EOMONTH($A18,0)+1)-DateToday-15))))^0.5)),0.0001))</f>
        <v>#N/A</v>
      </c>
      <c r="BT18" s="294" t="n">
        <f aca="false">IF($A18="N/A"," ",IF('Pricing Inputs'!$AN$3=1,(VLOOKUP($A18,CorrelationTable,2,FALSE())),0))</f>
        <v>0.9</v>
      </c>
      <c r="BU18" s="296" t="e">
        <f aca="false">IF($A18="N/A"," ",F18+G18+(D18*(VLOOKUP($A18,'Gas Curves'!$B$17:$P$310,14,FALSE()))))</f>
        <v>#N/A</v>
      </c>
      <c r="BV18" s="294" t="n">
        <f aca="false">IF($A18="N/A"," ",IF('Pricing Inputs'!$AW$3=1,0,(VLOOKUP($A18,InterestRatesTable,2))))</f>
        <v>0</v>
      </c>
      <c r="BW18" s="297" t="n">
        <f aca="false">IF($A18="N/A"," ",(1+BV18/2)^(-2*((EOMONTH(A18,0)+20)-DateToday)/365.25))</f>
        <v>1</v>
      </c>
    </row>
    <row r="19" customFormat="false" ht="12.75" hidden="false" customHeight="false" outlineLevel="0" collapsed="false">
      <c r="A19" s="272" t="n">
        <f aca="false">IF(A18="N/A","N/A",IF(EDATE(A18,1)&gt;Inputs!$K$3,"N/A",EDATE(A18,1)))</f>
        <v>37347</v>
      </c>
      <c r="B19" s="273" t="n">
        <f aca="false">IF(A19="N/A"," ",YEAR(A19))</f>
        <v>2002</v>
      </c>
      <c r="C19" s="274" t="e">
        <f aca="false">IF(A19="N/A"," ",VLOOKUP(A19,ScaledPrice,10))</f>
        <v>#N/A</v>
      </c>
      <c r="D19" s="275" t="n">
        <f aca="false">IF(A19="N/A"," ",(VLOOKUP(MONTH($A19),Inputs!$A$14:$B$25,2))/1000)</f>
        <v>10.5</v>
      </c>
      <c r="E19" s="276" t="e">
        <f aca="false">IF($A19="N/A"," ",C19*D19)</f>
        <v>#N/A</v>
      </c>
      <c r="F19" s="277" t="n">
        <f aca="false">IF(A19="N/A"," ",Inputs!$F$6)</f>
        <v>2</v>
      </c>
      <c r="G19" s="277" t="n">
        <f aca="false">IF(A19="N/A"," ",Inputs!$F$9/IF(AND('Pricing Inputs'!$AQ$3&gt;=4,'Pricing Inputs'!$AQ$3&lt;=6),16,IF(AND('Pricing Inputs'!$AQ$3&gt;=7,'Pricing Inputs'!$AQ$3&lt;=9),8,24))/(BA19/BW19))</f>
        <v>0</v>
      </c>
      <c r="H19" s="278" t="e">
        <f aca="false">IF(A19="N/A"," ",(C19*D19)+F19+G19)</f>
        <v>#N/A</v>
      </c>
      <c r="I19" s="279" t="n">
        <f aca="false">VLOOKUP(A19,ScaledPrice,(IF(AND('Pricing Inputs'!$AQ$3&gt;=1,'Pricing Inputs'!$AQ$3&lt;=6),2,4)))</f>
        <v>29.5996483183966</v>
      </c>
      <c r="J19" s="279" t="n">
        <f aca="false">IF(A19="N/A"," ",IF(AND('Pricing Inputs'!$AQ$3&gt;=1,'Pricing Inputs'!$AQ$3&lt;=6),I19,(VLOOKUP(A19,ScaledPrice,2))*(2-(VLOOKUP(A19,ScaledPrice,3)))))</f>
        <v>34.4003516816034</v>
      </c>
      <c r="K19" s="279" t="n">
        <f aca="false">IF(A19="N/A"," ",IF(OR('Pricing Inputs'!$AQ$3=2,'Pricing Inputs'!$AQ$3=3,'Pricing Inputs'!$AQ$3=5,'Pricing Inputs'!$AQ$3=6,'Pricing Inputs'!$AQ$3=8,'Pricing Inputs'!$AQ$3=9),VLOOKUP(A19,ScaledPrice,IF(AND('Pricing Inputs'!$AQ$3&gt;=2,'Pricing Inputs'!$AQ$3&lt;=6),5,6)),0))</f>
        <v>19.9034513038811</v>
      </c>
      <c r="L19" s="279" t="n">
        <f aca="false">IF(A19="N/A"," ",IF(OR('Pricing Inputs'!$AQ$3=2,'Pricing Inputs'!$AQ$3=3,'Pricing Inputs'!$AQ$3=5,'Pricing Inputs'!$AQ$3=6,'Pricing Inputs'!$AQ$3=8,'Pricing Inputs'!$AQ$3=9),IF(AND('Pricing Inputs'!$AQ$3&gt;=2,'Pricing Inputs'!$AQ$3&lt;=6),K19,(VLOOKUP(A19,ScaledPrice,5))*(2-(VLOOKUP(A19,ScaledPrice,3)))),0))</f>
        <v>23.1315493064705</v>
      </c>
      <c r="M19" s="279" t="n">
        <f aca="false">IF(A19="N/A"," ",IF(OR('Pricing Inputs'!$AQ$3=3,'Pricing Inputs'!$AQ$3=6,'Pricing Inputs'!$AQ$3=9),(VLOOKUP(A19,ScaledPrice,IF(AND('Pricing Inputs'!$AQ$3&gt;=3,'Pricing Inputs'!$AQ$3&lt;=6),7,8))),0))</f>
        <v>18.7171517694834</v>
      </c>
      <c r="N19" s="279" t="n">
        <f aca="false">IF(A19="N/A"," ",IF(OR('Pricing Inputs'!$AQ$3=3,'Pricing Inputs'!$AQ$3=6,'Pricing Inputs'!$AQ$3=9),IF(AND('Pricing Inputs'!$AQ$3&gt;=3,'Pricing Inputs'!$AQ$3&lt;=6),M19,(VLOOKUP(A19,ScaledPrice,7))*(2-(VLOOKUP(A19,ScaledPrice,3)))),0))</f>
        <v>21.7528463994619</v>
      </c>
      <c r="O19" s="279" t="n">
        <f aca="false">IF(A19="N/A"," ",IF(AND('Pricing Inputs'!$AQ$3&gt;=1,'Pricing Inputs'!$AQ$3&lt;=3),VLOOKUP(A19,ScaledPrice,9),0))</f>
        <v>0</v>
      </c>
      <c r="P19" s="280" t="e">
        <f aca="false">IF($A19="N/A"," ",IF('Pricing Inputs'!$AN$8=2,(I19-H19),IF('Pricing Inputs'!$AN$3=2,IF((I19-$H19)&gt;0,I19-$H19,0),(xSPRDOPT(I19,$E19,$BU19,0,$BP19,$BS19,$BT19,($A19-Inputs!$D$1)+15,1,0)))))</f>
        <v>#NAME?</v>
      </c>
      <c r="Q19" s="280" t="e">
        <f aca="false">IF($A19="N/A"," ",IF('Pricing Inputs'!$AN$8=2,(J19-$H19),IF('Pricing Inputs'!$AN$3=2,IF((J19-$H19)&gt;0,J19-$H19,0),(xSPRDOPT(J19,$E19,$BU19,0,$BP19,$BS19,$BT19,($A19-Inputs!$D$1)+15,1,0)))))</f>
        <v>#NAME?</v>
      </c>
      <c r="R19" s="280" t="e">
        <f aca="false">IF($A19="N/A"," ",IF('Pricing Inputs'!$AN$8=2,(K19-$H19),IF('Pricing Inputs'!$AN$3=2,IF((K19-$H19)&gt;0,K19-$H19,0),(xSPRDOPT(K19,$E19,$BU19,0,$BP19,$BS19,$BT19,($A19-Inputs!$D$1)+15,1,0)))))</f>
        <v>#NAME?</v>
      </c>
      <c r="S19" s="280" t="e">
        <f aca="false">IF($A19="N/A"," ",IF('Pricing Inputs'!$AN$8=2,(L19-$H19),IF('Pricing Inputs'!$AN$3=2,IF((L19-$H19)&gt;0,L19-$H19,0),(xSPRDOPT(L19,$E19,$BU19,0,$BP19,$BS19,$BT19,($A19-Inputs!$D$1)+15,1,0)))))</f>
        <v>#NAME?</v>
      </c>
      <c r="T19" s="280" t="e">
        <f aca="false">IF($A19="N/A"," ",IF('Pricing Inputs'!$AN$8=2,(M19-$H19),IF('Pricing Inputs'!$AN$3=2,IF((M19-$H19)&gt;0,M19-$H19,0),(xSPRDOPT(M19,$E19,$BU19,0,$BP19,$BS19,$BT19,($A19-Inputs!$D$1)+15,1,0)))))</f>
        <v>#NAME?</v>
      </c>
      <c r="U19" s="280" t="e">
        <f aca="false">IF($A19="N/A"," ",IF('Pricing Inputs'!$AN$8=2,(N19-$H19),IF('Pricing Inputs'!$AN$3=2,IF((N19-$H19)&gt;0,N19-$H19,0),(xSPRDOPT(N19,$E19,$BU19,0,$BP19,$BS19,$BT19,($A19-Inputs!$D$1)+15,1,0)))))</f>
        <v>#NAME?</v>
      </c>
      <c r="V19" s="281" t="e">
        <f aca="false">IF($A19="N/A"," ",(IF('Pricing Inputs'!$AN$8=2,(O19-$H19),IF((O19-$H19)&lt;=0,0,(O19-$H19)))))</f>
        <v>#N/A</v>
      </c>
      <c r="W19" s="282" t="e">
        <f aca="false">IF($A19="N/A"," ",IF(0&lt;&gt;P19,IF('Pricing Inputs'!$AN$3=2,8*VLOOKUP($A19,NumberofDaysTable,2),(xSPRDOPT(I19,$E19,$BU19,0,$BP19,$BS19,$BT19,$A19-Inputs!$D$1,1,1))*(8*VLOOKUP($A19,NumberofDaysTable,2))),0))</f>
        <v>#NAME?</v>
      </c>
      <c r="X19" s="282" t="e">
        <f aca="false">IF($A19="N/A"," ",IF(Q19&lt;&gt;0,IF('Pricing Inputs'!$AN$3=2,8*VLOOKUP($A19,NumberofDaysTable,2),(xSPRDOPT(J19,$E19,$BU19,0,$BP19,$BS19,$BT19,$A19-Inputs!$D$1,1,1))*(8*VLOOKUP($A19,NumberofDaysTable,2))),0))</f>
        <v>#NAME?</v>
      </c>
      <c r="Y19" s="282" t="e">
        <f aca="false">IF($A19="N/A"," ",IF(R19&lt;&gt;0,IF('Pricing Inputs'!$AN$3=2,8*VLOOKUP($A19,NumberofDaysTable,3),(xSPRDOPT(K19,$E19,$BU19,0,$BP19,$BS19,$BT19,$A19-Inputs!$D$1,1,1))*(8*VLOOKUP($A19,NumberofDaysTable,3))),0))</f>
        <v>#NAME?</v>
      </c>
      <c r="Z19" s="282" t="e">
        <f aca="false">IF($A19="N/A"," ",IF(S19&lt;&gt;0,IF('Pricing Inputs'!$AN$3=2,8*VLOOKUP($A19,NumberofDaysTable,3),(xSPRDOPT(L19,$E19,$BU19,0,$BP19,$BS19,$BT19,$A19-Inputs!$D$1,1,1))*(8*VLOOKUP($A19,NumberofDaysTable,3))),0))</f>
        <v>#NAME?</v>
      </c>
      <c r="AA19" s="282" t="e">
        <f aca="false">IF($A19="N/A"," ",IF(T19&lt;&gt;0,IF('Pricing Inputs'!$AN$3=2,8*VLOOKUP($A19,NumberofDaysTable,4),(xSPRDOPT(M19,$E19,$BU19,0,$BP19,$BS19,$BT19,$A19-Inputs!$D$1,1,1))*(8*VLOOKUP($A19,NumberofDaysTable,4))),0))</f>
        <v>#NAME?</v>
      </c>
      <c r="AB19" s="282" t="e">
        <f aca="false">IF($A19="N/A"," ",IF(U19&lt;&gt;0,IF('Pricing Inputs'!$AN$3=2,8*VLOOKUP($A19,NumberofDaysTable,4),(xSPRDOPT(N19,$E19,$BU19,0,$BP19,$BS19,$BT19,$A19-Inputs!$D$1,1,1))*(8*VLOOKUP($A19,NumberofDaysTable,4))),0))</f>
        <v>#NAME?</v>
      </c>
      <c r="AC19" s="282" t="e">
        <f aca="false">IF($A19="N/A"," ",(IF(V19&lt;&gt;0,(8*VLOOKUP($A19,NumberofDaysTable,6)),0)))</f>
        <v>#N/A</v>
      </c>
      <c r="AD19" s="298" t="e">
        <f aca="false">IF($A19="N/A"," ",RANK(P19,$P$16:$V$27))</f>
        <v>#NAME?</v>
      </c>
      <c r="AE19" s="299" t="e">
        <f aca="false">IF($A19="N/A"," ",RANK(Q19,$P$16:$V$27))</f>
        <v>#NAME?</v>
      </c>
      <c r="AF19" s="299" t="e">
        <f aca="false">IF($A19="N/A"," ",RANK(R19,$P$16:$V$27))</f>
        <v>#NAME?</v>
      </c>
      <c r="AG19" s="299" t="e">
        <f aca="false">IF($A19="N/A"," ",RANK(S19,$P$16:$V$27))</f>
        <v>#NAME?</v>
      </c>
      <c r="AH19" s="299" t="e">
        <f aca="false">IF($A19="N/A"," ",RANK(T19,$P$16:$V$27))</f>
        <v>#NAME?</v>
      </c>
      <c r="AI19" s="299" t="e">
        <f aca="false">IF($A19="N/A"," ",RANK(U19,$P$16:$V$27))</f>
        <v>#NAME?</v>
      </c>
      <c r="AJ19" s="300" t="e">
        <f aca="false">IF($A19="N/A"," ",RANK(V19,$P$16:$V$27))</f>
        <v>#NAME?</v>
      </c>
      <c r="AK19" s="286" t="e">
        <f aca="false">IF($A19="N/A"," ",IF(AD19&lt;=$AJ$2,W19,0))</f>
        <v>#NAME?</v>
      </c>
      <c r="AL19" s="301" t="e">
        <f aca="false">IF($A19="N/A"," ",IF(AE19&lt;=$AJ$2,X19,0))</f>
        <v>#NAME?</v>
      </c>
      <c r="AM19" s="301" t="e">
        <f aca="false">IF($A19="N/A"," ",IF(AF19&lt;=$AJ$2,Y19,0))</f>
        <v>#NAME?</v>
      </c>
      <c r="AN19" s="301" t="e">
        <f aca="false">IF($A19="N/A"," ",IF(AG19&lt;=$AJ$2,Z19,0))</f>
        <v>#NAME?</v>
      </c>
      <c r="AO19" s="301" t="e">
        <f aca="false">IF($A19="N/A"," ",IF(AH19&lt;=$AJ$2,AA19,0))</f>
        <v>#NAME?</v>
      </c>
      <c r="AP19" s="301" t="e">
        <f aca="false">IF($A19="N/A"," ",IF(AI19&lt;=$AJ$2,AB19,0))</f>
        <v>#NAME?</v>
      </c>
      <c r="AQ19" s="301" t="e">
        <f aca="false">IF($A19="N/A"," ",IF(AJ19&lt;=$AJ$2,AC19,0))</f>
        <v>#NAME?</v>
      </c>
      <c r="AR19" s="299"/>
      <c r="AS19" s="288" t="e">
        <f aca="false">IF($A19="N/A"," ",IF(AND(AD19=$AJ$2+1,AK19=0),MIN($AR$27,W19),0))</f>
        <v>#NAME?</v>
      </c>
      <c r="AT19" s="302" t="e">
        <f aca="false">IF($A19="N/A"," ",IF(AND(AE19=$AJ$2+1,AL19=0),MIN($AR$27,X19),0))</f>
        <v>#NAME?</v>
      </c>
      <c r="AU19" s="302" t="e">
        <f aca="false">IF($A19="N/A"," ",IF(AND(AF19=$AJ$2+1,AM19=0),MIN($AR$27,Y19),0))</f>
        <v>#NAME?</v>
      </c>
      <c r="AV19" s="302" t="e">
        <f aca="false">IF($A19="N/A"," ",IF(AND(AG19=$AJ$2+1,AN19=0),MIN($AR$27,Z19),0))</f>
        <v>#NAME?</v>
      </c>
      <c r="AW19" s="302" t="e">
        <f aca="false">IF($A19="N/A"," ",IF(AND(AH19=$AJ$2+1,AO19=0),MIN($AR$27,AA19),0))</f>
        <v>#NAME?</v>
      </c>
      <c r="AX19" s="302" t="e">
        <f aca="false">IF($A19="N/A"," ",IF(AND(AI19=$AJ$2+1,AP19=0),MIN($AR$27,AB19),0))</f>
        <v>#NAME?</v>
      </c>
      <c r="AY19" s="302" t="e">
        <f aca="false">IF($A19="N/A"," ",IF(AND(AJ19=$AJ$2+1,AQ19=0),MIN($AR$27,AC19),0))</f>
        <v>#NAME?</v>
      </c>
      <c r="AZ19" s="316"/>
      <c r="BA19" s="291" t="n">
        <f aca="false">IF($A19="N/A"," ",(IF(MONTH(A19)&gt;=4,IF(MONTH(A19)&lt;=10,Inputs!$F$13,Inputs!$F$14),Inputs!$F$14))*$BW19)</f>
        <v>180</v>
      </c>
      <c r="BB19" s="292" t="e">
        <f aca="false">IF($A19="N/A"," ",(IF(AK19&gt;0,($BA19*(8*(VLOOKUP($A19,NumberofDaysTable,2)))*P19),0)+IF(AS19&gt;0,($BA19*((AS19))*P19),0)))</f>
        <v>#NAME?</v>
      </c>
      <c r="BC19" s="292" t="e">
        <f aca="false">IF($A19="N/A"," ",(IF(AL19&gt;0,($BA19*(8*(VLOOKUP($A19,NumberofDaysTable,2)))*Q19),0)+IF(AT19&gt;0,($BA19*((AT19))*Q19),0)))</f>
        <v>#NAME?</v>
      </c>
      <c r="BD19" s="292" t="e">
        <f aca="false">IF($A19="N/A"," ",(IF(AM19&gt;0,($BA19*(8*(VLOOKUP($A19,NumberofDaysTable,3)))*R19),0)+IF(AU19&gt;0,($BA19*((AU19))*R19),0)))</f>
        <v>#NAME?</v>
      </c>
      <c r="BE19" s="292" t="e">
        <f aca="false">IF($A19="N/A"," ",(IF(AN19&gt;0,($BA19*(8*(VLOOKUP($A19,NumberofDaysTable,3)))*S19),0)+IF(AV19&gt;0,($BA19*((AV19))*S19),0)))</f>
        <v>#NAME?</v>
      </c>
      <c r="BF19" s="292" t="e">
        <f aca="false">IF($A19="N/A"," ",(IF(AO19&gt;0,($BA19*(8*(VLOOKUP($A19,NumberofDaysTable,4)+VLOOKUP($A19,NumberofDaysTable,5)))*T19),0)+IF(AW19&gt;0,($BA19*((AW19))*T19),0)))</f>
        <v>#NAME?</v>
      </c>
      <c r="BG19" s="292" t="e">
        <f aca="false">IF($A19="N/A"," ",(IF(AP19&gt;0,($BA19*(8*(VLOOKUP($A19,NumberofDaysTable,4)+VLOOKUP($A19,NumberofDaysTable,5)))*U19),0)+IF(AX19&gt;0,($BA19*((AX19))*U19),0)))</f>
        <v>#NAME?</v>
      </c>
      <c r="BH19" s="292" t="e">
        <f aca="false">IF($A19="N/A"," ",($BA19*AQ19*V19))</f>
        <v>#NAME?</v>
      </c>
      <c r="BI19" s="292" t="e">
        <f aca="false">IF($A19="N/A"," ",SUM(BB19:BH19))</f>
        <v>#NAME?</v>
      </c>
      <c r="BJ19" s="293" t="e">
        <f aca="false">IF($A19="N/A"," ",(H19*(SUM(AK19:AQ19)+SUM(AS19:AY19))*BA19))</f>
        <v>#NAME?</v>
      </c>
      <c r="BK19" s="293" t="e">
        <f aca="false">IF($A19="N/A"," ",((C19*D19)*(SUM($AK19:$AQ19)+SUM($AS19:$AY19))*$BA19))</f>
        <v>#N/A</v>
      </c>
      <c r="BL19" s="293" t="e">
        <f aca="false">IF($A19="N/A"," ",(F19*(SUM($AK19:$AQ19)+SUM($AS19:$AY19))*$BA19))</f>
        <v>#NAME?</v>
      </c>
      <c r="BM19" s="293" t="e">
        <f aca="false">IF($A19="N/A"," ",(G19*(SUM($AK19:$AQ19)+SUM($AS19:$AY19))*$BA19))</f>
        <v>#NAME?</v>
      </c>
      <c r="BN19" s="294" t="n">
        <f aca="false">IF(A19="N/A"," ",(VLOOKUP(A19,PowerVolTable,(IF('Pricing Inputs'!$AT$3=2,7,IF('Pricing Inputs'!$AT$3=1,6,8))),FALSE())))</f>
        <v>0.2261475</v>
      </c>
      <c r="BO19" s="294" t="n">
        <f aca="false">IF(A19="N/A"," ",(VLOOKUP(A19,IntraPowerVol,(IF('Pricing Inputs'!$AT$3=2,3,IF('Pricing Inputs'!$AT$3=1,2,4))),FALSE())*VLOOKUP(MONTH($A19),Inputs!$A$28:$B$39,2)))</f>
        <v>1.265</v>
      </c>
      <c r="BP19" s="295" t="n">
        <f aca="false">IF($A19="N/A"," ",(IF(DateToday&gt;$A19,$BO19,((($BN19^2)*((($A19-1)-DateToday)/((EOMONTH($A19,0)+1)-DateToday-15)))+((($BO19)^2)*((15)/((EOMONTH($A19,0)+1)-DateToday-15))))^0.5)))</f>
        <v>1.265</v>
      </c>
      <c r="BQ19" s="294" t="e">
        <f aca="false">IF($A19="N/A"," ",(VLOOKUP($A19,GasVolTable,(IF('Pricing Inputs'!$AT$3=2,6,IF('Pricing Inputs'!$AT$3=1,7,5))),FALSE())))</f>
        <v>#N/A</v>
      </c>
      <c r="BR19" s="294" t="e">
        <f aca="false">IF($A19="N/A"," ",(VLOOKUP($A19,OmicronVol,(IF('Pricing Inputs'!$AT$3=2,3,IF('Pricing Inputs'!$AT$3=1,4,2))),FALSE())))</f>
        <v>#N/A</v>
      </c>
      <c r="BS19" s="295" t="e">
        <f aca="false">IF($A19="N/A"," ",IF('Pricing Inputs'!$AN$3=1,(IF(DateToday&gt;$A19,$BR19,((($BQ19^2)*((($A19-1)-DateToday)/((EOMONTH($A19,0)+1)-DateToday-15)))+((($BR19)^2)*((15)/((EOMONTH($A19,0)+1)-DateToday-15))))^0.5)),0.0001))</f>
        <v>#N/A</v>
      </c>
      <c r="BT19" s="294" t="n">
        <f aca="false">IF($A19="N/A"," ",IF('Pricing Inputs'!$AN$3=1,(VLOOKUP($A19,CorrelationTable,2,FALSE())),0))</f>
        <v>0.9</v>
      </c>
      <c r="BU19" s="296" t="e">
        <f aca="false">IF($A19="N/A"," ",F19+G19+(D19*(VLOOKUP($A19,'Gas Curves'!$B$17:$P$310,14,FALSE()))))</f>
        <v>#N/A</v>
      </c>
      <c r="BV19" s="294" t="n">
        <f aca="false">IF($A19="N/A"," ",IF('Pricing Inputs'!$AW$3=1,0,(VLOOKUP($A19,InterestRatesTable,2))))</f>
        <v>0</v>
      </c>
      <c r="BW19" s="297" t="n">
        <f aca="false">IF($A19="N/A"," ",(1+BV19/2)^(-2*((EOMONTH(A19,0)+20)-DateToday)/365.25))</f>
        <v>1</v>
      </c>
    </row>
    <row r="20" customFormat="false" ht="12.75" hidden="false" customHeight="false" outlineLevel="0" collapsed="false">
      <c r="A20" s="272" t="n">
        <f aca="false">IF(A19="N/A","N/A",IF(EDATE(A19,1)&gt;Inputs!$K$3,"N/A",EDATE(A19,1)))</f>
        <v>37377</v>
      </c>
      <c r="B20" s="273" t="n">
        <f aca="false">IF(A20="N/A"," ",YEAR(A20))</f>
        <v>2002</v>
      </c>
      <c r="C20" s="274" t="e">
        <f aca="false">IF(A20="N/A"," ",VLOOKUP(A20,ScaledPrice,10))</f>
        <v>#N/A</v>
      </c>
      <c r="D20" s="275" t="n">
        <f aca="false">IF(A20="N/A"," ",(VLOOKUP(MONTH($A20),Inputs!$A$14:$B$25,2))/1000)</f>
        <v>10.5</v>
      </c>
      <c r="E20" s="276" t="e">
        <f aca="false">IF($A20="N/A"," ",C20*D20)</f>
        <v>#N/A</v>
      </c>
      <c r="F20" s="277" t="n">
        <f aca="false">IF(A20="N/A"," ",Inputs!$F$6)</f>
        <v>2</v>
      </c>
      <c r="G20" s="277" t="n">
        <f aca="false">IF(A20="N/A"," ",Inputs!$F$9/IF(AND('Pricing Inputs'!$AQ$3&gt;=4,'Pricing Inputs'!$AQ$3&lt;=6),16,IF(AND('Pricing Inputs'!$AQ$3&gt;=7,'Pricing Inputs'!$AQ$3&lt;=9),8,24))/(BA20/BW20))</f>
        <v>0</v>
      </c>
      <c r="H20" s="278" t="e">
        <f aca="false">IF(A20="N/A"," ",(C20*D20)+F20+G20)</f>
        <v>#N/A</v>
      </c>
      <c r="I20" s="279" t="n">
        <f aca="false">VLOOKUP(A20,ScaledPrice,(IF(AND('Pricing Inputs'!$AQ$3&gt;=1,'Pricing Inputs'!$AQ$3&lt;=6),2,4)))</f>
        <v>33.0600857052272</v>
      </c>
      <c r="J20" s="279" t="n">
        <f aca="false">IF(A20="N/A"," ",IF(AND('Pricing Inputs'!$AQ$3&gt;=1,'Pricing Inputs'!$AQ$3&lt;=6),I20,(VLOOKUP(A20,ScaledPrice,2))*(2-(VLOOKUP(A20,ScaledPrice,3)))))</f>
        <v>34.9399142947728</v>
      </c>
      <c r="K20" s="279" t="n">
        <f aca="false">IF(A20="N/A"," ",IF(OR('Pricing Inputs'!$AQ$3=2,'Pricing Inputs'!$AQ$3=3,'Pricing Inputs'!$AQ$3=5,'Pricing Inputs'!$AQ$3=6,'Pricing Inputs'!$AQ$3=8,'Pricing Inputs'!$AQ$3=9),VLOOKUP(A20,ScaledPrice,IF(AND('Pricing Inputs'!$AQ$3&gt;=2,'Pricing Inputs'!$AQ$3&lt;=6),5,6)),0))</f>
        <v>21.0344796041356</v>
      </c>
      <c r="L20" s="279" t="n">
        <f aca="false">IF(A20="N/A"," ",IF(OR('Pricing Inputs'!$AQ$3=2,'Pricing Inputs'!$AQ$3=3,'Pricing Inputs'!$AQ$3=5,'Pricing Inputs'!$AQ$3=6,'Pricing Inputs'!$AQ$3=8,'Pricing Inputs'!$AQ$3=9),IF(AND('Pricing Inputs'!$AQ$3&gt;=2,'Pricing Inputs'!$AQ$3&lt;=6),K20,(VLOOKUP(A20,ScaledPrice,5))*(2-(VLOOKUP(A20,ScaledPrice,3)))),0))</f>
        <v>22.2305205484523</v>
      </c>
      <c r="M20" s="279" t="n">
        <f aca="false">IF(A20="N/A"," ",IF(OR('Pricing Inputs'!$AQ$3=3,'Pricing Inputs'!$AQ$3=6,'Pricing Inputs'!$AQ$3=9),(VLOOKUP(A20,ScaledPrice,IF(AND('Pricing Inputs'!$AQ$3&gt;=3,'Pricing Inputs'!$AQ$3&lt;=6),7,8))),0))</f>
        <v>20.190960944182</v>
      </c>
      <c r="N20" s="279" t="n">
        <f aca="false">IF(A20="N/A"," ",IF(OR('Pricing Inputs'!$AQ$3=3,'Pricing Inputs'!$AQ$3=6,'Pricing Inputs'!$AQ$3=9),IF(AND('Pricing Inputs'!$AQ$3&gt;=3,'Pricing Inputs'!$AQ$3&lt;=6),M20,(VLOOKUP(A20,ScaledPrice,7))*(2-(VLOOKUP(A20,ScaledPrice,3)))),0))</f>
        <v>21.3390385980543</v>
      </c>
      <c r="O20" s="279" t="n">
        <f aca="false">IF(A20="N/A"," ",IF(AND('Pricing Inputs'!$AQ$3&gt;=1,'Pricing Inputs'!$AQ$3&lt;=3),VLOOKUP(A20,ScaledPrice,9),0))</f>
        <v>0</v>
      </c>
      <c r="P20" s="280" t="e">
        <f aca="false">IF($A20="N/A"," ",IF('Pricing Inputs'!$AN$8=2,(I20-H20),IF('Pricing Inputs'!$AN$3=2,IF((I20-$H20)&gt;0,I20-$H20,0),(xSPRDOPT(I20,$E20,$BU20,0,$BP20,$BS20,$BT20,($A20-Inputs!$D$1)+15,1,0)))))</f>
        <v>#NAME?</v>
      </c>
      <c r="Q20" s="280" t="e">
        <f aca="false">IF($A20="N/A"," ",IF('Pricing Inputs'!$AN$8=2,(J20-$H20),IF('Pricing Inputs'!$AN$3=2,IF((J20-$H20)&gt;0,J20-$H20,0),(xSPRDOPT(J20,$E20,$BU20,0,$BP20,$BS20,$BT20,($A20-Inputs!$D$1)+15,1,0)))))</f>
        <v>#NAME?</v>
      </c>
      <c r="R20" s="280" t="e">
        <f aca="false">IF($A20="N/A"," ",IF('Pricing Inputs'!$AN$8=2,(K20-$H20),IF('Pricing Inputs'!$AN$3=2,IF((K20-$H20)&gt;0,K20-$H20,0),(xSPRDOPT(K20,$E20,$BU20,0,$BP20,$BS20,$BT20,($A20-Inputs!$D$1)+15,1,0)))))</f>
        <v>#NAME?</v>
      </c>
      <c r="S20" s="280" t="e">
        <f aca="false">IF($A20="N/A"," ",IF('Pricing Inputs'!$AN$8=2,(L20-$H20),IF('Pricing Inputs'!$AN$3=2,IF((L20-$H20)&gt;0,L20-$H20,0),(xSPRDOPT(L20,$E20,$BU20,0,$BP20,$BS20,$BT20,($A20-Inputs!$D$1)+15,1,0)))))</f>
        <v>#NAME?</v>
      </c>
      <c r="T20" s="280" t="e">
        <f aca="false">IF($A20="N/A"," ",IF('Pricing Inputs'!$AN$8=2,(M20-$H20),IF('Pricing Inputs'!$AN$3=2,IF((M20-$H20)&gt;0,M20-$H20,0),(xSPRDOPT(M20,$E20,$BU20,0,$BP20,$BS20,$BT20,($A20-Inputs!$D$1)+15,1,0)))))</f>
        <v>#NAME?</v>
      </c>
      <c r="U20" s="280" t="e">
        <f aca="false">IF($A20="N/A"," ",IF('Pricing Inputs'!$AN$8=2,(N20-$H20),IF('Pricing Inputs'!$AN$3=2,IF((N20-$H20)&gt;0,N20-$H20,0),(xSPRDOPT(N20,$E20,$BU20,0,$BP20,$BS20,$BT20,($A20-Inputs!$D$1)+15,1,0)))))</f>
        <v>#NAME?</v>
      </c>
      <c r="V20" s="281" t="e">
        <f aca="false">IF($A20="N/A"," ",(IF('Pricing Inputs'!$AN$8=2,(O20-$H20),IF((O20-$H20)&lt;=0,0,(O20-$H20)))))</f>
        <v>#N/A</v>
      </c>
      <c r="W20" s="282" t="e">
        <f aca="false">IF($A20="N/A"," ",IF(0&lt;&gt;P20,IF('Pricing Inputs'!$AN$3=2,8*VLOOKUP($A20,NumberofDaysTable,2),(xSPRDOPT(I20,$E20,$BU20,0,$BP20,$BS20,$BT20,$A20-Inputs!$D$1,1,1))*(8*VLOOKUP($A20,NumberofDaysTable,2))),0))</f>
        <v>#NAME?</v>
      </c>
      <c r="X20" s="282" t="e">
        <f aca="false">IF($A20="N/A"," ",IF(Q20&lt;&gt;0,IF('Pricing Inputs'!$AN$3=2,8*VLOOKUP($A20,NumberofDaysTable,2),(xSPRDOPT(J20,$E20,$BU20,0,$BP20,$BS20,$BT20,$A20-Inputs!$D$1,1,1))*(8*VLOOKUP($A20,NumberofDaysTable,2))),0))</f>
        <v>#NAME?</v>
      </c>
      <c r="Y20" s="282" t="e">
        <f aca="false">IF($A20="N/A"," ",IF(R20&lt;&gt;0,IF('Pricing Inputs'!$AN$3=2,8*VLOOKUP($A20,NumberofDaysTable,3),(xSPRDOPT(K20,$E20,$BU20,0,$BP20,$BS20,$BT20,$A20-Inputs!$D$1,1,1))*(8*VLOOKUP($A20,NumberofDaysTable,3))),0))</f>
        <v>#NAME?</v>
      </c>
      <c r="Z20" s="282" t="e">
        <f aca="false">IF($A20="N/A"," ",IF(S20&lt;&gt;0,IF('Pricing Inputs'!$AN$3=2,8*VLOOKUP($A20,NumberofDaysTable,3),(xSPRDOPT(L20,$E20,$BU20,0,$BP20,$BS20,$BT20,$A20-Inputs!$D$1,1,1))*(8*VLOOKUP($A20,NumberofDaysTable,3))),0))</f>
        <v>#NAME?</v>
      </c>
      <c r="AA20" s="282" t="e">
        <f aca="false">IF($A20="N/A"," ",IF(T20&lt;&gt;0,IF('Pricing Inputs'!$AN$3=2,8*VLOOKUP($A20,NumberofDaysTable,4),(xSPRDOPT(M20,$E20,$BU20,0,$BP20,$BS20,$BT20,$A20-Inputs!$D$1,1,1))*(8*VLOOKUP($A20,NumberofDaysTable,4))),0))</f>
        <v>#NAME?</v>
      </c>
      <c r="AB20" s="282" t="e">
        <f aca="false">IF($A20="N/A"," ",IF(U20&lt;&gt;0,IF('Pricing Inputs'!$AN$3=2,8*VLOOKUP($A20,NumberofDaysTable,4),(xSPRDOPT(N20,$E20,$BU20,0,$BP20,$BS20,$BT20,$A20-Inputs!$D$1,1,1))*(8*VLOOKUP($A20,NumberofDaysTable,4))),0))</f>
        <v>#NAME?</v>
      </c>
      <c r="AC20" s="282" t="e">
        <f aca="false">IF($A20="N/A"," ",(IF(V20&lt;&gt;0,(8*VLOOKUP($A20,NumberofDaysTable,6)),0)))</f>
        <v>#N/A</v>
      </c>
      <c r="AD20" s="298" t="e">
        <f aca="false">IF($A20="N/A"," ",RANK(P20,$P$16:$V$27))</f>
        <v>#NAME?</v>
      </c>
      <c r="AE20" s="299" t="e">
        <f aca="false">IF($A20="N/A"," ",RANK(Q20,$P$16:$V$27))</f>
        <v>#NAME?</v>
      </c>
      <c r="AF20" s="299" t="e">
        <f aca="false">IF($A20="N/A"," ",RANK(R20,$P$16:$V$27))</f>
        <v>#NAME?</v>
      </c>
      <c r="AG20" s="299" t="e">
        <f aca="false">IF($A20="N/A"," ",RANK(S20,$P$16:$V$27))</f>
        <v>#NAME?</v>
      </c>
      <c r="AH20" s="299" t="e">
        <f aca="false">IF($A20="N/A"," ",RANK(T20,$P$16:$V$27))</f>
        <v>#NAME?</v>
      </c>
      <c r="AI20" s="299" t="e">
        <f aca="false">IF($A20="N/A"," ",RANK(U20,$P$16:$V$27))</f>
        <v>#NAME?</v>
      </c>
      <c r="AJ20" s="300" t="e">
        <f aca="false">IF($A20="N/A"," ",RANK(V20,$P$16:$V$27))</f>
        <v>#NAME?</v>
      </c>
      <c r="AK20" s="286" t="e">
        <f aca="false">IF($A20="N/A"," ",IF(AD20&lt;=$AJ$2,W20,0))</f>
        <v>#NAME?</v>
      </c>
      <c r="AL20" s="301" t="e">
        <f aca="false">IF($A20="N/A"," ",IF(AE20&lt;=$AJ$2,X20,0))</f>
        <v>#NAME?</v>
      </c>
      <c r="AM20" s="301" t="e">
        <f aca="false">IF($A20="N/A"," ",IF(AF20&lt;=$AJ$2,Y20,0))</f>
        <v>#NAME?</v>
      </c>
      <c r="AN20" s="301" t="e">
        <f aca="false">IF($A20="N/A"," ",IF(AG20&lt;=$AJ$2,Z20,0))</f>
        <v>#NAME?</v>
      </c>
      <c r="AO20" s="301" t="e">
        <f aca="false">IF($A20="N/A"," ",IF(AH20&lt;=$AJ$2,AA20,0))</f>
        <v>#NAME?</v>
      </c>
      <c r="AP20" s="301" t="e">
        <f aca="false">IF($A20="N/A"," ",IF(AI20&lt;=$AJ$2,AB20,0))</f>
        <v>#NAME?</v>
      </c>
      <c r="AQ20" s="301" t="e">
        <f aca="false">IF($A20="N/A"," ",IF(AJ20&lt;=$AJ$2,AC20,0))</f>
        <v>#NAME?</v>
      </c>
      <c r="AR20" s="299"/>
      <c r="AS20" s="288" t="e">
        <f aca="false">IF($A20="N/A"," ",IF(AND(AD20=$AJ$2+1,AK20=0),MIN($AR$27,W20),0))</f>
        <v>#NAME?</v>
      </c>
      <c r="AT20" s="302" t="e">
        <f aca="false">IF($A20="N/A"," ",IF(AND(AE20=$AJ$2+1,AL20=0),MIN($AR$27,X20),0))</f>
        <v>#NAME?</v>
      </c>
      <c r="AU20" s="302" t="e">
        <f aca="false">IF($A20="N/A"," ",IF(AND(AF20=$AJ$2+1,AM20=0),MIN($AR$27,Y20),0))</f>
        <v>#NAME?</v>
      </c>
      <c r="AV20" s="302" t="e">
        <f aca="false">IF($A20="N/A"," ",IF(AND(AG20=$AJ$2+1,AN20=0),MIN($AR$27,Z20),0))</f>
        <v>#NAME?</v>
      </c>
      <c r="AW20" s="302" t="e">
        <f aca="false">IF($A20="N/A"," ",IF(AND(AH20=$AJ$2+1,AO20=0),MIN($AR$27,AA20),0))</f>
        <v>#NAME?</v>
      </c>
      <c r="AX20" s="302" t="e">
        <f aca="false">IF($A20="N/A"," ",IF(AND(AI20=$AJ$2+1,AP20=0),MIN($AR$27,AB20),0))</f>
        <v>#NAME?</v>
      </c>
      <c r="AY20" s="302" t="e">
        <f aca="false">IF($A20="N/A"," ",IF(AND(AJ20=$AJ$2+1,AQ20=0),MIN($AR$27,AC20),0))</f>
        <v>#NAME?</v>
      </c>
      <c r="AZ20" s="316"/>
      <c r="BA20" s="291" t="n">
        <f aca="false">IF($A20="N/A"," ",(IF(MONTH(A20)&gt;=4,IF(MONTH(A20)&lt;=10,Inputs!$F$13,Inputs!$F$14),Inputs!$F$14))*$BW20)</f>
        <v>180</v>
      </c>
      <c r="BB20" s="292" t="e">
        <f aca="false">IF($A20="N/A"," ",(IF(AK20&gt;0,($BA20*(8*(VLOOKUP($A20,NumberofDaysTable,2)))*P20),0)+IF(AS20&gt;0,($BA20*((AS20))*P20),0)))</f>
        <v>#NAME?</v>
      </c>
      <c r="BC20" s="292" t="e">
        <f aca="false">IF($A20="N/A"," ",(IF(AL20&gt;0,($BA20*(8*(VLOOKUP($A20,NumberofDaysTable,2)))*Q20),0)+IF(AT20&gt;0,($BA20*((AT20))*Q20),0)))</f>
        <v>#NAME?</v>
      </c>
      <c r="BD20" s="292" t="e">
        <f aca="false">IF($A20="N/A"," ",(IF(AM20&gt;0,($BA20*(8*(VLOOKUP($A20,NumberofDaysTable,3)))*R20),0)+IF(AU20&gt;0,($BA20*((AU20))*R20),0)))</f>
        <v>#NAME?</v>
      </c>
      <c r="BE20" s="292" t="e">
        <f aca="false">IF($A20="N/A"," ",(IF(AN20&gt;0,($BA20*(8*(VLOOKUP($A20,NumberofDaysTable,3)))*S20),0)+IF(AV20&gt;0,($BA20*((AV20))*S20),0)))</f>
        <v>#NAME?</v>
      </c>
      <c r="BF20" s="292" t="e">
        <f aca="false">IF($A20="N/A"," ",(IF(AO20&gt;0,($BA20*(8*(VLOOKUP($A20,NumberofDaysTable,4)+VLOOKUP($A20,NumberofDaysTable,5)))*T20),0)+IF(AW20&gt;0,($BA20*((AW20))*T20),0)))</f>
        <v>#NAME?</v>
      </c>
      <c r="BG20" s="292" t="e">
        <f aca="false">IF($A20="N/A"," ",(IF(AP20&gt;0,($BA20*(8*(VLOOKUP($A20,NumberofDaysTable,4)+VLOOKUP($A20,NumberofDaysTable,5)))*U20),0)+IF(AX20&gt;0,($BA20*((AX20))*U20),0)))</f>
        <v>#NAME?</v>
      </c>
      <c r="BH20" s="292" t="e">
        <f aca="false">IF($A20="N/A"," ",($BA20*AQ20*V20))</f>
        <v>#NAME?</v>
      </c>
      <c r="BI20" s="292" t="e">
        <f aca="false">IF($A20="N/A"," ",SUM(BB20:BH20))</f>
        <v>#NAME?</v>
      </c>
      <c r="BJ20" s="293" t="e">
        <f aca="false">IF($A20="N/A"," ",(H20*(SUM(AK20:AQ20)+SUM(AS20:AY20))*BA20))</f>
        <v>#NAME?</v>
      </c>
      <c r="BK20" s="293" t="e">
        <f aca="false">IF($A20="N/A"," ",((C20*D20)*(SUM($AK20:$AQ20)+SUM($AS20:$AY20))*$BA20))</f>
        <v>#N/A</v>
      </c>
      <c r="BL20" s="293" t="e">
        <f aca="false">IF($A20="N/A"," ",(F20*(SUM($AK20:$AQ20)+SUM($AS20:$AY20))*$BA20))</f>
        <v>#NAME?</v>
      </c>
      <c r="BM20" s="293" t="e">
        <f aca="false">IF($A20="N/A"," ",(G20*(SUM($AK20:$AQ20)+SUM($AS20:$AY20))*$BA20))</f>
        <v>#NAME?</v>
      </c>
      <c r="BN20" s="294" t="n">
        <f aca="false">IF(A20="N/A"," ",(VLOOKUP(A20,PowerVolTable,(IF('Pricing Inputs'!$AT$3=2,7,IF('Pricing Inputs'!$AT$3=1,6,8))),FALSE())))</f>
        <v>0.2603475</v>
      </c>
      <c r="BO20" s="294" t="n">
        <f aca="false">IF(A20="N/A"," ",(VLOOKUP(A20,IntraPowerVol,(IF('Pricing Inputs'!$AT$3=2,3,IF('Pricing Inputs'!$AT$3=1,2,4))),FALSE())*VLOOKUP(MONTH($A20),Inputs!$A$28:$B$39,2)))</f>
        <v>1.265</v>
      </c>
      <c r="BP20" s="295" t="n">
        <f aca="false">IF($A20="N/A"," ",(IF(DateToday&gt;$A20,$BO20,((($BN20^2)*((($A20-1)-DateToday)/((EOMONTH($A20,0)+1)-DateToday-15)))+((($BO20)^2)*((15)/((EOMONTH($A20,0)+1)-DateToday-15))))^0.5)))</f>
        <v>1.265</v>
      </c>
      <c r="BQ20" s="294" t="e">
        <f aca="false">IF($A20="N/A"," ",(VLOOKUP($A20,GasVolTable,(IF('Pricing Inputs'!$AT$3=2,6,IF('Pricing Inputs'!$AT$3=1,7,5))),FALSE())))</f>
        <v>#N/A</v>
      </c>
      <c r="BR20" s="294" t="e">
        <f aca="false">IF($A20="N/A"," ",(VLOOKUP($A20,OmicronVol,(IF('Pricing Inputs'!$AT$3=2,3,IF('Pricing Inputs'!$AT$3=1,4,2))),FALSE())))</f>
        <v>#N/A</v>
      </c>
      <c r="BS20" s="295" t="e">
        <f aca="false">IF($A20="N/A"," ",IF('Pricing Inputs'!$AN$3=1,(IF(DateToday&gt;$A20,$BR20,((($BQ20^2)*((($A20-1)-DateToday)/((EOMONTH($A20,0)+1)-DateToday-15)))+((($BR20)^2)*((15)/((EOMONTH($A20,0)+1)-DateToday-15))))^0.5)),0.0001))</f>
        <v>#N/A</v>
      </c>
      <c r="BT20" s="294" t="n">
        <f aca="false">IF($A20="N/A"," ",IF('Pricing Inputs'!$AN$3=1,(VLOOKUP($A20,CorrelationTable,2,FALSE())),0))</f>
        <v>0.9</v>
      </c>
      <c r="BU20" s="296" t="e">
        <f aca="false">IF($A20="N/A"," ",F20+G20+(D20*(VLOOKUP($A20,'Gas Curves'!$B$17:$P$310,14,FALSE()))))</f>
        <v>#N/A</v>
      </c>
      <c r="BV20" s="294" t="n">
        <f aca="false">IF($A20="N/A"," ",IF('Pricing Inputs'!$AW$3=1,0,(VLOOKUP($A20,InterestRatesTable,2))))</f>
        <v>0</v>
      </c>
      <c r="BW20" s="297" t="n">
        <f aca="false">IF($A20="N/A"," ",(1+BV20/2)^(-2*((EOMONTH(A20,0)+20)-DateToday)/365.25))</f>
        <v>1</v>
      </c>
    </row>
    <row r="21" customFormat="false" ht="12.75" hidden="false" customHeight="false" outlineLevel="0" collapsed="false">
      <c r="A21" s="272" t="n">
        <f aca="false">IF(A20="N/A","N/A",IF(EDATE(A20,1)&gt;Inputs!$K$3,"N/A",EDATE(A20,1)))</f>
        <v>37408</v>
      </c>
      <c r="B21" s="273" t="n">
        <f aca="false">IF(A21="N/A"," ",YEAR(A21))</f>
        <v>2002</v>
      </c>
      <c r="C21" s="274" t="e">
        <f aca="false">IF(A21="N/A"," ",VLOOKUP(A21,ScaledPrice,10))</f>
        <v>#N/A</v>
      </c>
      <c r="D21" s="275" t="n">
        <f aca="false">IF(A21="N/A"," ",(VLOOKUP(MONTH($A21),Inputs!$A$14:$B$25,2))/1000)</f>
        <v>10.5</v>
      </c>
      <c r="E21" s="276" t="e">
        <f aca="false">IF($A21="N/A"," ",C21*D21)</f>
        <v>#N/A</v>
      </c>
      <c r="F21" s="277" t="n">
        <f aca="false">IF(A21="N/A"," ",Inputs!$F$6)</f>
        <v>2</v>
      </c>
      <c r="G21" s="277" t="n">
        <f aca="false">IF(A21="N/A"," ",Inputs!$F$9/IF(AND('Pricing Inputs'!$AQ$3&gt;=4,'Pricing Inputs'!$AQ$3&lt;=6),16,IF(AND('Pricing Inputs'!$AQ$3&gt;=7,'Pricing Inputs'!$AQ$3&lt;=9),8,24))/(BA21/BW21))</f>
        <v>0</v>
      </c>
      <c r="H21" s="278" t="e">
        <f aca="false">IF(A21="N/A"," ",(C21*D21)+F21+G21)</f>
        <v>#N/A</v>
      </c>
      <c r="I21" s="279" t="n">
        <f aca="false">VLOOKUP(A21,ScaledPrice,(IF(AND('Pricing Inputs'!$AQ$3&gt;=1,'Pricing Inputs'!$AQ$3&lt;=6),2,4)))</f>
        <v>56.7295642326888</v>
      </c>
      <c r="J21" s="279" t="n">
        <f aca="false">IF(A21="N/A"," ",IF(AND('Pricing Inputs'!$AQ$3&gt;=1,'Pricing Inputs'!$AQ$3&lt;=6),I21,(VLOOKUP(A21,ScaledPrice,2))*(2-(VLOOKUP(A21,ScaledPrice,3)))))</f>
        <v>42.7704357673112</v>
      </c>
      <c r="K21" s="279" t="n">
        <f aca="false">IF(A21="N/A"," ",IF(OR('Pricing Inputs'!$AQ$3=2,'Pricing Inputs'!$AQ$3=3,'Pricing Inputs'!$AQ$3=5,'Pricing Inputs'!$AQ$3=6,'Pricing Inputs'!$AQ$3=8,'Pricing Inputs'!$AQ$3=9),VLOOKUP(A21,ScaledPrice,IF(AND('Pricing Inputs'!$AQ$3&gt;=2,'Pricing Inputs'!$AQ$3&lt;=6),5,6)),0))</f>
        <v>29.7146038312528</v>
      </c>
      <c r="L21" s="279" t="n">
        <f aca="false">IF(A21="N/A"," ",IF(OR('Pricing Inputs'!$AQ$3=2,'Pricing Inputs'!$AQ$3=3,'Pricing Inputs'!$AQ$3=5,'Pricing Inputs'!$AQ$3=6,'Pricing Inputs'!$AQ$3=8,'Pricing Inputs'!$AQ$3=9),IF(AND('Pricing Inputs'!$AQ$3&gt;=2,'Pricing Inputs'!$AQ$3&lt;=6),K21,(VLOOKUP(A21,ScaledPrice,5))*(2-(VLOOKUP(A21,ScaledPrice,3)))),0))</f>
        <v>22.402896473923</v>
      </c>
      <c r="M21" s="279" t="n">
        <f aca="false">IF(A21="N/A"," ",IF(OR('Pricing Inputs'!$AQ$3=3,'Pricing Inputs'!$AQ$3=6,'Pricing Inputs'!$AQ$3=9),(VLOOKUP(A21,ScaledPrice,IF(AND('Pricing Inputs'!$AQ$3&gt;=3,'Pricing Inputs'!$AQ$3&lt;=6),7,8))),0))</f>
        <v>22.2841705135395</v>
      </c>
      <c r="N21" s="279" t="n">
        <f aca="false">IF(A21="N/A"," ",IF(OR('Pricing Inputs'!$AQ$3=3,'Pricing Inputs'!$AQ$3=6,'Pricing Inputs'!$AQ$3=9),IF(AND('Pricing Inputs'!$AQ$3&gt;=3,'Pricing Inputs'!$AQ$3&lt;=6),M21,(VLOOKUP(A21,ScaledPrice,7))*(2-(VLOOKUP(A21,ScaledPrice,3)))),0))</f>
        <v>16.8008285709332</v>
      </c>
      <c r="O21" s="279" t="n">
        <f aca="false">IF(A21="N/A"," ",IF(AND('Pricing Inputs'!$AQ$3&gt;=1,'Pricing Inputs'!$AQ$3&lt;=3),VLOOKUP(A21,ScaledPrice,9),0))</f>
        <v>0</v>
      </c>
      <c r="P21" s="280" t="e">
        <f aca="false">IF($A21="N/A"," ",IF('Pricing Inputs'!$AN$8=2,(I21-H21),IF('Pricing Inputs'!$AN$3=2,IF((I21-$H21)&gt;0,I21-$H21,0),(xSPRDOPT(I21,$E21,$BU21,0,$BP21,$BS21,$BT21,($A21-Inputs!$D$1)+15,1,0)))))</f>
        <v>#NAME?</v>
      </c>
      <c r="Q21" s="280" t="e">
        <f aca="false">IF($A21="N/A"," ",IF('Pricing Inputs'!$AN$8=2,(J21-$H21),IF('Pricing Inputs'!$AN$3=2,IF((J21-$H21)&gt;0,J21-$H21,0),(xSPRDOPT(J21,$E21,$BU21,0,$BP21,$BS21,$BT21,($A21-Inputs!$D$1)+15,1,0)))))</f>
        <v>#NAME?</v>
      </c>
      <c r="R21" s="280" t="e">
        <f aca="false">IF($A21="N/A"," ",IF('Pricing Inputs'!$AN$8=2,(K21-$H21),IF('Pricing Inputs'!$AN$3=2,IF((K21-$H21)&gt;0,K21-$H21,0),(xSPRDOPT(K21,$E21,$BU21,0,$BP21,$BS21,$BT21,($A21-Inputs!$D$1)+15,1,0)))))</f>
        <v>#NAME?</v>
      </c>
      <c r="S21" s="280" t="e">
        <f aca="false">IF($A21="N/A"," ",IF('Pricing Inputs'!$AN$8=2,(L21-$H21),IF('Pricing Inputs'!$AN$3=2,IF((L21-$H21)&gt;0,L21-$H21,0),(xSPRDOPT(L21,$E21,$BU21,0,$BP21,$BS21,$BT21,($A21-Inputs!$D$1)+15,1,0)))))</f>
        <v>#NAME?</v>
      </c>
      <c r="T21" s="280" t="e">
        <f aca="false">IF($A21="N/A"," ",IF('Pricing Inputs'!$AN$8=2,(M21-$H21),IF('Pricing Inputs'!$AN$3=2,IF((M21-$H21)&gt;0,M21-$H21,0),(xSPRDOPT(M21,$E21,$BU21,0,$BP21,$BS21,$BT21,($A21-Inputs!$D$1)+15,1,0)))))</f>
        <v>#NAME?</v>
      </c>
      <c r="U21" s="280" t="e">
        <f aca="false">IF($A21="N/A"," ",IF('Pricing Inputs'!$AN$8=2,(N21-$H21),IF('Pricing Inputs'!$AN$3=2,IF((N21-$H21)&gt;0,N21-$H21,0),(xSPRDOPT(N21,$E21,$BU21,0,$BP21,$BS21,$BT21,($A21-Inputs!$D$1)+15,1,0)))))</f>
        <v>#NAME?</v>
      </c>
      <c r="V21" s="281" t="e">
        <f aca="false">IF($A21="N/A"," ",(IF('Pricing Inputs'!$AN$8=2,(O21-$H21),IF((O21-$H21)&lt;=0,0,(O21-$H21)))))</f>
        <v>#N/A</v>
      </c>
      <c r="W21" s="282" t="e">
        <f aca="false">IF($A21="N/A"," ",IF(0&lt;&gt;P21,IF('Pricing Inputs'!$AN$3=2,8*VLOOKUP($A21,NumberofDaysTable,2),(xSPRDOPT(I21,$E21,$BU21,0,$BP21,$BS21,$BT21,$A21-Inputs!$D$1,1,1))*(8*VLOOKUP($A21,NumberofDaysTable,2))),0))</f>
        <v>#NAME?</v>
      </c>
      <c r="X21" s="282" t="e">
        <f aca="false">IF($A21="N/A"," ",IF(Q21&lt;&gt;0,IF('Pricing Inputs'!$AN$3=2,8*VLOOKUP($A21,NumberofDaysTable,2),(xSPRDOPT(J21,$E21,$BU21,0,$BP21,$BS21,$BT21,$A21-Inputs!$D$1,1,1))*(8*VLOOKUP($A21,NumberofDaysTable,2))),0))</f>
        <v>#NAME?</v>
      </c>
      <c r="Y21" s="282" t="e">
        <f aca="false">IF($A21="N/A"," ",IF(R21&lt;&gt;0,IF('Pricing Inputs'!$AN$3=2,8*VLOOKUP($A21,NumberofDaysTable,3),(xSPRDOPT(K21,$E21,$BU21,0,$BP21,$BS21,$BT21,$A21-Inputs!$D$1,1,1))*(8*VLOOKUP($A21,NumberofDaysTable,3))),0))</f>
        <v>#NAME?</v>
      </c>
      <c r="Z21" s="282" t="e">
        <f aca="false">IF($A21="N/A"," ",IF(S21&lt;&gt;0,IF('Pricing Inputs'!$AN$3=2,8*VLOOKUP($A21,NumberofDaysTable,3),(xSPRDOPT(L21,$E21,$BU21,0,$BP21,$BS21,$BT21,$A21-Inputs!$D$1,1,1))*(8*VLOOKUP($A21,NumberofDaysTable,3))),0))</f>
        <v>#NAME?</v>
      </c>
      <c r="AA21" s="282" t="e">
        <f aca="false">IF($A21="N/A"," ",IF(T21&lt;&gt;0,IF('Pricing Inputs'!$AN$3=2,8*VLOOKUP($A21,NumberofDaysTable,4),(xSPRDOPT(M21,$E21,$BU21,0,$BP21,$BS21,$BT21,$A21-Inputs!$D$1,1,1))*(8*VLOOKUP($A21,NumberofDaysTable,4))),0))</f>
        <v>#NAME?</v>
      </c>
      <c r="AB21" s="282" t="e">
        <f aca="false">IF($A21="N/A"," ",IF(U21&lt;&gt;0,IF('Pricing Inputs'!$AN$3=2,8*VLOOKUP($A21,NumberofDaysTable,4),(xSPRDOPT(N21,$E21,$BU21,0,$BP21,$BS21,$BT21,$A21-Inputs!$D$1,1,1))*(8*VLOOKUP($A21,NumberofDaysTable,4))),0))</f>
        <v>#NAME?</v>
      </c>
      <c r="AC21" s="282" t="e">
        <f aca="false">IF($A21="N/A"," ",(IF(V21&lt;&gt;0,(8*VLOOKUP($A21,NumberofDaysTable,6)),0)))</f>
        <v>#N/A</v>
      </c>
      <c r="AD21" s="298" t="e">
        <f aca="false">IF($A21="N/A"," ",RANK(P21,$P$16:$V$27))</f>
        <v>#NAME?</v>
      </c>
      <c r="AE21" s="299" t="e">
        <f aca="false">IF($A21="N/A"," ",RANK(Q21,$P$16:$V$27))</f>
        <v>#NAME?</v>
      </c>
      <c r="AF21" s="299" t="e">
        <f aca="false">IF($A21="N/A"," ",RANK(R21,$P$16:$V$27))</f>
        <v>#NAME?</v>
      </c>
      <c r="AG21" s="299" t="e">
        <f aca="false">IF($A21="N/A"," ",RANK(S21,$P$16:$V$27))</f>
        <v>#NAME?</v>
      </c>
      <c r="AH21" s="299" t="e">
        <f aca="false">IF($A21="N/A"," ",RANK(T21,$P$16:$V$27))</f>
        <v>#NAME?</v>
      </c>
      <c r="AI21" s="299" t="e">
        <f aca="false">IF($A21="N/A"," ",RANK(U21,$P$16:$V$27))</f>
        <v>#NAME?</v>
      </c>
      <c r="AJ21" s="300" t="e">
        <f aca="false">IF($A21="N/A"," ",RANK(V21,$P$16:$V$27))</f>
        <v>#NAME?</v>
      </c>
      <c r="AK21" s="286" t="e">
        <f aca="false">IF($A21="N/A"," ",IF(AD21&lt;=$AJ$2,W21,0))</f>
        <v>#NAME?</v>
      </c>
      <c r="AL21" s="301" t="e">
        <f aca="false">IF($A21="N/A"," ",IF(AE21&lt;=$AJ$2,X21,0))</f>
        <v>#NAME?</v>
      </c>
      <c r="AM21" s="301" t="e">
        <f aca="false">IF($A21="N/A"," ",IF(AF21&lt;=$AJ$2,Y21,0))</f>
        <v>#NAME?</v>
      </c>
      <c r="AN21" s="301" t="e">
        <f aca="false">IF($A21="N/A"," ",IF(AG21&lt;=$AJ$2,Z21,0))</f>
        <v>#NAME?</v>
      </c>
      <c r="AO21" s="301" t="e">
        <f aca="false">IF($A21="N/A"," ",IF(AH21&lt;=$AJ$2,AA21,0))</f>
        <v>#NAME?</v>
      </c>
      <c r="AP21" s="301" t="e">
        <f aca="false">IF($A21="N/A"," ",IF(AI21&lt;=$AJ$2,AB21,0))</f>
        <v>#NAME?</v>
      </c>
      <c r="AQ21" s="301" t="e">
        <f aca="false">IF($A21="N/A"," ",IF(AJ21&lt;=$AJ$2,AC21,0))</f>
        <v>#NAME?</v>
      </c>
      <c r="AR21" s="299"/>
      <c r="AS21" s="288" t="e">
        <f aca="false">IF($A21="N/A"," ",IF(AND(AD21=$AJ$2+1,AK21=0),MIN($AR$27,W21),0))</f>
        <v>#NAME?</v>
      </c>
      <c r="AT21" s="302" t="e">
        <f aca="false">IF($A21="N/A"," ",IF(AND(AE21=$AJ$2+1,AL21=0),MIN($AR$27,X21),0))</f>
        <v>#NAME?</v>
      </c>
      <c r="AU21" s="302" t="e">
        <f aca="false">IF($A21="N/A"," ",IF(AND(AF21=$AJ$2+1,AM21=0),MIN($AR$27,Y21),0))</f>
        <v>#NAME?</v>
      </c>
      <c r="AV21" s="302" t="e">
        <f aca="false">IF($A21="N/A"," ",IF(AND(AG21=$AJ$2+1,AN21=0),MIN($AR$27,Z21),0))</f>
        <v>#NAME?</v>
      </c>
      <c r="AW21" s="302" t="e">
        <f aca="false">IF($A21="N/A"," ",IF(AND(AH21=$AJ$2+1,AO21=0),MIN($AR$27,AA21),0))</f>
        <v>#NAME?</v>
      </c>
      <c r="AX21" s="302" t="e">
        <f aca="false">IF($A21="N/A"," ",IF(AND(AI21=$AJ$2+1,AP21=0),MIN($AR$27,AB21),0))</f>
        <v>#NAME?</v>
      </c>
      <c r="AY21" s="302" t="e">
        <f aca="false">IF($A21="N/A"," ",IF(AND(AJ21=$AJ$2+1,AQ21=0),MIN($AR$27,AC21),0))</f>
        <v>#NAME?</v>
      </c>
      <c r="AZ21" s="316"/>
      <c r="BA21" s="291" t="n">
        <f aca="false">IF($A21="N/A"," ",(IF(MONTH(A21)&gt;=4,IF(MONTH(A21)&lt;=10,Inputs!$F$13,Inputs!$F$14),Inputs!$F$14))*$BW21)</f>
        <v>180</v>
      </c>
      <c r="BB21" s="292" t="e">
        <f aca="false">IF($A21="N/A"," ",(IF(AK21&gt;0,($BA21*(8*(VLOOKUP($A21,NumberofDaysTable,2)))*P21),0)+IF(AS21&gt;0,($BA21*((AS21))*P21),0)))</f>
        <v>#NAME?</v>
      </c>
      <c r="BC21" s="292" t="e">
        <f aca="false">IF($A21="N/A"," ",(IF(AL21&gt;0,($BA21*(8*(VLOOKUP($A21,NumberofDaysTable,2)))*Q21),0)+IF(AT21&gt;0,($BA21*((AT21))*Q21),0)))</f>
        <v>#NAME?</v>
      </c>
      <c r="BD21" s="292" t="e">
        <f aca="false">IF($A21="N/A"," ",(IF(AM21&gt;0,($BA21*(8*(VLOOKUP($A21,NumberofDaysTable,3)))*R21),0)+IF(AU21&gt;0,($BA21*((AU21))*R21),0)))</f>
        <v>#NAME?</v>
      </c>
      <c r="BE21" s="292" t="e">
        <f aca="false">IF($A21="N/A"," ",(IF(AN21&gt;0,($BA21*(8*(VLOOKUP($A21,NumberofDaysTable,3)))*S21),0)+IF(AV21&gt;0,($BA21*((AV21))*S21),0)))</f>
        <v>#NAME?</v>
      </c>
      <c r="BF21" s="292" t="e">
        <f aca="false">IF($A21="N/A"," ",(IF(AO21&gt;0,($BA21*(8*(VLOOKUP($A21,NumberofDaysTable,4)+VLOOKUP($A21,NumberofDaysTable,5)))*T21),0)+IF(AW21&gt;0,($BA21*((AW21))*T21),0)))</f>
        <v>#NAME?</v>
      </c>
      <c r="BG21" s="292" t="e">
        <f aca="false">IF($A21="N/A"," ",(IF(AP21&gt;0,($BA21*(8*(VLOOKUP($A21,NumberofDaysTable,4)+VLOOKUP($A21,NumberofDaysTable,5)))*U21),0)+IF(AX21&gt;0,($BA21*((AX21))*U21),0)))</f>
        <v>#NAME?</v>
      </c>
      <c r="BH21" s="292" t="e">
        <f aca="false">IF($A21="N/A"," ",($BA21*AQ21*V21))</f>
        <v>#NAME?</v>
      </c>
      <c r="BI21" s="292" t="e">
        <f aca="false">IF($A21="N/A"," ",SUM(BB21:BH21))</f>
        <v>#NAME?</v>
      </c>
      <c r="BJ21" s="293" t="e">
        <f aca="false">IF($A21="N/A"," ",(H21*(SUM(AK21:AQ21)+SUM(AS21:AY21))*BA21))</f>
        <v>#NAME?</v>
      </c>
      <c r="BK21" s="293" t="e">
        <f aca="false">IF($A21="N/A"," ",((C21*D21)*(SUM($AK21:$AQ21)+SUM($AS21:$AY21))*$BA21))</f>
        <v>#N/A</v>
      </c>
      <c r="BL21" s="293" t="e">
        <f aca="false">IF($A21="N/A"," ",(F21*(SUM($AK21:$AQ21)+SUM($AS21:$AY21))*$BA21))</f>
        <v>#NAME?</v>
      </c>
      <c r="BM21" s="293" t="e">
        <f aca="false">IF($A21="N/A"," ",(G21*(SUM($AK21:$AQ21)+SUM($AS21:$AY21))*$BA21))</f>
        <v>#NAME?</v>
      </c>
      <c r="BN21" s="294" t="n">
        <f aca="false">IF(A21="N/A"," ",(VLOOKUP(A21,PowerVolTable,(IF('Pricing Inputs'!$AT$3=2,7,IF('Pricing Inputs'!$AT$3=1,6,8))),FALSE())))</f>
        <v>0.32639625</v>
      </c>
      <c r="BO21" s="294" t="n">
        <f aca="false">IF(A21="N/A"," ",(VLOOKUP(A21,IntraPowerVol,(IF('Pricing Inputs'!$AT$3=2,3,IF('Pricing Inputs'!$AT$3=1,2,4))),FALSE())*VLOOKUP(MONTH($A21),Inputs!$A$28:$B$39,2)))</f>
        <v>2.3</v>
      </c>
      <c r="BP21" s="295" t="n">
        <f aca="false">IF($A21="N/A"," ",(IF(DateToday&gt;$A21,$BO21,((($BN21^2)*((($A21-1)-DateToday)/((EOMONTH($A21,0)+1)-DateToday-15)))+((($BO21)^2)*((15)/((EOMONTH($A21,0)+1)-DateToday-15))))^0.5)))</f>
        <v>2.3</v>
      </c>
      <c r="BQ21" s="294" t="e">
        <f aca="false">IF($A21="N/A"," ",(VLOOKUP($A21,GasVolTable,(IF('Pricing Inputs'!$AT$3=2,6,IF('Pricing Inputs'!$AT$3=1,7,5))),FALSE())))</f>
        <v>#N/A</v>
      </c>
      <c r="BR21" s="294" t="e">
        <f aca="false">IF($A21="N/A"," ",(VLOOKUP($A21,OmicronVol,(IF('Pricing Inputs'!$AT$3=2,3,IF('Pricing Inputs'!$AT$3=1,4,2))),FALSE())))</f>
        <v>#N/A</v>
      </c>
      <c r="BS21" s="295" t="e">
        <f aca="false">IF($A21="N/A"," ",IF('Pricing Inputs'!$AN$3=1,(IF(DateToday&gt;$A21,$BR21,((($BQ21^2)*((($A21-1)-DateToday)/((EOMONTH($A21,0)+1)-DateToday-15)))+((($BR21)^2)*((15)/((EOMONTH($A21,0)+1)-DateToday-15))))^0.5)),0.0001))</f>
        <v>#N/A</v>
      </c>
      <c r="BT21" s="294" t="n">
        <f aca="false">IF($A21="N/A"," ",IF('Pricing Inputs'!$AN$3=1,(VLOOKUP($A21,CorrelationTable,2,FALSE())),0))</f>
        <v>0.9</v>
      </c>
      <c r="BU21" s="296" t="e">
        <f aca="false">IF($A21="N/A"," ",F21+G21+(D21*(VLOOKUP($A21,'Gas Curves'!$B$17:$P$310,14,FALSE()))))</f>
        <v>#N/A</v>
      </c>
      <c r="BV21" s="294" t="n">
        <f aca="false">IF($A21="N/A"," ",IF('Pricing Inputs'!$AW$3=1,0,(VLOOKUP($A21,InterestRatesTable,2))))</f>
        <v>0</v>
      </c>
      <c r="BW21" s="297" t="n">
        <f aca="false">IF($A21="N/A"," ",(1+BV21/2)^(-2*((EOMONTH(A21,0)+20)-DateToday)/365.25))</f>
        <v>1</v>
      </c>
    </row>
    <row r="22" customFormat="false" ht="12.75" hidden="false" customHeight="false" outlineLevel="0" collapsed="false">
      <c r="A22" s="272" t="n">
        <f aca="false">IF(A21="N/A","N/A",IF(EDATE(A21,1)&gt;Inputs!$K$3,"N/A",EDATE(A21,1)))</f>
        <v>37438</v>
      </c>
      <c r="B22" s="273" t="n">
        <f aca="false">IF(A22="N/A"," ",YEAR(A22))</f>
        <v>2002</v>
      </c>
      <c r="C22" s="274" t="e">
        <f aca="false">IF(A22="N/A"," ",VLOOKUP(A22,ScaledPrice,10))</f>
        <v>#N/A</v>
      </c>
      <c r="D22" s="275" t="n">
        <f aca="false">IF(A22="N/A"," ",(VLOOKUP(MONTH($A22),Inputs!$A$14:$B$25,2))/1000)</f>
        <v>10.5</v>
      </c>
      <c r="E22" s="276" t="e">
        <f aca="false">IF($A22="N/A"," ",C22*D22)</f>
        <v>#N/A</v>
      </c>
      <c r="F22" s="277" t="n">
        <f aca="false">IF(A22="N/A"," ",Inputs!$F$6)</f>
        <v>2</v>
      </c>
      <c r="G22" s="277" t="n">
        <f aca="false">IF(A22="N/A"," ",Inputs!$F$9/IF(AND('Pricing Inputs'!$AQ$3&gt;=4,'Pricing Inputs'!$AQ$3&lt;=6),16,IF(AND('Pricing Inputs'!$AQ$3&gt;=7,'Pricing Inputs'!$AQ$3&lt;=9),8,24))/(BA22/BW22))</f>
        <v>0</v>
      </c>
      <c r="H22" s="278" t="e">
        <f aca="false">IF(A22="N/A"," ",(C22*D22)+F22+G22)</f>
        <v>#N/A</v>
      </c>
      <c r="I22" s="279" t="n">
        <f aca="false">VLOOKUP(A22,ScaledPrice,(IF(AND('Pricing Inputs'!$AQ$3&gt;=1,'Pricing Inputs'!$AQ$3&lt;=6),2,4)))</f>
        <v>86.395706305866</v>
      </c>
      <c r="J22" s="279" t="n">
        <f aca="false">IF(A22="N/A"," ",IF(AND('Pricing Inputs'!$AQ$3&gt;=1,'Pricing Inputs'!$AQ$3&lt;=6),I22,(VLOOKUP(A22,ScaledPrice,2))*(2-(VLOOKUP(A22,ScaledPrice,3)))))</f>
        <v>58.604293694134</v>
      </c>
      <c r="K22" s="279" t="n">
        <f aca="false">IF(A22="N/A"," ",IF(OR('Pricing Inputs'!$AQ$3=2,'Pricing Inputs'!$AQ$3=3,'Pricing Inputs'!$AQ$3=5,'Pricing Inputs'!$AQ$3=6,'Pricing Inputs'!$AQ$3=8,'Pricing Inputs'!$AQ$3=9),VLOOKUP(A22,ScaledPrice,IF(AND('Pricing Inputs'!$AQ$3&gt;=2,'Pricing Inputs'!$AQ$3&lt;=6),5,6)),0))</f>
        <v>47.3820860386938</v>
      </c>
      <c r="L22" s="279" t="n">
        <f aca="false">IF(A22="N/A"," ",IF(OR('Pricing Inputs'!$AQ$3=2,'Pricing Inputs'!$AQ$3=3,'Pricing Inputs'!$AQ$3=5,'Pricing Inputs'!$AQ$3=6,'Pricing Inputs'!$AQ$3=8,'Pricing Inputs'!$AQ$3=9),IF(AND('Pricing Inputs'!$AQ$3&gt;=2,'Pricing Inputs'!$AQ$3&lt;=6),K22,(VLOOKUP(A22,ScaledPrice,5))*(2-(VLOOKUP(A22,ScaledPrice,3)))),0))</f>
        <v>32.1404130457789</v>
      </c>
      <c r="M22" s="279" t="n">
        <f aca="false">IF(A22="N/A"," ",IF(OR('Pricing Inputs'!$AQ$3=3,'Pricing Inputs'!$AQ$3=6,'Pricing Inputs'!$AQ$3=9),(VLOOKUP(A22,ScaledPrice,IF(AND('Pricing Inputs'!$AQ$3&gt;=3,'Pricing Inputs'!$AQ$3&lt;=6),7,8))),0))</f>
        <v>34.8532189522832</v>
      </c>
      <c r="N22" s="279" t="n">
        <f aca="false">IF(A22="N/A"," ",IF(OR('Pricing Inputs'!$AQ$3=3,'Pricing Inputs'!$AQ$3=6,'Pricing Inputs'!$AQ$3=9),IF(AND('Pricing Inputs'!$AQ$3&gt;=3,'Pricing Inputs'!$AQ$3&lt;=6),M22,(VLOOKUP(A22,ScaledPrice,7))*(2-(VLOOKUP(A22,ScaledPrice,3)))),0))</f>
        <v>23.6417799796016</v>
      </c>
      <c r="O22" s="279" t="n">
        <f aca="false">IF(A22="N/A"," ",IF(AND('Pricing Inputs'!$AQ$3&gt;=1,'Pricing Inputs'!$AQ$3&lt;=3),VLOOKUP(A22,ScaledPrice,9),0))</f>
        <v>0</v>
      </c>
      <c r="P22" s="280" t="e">
        <f aca="false">IF($A22="N/A"," ",IF('Pricing Inputs'!$AN$8=2,(I22-H22),IF('Pricing Inputs'!$AN$3=2,IF((I22-$H22)&gt;0,I22-$H22,0),(xSPRDOPT(I22,$E22,$BU22,0,$BP22,$BS22,$BT22,($A22-Inputs!$D$1)+15,1,0)))))</f>
        <v>#NAME?</v>
      </c>
      <c r="Q22" s="280" t="e">
        <f aca="false">IF($A22="N/A"," ",IF('Pricing Inputs'!$AN$8=2,(J22-$H22),IF('Pricing Inputs'!$AN$3=2,IF((J22-$H22)&gt;0,J22-$H22,0),(xSPRDOPT(J22,$E22,$BU22,0,$BP22,$BS22,$BT22,($A22-Inputs!$D$1)+15,1,0)))))</f>
        <v>#NAME?</v>
      </c>
      <c r="R22" s="280" t="e">
        <f aca="false">IF($A22="N/A"," ",IF('Pricing Inputs'!$AN$8=2,(K22-$H22),IF('Pricing Inputs'!$AN$3=2,IF((K22-$H22)&gt;0,K22-$H22,0),(xSPRDOPT(K22,$E22,$BU22,0,$BP22,$BS22,$BT22,($A22-Inputs!$D$1)+15,1,0)))))</f>
        <v>#NAME?</v>
      </c>
      <c r="S22" s="280" t="e">
        <f aca="false">IF($A22="N/A"," ",IF('Pricing Inputs'!$AN$8=2,(L22-$H22),IF('Pricing Inputs'!$AN$3=2,IF((L22-$H22)&gt;0,L22-$H22,0),(xSPRDOPT(L22,$E22,$BU22,0,$BP22,$BS22,$BT22,($A22-Inputs!$D$1)+15,1,0)))))</f>
        <v>#NAME?</v>
      </c>
      <c r="T22" s="280" t="e">
        <f aca="false">IF($A22="N/A"," ",IF('Pricing Inputs'!$AN$8=2,(M22-$H22),IF('Pricing Inputs'!$AN$3=2,IF((M22-$H22)&gt;0,M22-$H22,0),(xSPRDOPT(M22,$E22,$BU22,0,$BP22,$BS22,$BT22,($A22-Inputs!$D$1)+15,1,0)))))</f>
        <v>#NAME?</v>
      </c>
      <c r="U22" s="280" t="e">
        <f aca="false">IF($A22="N/A"," ",IF('Pricing Inputs'!$AN$8=2,(N22-$H22),IF('Pricing Inputs'!$AN$3=2,IF((N22-$H22)&gt;0,N22-$H22,0),(xSPRDOPT(N22,$E22,$BU22,0,$BP22,$BS22,$BT22,($A22-Inputs!$D$1)+15,1,0)))))</f>
        <v>#NAME?</v>
      </c>
      <c r="V22" s="281" t="e">
        <f aca="false">IF($A22="N/A"," ",(IF('Pricing Inputs'!$AN$8=2,(O22-$H22),IF((O22-$H22)&lt;=0,0,(O22-$H22)))))</f>
        <v>#N/A</v>
      </c>
      <c r="W22" s="282" t="e">
        <f aca="false">IF($A22="N/A"," ",IF(0&lt;&gt;P22,IF('Pricing Inputs'!$AN$3=2,8*VLOOKUP($A22,NumberofDaysTable,2),(xSPRDOPT(I22,$E22,$BU22,0,$BP22,$BS22,$BT22,$A22-Inputs!$D$1,1,1))*(8*VLOOKUP($A22,NumberofDaysTable,2))),0))</f>
        <v>#NAME?</v>
      </c>
      <c r="X22" s="282" t="e">
        <f aca="false">IF($A22="N/A"," ",IF(Q22&lt;&gt;0,IF('Pricing Inputs'!$AN$3=2,8*VLOOKUP($A22,NumberofDaysTable,2),(xSPRDOPT(J22,$E22,$BU22,0,$BP22,$BS22,$BT22,$A22-Inputs!$D$1,1,1))*(8*VLOOKUP($A22,NumberofDaysTable,2))),0))</f>
        <v>#NAME?</v>
      </c>
      <c r="Y22" s="282" t="e">
        <f aca="false">IF($A22="N/A"," ",IF(R22&lt;&gt;0,IF('Pricing Inputs'!$AN$3=2,8*VLOOKUP($A22,NumberofDaysTable,3),(xSPRDOPT(K22,$E22,$BU22,0,$BP22,$BS22,$BT22,$A22-Inputs!$D$1,1,1))*(8*VLOOKUP($A22,NumberofDaysTable,3))),0))</f>
        <v>#NAME?</v>
      </c>
      <c r="Z22" s="282" t="e">
        <f aca="false">IF($A22="N/A"," ",IF(S22&lt;&gt;0,IF('Pricing Inputs'!$AN$3=2,8*VLOOKUP($A22,NumberofDaysTable,3),(xSPRDOPT(L22,$E22,$BU22,0,$BP22,$BS22,$BT22,$A22-Inputs!$D$1,1,1))*(8*VLOOKUP($A22,NumberofDaysTable,3))),0))</f>
        <v>#NAME?</v>
      </c>
      <c r="AA22" s="282" t="e">
        <f aca="false">IF($A22="N/A"," ",IF(T22&lt;&gt;0,IF('Pricing Inputs'!$AN$3=2,8*VLOOKUP($A22,NumberofDaysTable,4),(xSPRDOPT(M22,$E22,$BU22,0,$BP22,$BS22,$BT22,$A22-Inputs!$D$1,1,1))*(8*VLOOKUP($A22,NumberofDaysTable,4))),0))</f>
        <v>#NAME?</v>
      </c>
      <c r="AB22" s="282" t="e">
        <f aca="false">IF($A22="N/A"," ",IF(U22&lt;&gt;0,IF('Pricing Inputs'!$AN$3=2,8*VLOOKUP($A22,NumberofDaysTable,4),(xSPRDOPT(N22,$E22,$BU22,0,$BP22,$BS22,$BT22,$A22-Inputs!$D$1,1,1))*(8*VLOOKUP($A22,NumberofDaysTable,4))),0))</f>
        <v>#NAME?</v>
      </c>
      <c r="AC22" s="282" t="e">
        <f aca="false">IF($A22="N/A"," ",(IF(V22&lt;&gt;0,(8*VLOOKUP($A22,NumberofDaysTable,6)),0)))</f>
        <v>#N/A</v>
      </c>
      <c r="AD22" s="298" t="e">
        <f aca="false">IF($A22="N/A"," ",RANK(P22,$P$16:$V$27))</f>
        <v>#NAME?</v>
      </c>
      <c r="AE22" s="299" t="e">
        <f aca="false">IF($A22="N/A"," ",RANK(Q22,$P$16:$V$27))</f>
        <v>#NAME?</v>
      </c>
      <c r="AF22" s="299" t="e">
        <f aca="false">IF($A22="N/A"," ",RANK(R22,$P$16:$V$27))</f>
        <v>#NAME?</v>
      </c>
      <c r="AG22" s="299" t="e">
        <f aca="false">IF($A22="N/A"," ",RANK(S22,$P$16:$V$27))</f>
        <v>#NAME?</v>
      </c>
      <c r="AH22" s="299" t="e">
        <f aca="false">IF($A22="N/A"," ",RANK(T22,$P$16:$V$27))</f>
        <v>#NAME?</v>
      </c>
      <c r="AI22" s="299" t="e">
        <f aca="false">IF($A22="N/A"," ",RANK(U22,$P$16:$V$27))</f>
        <v>#NAME?</v>
      </c>
      <c r="AJ22" s="300" t="e">
        <f aca="false">IF($A22="N/A"," ",RANK(V22,$P$16:$V$27))</f>
        <v>#NAME?</v>
      </c>
      <c r="AK22" s="286" t="e">
        <f aca="false">IF($A22="N/A"," ",IF(AD22&lt;=$AJ$2,W22,0))</f>
        <v>#NAME?</v>
      </c>
      <c r="AL22" s="301" t="e">
        <f aca="false">IF($A22="N/A"," ",IF(AE22&lt;=$AJ$2,X22,0))</f>
        <v>#NAME?</v>
      </c>
      <c r="AM22" s="301" t="e">
        <f aca="false">IF($A22="N/A"," ",IF(AF22&lt;=$AJ$2,Y22,0))</f>
        <v>#NAME?</v>
      </c>
      <c r="AN22" s="301" t="e">
        <f aca="false">IF($A22="N/A"," ",IF(AG22&lt;=$AJ$2,Z22,0))</f>
        <v>#NAME?</v>
      </c>
      <c r="AO22" s="301" t="e">
        <f aca="false">IF($A22="N/A"," ",IF(AH22&lt;=$AJ$2,AA22,0))</f>
        <v>#NAME?</v>
      </c>
      <c r="AP22" s="301" t="e">
        <f aca="false">IF($A22="N/A"," ",IF(AI22&lt;=$AJ$2,AB22,0))</f>
        <v>#NAME?</v>
      </c>
      <c r="AQ22" s="301" t="e">
        <f aca="false">IF($A22="N/A"," ",IF(AJ22&lt;=$AJ$2,AC22,0))</f>
        <v>#NAME?</v>
      </c>
      <c r="AR22" s="299"/>
      <c r="AS22" s="288" t="e">
        <f aca="false">IF($A22="N/A"," ",IF(AND(AD22=$AJ$2+1,AK22=0),MIN($AR$27,W22),0))</f>
        <v>#NAME?</v>
      </c>
      <c r="AT22" s="302" t="e">
        <f aca="false">IF($A22="N/A"," ",IF(AND(AE22=$AJ$2+1,AL22=0),MIN($AR$27,X22),0))</f>
        <v>#NAME?</v>
      </c>
      <c r="AU22" s="302" t="e">
        <f aca="false">IF($A22="N/A"," ",IF(AND(AF22=$AJ$2+1,AM22=0),MIN($AR$27,Y22),0))</f>
        <v>#NAME?</v>
      </c>
      <c r="AV22" s="302" t="e">
        <f aca="false">IF($A22="N/A"," ",IF(AND(AG22=$AJ$2+1,AN22=0),MIN($AR$27,Z22),0))</f>
        <v>#NAME?</v>
      </c>
      <c r="AW22" s="302" t="e">
        <f aca="false">IF($A22="N/A"," ",IF(AND(AH22=$AJ$2+1,AO22=0),MIN($AR$27,AA22),0))</f>
        <v>#NAME?</v>
      </c>
      <c r="AX22" s="302" t="e">
        <f aca="false">IF($A22="N/A"," ",IF(AND(AI22=$AJ$2+1,AP22=0),MIN($AR$27,AB22),0))</f>
        <v>#NAME?</v>
      </c>
      <c r="AY22" s="302" t="e">
        <f aca="false">IF($A22="N/A"," ",IF(AND(AJ22=$AJ$2+1,AQ22=0),MIN($AR$27,AC22),0))</f>
        <v>#NAME?</v>
      </c>
      <c r="AZ22" s="316"/>
      <c r="BA22" s="291" t="n">
        <f aca="false">IF($A22="N/A"," ",(IF(MONTH(A22)&gt;=4,IF(MONTH(A22)&lt;=10,Inputs!$F$13,Inputs!$F$14),Inputs!$F$14))*$BW22)</f>
        <v>180</v>
      </c>
      <c r="BB22" s="292" t="e">
        <f aca="false">IF($A22="N/A"," ",(IF(AK22&gt;0,($BA22*(8*(VLOOKUP($A22,NumberofDaysTable,2)))*P22),0)+IF(AS22&gt;0,($BA22*((AS22))*P22),0)))</f>
        <v>#NAME?</v>
      </c>
      <c r="BC22" s="292" t="e">
        <f aca="false">IF($A22="N/A"," ",(IF(AL22&gt;0,($BA22*(8*(VLOOKUP($A22,NumberofDaysTable,2)))*Q22),0)+IF(AT22&gt;0,($BA22*((AT22))*Q22),0)))</f>
        <v>#NAME?</v>
      </c>
      <c r="BD22" s="292" t="e">
        <f aca="false">IF($A22="N/A"," ",(IF(AM22&gt;0,($BA22*(8*(VLOOKUP($A22,NumberofDaysTable,3)))*R22),0)+IF(AU22&gt;0,($BA22*((AU22))*R22),0)))</f>
        <v>#NAME?</v>
      </c>
      <c r="BE22" s="292" t="e">
        <f aca="false">IF($A22="N/A"," ",(IF(AN22&gt;0,($BA22*(8*(VLOOKUP($A22,NumberofDaysTable,3)))*S22),0)+IF(AV22&gt;0,($BA22*((AV22))*S22),0)))</f>
        <v>#NAME?</v>
      </c>
      <c r="BF22" s="292" t="e">
        <f aca="false">IF($A22="N/A"," ",(IF(AO22&gt;0,($BA22*(8*(VLOOKUP($A22,NumberofDaysTable,4)+VLOOKUP($A22,NumberofDaysTable,5)))*T22),0)+IF(AW22&gt;0,($BA22*((AW22))*T22),0)))</f>
        <v>#NAME?</v>
      </c>
      <c r="BG22" s="292" t="e">
        <f aca="false">IF($A22="N/A"," ",(IF(AP22&gt;0,($BA22*(8*(VLOOKUP($A22,NumberofDaysTable,4)+VLOOKUP($A22,NumberofDaysTable,5)))*U22),0)+IF(AX22&gt;0,($BA22*((AX22))*U22),0)))</f>
        <v>#NAME?</v>
      </c>
      <c r="BH22" s="292" t="e">
        <f aca="false">IF($A22="N/A"," ",($BA22*AQ22*V22))</f>
        <v>#NAME?</v>
      </c>
      <c r="BI22" s="292" t="e">
        <f aca="false">IF($A22="N/A"," ",SUM(BB22:BH22))</f>
        <v>#NAME?</v>
      </c>
      <c r="BJ22" s="293" t="e">
        <f aca="false">IF($A22="N/A"," ",(H22*(SUM(AK22:AQ22)+SUM(AS22:AY22))*BA22))</f>
        <v>#NAME?</v>
      </c>
      <c r="BK22" s="293" t="e">
        <f aca="false">IF($A22="N/A"," ",((C22*D22)*(SUM($AK22:$AQ22)+SUM($AS22:$AY22))*$BA22))</f>
        <v>#N/A</v>
      </c>
      <c r="BL22" s="293" t="e">
        <f aca="false">IF($A22="N/A"," ",(F22*(SUM($AK22:$AQ22)+SUM($AS22:$AY22))*$BA22))</f>
        <v>#NAME?</v>
      </c>
      <c r="BM22" s="293" t="e">
        <f aca="false">IF($A22="N/A"," ",(G22*(SUM($AK22:$AQ22)+SUM($AS22:$AY22))*$BA22))</f>
        <v>#NAME?</v>
      </c>
      <c r="BN22" s="294" t="n">
        <f aca="false">IF(A22="N/A"," ",(VLOOKUP(A22,PowerVolTable,(IF('Pricing Inputs'!$AT$3=2,7,IF('Pricing Inputs'!$AT$3=1,6,8))),FALSE())))</f>
        <v>0.38624625</v>
      </c>
      <c r="BO22" s="294" t="n">
        <f aca="false">IF(A22="N/A"," ",(VLOOKUP(A22,IntraPowerVol,(IF('Pricing Inputs'!$AT$3=2,3,IF('Pricing Inputs'!$AT$3=1,2,4))),FALSE())*VLOOKUP(MONTH($A22),Inputs!$A$28:$B$39,2)))</f>
        <v>3.45</v>
      </c>
      <c r="BP22" s="295" t="n">
        <f aca="false">IF($A22="N/A"," ",(IF(DateToday&gt;$A22,$BO22,((($BN22^2)*((($A22-1)-DateToday)/((EOMONTH($A22,0)+1)-DateToday-15)))+((($BO22)^2)*((15)/((EOMONTH($A22,0)+1)-DateToday-15))))^0.5)))</f>
        <v>3.45</v>
      </c>
      <c r="BQ22" s="294" t="e">
        <f aca="false">IF($A22="N/A"," ",(VLOOKUP($A22,GasVolTable,(IF('Pricing Inputs'!$AT$3=2,6,IF('Pricing Inputs'!$AT$3=1,7,5))),FALSE())))</f>
        <v>#N/A</v>
      </c>
      <c r="BR22" s="294" t="e">
        <f aca="false">IF($A22="N/A"," ",(VLOOKUP($A22,OmicronVol,(IF('Pricing Inputs'!$AT$3=2,3,IF('Pricing Inputs'!$AT$3=1,4,2))),FALSE())))</f>
        <v>#N/A</v>
      </c>
      <c r="BS22" s="295" t="e">
        <f aca="false">IF($A22="N/A"," ",IF('Pricing Inputs'!$AN$3=1,(IF(DateToday&gt;$A22,$BR22,((($BQ22^2)*((($A22-1)-DateToday)/((EOMONTH($A22,0)+1)-DateToday-15)))+((($BR22)^2)*((15)/((EOMONTH($A22,0)+1)-DateToday-15))))^0.5)),0.0001))</f>
        <v>#N/A</v>
      </c>
      <c r="BT22" s="294" t="n">
        <f aca="false">IF($A22="N/A"," ",IF('Pricing Inputs'!$AN$3=1,(VLOOKUP($A22,CorrelationTable,2,FALSE())),0))</f>
        <v>0.9</v>
      </c>
      <c r="BU22" s="296" t="e">
        <f aca="false">IF($A22="N/A"," ",F22+G22+(D22*(VLOOKUP($A22,'Gas Curves'!$B$17:$P$310,14,FALSE()))))</f>
        <v>#N/A</v>
      </c>
      <c r="BV22" s="294" t="n">
        <f aca="false">IF($A22="N/A"," ",IF('Pricing Inputs'!$AW$3=1,0,(VLOOKUP($A22,InterestRatesTable,2))))</f>
        <v>0</v>
      </c>
      <c r="BW22" s="297" t="n">
        <f aca="false">IF($A22="N/A"," ",(1+BV22/2)^(-2*((EOMONTH(A22,0)+20)-DateToday)/365.25))</f>
        <v>1</v>
      </c>
    </row>
    <row r="23" customFormat="false" ht="12.75" hidden="false" customHeight="false" outlineLevel="0" collapsed="false">
      <c r="A23" s="272" t="n">
        <f aca="false">IF(A22="N/A","N/A",IF(EDATE(A22,1)&gt;Inputs!$K$3,"N/A",EDATE(A22,1)))</f>
        <v>37469</v>
      </c>
      <c r="B23" s="273" t="n">
        <f aca="false">IF(A23="N/A"," ",YEAR(A23))</f>
        <v>2002</v>
      </c>
      <c r="C23" s="274" t="e">
        <f aca="false">IF(A23="N/A"," ",VLOOKUP(A23,ScaledPrice,10))</f>
        <v>#N/A</v>
      </c>
      <c r="D23" s="275" t="n">
        <f aca="false">IF(A23="N/A"," ",(VLOOKUP(MONTH($A23),Inputs!$A$14:$B$25,2))/1000)</f>
        <v>10.5</v>
      </c>
      <c r="E23" s="276" t="e">
        <f aca="false">IF($A23="N/A"," ",C23*D23)</f>
        <v>#N/A</v>
      </c>
      <c r="F23" s="277" t="n">
        <f aca="false">IF(A23="N/A"," ",Inputs!$F$6)</f>
        <v>2</v>
      </c>
      <c r="G23" s="277" t="n">
        <f aca="false">IF(A23="N/A"," ",Inputs!$F$9/IF(AND('Pricing Inputs'!$AQ$3&gt;=4,'Pricing Inputs'!$AQ$3&lt;=6),16,IF(AND('Pricing Inputs'!$AQ$3&gt;=7,'Pricing Inputs'!$AQ$3&lt;=9),8,24))/(BA23/BW23))</f>
        <v>0</v>
      </c>
      <c r="H23" s="278" t="e">
        <f aca="false">IF(A23="N/A"," ",(C23*D23)+F23+G23)</f>
        <v>#N/A</v>
      </c>
      <c r="I23" s="279" t="n">
        <f aca="false">VLOOKUP(A23,ScaledPrice,(IF(AND('Pricing Inputs'!$AQ$3&gt;=1,'Pricing Inputs'!$AQ$3&lt;=6),2,4)))</f>
        <v>75.4071684890446</v>
      </c>
      <c r="J23" s="279" t="n">
        <f aca="false">IF(A23="N/A"," ",IF(AND('Pricing Inputs'!$AQ$3&gt;=1,'Pricing Inputs'!$AQ$3&lt;=6),I23,(VLOOKUP(A23,ScaledPrice,2))*(2-(VLOOKUP(A23,ScaledPrice,3)))))</f>
        <v>60.5928315109554</v>
      </c>
      <c r="K23" s="279" t="n">
        <f aca="false">IF(A23="N/A"," ",IF(OR('Pricing Inputs'!$AQ$3=2,'Pricing Inputs'!$AQ$3=3,'Pricing Inputs'!$AQ$3=5,'Pricing Inputs'!$AQ$3=6,'Pricing Inputs'!$AQ$3=8,'Pricing Inputs'!$AQ$3=9),VLOOKUP(A23,ScaledPrice,IF(AND('Pricing Inputs'!$AQ$3&gt;=2,'Pricing Inputs'!$AQ$3&lt;=6),5,6)),0))</f>
        <v>46.5999657175522</v>
      </c>
      <c r="L23" s="279" t="n">
        <f aca="false">IF(A23="N/A"," ",IF(OR('Pricing Inputs'!$AQ$3=2,'Pricing Inputs'!$AQ$3=3,'Pricing Inputs'!$AQ$3=5,'Pricing Inputs'!$AQ$3=6,'Pricing Inputs'!$AQ$3=8,'Pricing Inputs'!$AQ$3=9),IF(AND('Pricing Inputs'!$AQ$3&gt;=2,'Pricing Inputs'!$AQ$3&lt;=6),K23,(VLOOKUP(A23,ScaledPrice,5))*(2-(VLOOKUP(A23,ScaledPrice,3)))),0))</f>
        <v>37.4450324513931</v>
      </c>
      <c r="M23" s="279" t="n">
        <f aca="false">IF(A23="N/A"," ",IF(OR('Pricing Inputs'!$AQ$3=3,'Pricing Inputs'!$AQ$3=6,'Pricing Inputs'!$AQ$3=9),(VLOOKUP(A23,ScaledPrice,IF(AND('Pricing Inputs'!$AQ$3&gt;=3,'Pricing Inputs'!$AQ$3&lt;=6),7,8))),0))</f>
        <v>34.0940214482337</v>
      </c>
      <c r="N23" s="279" t="n">
        <f aca="false">IF(A23="N/A"," ",IF(OR('Pricing Inputs'!$AQ$3=3,'Pricing Inputs'!$AQ$3=6,'Pricing Inputs'!$AQ$3=9),IF(AND('Pricing Inputs'!$AQ$3&gt;=3,'Pricing Inputs'!$AQ$3&lt;=6),M23,(VLOOKUP(A23,ScaledPrice,7))*(2-(VLOOKUP(A23,ScaledPrice,3)))),0))</f>
        <v>27.3959802302331</v>
      </c>
      <c r="O23" s="279" t="n">
        <f aca="false">IF(A23="N/A"," ",IF(AND('Pricing Inputs'!$AQ$3&gt;=1,'Pricing Inputs'!$AQ$3&lt;=3),VLOOKUP(A23,ScaledPrice,9),0))</f>
        <v>0</v>
      </c>
      <c r="P23" s="280" t="e">
        <f aca="false">IF($A23="N/A"," ",IF('Pricing Inputs'!$AN$8=2,(I23-H23),IF('Pricing Inputs'!$AN$3=2,IF((I23-$H23)&gt;0,I23-$H23,0),(xSPRDOPT(I23,$E23,$BU23,0,$BP23,$BS23,$BT23,($A23-Inputs!$D$1)+15,1,0)))))</f>
        <v>#NAME?</v>
      </c>
      <c r="Q23" s="280" t="e">
        <f aca="false">IF($A23="N/A"," ",IF('Pricing Inputs'!$AN$8=2,(J23-$H23),IF('Pricing Inputs'!$AN$3=2,IF((J23-$H23)&gt;0,J23-$H23,0),(xSPRDOPT(J23,$E23,$BU23,0,$BP23,$BS23,$BT23,($A23-Inputs!$D$1)+15,1,0)))))</f>
        <v>#NAME?</v>
      </c>
      <c r="R23" s="280" t="e">
        <f aca="false">IF($A23="N/A"," ",IF('Pricing Inputs'!$AN$8=2,(K23-$H23),IF('Pricing Inputs'!$AN$3=2,IF((K23-$H23)&gt;0,K23-$H23,0),(xSPRDOPT(K23,$E23,$BU23,0,$BP23,$BS23,$BT23,($A23-Inputs!$D$1)+15,1,0)))))</f>
        <v>#NAME?</v>
      </c>
      <c r="S23" s="280" t="e">
        <f aca="false">IF($A23="N/A"," ",IF('Pricing Inputs'!$AN$8=2,(L23-$H23),IF('Pricing Inputs'!$AN$3=2,IF((L23-$H23)&gt;0,L23-$H23,0),(xSPRDOPT(L23,$E23,$BU23,0,$BP23,$BS23,$BT23,($A23-Inputs!$D$1)+15,1,0)))))</f>
        <v>#NAME?</v>
      </c>
      <c r="T23" s="280" t="e">
        <f aca="false">IF($A23="N/A"," ",IF('Pricing Inputs'!$AN$8=2,(M23-$H23),IF('Pricing Inputs'!$AN$3=2,IF((M23-$H23)&gt;0,M23-$H23,0),(xSPRDOPT(M23,$E23,$BU23,0,$BP23,$BS23,$BT23,($A23-Inputs!$D$1)+15,1,0)))))</f>
        <v>#NAME?</v>
      </c>
      <c r="U23" s="280" t="e">
        <f aca="false">IF($A23="N/A"," ",IF('Pricing Inputs'!$AN$8=2,(N23-$H23),IF('Pricing Inputs'!$AN$3=2,IF((N23-$H23)&gt;0,N23-$H23,0),(xSPRDOPT(N23,$E23,$BU23,0,$BP23,$BS23,$BT23,($A23-Inputs!$D$1)+15,1,0)))))</f>
        <v>#NAME?</v>
      </c>
      <c r="V23" s="281" t="e">
        <f aca="false">IF($A23="N/A"," ",(IF('Pricing Inputs'!$AN$8=2,(O23-$H23),IF((O23-$H23)&lt;=0,0,(O23-$H23)))))</f>
        <v>#N/A</v>
      </c>
      <c r="W23" s="282" t="e">
        <f aca="false">IF($A23="N/A"," ",IF(0&lt;&gt;P23,IF('Pricing Inputs'!$AN$3=2,8*VLOOKUP($A23,NumberofDaysTable,2),(xSPRDOPT(I23,$E23,$BU23,0,$BP23,$BS23,$BT23,$A23-Inputs!$D$1,1,1))*(8*VLOOKUP($A23,NumberofDaysTable,2))),0))</f>
        <v>#NAME?</v>
      </c>
      <c r="X23" s="282" t="e">
        <f aca="false">IF($A23="N/A"," ",IF(Q23&lt;&gt;0,IF('Pricing Inputs'!$AN$3=2,8*VLOOKUP($A23,NumberofDaysTable,2),(xSPRDOPT(J23,$E23,$BU23,0,$BP23,$BS23,$BT23,$A23-Inputs!$D$1,1,1))*(8*VLOOKUP($A23,NumberofDaysTable,2))),0))</f>
        <v>#NAME?</v>
      </c>
      <c r="Y23" s="282" t="e">
        <f aca="false">IF($A23="N/A"," ",IF(R23&lt;&gt;0,IF('Pricing Inputs'!$AN$3=2,8*VLOOKUP($A23,NumberofDaysTable,3),(xSPRDOPT(K23,$E23,$BU23,0,$BP23,$BS23,$BT23,$A23-Inputs!$D$1,1,1))*(8*VLOOKUP($A23,NumberofDaysTable,3))),0))</f>
        <v>#NAME?</v>
      </c>
      <c r="Z23" s="282" t="e">
        <f aca="false">IF($A23="N/A"," ",IF(S23&lt;&gt;0,IF('Pricing Inputs'!$AN$3=2,8*VLOOKUP($A23,NumberofDaysTable,3),(xSPRDOPT(L23,$E23,$BU23,0,$BP23,$BS23,$BT23,$A23-Inputs!$D$1,1,1))*(8*VLOOKUP($A23,NumberofDaysTable,3))),0))</f>
        <v>#NAME?</v>
      </c>
      <c r="AA23" s="282" t="e">
        <f aca="false">IF($A23="N/A"," ",IF(T23&lt;&gt;0,IF('Pricing Inputs'!$AN$3=2,8*VLOOKUP($A23,NumberofDaysTable,4),(xSPRDOPT(M23,$E23,$BU23,0,$BP23,$BS23,$BT23,$A23-Inputs!$D$1,1,1))*(8*VLOOKUP($A23,NumberofDaysTable,4))),0))</f>
        <v>#NAME?</v>
      </c>
      <c r="AB23" s="282" t="e">
        <f aca="false">IF($A23="N/A"," ",IF(U23&lt;&gt;0,IF('Pricing Inputs'!$AN$3=2,8*VLOOKUP($A23,NumberofDaysTable,4),(xSPRDOPT(N23,$E23,$BU23,0,$BP23,$BS23,$BT23,$A23-Inputs!$D$1,1,1))*(8*VLOOKUP($A23,NumberofDaysTable,4))),0))</f>
        <v>#NAME?</v>
      </c>
      <c r="AC23" s="282" t="e">
        <f aca="false">IF($A23="N/A"," ",(IF(V23&lt;&gt;0,(8*VLOOKUP($A23,NumberofDaysTable,6)),0)))</f>
        <v>#N/A</v>
      </c>
      <c r="AD23" s="298" t="e">
        <f aca="false">IF($A23="N/A"," ",RANK(P23,$P$16:$V$27))</f>
        <v>#NAME?</v>
      </c>
      <c r="AE23" s="299" t="e">
        <f aca="false">IF($A23="N/A"," ",RANK(Q23,$P$16:$V$27))</f>
        <v>#NAME?</v>
      </c>
      <c r="AF23" s="299" t="e">
        <f aca="false">IF($A23="N/A"," ",RANK(R23,$P$16:$V$27))</f>
        <v>#NAME?</v>
      </c>
      <c r="AG23" s="299" t="e">
        <f aca="false">IF($A23="N/A"," ",RANK(S23,$P$16:$V$27))</f>
        <v>#NAME?</v>
      </c>
      <c r="AH23" s="299" t="e">
        <f aca="false">IF($A23="N/A"," ",RANK(T23,$P$16:$V$27))</f>
        <v>#NAME?</v>
      </c>
      <c r="AI23" s="299" t="e">
        <f aca="false">IF($A23="N/A"," ",RANK(U23,$P$16:$V$27))</f>
        <v>#NAME?</v>
      </c>
      <c r="AJ23" s="300" t="e">
        <f aca="false">IF($A23="N/A"," ",RANK(V23,$P$16:$V$27))</f>
        <v>#NAME?</v>
      </c>
      <c r="AK23" s="286" t="e">
        <f aca="false">IF($A23="N/A"," ",IF(AD23&lt;=$AJ$2,W23,0))</f>
        <v>#NAME?</v>
      </c>
      <c r="AL23" s="301" t="e">
        <f aca="false">IF($A23="N/A"," ",IF(AE23&lt;=$AJ$2,X23,0))</f>
        <v>#NAME?</v>
      </c>
      <c r="AM23" s="301" t="e">
        <f aca="false">IF($A23="N/A"," ",IF(AF23&lt;=$AJ$2,Y23,0))</f>
        <v>#NAME?</v>
      </c>
      <c r="AN23" s="301" t="e">
        <f aca="false">IF($A23="N/A"," ",IF(AG23&lt;=$AJ$2,Z23,0))</f>
        <v>#NAME?</v>
      </c>
      <c r="AO23" s="301" t="e">
        <f aca="false">IF($A23="N/A"," ",IF(AH23&lt;=$AJ$2,AA23,0))</f>
        <v>#NAME?</v>
      </c>
      <c r="AP23" s="301" t="e">
        <f aca="false">IF($A23="N/A"," ",IF(AI23&lt;=$AJ$2,AB23,0))</f>
        <v>#NAME?</v>
      </c>
      <c r="AQ23" s="301" t="e">
        <f aca="false">IF($A23="N/A"," ",IF(AJ23&lt;=$AJ$2,AC23,0))</f>
        <v>#NAME?</v>
      </c>
      <c r="AR23" s="299"/>
      <c r="AS23" s="288" t="e">
        <f aca="false">IF($A23="N/A"," ",IF(AND(AD23=$AJ$2+1,AK23=0),MIN($AR$27,W23),0))</f>
        <v>#NAME?</v>
      </c>
      <c r="AT23" s="302" t="e">
        <f aca="false">IF($A23="N/A"," ",IF(AND(AE23=$AJ$2+1,AL23=0),MIN($AR$27,X23),0))</f>
        <v>#NAME?</v>
      </c>
      <c r="AU23" s="302" t="e">
        <f aca="false">IF($A23="N/A"," ",IF(AND(AF23=$AJ$2+1,AM23=0),MIN($AR$27,Y23),0))</f>
        <v>#NAME?</v>
      </c>
      <c r="AV23" s="302" t="e">
        <f aca="false">IF($A23="N/A"," ",IF(AND(AG23=$AJ$2+1,AN23=0),MIN($AR$27,Z23),0))</f>
        <v>#NAME?</v>
      </c>
      <c r="AW23" s="302" t="e">
        <f aca="false">IF($A23="N/A"," ",IF(AND(AH23=$AJ$2+1,AO23=0),MIN($AR$27,AA23),0))</f>
        <v>#NAME?</v>
      </c>
      <c r="AX23" s="302" t="e">
        <f aca="false">IF($A23="N/A"," ",IF(AND(AI23=$AJ$2+1,AP23=0),MIN($AR$27,AB23),0))</f>
        <v>#NAME?</v>
      </c>
      <c r="AY23" s="302" t="e">
        <f aca="false">IF($A23="N/A"," ",IF(AND(AJ23=$AJ$2+1,AQ23=0),MIN($AR$27,AC23),0))</f>
        <v>#NAME?</v>
      </c>
      <c r="AZ23" s="316"/>
      <c r="BA23" s="291" t="n">
        <f aca="false">IF($A23="N/A"," ",(IF(MONTH(A23)&gt;=4,IF(MONTH(A23)&lt;=10,Inputs!$F$13,Inputs!$F$14),Inputs!$F$14))*$BW23)</f>
        <v>180</v>
      </c>
      <c r="BB23" s="292" t="e">
        <f aca="false">IF($A23="N/A"," ",(IF(AK23&gt;0,($BA23*(8*(VLOOKUP($A23,NumberofDaysTable,2)))*P23),0)+IF(AS23&gt;0,($BA23*((AS23))*P23),0)))</f>
        <v>#NAME?</v>
      </c>
      <c r="BC23" s="292" t="e">
        <f aca="false">IF($A23="N/A"," ",(IF(AL23&gt;0,($BA23*(8*(VLOOKUP($A23,NumberofDaysTable,2)))*Q23),0)+IF(AT23&gt;0,($BA23*((AT23))*Q23),0)))</f>
        <v>#NAME?</v>
      </c>
      <c r="BD23" s="292" t="e">
        <f aca="false">IF($A23="N/A"," ",(IF(AM23&gt;0,($BA23*(8*(VLOOKUP($A23,NumberofDaysTable,3)))*R23),0)+IF(AU23&gt;0,($BA23*((AU23))*R23),0)))</f>
        <v>#NAME?</v>
      </c>
      <c r="BE23" s="292" t="e">
        <f aca="false">IF($A23="N/A"," ",(IF(AN23&gt;0,($BA23*(8*(VLOOKUP($A23,NumberofDaysTable,3)))*S23),0)+IF(AV23&gt;0,($BA23*((AV23))*S23),0)))</f>
        <v>#NAME?</v>
      </c>
      <c r="BF23" s="292" t="e">
        <f aca="false">IF($A23="N/A"," ",(IF(AO23&gt;0,($BA23*(8*(VLOOKUP($A23,NumberofDaysTable,4)+VLOOKUP($A23,NumberofDaysTable,5)))*T23),0)+IF(AW23&gt;0,($BA23*((AW23))*T23),0)))</f>
        <v>#NAME?</v>
      </c>
      <c r="BG23" s="292" t="e">
        <f aca="false">IF($A23="N/A"," ",(IF(AP23&gt;0,($BA23*(8*(VLOOKUP($A23,NumberofDaysTable,4)+VLOOKUP($A23,NumberofDaysTable,5)))*U23),0)+IF(AX23&gt;0,($BA23*((AX23))*U23),0)))</f>
        <v>#NAME?</v>
      </c>
      <c r="BH23" s="292" t="e">
        <f aca="false">IF($A23="N/A"," ",($BA23*AQ23*V23))</f>
        <v>#NAME?</v>
      </c>
      <c r="BI23" s="292" t="e">
        <f aca="false">IF($A23="N/A"," ",SUM(BB23:BH23))</f>
        <v>#NAME?</v>
      </c>
      <c r="BJ23" s="293" t="e">
        <f aca="false">IF($A23="N/A"," ",(H23*(SUM(AK23:AQ23)+SUM(AS23:AY23))*BA23))</f>
        <v>#NAME?</v>
      </c>
      <c r="BK23" s="293" t="e">
        <f aca="false">IF($A23="N/A"," ",((C23*D23)*(SUM($AK23:$AQ23)+SUM($AS23:$AY23))*$BA23))</f>
        <v>#N/A</v>
      </c>
      <c r="BL23" s="293" t="e">
        <f aca="false">IF($A23="N/A"," ",(F23*(SUM($AK23:$AQ23)+SUM($AS23:$AY23))*$BA23))</f>
        <v>#NAME?</v>
      </c>
      <c r="BM23" s="293" t="e">
        <f aca="false">IF($A23="N/A"," ",(G23*(SUM($AK23:$AQ23)+SUM($AS23:$AY23))*$BA23))</f>
        <v>#NAME?</v>
      </c>
      <c r="BN23" s="294" t="n">
        <f aca="false">IF(A23="N/A"," ",(VLOOKUP(A23,PowerVolTable,(IF('Pricing Inputs'!$AT$3=2,7,IF('Pricing Inputs'!$AT$3=1,6,8))),FALSE())))</f>
        <v>0.3800475</v>
      </c>
      <c r="BO23" s="294" t="n">
        <f aca="false">IF(A23="N/A"," ",(VLOOKUP(A23,IntraPowerVol,(IF('Pricing Inputs'!$AT$3=2,3,IF('Pricing Inputs'!$AT$3=1,2,4))),FALSE())*VLOOKUP(MONTH($A23),Inputs!$A$28:$B$39,2)))</f>
        <v>3.45</v>
      </c>
      <c r="BP23" s="295" t="n">
        <f aca="false">IF($A23="N/A"," ",(IF(DateToday&gt;$A23,$BO23,((($BN23^2)*((($A23-1)-DateToday)/((EOMONTH($A23,0)+1)-DateToday-15)))+((($BO23)^2)*((15)/((EOMONTH($A23,0)+1)-DateToday-15))))^0.5)))</f>
        <v>3.45</v>
      </c>
      <c r="BQ23" s="294" t="e">
        <f aca="false">IF($A23="N/A"," ",(VLOOKUP($A23,GasVolTable,(IF('Pricing Inputs'!$AT$3=2,6,IF('Pricing Inputs'!$AT$3=1,7,5))),FALSE())))</f>
        <v>#N/A</v>
      </c>
      <c r="BR23" s="294" t="e">
        <f aca="false">IF($A23="N/A"," ",(VLOOKUP($A23,OmicronVol,(IF('Pricing Inputs'!$AT$3=2,3,IF('Pricing Inputs'!$AT$3=1,4,2))),FALSE())))</f>
        <v>#N/A</v>
      </c>
      <c r="BS23" s="295" t="e">
        <f aca="false">IF($A23="N/A"," ",IF('Pricing Inputs'!$AN$3=1,(IF(DateToday&gt;$A23,$BR23,((($BQ23^2)*((($A23-1)-DateToday)/((EOMONTH($A23,0)+1)-DateToday-15)))+((($BR23)^2)*((15)/((EOMONTH($A23,0)+1)-DateToday-15))))^0.5)),0.0001))</f>
        <v>#N/A</v>
      </c>
      <c r="BT23" s="294" t="n">
        <f aca="false">IF($A23="N/A"," ",IF('Pricing Inputs'!$AN$3=1,(VLOOKUP($A23,CorrelationTable,2,FALSE())),0))</f>
        <v>0.9</v>
      </c>
      <c r="BU23" s="296" t="e">
        <f aca="false">IF($A23="N/A"," ",F23+G23+(D23*(VLOOKUP($A23,'Gas Curves'!$B$17:$P$310,14,FALSE()))))</f>
        <v>#N/A</v>
      </c>
      <c r="BV23" s="294" t="n">
        <f aca="false">IF($A23="N/A"," ",IF('Pricing Inputs'!$AW$3=1,0,(VLOOKUP($A23,InterestRatesTable,2))))</f>
        <v>0</v>
      </c>
      <c r="BW23" s="297" t="n">
        <f aca="false">IF($A23="N/A"," ",(1+BV23/2)^(-2*((EOMONTH(A23,0)+20)-DateToday)/365.25))</f>
        <v>1</v>
      </c>
    </row>
    <row r="24" customFormat="false" ht="12.75" hidden="false" customHeight="false" outlineLevel="0" collapsed="false">
      <c r="A24" s="272" t="n">
        <f aca="false">IF(A23="N/A","N/A",IF(EDATE(A23,1)&gt;Inputs!$K$3,"N/A",EDATE(A23,1)))</f>
        <v>37500</v>
      </c>
      <c r="B24" s="273" t="n">
        <f aca="false">IF(A24="N/A"," ",YEAR(A24))</f>
        <v>2002</v>
      </c>
      <c r="C24" s="274" t="e">
        <f aca="false">IF(A24="N/A"," ",VLOOKUP(A24,ScaledPrice,10))</f>
        <v>#N/A</v>
      </c>
      <c r="D24" s="275" t="n">
        <f aca="false">IF(A24="N/A"," ",(VLOOKUP(MONTH($A24),Inputs!$A$14:$B$25,2))/1000)</f>
        <v>10.5</v>
      </c>
      <c r="E24" s="276" t="e">
        <f aca="false">IF($A24="N/A"," ",C24*D24)</f>
        <v>#N/A</v>
      </c>
      <c r="F24" s="277" t="n">
        <f aca="false">IF(A24="N/A"," ",Inputs!$F$6)</f>
        <v>2</v>
      </c>
      <c r="G24" s="277" t="n">
        <f aca="false">IF(A24="N/A"," ",Inputs!$F$9/IF(AND('Pricing Inputs'!$AQ$3&gt;=4,'Pricing Inputs'!$AQ$3&lt;=6),16,IF(AND('Pricing Inputs'!$AQ$3&gt;=7,'Pricing Inputs'!$AQ$3&lt;=9),8,24))/(BA24/BW24))</f>
        <v>0</v>
      </c>
      <c r="H24" s="278" t="e">
        <f aca="false">IF(A24="N/A"," ",(C24*D24)+F24+G24)</f>
        <v>#N/A</v>
      </c>
      <c r="I24" s="279" t="n">
        <f aca="false">VLOOKUP(A24,ScaledPrice,(IF(AND('Pricing Inputs'!$AQ$3&gt;=1,'Pricing Inputs'!$AQ$3&lt;=6),2,4)))</f>
        <v>36.1856151465769</v>
      </c>
      <c r="J24" s="279" t="n">
        <f aca="false">IF(A24="N/A"," ",IF(AND('Pricing Inputs'!$AQ$3&gt;=1,'Pricing Inputs'!$AQ$3&lt;=6),I24,(VLOOKUP(A24,ScaledPrice,2))*(2-(VLOOKUP(A24,ScaledPrice,3)))))</f>
        <v>29.8143848534232</v>
      </c>
      <c r="K24" s="279" t="n">
        <f aca="false">IF(A24="N/A"," ",IF(OR('Pricing Inputs'!$AQ$3=2,'Pricing Inputs'!$AQ$3=3,'Pricing Inputs'!$AQ$3=5,'Pricing Inputs'!$AQ$3=6,'Pricing Inputs'!$AQ$3=8,'Pricing Inputs'!$AQ$3=9),VLOOKUP(A24,ScaledPrice,IF(AND('Pricing Inputs'!$AQ$3&gt;=2,'Pricing Inputs'!$AQ$3&lt;=6),5,6)),0))</f>
        <v>25.1161055928535</v>
      </c>
      <c r="L24" s="279" t="n">
        <f aca="false">IF(A24="N/A"," ",IF(OR('Pricing Inputs'!$AQ$3=2,'Pricing Inputs'!$AQ$3=3,'Pricing Inputs'!$AQ$3=5,'Pricing Inputs'!$AQ$3=6,'Pricing Inputs'!$AQ$3=8,'Pricing Inputs'!$AQ$3=9),IF(AND('Pricing Inputs'!$AQ$3&gt;=2,'Pricing Inputs'!$AQ$3&lt;=6),K24,(VLOOKUP(A24,ScaledPrice,5))*(2-(VLOOKUP(A24,ScaledPrice,3)))),0))</f>
        <v>20.6938927286797</v>
      </c>
      <c r="M24" s="279" t="n">
        <f aca="false">IF(A24="N/A"," ",IF(OR('Pricing Inputs'!$AQ$3=3,'Pricing Inputs'!$AQ$3=6,'Pricing Inputs'!$AQ$3=9),(VLOOKUP(A24,ScaledPrice,IF(AND('Pricing Inputs'!$AQ$3&gt;=3,'Pricing Inputs'!$AQ$3&lt;=6),7,8))),0))</f>
        <v>25.6588907402999</v>
      </c>
      <c r="N24" s="279" t="n">
        <f aca="false">IF(A24="N/A"," ",IF(OR('Pricing Inputs'!$AQ$3=3,'Pricing Inputs'!$AQ$3=6,'Pricing Inputs'!$AQ$3=9),IF(AND('Pricing Inputs'!$AQ$3&gt;=3,'Pricing Inputs'!$AQ$3&lt;=6),M24,(VLOOKUP(A24,ScaledPrice,7))*(2-(VLOOKUP(A24,ScaledPrice,3)))),0))</f>
        <v>21.1411092597001</v>
      </c>
      <c r="O24" s="279" t="n">
        <f aca="false">IF(A24="N/A"," ",IF(AND('Pricing Inputs'!$AQ$3&gt;=1,'Pricing Inputs'!$AQ$3&lt;=3),VLOOKUP(A24,ScaledPrice,9),0))</f>
        <v>0</v>
      </c>
      <c r="P24" s="280" t="e">
        <f aca="false">IF($A24="N/A"," ",IF('Pricing Inputs'!$AN$8=2,(I24-H24),IF('Pricing Inputs'!$AN$3=2,IF((I24-$H24)&gt;0,I24-$H24,0),(xSPRDOPT(I24,$E24,$BU24,0,$BP24,$BS24,$BT24,($A24-Inputs!$D$1)+15,1,0)))))</f>
        <v>#NAME?</v>
      </c>
      <c r="Q24" s="280" t="e">
        <f aca="false">IF($A24="N/A"," ",IF('Pricing Inputs'!$AN$8=2,(J24-$H24),IF('Pricing Inputs'!$AN$3=2,IF((J24-$H24)&gt;0,J24-$H24,0),(xSPRDOPT(J24,$E24,$BU24,0,$BP24,$BS24,$BT24,($A24-Inputs!$D$1)+15,1,0)))))</f>
        <v>#NAME?</v>
      </c>
      <c r="R24" s="280" t="e">
        <f aca="false">IF($A24="N/A"," ",IF('Pricing Inputs'!$AN$8=2,(K24-$H24),IF('Pricing Inputs'!$AN$3=2,IF((K24-$H24)&gt;0,K24-$H24,0),(xSPRDOPT(K24,$E24,$BU24,0,$BP24,$BS24,$BT24,($A24-Inputs!$D$1)+15,1,0)))))</f>
        <v>#NAME?</v>
      </c>
      <c r="S24" s="280" t="e">
        <f aca="false">IF($A24="N/A"," ",IF('Pricing Inputs'!$AN$8=2,(L24-$H24),IF('Pricing Inputs'!$AN$3=2,IF((L24-$H24)&gt;0,L24-$H24,0),(xSPRDOPT(L24,$E24,$BU24,0,$BP24,$BS24,$BT24,($A24-Inputs!$D$1)+15,1,0)))))</f>
        <v>#NAME?</v>
      </c>
      <c r="T24" s="280" t="e">
        <f aca="false">IF($A24="N/A"," ",IF('Pricing Inputs'!$AN$8=2,(M24-$H24),IF('Pricing Inputs'!$AN$3=2,IF((M24-$H24)&gt;0,M24-$H24,0),(xSPRDOPT(M24,$E24,$BU24,0,$BP24,$BS24,$BT24,($A24-Inputs!$D$1)+15,1,0)))))</f>
        <v>#NAME?</v>
      </c>
      <c r="U24" s="280" t="e">
        <f aca="false">IF($A24="N/A"," ",IF('Pricing Inputs'!$AN$8=2,(N24-$H24),IF('Pricing Inputs'!$AN$3=2,IF((N24-$H24)&gt;0,N24-$H24,0),(xSPRDOPT(N24,$E24,$BU24,0,$BP24,$BS24,$BT24,($A24-Inputs!$D$1)+15,1,0)))))</f>
        <v>#NAME?</v>
      </c>
      <c r="V24" s="281" t="e">
        <f aca="false">IF($A24="N/A"," ",(IF('Pricing Inputs'!$AN$8=2,(O24-$H24),IF((O24-$H24)&lt;=0,0,(O24-$H24)))))</f>
        <v>#N/A</v>
      </c>
      <c r="W24" s="282" t="e">
        <f aca="false">IF($A24="N/A"," ",IF(0&lt;&gt;P24,IF('Pricing Inputs'!$AN$3=2,8*VLOOKUP($A24,NumberofDaysTable,2),(xSPRDOPT(I24,$E24,$BU24,0,$BP24,$BS24,$BT24,$A24-Inputs!$D$1,1,1))*(8*VLOOKUP($A24,NumberofDaysTable,2))),0))</f>
        <v>#NAME?</v>
      </c>
      <c r="X24" s="282" t="e">
        <f aca="false">IF($A24="N/A"," ",IF(Q24&lt;&gt;0,IF('Pricing Inputs'!$AN$3=2,8*VLOOKUP($A24,NumberofDaysTable,2),(xSPRDOPT(J24,$E24,$BU24,0,$BP24,$BS24,$BT24,$A24-Inputs!$D$1,1,1))*(8*VLOOKUP($A24,NumberofDaysTable,2))),0))</f>
        <v>#NAME?</v>
      </c>
      <c r="Y24" s="282" t="e">
        <f aca="false">IF($A24="N/A"," ",IF(R24&lt;&gt;0,IF('Pricing Inputs'!$AN$3=2,8*VLOOKUP($A24,NumberofDaysTable,3),(xSPRDOPT(K24,$E24,$BU24,0,$BP24,$BS24,$BT24,$A24-Inputs!$D$1,1,1))*(8*VLOOKUP($A24,NumberofDaysTable,3))),0))</f>
        <v>#NAME?</v>
      </c>
      <c r="Z24" s="282" t="e">
        <f aca="false">IF($A24="N/A"," ",IF(S24&lt;&gt;0,IF('Pricing Inputs'!$AN$3=2,8*VLOOKUP($A24,NumberofDaysTable,3),(xSPRDOPT(L24,$E24,$BU24,0,$BP24,$BS24,$BT24,$A24-Inputs!$D$1,1,1))*(8*VLOOKUP($A24,NumberofDaysTable,3))),0))</f>
        <v>#NAME?</v>
      </c>
      <c r="AA24" s="282" t="e">
        <f aca="false">IF($A24="N/A"," ",IF(T24&lt;&gt;0,IF('Pricing Inputs'!$AN$3=2,8*VLOOKUP($A24,NumberofDaysTable,4),(xSPRDOPT(M24,$E24,$BU24,0,$BP24,$BS24,$BT24,$A24-Inputs!$D$1,1,1))*(8*VLOOKUP($A24,NumberofDaysTable,4))),0))</f>
        <v>#NAME?</v>
      </c>
      <c r="AB24" s="282" t="e">
        <f aca="false">IF($A24="N/A"," ",IF(U24&lt;&gt;0,IF('Pricing Inputs'!$AN$3=2,8*VLOOKUP($A24,NumberofDaysTable,4),(xSPRDOPT(N24,$E24,$BU24,0,$BP24,$BS24,$BT24,$A24-Inputs!$D$1,1,1))*(8*VLOOKUP($A24,NumberofDaysTable,4))),0))</f>
        <v>#NAME?</v>
      </c>
      <c r="AC24" s="282" t="e">
        <f aca="false">IF($A24="N/A"," ",(IF(V24&lt;&gt;0,(8*VLOOKUP($A24,NumberofDaysTable,6)),0)))</f>
        <v>#N/A</v>
      </c>
      <c r="AD24" s="298" t="e">
        <f aca="false">IF($A24="N/A"," ",RANK(P24,$P$16:$V$27))</f>
        <v>#NAME?</v>
      </c>
      <c r="AE24" s="299" t="e">
        <f aca="false">IF($A24="N/A"," ",RANK(Q24,$P$16:$V$27))</f>
        <v>#NAME?</v>
      </c>
      <c r="AF24" s="299" t="e">
        <f aca="false">IF($A24="N/A"," ",RANK(R24,$P$16:$V$27))</f>
        <v>#NAME?</v>
      </c>
      <c r="AG24" s="299" t="e">
        <f aca="false">IF($A24="N/A"," ",RANK(S24,$P$16:$V$27))</f>
        <v>#NAME?</v>
      </c>
      <c r="AH24" s="299" t="e">
        <f aca="false">IF($A24="N/A"," ",RANK(T24,$P$16:$V$27))</f>
        <v>#NAME?</v>
      </c>
      <c r="AI24" s="299" t="e">
        <f aca="false">IF($A24="N/A"," ",RANK(U24,$P$16:$V$27))</f>
        <v>#NAME?</v>
      </c>
      <c r="AJ24" s="300" t="e">
        <f aca="false">IF($A24="N/A"," ",RANK(V24,$P$16:$V$27))</f>
        <v>#NAME?</v>
      </c>
      <c r="AK24" s="286" t="e">
        <f aca="false">IF($A24="N/A"," ",IF(AD24&lt;=$AJ$2,W24,0))</f>
        <v>#NAME?</v>
      </c>
      <c r="AL24" s="301" t="e">
        <f aca="false">IF($A24="N/A"," ",IF(AE24&lt;=$AJ$2,X24,0))</f>
        <v>#NAME?</v>
      </c>
      <c r="AM24" s="301" t="e">
        <f aca="false">IF($A24="N/A"," ",IF(AF24&lt;=$AJ$2,Y24,0))</f>
        <v>#NAME?</v>
      </c>
      <c r="AN24" s="301" t="e">
        <f aca="false">IF($A24="N/A"," ",IF(AG24&lt;=$AJ$2,Z24,0))</f>
        <v>#NAME?</v>
      </c>
      <c r="AO24" s="301" t="e">
        <f aca="false">IF($A24="N/A"," ",IF(AH24&lt;=$AJ$2,AA24,0))</f>
        <v>#NAME?</v>
      </c>
      <c r="AP24" s="301" t="e">
        <f aca="false">IF($A24="N/A"," ",IF(AI24&lt;=$AJ$2,AB24,0))</f>
        <v>#NAME?</v>
      </c>
      <c r="AQ24" s="301" t="e">
        <f aca="false">IF($A24="N/A"," ",IF(AJ24&lt;=$AJ$2,AC24,0))</f>
        <v>#NAME?</v>
      </c>
      <c r="AR24" s="299"/>
      <c r="AS24" s="288" t="e">
        <f aca="false">IF($A24="N/A"," ",IF(AND(AD24=$AJ$2+1,AK24=0),MIN($AR$27,W24),0))</f>
        <v>#NAME?</v>
      </c>
      <c r="AT24" s="302" t="e">
        <f aca="false">IF($A24="N/A"," ",IF(AND(AE24=$AJ$2+1,AL24=0),MIN($AR$27,X24),0))</f>
        <v>#NAME?</v>
      </c>
      <c r="AU24" s="302" t="e">
        <f aca="false">IF($A24="N/A"," ",IF(AND(AF24=$AJ$2+1,AM24=0),MIN($AR$27,Y24),0))</f>
        <v>#NAME?</v>
      </c>
      <c r="AV24" s="302" t="e">
        <f aca="false">IF($A24="N/A"," ",IF(AND(AG24=$AJ$2+1,AN24=0),MIN($AR$27,Z24),0))</f>
        <v>#NAME?</v>
      </c>
      <c r="AW24" s="302" t="e">
        <f aca="false">IF($A24="N/A"," ",IF(AND(AH24=$AJ$2+1,AO24=0),MIN($AR$27,AA24),0))</f>
        <v>#NAME?</v>
      </c>
      <c r="AX24" s="302" t="e">
        <f aca="false">IF($A24="N/A"," ",IF(AND(AI24=$AJ$2+1,AP24=0),MIN($AR$27,AB24),0))</f>
        <v>#NAME?</v>
      </c>
      <c r="AY24" s="302" t="e">
        <f aca="false">IF($A24="N/A"," ",IF(AND(AJ24=$AJ$2+1,AQ24=0),MIN($AR$27,AC24),0))</f>
        <v>#NAME?</v>
      </c>
      <c r="AZ24" s="316"/>
      <c r="BA24" s="291" t="n">
        <f aca="false">IF($A24="N/A"," ",(IF(MONTH(A24)&gt;=4,IF(MONTH(A24)&lt;=10,Inputs!$F$13,Inputs!$F$14),Inputs!$F$14))*$BW24)</f>
        <v>180</v>
      </c>
      <c r="BB24" s="292" t="e">
        <f aca="false">IF($A24="N/A"," ",(IF(AK24&gt;0,($BA24*(8*(VLOOKUP($A24,NumberofDaysTable,2)))*P24),0)+IF(AS24&gt;0,($BA24*((AS24))*P24),0)))</f>
        <v>#NAME?</v>
      </c>
      <c r="BC24" s="292" t="e">
        <f aca="false">IF($A24="N/A"," ",(IF(AL24&gt;0,($BA24*(8*(VLOOKUP($A24,NumberofDaysTable,2)))*Q24),0)+IF(AT24&gt;0,($BA24*((AT24))*Q24),0)))</f>
        <v>#NAME?</v>
      </c>
      <c r="BD24" s="292" t="e">
        <f aca="false">IF($A24="N/A"," ",(IF(AM24&gt;0,($BA24*(8*(VLOOKUP($A24,NumberofDaysTable,3)))*R24),0)+IF(AU24&gt;0,($BA24*((AU24))*R24),0)))</f>
        <v>#NAME?</v>
      </c>
      <c r="BE24" s="292" t="e">
        <f aca="false">IF($A24="N/A"," ",(IF(AN24&gt;0,($BA24*(8*(VLOOKUP($A24,NumberofDaysTable,3)))*S24),0)+IF(AV24&gt;0,($BA24*((AV24))*S24),0)))</f>
        <v>#NAME?</v>
      </c>
      <c r="BF24" s="292" t="e">
        <f aca="false">IF($A24="N/A"," ",(IF(AO24&gt;0,($BA24*(8*(VLOOKUP($A24,NumberofDaysTable,4)+VLOOKUP($A24,NumberofDaysTable,5)))*T24),0)+IF(AW24&gt;0,($BA24*((AW24))*T24),0)))</f>
        <v>#NAME?</v>
      </c>
      <c r="BG24" s="292" t="e">
        <f aca="false">IF($A24="N/A"," ",(IF(AP24&gt;0,($BA24*(8*(VLOOKUP($A24,NumberofDaysTable,4)+VLOOKUP($A24,NumberofDaysTable,5)))*U24),0)+IF(AX24&gt;0,($BA24*((AX24))*U24),0)))</f>
        <v>#NAME?</v>
      </c>
      <c r="BH24" s="292" t="e">
        <f aca="false">IF($A24="N/A"," ",($BA24*AQ24*V24))</f>
        <v>#NAME?</v>
      </c>
      <c r="BI24" s="292" t="e">
        <f aca="false">IF($A24="N/A"," ",SUM(BB24:BH24))</f>
        <v>#NAME?</v>
      </c>
      <c r="BJ24" s="293" t="e">
        <f aca="false">IF($A24="N/A"," ",(H24*(SUM(AK24:AQ24)+SUM(AS24:AY24))*BA24))</f>
        <v>#NAME?</v>
      </c>
      <c r="BK24" s="293" t="e">
        <f aca="false">IF($A24="N/A"," ",((C24*D24)*(SUM($AK24:$AQ24)+SUM($AS24:$AY24))*$BA24))</f>
        <v>#N/A</v>
      </c>
      <c r="BL24" s="293" t="e">
        <f aca="false">IF($A24="N/A"," ",(F24*(SUM($AK24:$AQ24)+SUM($AS24:$AY24))*$BA24))</f>
        <v>#NAME?</v>
      </c>
      <c r="BM24" s="293" t="e">
        <f aca="false">IF($A24="N/A"," ",(G24*(SUM($AK24:$AQ24)+SUM($AS24:$AY24))*$BA24))</f>
        <v>#NAME?</v>
      </c>
      <c r="BN24" s="294" t="n">
        <f aca="false">IF(A24="N/A"," ",(VLOOKUP(A24,PowerVolTable,(IF('Pricing Inputs'!$AT$3=2,7,IF('Pricing Inputs'!$AT$3=1,6,8))),FALSE())))</f>
        <v>0.2517975</v>
      </c>
      <c r="BO24" s="294" t="n">
        <f aca="false">IF(A24="N/A"," ",(VLOOKUP(A24,IntraPowerVol,(IF('Pricing Inputs'!$AT$3=2,3,IF('Pricing Inputs'!$AT$3=1,2,4))),FALSE())*VLOOKUP(MONTH($A24),Inputs!$A$28:$B$39,2)))</f>
        <v>1.4375</v>
      </c>
      <c r="BP24" s="295" t="n">
        <f aca="false">IF($A24="N/A"," ",(IF(DateToday&gt;$A24,$BO24,((($BN24^2)*((($A24-1)-DateToday)/((EOMONTH($A24,0)+1)-DateToday-15)))+((($BO24)^2)*((15)/((EOMONTH($A24,0)+1)-DateToday-15))))^0.5)))</f>
        <v>1.4375</v>
      </c>
      <c r="BQ24" s="294" t="e">
        <f aca="false">IF($A24="N/A"," ",(VLOOKUP($A24,GasVolTable,(IF('Pricing Inputs'!$AT$3=2,6,IF('Pricing Inputs'!$AT$3=1,7,5))),FALSE())))</f>
        <v>#N/A</v>
      </c>
      <c r="BR24" s="294" t="e">
        <f aca="false">IF($A24="N/A"," ",(VLOOKUP($A24,OmicronVol,(IF('Pricing Inputs'!$AT$3=2,3,IF('Pricing Inputs'!$AT$3=1,4,2))),FALSE())))</f>
        <v>#N/A</v>
      </c>
      <c r="BS24" s="295" t="e">
        <f aca="false">IF($A24="N/A"," ",IF('Pricing Inputs'!$AN$3=1,(IF(DateToday&gt;$A24,$BR24,((($BQ24^2)*((($A24-1)-DateToday)/((EOMONTH($A24,0)+1)-DateToday-15)))+((($BR24)^2)*((15)/((EOMONTH($A24,0)+1)-DateToday-15))))^0.5)),0.0001))</f>
        <v>#N/A</v>
      </c>
      <c r="BT24" s="294" t="n">
        <f aca="false">IF($A24="N/A"," ",IF('Pricing Inputs'!$AN$3=1,(VLOOKUP($A24,CorrelationTable,2,FALSE())),0))</f>
        <v>0.9</v>
      </c>
      <c r="BU24" s="296" t="e">
        <f aca="false">IF($A24="N/A"," ",F24+G24+(D24*(VLOOKUP($A24,'Gas Curves'!$B$17:$P$310,14,FALSE()))))</f>
        <v>#N/A</v>
      </c>
      <c r="BV24" s="294" t="n">
        <f aca="false">IF($A24="N/A"," ",IF('Pricing Inputs'!$AW$3=1,0,(VLOOKUP($A24,InterestRatesTable,2))))</f>
        <v>0</v>
      </c>
      <c r="BW24" s="297" t="n">
        <f aca="false">IF($A24="N/A"," ",(1+BV24/2)^(-2*((EOMONTH(A24,0)+20)-DateToday)/365.25))</f>
        <v>1</v>
      </c>
    </row>
    <row r="25" customFormat="false" ht="12.75" hidden="false" customHeight="false" outlineLevel="0" collapsed="false">
      <c r="A25" s="272" t="n">
        <f aca="false">IF(A24="N/A","N/A",IF(EDATE(A24,1)&gt;Inputs!$K$3,"N/A",EDATE(A24,1)))</f>
        <v>37530</v>
      </c>
      <c r="B25" s="273" t="n">
        <f aca="false">IF(A25="N/A"," ",YEAR(A25))</f>
        <v>2002</v>
      </c>
      <c r="C25" s="274" t="e">
        <f aca="false">IF(A25="N/A"," ",VLOOKUP(A25,ScaledPrice,10))</f>
        <v>#N/A</v>
      </c>
      <c r="D25" s="275" t="n">
        <f aca="false">IF(A25="N/A"," ",(VLOOKUP(MONTH($A25),Inputs!$A$14:$B$25,2))/1000)</f>
        <v>10.5</v>
      </c>
      <c r="E25" s="276" t="e">
        <f aca="false">IF($A25="N/A"," ",C25*D25)</f>
        <v>#N/A</v>
      </c>
      <c r="F25" s="277" t="n">
        <f aca="false">IF(A25="N/A"," ",Inputs!$F$6)</f>
        <v>2</v>
      </c>
      <c r="G25" s="277" t="n">
        <f aca="false">IF(A25="N/A"," ",Inputs!$F$9/IF(AND('Pricing Inputs'!$AQ$3&gt;=4,'Pricing Inputs'!$AQ$3&lt;=6),16,IF(AND('Pricing Inputs'!$AQ$3&gt;=7,'Pricing Inputs'!$AQ$3&lt;=9),8,24))/(BA25/BW25))</f>
        <v>0</v>
      </c>
      <c r="H25" s="278" t="e">
        <f aca="false">IF(A25="N/A"," ",(C25*D25)+F25+G25)</f>
        <v>#N/A</v>
      </c>
      <c r="I25" s="279" t="n">
        <f aca="false">VLOOKUP(A25,ScaledPrice,(IF(AND('Pricing Inputs'!$AQ$3&gt;=1,'Pricing Inputs'!$AQ$3&lt;=6),2,4)))</f>
        <v>30.34794375</v>
      </c>
      <c r="J25" s="279" t="n">
        <f aca="false">IF(A25="N/A"," ",IF(AND('Pricing Inputs'!$AQ$3&gt;=1,'Pricing Inputs'!$AQ$3&lt;=6),I25,(VLOOKUP(A25,ScaledPrice,2))*(2-(VLOOKUP(A25,ScaledPrice,3)))))</f>
        <v>31.15205625</v>
      </c>
      <c r="K25" s="279" t="n">
        <f aca="false">IF(A25="N/A"," ",IF(OR('Pricing Inputs'!$AQ$3=2,'Pricing Inputs'!$AQ$3=3,'Pricing Inputs'!$AQ$3=5,'Pricing Inputs'!$AQ$3=6,'Pricing Inputs'!$AQ$3=8,'Pricing Inputs'!$AQ$3=9),VLOOKUP(A25,ScaledPrice,IF(AND('Pricing Inputs'!$AQ$3&gt;=2,'Pricing Inputs'!$AQ$3&lt;=6),5,6)),0))</f>
        <v>22.699768567915</v>
      </c>
      <c r="L25" s="279" t="n">
        <f aca="false">IF(A25="N/A"," ",IF(OR('Pricing Inputs'!$AQ$3=2,'Pricing Inputs'!$AQ$3=3,'Pricing Inputs'!$AQ$3=5,'Pricing Inputs'!$AQ$3=6,'Pricing Inputs'!$AQ$3=8,'Pricing Inputs'!$AQ$3=9),IF(AND('Pricing Inputs'!$AQ$3&gt;=2,'Pricing Inputs'!$AQ$3&lt;=6),K25,(VLOOKUP(A25,ScaledPrice,5))*(2-(VLOOKUP(A25,ScaledPrice,3)))),0))</f>
        <v>23.3012316457081</v>
      </c>
      <c r="M25" s="279" t="n">
        <f aca="false">IF(A25="N/A"," ",IF(OR('Pricing Inputs'!$AQ$3=3,'Pricing Inputs'!$AQ$3=6,'Pricing Inputs'!$AQ$3=9),(VLOOKUP(A25,ScaledPrice,IF(AND('Pricing Inputs'!$AQ$3&gt;=3,'Pricing Inputs'!$AQ$3&lt;=6),7,8))),0))</f>
        <v>20.7264117593479</v>
      </c>
      <c r="N25" s="279" t="n">
        <f aca="false">IF(A25="N/A"," ",IF(OR('Pricing Inputs'!$AQ$3=3,'Pricing Inputs'!$AQ$3=6,'Pricing Inputs'!$AQ$3=9),IF(AND('Pricing Inputs'!$AQ$3&gt;=3,'Pricing Inputs'!$AQ$3&lt;=6),M25,(VLOOKUP(A25,ScaledPrice,7))*(2-(VLOOKUP(A25,ScaledPrice,3)))),0))</f>
        <v>21.2755879049587</v>
      </c>
      <c r="O25" s="279" t="n">
        <f aca="false">IF(A25="N/A"," ",IF(AND('Pricing Inputs'!$AQ$3&gt;=1,'Pricing Inputs'!$AQ$3&lt;=3),VLOOKUP(A25,ScaledPrice,9),0))</f>
        <v>0</v>
      </c>
      <c r="P25" s="280" t="e">
        <f aca="false">IF($A25="N/A"," ",IF('Pricing Inputs'!$AN$8=2,(I25-H25),IF('Pricing Inputs'!$AN$3=2,IF((I25-$H25)&gt;0,I25-$H25,0),(xSPRDOPT(I25,$E25,$BU25,0,$BP25,$BS25,$BT25,($A25-Inputs!$D$1)+15,1,0)))))</f>
        <v>#NAME?</v>
      </c>
      <c r="Q25" s="280" t="e">
        <f aca="false">IF($A25="N/A"," ",IF('Pricing Inputs'!$AN$8=2,(J25-$H25),IF('Pricing Inputs'!$AN$3=2,IF((J25-$H25)&gt;0,J25-$H25,0),(xSPRDOPT(J25,$E25,$BU25,0,$BP25,$BS25,$BT25,($A25-Inputs!$D$1)+15,1,0)))))</f>
        <v>#NAME?</v>
      </c>
      <c r="R25" s="280" t="e">
        <f aca="false">IF($A25="N/A"," ",IF('Pricing Inputs'!$AN$8=2,(K25-$H25),IF('Pricing Inputs'!$AN$3=2,IF((K25-$H25)&gt;0,K25-$H25,0),(xSPRDOPT(K25,$E25,$BU25,0,$BP25,$BS25,$BT25,($A25-Inputs!$D$1)+15,1,0)))))</f>
        <v>#NAME?</v>
      </c>
      <c r="S25" s="280" t="e">
        <f aca="false">IF($A25="N/A"," ",IF('Pricing Inputs'!$AN$8=2,(L25-$H25),IF('Pricing Inputs'!$AN$3=2,IF((L25-$H25)&gt;0,L25-$H25,0),(xSPRDOPT(L25,$E25,$BU25,0,$BP25,$BS25,$BT25,($A25-Inputs!$D$1)+15,1,0)))))</f>
        <v>#NAME?</v>
      </c>
      <c r="T25" s="280" t="e">
        <f aca="false">IF($A25="N/A"," ",IF('Pricing Inputs'!$AN$8=2,(M25-$H25),IF('Pricing Inputs'!$AN$3=2,IF((M25-$H25)&gt;0,M25-$H25,0),(xSPRDOPT(M25,$E25,$BU25,0,$BP25,$BS25,$BT25,($A25-Inputs!$D$1)+15,1,0)))))</f>
        <v>#NAME?</v>
      </c>
      <c r="U25" s="280" t="e">
        <f aca="false">IF($A25="N/A"," ",IF('Pricing Inputs'!$AN$8=2,(N25-$H25),IF('Pricing Inputs'!$AN$3=2,IF((N25-$H25)&gt;0,N25-$H25,0),(xSPRDOPT(N25,$E25,$BU25,0,$BP25,$BS25,$BT25,($A25-Inputs!$D$1)+15,1,0)))))</f>
        <v>#NAME?</v>
      </c>
      <c r="V25" s="281" t="e">
        <f aca="false">IF($A25="N/A"," ",(IF('Pricing Inputs'!$AN$8=2,(O25-$H25),IF((O25-$H25)&lt;=0,0,(O25-$H25)))))</f>
        <v>#N/A</v>
      </c>
      <c r="W25" s="282" t="e">
        <f aca="false">IF($A25="N/A"," ",IF(0&lt;&gt;P25,IF('Pricing Inputs'!$AN$3=2,8*VLOOKUP($A25,NumberofDaysTable,2),(xSPRDOPT(I25,$E25,$BU25,0,$BP25,$BS25,$BT25,$A25-Inputs!$D$1,1,1))*(8*VLOOKUP($A25,NumberofDaysTable,2))),0))</f>
        <v>#NAME?</v>
      </c>
      <c r="X25" s="282" t="e">
        <f aca="false">IF($A25="N/A"," ",IF(Q25&lt;&gt;0,IF('Pricing Inputs'!$AN$3=2,8*VLOOKUP($A25,NumberofDaysTable,2),(xSPRDOPT(J25,$E25,$BU25,0,$BP25,$BS25,$BT25,$A25-Inputs!$D$1,1,1))*(8*VLOOKUP($A25,NumberofDaysTable,2))),0))</f>
        <v>#NAME?</v>
      </c>
      <c r="Y25" s="282" t="e">
        <f aca="false">IF($A25="N/A"," ",IF(R25&lt;&gt;0,IF('Pricing Inputs'!$AN$3=2,8*VLOOKUP($A25,NumberofDaysTable,3),(xSPRDOPT(K25,$E25,$BU25,0,$BP25,$BS25,$BT25,$A25-Inputs!$D$1,1,1))*(8*VLOOKUP($A25,NumberofDaysTable,3))),0))</f>
        <v>#NAME?</v>
      </c>
      <c r="Z25" s="282" t="e">
        <f aca="false">IF($A25="N/A"," ",IF(S25&lt;&gt;0,IF('Pricing Inputs'!$AN$3=2,8*VLOOKUP($A25,NumberofDaysTable,3),(xSPRDOPT(L25,$E25,$BU25,0,$BP25,$BS25,$BT25,$A25-Inputs!$D$1,1,1))*(8*VLOOKUP($A25,NumberofDaysTable,3))),0))</f>
        <v>#NAME?</v>
      </c>
      <c r="AA25" s="282" t="e">
        <f aca="false">IF($A25="N/A"," ",IF(T25&lt;&gt;0,IF('Pricing Inputs'!$AN$3=2,8*VLOOKUP($A25,NumberofDaysTable,4),(xSPRDOPT(M25,$E25,$BU25,0,$BP25,$BS25,$BT25,$A25-Inputs!$D$1,1,1))*(8*VLOOKUP($A25,NumberofDaysTable,4))),0))</f>
        <v>#NAME?</v>
      </c>
      <c r="AB25" s="282" t="e">
        <f aca="false">IF($A25="N/A"," ",IF(U25&lt;&gt;0,IF('Pricing Inputs'!$AN$3=2,8*VLOOKUP($A25,NumberofDaysTable,4),(xSPRDOPT(N25,$E25,$BU25,0,$BP25,$BS25,$BT25,$A25-Inputs!$D$1,1,1))*(8*VLOOKUP($A25,NumberofDaysTable,4))),0))</f>
        <v>#NAME?</v>
      </c>
      <c r="AC25" s="282" t="e">
        <f aca="false">IF($A25="N/A"," ",(IF(V25&lt;&gt;0,(8*VLOOKUP($A25,NumberofDaysTable,6)),0)))</f>
        <v>#N/A</v>
      </c>
      <c r="AD25" s="298" t="e">
        <f aca="false">IF($A25="N/A"," ",RANK(P25,$P$16:$V$27))</f>
        <v>#NAME?</v>
      </c>
      <c r="AE25" s="299" t="e">
        <f aca="false">IF($A25="N/A"," ",RANK(Q25,$P$16:$V$27))</f>
        <v>#NAME?</v>
      </c>
      <c r="AF25" s="299" t="e">
        <f aca="false">IF($A25="N/A"," ",RANK(R25,$P$16:$V$27))</f>
        <v>#NAME?</v>
      </c>
      <c r="AG25" s="299" t="e">
        <f aca="false">IF($A25="N/A"," ",RANK(S25,$P$16:$V$27))</f>
        <v>#NAME?</v>
      </c>
      <c r="AH25" s="299" t="e">
        <f aca="false">IF($A25="N/A"," ",RANK(T25,$P$16:$V$27))</f>
        <v>#NAME?</v>
      </c>
      <c r="AI25" s="299" t="e">
        <f aca="false">IF($A25="N/A"," ",RANK(U25,$P$16:$V$27))</f>
        <v>#NAME?</v>
      </c>
      <c r="AJ25" s="300" t="e">
        <f aca="false">IF($A25="N/A"," ",RANK(V25,$P$16:$V$27))</f>
        <v>#NAME?</v>
      </c>
      <c r="AK25" s="286" t="e">
        <f aca="false">IF($A25="N/A"," ",IF(AD25&lt;=$AJ$2,W25,0))</f>
        <v>#NAME?</v>
      </c>
      <c r="AL25" s="301" t="e">
        <f aca="false">IF($A25="N/A"," ",IF(AE25&lt;=$AJ$2,X25,0))</f>
        <v>#NAME?</v>
      </c>
      <c r="AM25" s="301" t="e">
        <f aca="false">IF($A25="N/A"," ",IF(AF25&lt;=$AJ$2,Y25,0))</f>
        <v>#NAME?</v>
      </c>
      <c r="AN25" s="301" t="e">
        <f aca="false">IF($A25="N/A"," ",IF(AG25&lt;=$AJ$2,Z25,0))</f>
        <v>#NAME?</v>
      </c>
      <c r="AO25" s="301" t="e">
        <f aca="false">IF($A25="N/A"," ",IF(AH25&lt;=$AJ$2,AA25,0))</f>
        <v>#NAME?</v>
      </c>
      <c r="AP25" s="301" t="e">
        <f aca="false">IF($A25="N/A"," ",IF(AI25&lt;=$AJ$2,AB25,0))</f>
        <v>#NAME?</v>
      </c>
      <c r="AQ25" s="301" t="e">
        <f aca="false">IF($A25="N/A"," ",IF(AJ25&lt;=$AJ$2,AC25,0))</f>
        <v>#NAME?</v>
      </c>
      <c r="AR25" s="317" t="s">
        <v>1301</v>
      </c>
      <c r="AS25" s="288" t="e">
        <f aca="false">IF($A25="N/A"," ",IF(AND(AD25=$AJ$2+1,AK25=0),MIN($AR$27,W25),0))</f>
        <v>#NAME?</v>
      </c>
      <c r="AT25" s="302" t="e">
        <f aca="false">IF($A25="N/A"," ",IF(AND(AE25=$AJ$2+1,AL25=0),MIN($AR$27,X25),0))</f>
        <v>#NAME?</v>
      </c>
      <c r="AU25" s="302" t="e">
        <f aca="false">IF($A25="N/A"," ",IF(AND(AF25=$AJ$2+1,AM25=0),MIN($AR$27,Y25),0))</f>
        <v>#NAME?</v>
      </c>
      <c r="AV25" s="302" t="e">
        <f aca="false">IF($A25="N/A"," ",IF(AND(AG25=$AJ$2+1,AN25=0),MIN($AR$27,Z25),0))</f>
        <v>#NAME?</v>
      </c>
      <c r="AW25" s="302" t="e">
        <f aca="false">IF($A25="N/A"," ",IF(AND(AH25=$AJ$2+1,AO25=0),MIN($AR$27,AA25),0))</f>
        <v>#NAME?</v>
      </c>
      <c r="AX25" s="302" t="e">
        <f aca="false">IF($A25="N/A"," ",IF(AND(AI25=$AJ$2+1,AP25=0),MIN($AR$27,AB25),0))</f>
        <v>#NAME?</v>
      </c>
      <c r="AY25" s="302" t="e">
        <f aca="false">IF($A25="N/A"," ",IF(AND(AJ25=$AJ$2+1,AQ25=0),MIN($AR$27,AC25),0))</f>
        <v>#NAME?</v>
      </c>
      <c r="AZ25" s="303" t="s">
        <v>1328</v>
      </c>
      <c r="BA25" s="291" t="n">
        <f aca="false">IF($A25="N/A"," ",(IF(MONTH(A25)&gt;=4,IF(MONTH(A25)&lt;=10,Inputs!$F$13,Inputs!$F$14),Inputs!$F$14))*$BW25)</f>
        <v>180</v>
      </c>
      <c r="BB25" s="292" t="e">
        <f aca="false">IF($A25="N/A"," ",(IF(AK25&gt;0,($BA25*(8*(VLOOKUP($A25,NumberofDaysTable,2)))*P25),0)+IF(AS25&gt;0,($BA25*((AS25))*P25),0)))</f>
        <v>#NAME?</v>
      </c>
      <c r="BC25" s="292" t="e">
        <f aca="false">IF($A25="N/A"," ",(IF(AL25&gt;0,($BA25*(8*(VLOOKUP($A25,NumberofDaysTable,2)))*Q25),0)+IF(AT25&gt;0,($BA25*((AT25))*Q25),0)))</f>
        <v>#NAME?</v>
      </c>
      <c r="BD25" s="292" t="e">
        <f aca="false">IF($A25="N/A"," ",(IF(AM25&gt;0,($BA25*(8*(VLOOKUP($A25,NumberofDaysTable,3)))*R25),0)+IF(AU25&gt;0,($BA25*((AU25))*R25),0)))</f>
        <v>#NAME?</v>
      </c>
      <c r="BE25" s="292" t="e">
        <f aca="false">IF($A25="N/A"," ",(IF(AN25&gt;0,($BA25*(8*(VLOOKUP($A25,NumberofDaysTable,3)))*S25),0)+IF(AV25&gt;0,($BA25*((AV25))*S25),0)))</f>
        <v>#NAME?</v>
      </c>
      <c r="BF25" s="292" t="e">
        <f aca="false">IF($A25="N/A"," ",(IF(AO25&gt;0,($BA25*(8*(VLOOKUP($A25,NumberofDaysTable,4)+VLOOKUP($A25,NumberofDaysTable,5)))*T25),0)+IF(AW25&gt;0,($BA25*((AW25))*T25),0)))</f>
        <v>#NAME?</v>
      </c>
      <c r="BG25" s="292" t="e">
        <f aca="false">IF($A25="N/A"," ",(IF(AP25&gt;0,($BA25*(8*(VLOOKUP($A25,NumberofDaysTable,4)+VLOOKUP($A25,NumberofDaysTable,5)))*U25),0)+IF(AX25&gt;0,($BA25*((AX25))*U25),0)))</f>
        <v>#NAME?</v>
      </c>
      <c r="BH25" s="292" t="e">
        <f aca="false">IF($A25="N/A"," ",($BA25*AQ25*V25))</f>
        <v>#NAME?</v>
      </c>
      <c r="BI25" s="292" t="e">
        <f aca="false">IF($A25="N/A"," ",SUM(BB25:BH25))</f>
        <v>#NAME?</v>
      </c>
      <c r="BJ25" s="293" t="e">
        <f aca="false">IF($A25="N/A"," ",(H25*(SUM(AK25:AQ25)+SUM(AS25:AY25))*BA25))</f>
        <v>#NAME?</v>
      </c>
      <c r="BK25" s="293" t="e">
        <f aca="false">IF($A25="N/A"," ",((C25*D25)*(SUM($AK25:$AQ25)+SUM($AS25:$AY25))*$BA25))</f>
        <v>#N/A</v>
      </c>
      <c r="BL25" s="293" t="e">
        <f aca="false">IF($A25="N/A"," ",(F25*(SUM($AK25:$AQ25)+SUM($AS25:$AY25))*$BA25))</f>
        <v>#NAME?</v>
      </c>
      <c r="BM25" s="293" t="e">
        <f aca="false">IF($A25="N/A"," ",(G25*(SUM($AK25:$AQ25)+SUM($AS25:$AY25))*$BA25))</f>
        <v>#NAME?</v>
      </c>
      <c r="BN25" s="294" t="n">
        <f aca="false">IF(A25="N/A"," ",(VLOOKUP(A25,PowerVolTable,(IF('Pricing Inputs'!$AT$3=2,7,IF('Pricing Inputs'!$AT$3=1,6,8))),FALSE())))</f>
        <v>0.229995</v>
      </c>
      <c r="BO25" s="294" t="n">
        <f aca="false">IF(A25="N/A"," ",(VLOOKUP(A25,IntraPowerVol,(IF('Pricing Inputs'!$AT$3=2,3,IF('Pricing Inputs'!$AT$3=1,2,4))),FALSE())*VLOOKUP(MONTH($A25),Inputs!$A$28:$B$39,2)))</f>
        <v>1.265</v>
      </c>
      <c r="BP25" s="295" t="n">
        <f aca="false">IF($A25="N/A"," ",(IF(DateToday&gt;$A25,$BO25,((($BN25^2)*((($A25-1)-DateToday)/((EOMONTH($A25,0)+1)-DateToday-15)))+((($BO25)^2)*((15)/((EOMONTH($A25,0)+1)-DateToday-15))))^0.5)))</f>
        <v>1.265</v>
      </c>
      <c r="BQ25" s="294" t="e">
        <f aca="false">IF($A25="N/A"," ",(VLOOKUP($A25,GasVolTable,(IF('Pricing Inputs'!$AT$3=2,6,IF('Pricing Inputs'!$AT$3=1,7,5))),FALSE())))</f>
        <v>#N/A</v>
      </c>
      <c r="BR25" s="294" t="e">
        <f aca="false">IF($A25="N/A"," ",(VLOOKUP($A25,OmicronVol,(IF('Pricing Inputs'!$AT$3=2,3,IF('Pricing Inputs'!$AT$3=1,4,2))),FALSE())))</f>
        <v>#N/A</v>
      </c>
      <c r="BS25" s="295" t="e">
        <f aca="false">IF($A25="N/A"," ",IF('Pricing Inputs'!$AN$3=1,(IF(DateToday&gt;$A25,$BR25,((($BQ25^2)*((($A25-1)-DateToday)/((EOMONTH($A25,0)+1)-DateToday-15)))+((($BR25)^2)*((15)/((EOMONTH($A25,0)+1)-DateToday-15))))^0.5)),0.0001))</f>
        <v>#N/A</v>
      </c>
      <c r="BT25" s="294" t="n">
        <f aca="false">IF($A25="N/A"," ",IF('Pricing Inputs'!$AN$3=1,(VLOOKUP($A25,CorrelationTable,2,FALSE())),0))</f>
        <v>0.9</v>
      </c>
      <c r="BU25" s="296" t="e">
        <f aca="false">IF($A25="N/A"," ",F25+G25+(D25*(VLOOKUP($A25,'Gas Curves'!$B$17:$P$310,14,FALSE()))))</f>
        <v>#N/A</v>
      </c>
      <c r="BV25" s="294" t="n">
        <f aca="false">IF($A25="N/A"," ",IF('Pricing Inputs'!$AW$3=1,0,(VLOOKUP($A25,InterestRatesTable,2))))</f>
        <v>0</v>
      </c>
      <c r="BW25" s="297" t="n">
        <f aca="false">IF($A25="N/A"," ",(1+BV25/2)^(-2*((EOMONTH(A25,0)+20)-DateToday)/365.25))</f>
        <v>1</v>
      </c>
    </row>
    <row r="26" customFormat="false" ht="12.75" hidden="false" customHeight="false" outlineLevel="0" collapsed="false">
      <c r="A26" s="272" t="n">
        <f aca="false">IF(A25="N/A","N/A",IF(EDATE(A25,1)&gt;Inputs!$K$3,"N/A",EDATE(A25,1)))</f>
        <v>37561</v>
      </c>
      <c r="B26" s="273" t="n">
        <f aca="false">IF(A26="N/A"," ",YEAR(A26))</f>
        <v>2002</v>
      </c>
      <c r="C26" s="274" t="e">
        <f aca="false">IF(A26="N/A"," ",VLOOKUP(A26,ScaledPrice,10))</f>
        <v>#N/A</v>
      </c>
      <c r="D26" s="275" t="n">
        <f aca="false">IF(A26="N/A"," ",(VLOOKUP(MONTH($A26),Inputs!$A$14:$B$25,2))/1000)</f>
        <v>10.5</v>
      </c>
      <c r="E26" s="276" t="e">
        <f aca="false">IF($A26="N/A"," ",C26*D26)</f>
        <v>#N/A</v>
      </c>
      <c r="F26" s="277" t="n">
        <f aca="false">IF(A26="N/A"," ",Inputs!$F$6)</f>
        <v>2</v>
      </c>
      <c r="G26" s="277" t="n">
        <f aca="false">IF(A26="N/A"," ",Inputs!$F$9/IF(AND('Pricing Inputs'!$AQ$3&gt;=4,'Pricing Inputs'!$AQ$3&lt;=6),16,IF(AND('Pricing Inputs'!$AQ$3&gt;=7,'Pricing Inputs'!$AQ$3&lt;=9),8,24))/(BA26/BW26))</f>
        <v>0</v>
      </c>
      <c r="H26" s="278" t="e">
        <f aca="false">IF(A26="N/A"," ",(C26*D26)+F26+G26)</f>
        <v>#N/A</v>
      </c>
      <c r="I26" s="279" t="n">
        <f aca="false">VLOOKUP(A26,ScaledPrice,(IF(AND('Pricing Inputs'!$AQ$3&gt;=1,'Pricing Inputs'!$AQ$3&lt;=6),2,4)))</f>
        <v>30.789628125</v>
      </c>
      <c r="J26" s="279" t="n">
        <f aca="false">IF(A26="N/A"," ",IF(AND('Pricing Inputs'!$AQ$3&gt;=1,'Pricing Inputs'!$AQ$3&lt;=6),I26,(VLOOKUP(A26,ScaledPrice,2))*(2-(VLOOKUP(A26,ScaledPrice,3)))))</f>
        <v>31.460371875</v>
      </c>
      <c r="K26" s="279" t="n">
        <f aca="false">IF(A26="N/A"," ",IF(OR('Pricing Inputs'!$AQ$3=2,'Pricing Inputs'!$AQ$3=3,'Pricing Inputs'!$AQ$3=5,'Pricing Inputs'!$AQ$3=6,'Pricing Inputs'!$AQ$3=8,'Pricing Inputs'!$AQ$3=9),VLOOKUP(A26,ScaledPrice,IF(AND('Pricing Inputs'!$AQ$3&gt;=2,'Pricing Inputs'!$AQ$3&lt;=6),5,6)),0))</f>
        <v>23.7461003885651</v>
      </c>
      <c r="L26" s="279" t="n">
        <f aca="false">IF(A26="N/A"," ",IF(OR('Pricing Inputs'!$AQ$3=2,'Pricing Inputs'!$AQ$3=3,'Pricing Inputs'!$AQ$3=5,'Pricing Inputs'!$AQ$3=6,'Pricing Inputs'!$AQ$3=8,'Pricing Inputs'!$AQ$3=9),IF(AND('Pricing Inputs'!$AQ$3&gt;=2,'Pricing Inputs'!$AQ$3&lt;=6),K26,(VLOOKUP(A26,ScaledPrice,5))*(2-(VLOOKUP(A26,ScaledPrice,3)))),0))</f>
        <v>24.2634027852631</v>
      </c>
      <c r="M26" s="279" t="n">
        <f aca="false">IF(A26="N/A"," ",IF(OR('Pricing Inputs'!$AQ$3=3,'Pricing Inputs'!$AQ$3=6,'Pricing Inputs'!$AQ$3=9),(VLOOKUP(A26,ScaledPrice,IF(AND('Pricing Inputs'!$AQ$3&gt;=3,'Pricing Inputs'!$AQ$3&lt;=6),7,8))),0))</f>
        <v>21.7674013313675</v>
      </c>
      <c r="N26" s="279" t="n">
        <f aca="false">IF(A26="N/A"," ",IF(OR('Pricing Inputs'!$AQ$3=3,'Pricing Inputs'!$AQ$3=6,'Pricing Inputs'!$AQ$3=9),IF(AND('Pricing Inputs'!$AQ$3&gt;=3,'Pricing Inputs'!$AQ$3&lt;=6),M26,(VLOOKUP(A26,ScaledPrice,7))*(2-(VLOOKUP(A26,ScaledPrice,3)))),0))</f>
        <v>22.2415983024216</v>
      </c>
      <c r="O26" s="279" t="n">
        <f aca="false">IF(A26="N/A"," ",IF(AND('Pricing Inputs'!$AQ$3&gt;=1,'Pricing Inputs'!$AQ$3&lt;=3),VLOOKUP(A26,ScaledPrice,9),0))</f>
        <v>0</v>
      </c>
      <c r="P26" s="280" t="e">
        <f aca="false">IF($A26="N/A"," ",IF('Pricing Inputs'!$AN$8=2,(I26-H26),IF('Pricing Inputs'!$AN$3=2,IF((I26-$H26)&gt;0,I26-$H26,0),(xSPRDOPT(I26,$E26,$BU26,0,$BP26,$BS26,$BT26,($A26-Inputs!$D$1)+15,1,0)))))</f>
        <v>#NAME?</v>
      </c>
      <c r="Q26" s="280" t="e">
        <f aca="false">IF($A26="N/A"," ",IF('Pricing Inputs'!$AN$8=2,(J26-$H26),IF('Pricing Inputs'!$AN$3=2,IF((J26-$H26)&gt;0,J26-$H26,0),(xSPRDOPT(J26,$E26,$BU26,0,$BP26,$BS26,$BT26,($A26-Inputs!$D$1)+15,1,0)))))</f>
        <v>#NAME?</v>
      </c>
      <c r="R26" s="280" t="e">
        <f aca="false">IF($A26="N/A"," ",IF('Pricing Inputs'!$AN$8=2,(K26-$H26),IF('Pricing Inputs'!$AN$3=2,IF((K26-$H26)&gt;0,K26-$H26,0),(xSPRDOPT(K26,$E26,$BU26,0,$BP26,$BS26,$BT26,($A26-Inputs!$D$1)+15,1,0)))))</f>
        <v>#NAME?</v>
      </c>
      <c r="S26" s="280" t="e">
        <f aca="false">IF($A26="N/A"," ",IF('Pricing Inputs'!$AN$8=2,(L26-$H26),IF('Pricing Inputs'!$AN$3=2,IF((L26-$H26)&gt;0,L26-$H26,0),(xSPRDOPT(L26,$E26,$BU26,0,$BP26,$BS26,$BT26,($A26-Inputs!$D$1)+15,1,0)))))</f>
        <v>#NAME?</v>
      </c>
      <c r="T26" s="280" t="e">
        <f aca="false">IF($A26="N/A"," ",IF('Pricing Inputs'!$AN$8=2,(M26-$H26),IF('Pricing Inputs'!$AN$3=2,IF((M26-$H26)&gt;0,M26-$H26,0),(xSPRDOPT(M26,$E26,$BU26,0,$BP26,$BS26,$BT26,($A26-Inputs!$D$1)+15,1,0)))))</f>
        <v>#NAME?</v>
      </c>
      <c r="U26" s="280" t="e">
        <f aca="false">IF($A26="N/A"," ",IF('Pricing Inputs'!$AN$8=2,(N26-$H26),IF('Pricing Inputs'!$AN$3=2,IF((N26-$H26)&gt;0,N26-$H26,0),(xSPRDOPT(N26,$E26,$BU26,0,$BP26,$BS26,$BT26,($A26-Inputs!$D$1)+15,1,0)))))</f>
        <v>#NAME?</v>
      </c>
      <c r="V26" s="281" t="e">
        <f aca="false">IF($A26="N/A"," ",(IF('Pricing Inputs'!$AN$8=2,(O26-$H26),IF((O26-$H26)&lt;=0,0,(O26-$H26)))))</f>
        <v>#N/A</v>
      </c>
      <c r="W26" s="282" t="e">
        <f aca="false">IF($A26="N/A"," ",IF(0&lt;&gt;P26,IF('Pricing Inputs'!$AN$3=2,8*VLOOKUP($A26,NumberofDaysTable,2),(xSPRDOPT(I26,$E26,$BU26,0,$BP26,$BS26,$BT26,$A26-Inputs!$D$1,1,1))*(8*VLOOKUP($A26,NumberofDaysTable,2))),0))</f>
        <v>#NAME?</v>
      </c>
      <c r="X26" s="282" t="e">
        <f aca="false">IF($A26="N/A"," ",IF(Q26&lt;&gt;0,IF('Pricing Inputs'!$AN$3=2,8*VLOOKUP($A26,NumberofDaysTable,2),(xSPRDOPT(J26,$E26,$BU26,0,$BP26,$BS26,$BT26,$A26-Inputs!$D$1,1,1))*(8*VLOOKUP($A26,NumberofDaysTable,2))),0))</f>
        <v>#NAME?</v>
      </c>
      <c r="Y26" s="282" t="e">
        <f aca="false">IF($A26="N/A"," ",IF(R26&lt;&gt;0,IF('Pricing Inputs'!$AN$3=2,8*VLOOKUP($A26,NumberofDaysTable,3),(xSPRDOPT(K26,$E26,$BU26,0,$BP26,$BS26,$BT26,$A26-Inputs!$D$1,1,1))*(8*VLOOKUP($A26,NumberofDaysTable,3))),0))</f>
        <v>#NAME?</v>
      </c>
      <c r="Z26" s="282" t="e">
        <f aca="false">IF($A26="N/A"," ",IF(S26&lt;&gt;0,IF('Pricing Inputs'!$AN$3=2,8*VLOOKUP($A26,NumberofDaysTable,3),(xSPRDOPT(L26,$E26,$BU26,0,$BP26,$BS26,$BT26,$A26-Inputs!$D$1,1,1))*(8*VLOOKUP($A26,NumberofDaysTable,3))),0))</f>
        <v>#NAME?</v>
      </c>
      <c r="AA26" s="282" t="e">
        <f aca="false">IF($A26="N/A"," ",IF(T26&lt;&gt;0,IF('Pricing Inputs'!$AN$3=2,8*VLOOKUP($A26,NumberofDaysTable,4),(xSPRDOPT(M26,$E26,$BU26,0,$BP26,$BS26,$BT26,$A26-Inputs!$D$1,1,1))*(8*VLOOKUP($A26,NumberofDaysTable,4))),0))</f>
        <v>#NAME?</v>
      </c>
      <c r="AB26" s="282" t="e">
        <f aca="false">IF($A26="N/A"," ",IF(U26&lt;&gt;0,IF('Pricing Inputs'!$AN$3=2,8*VLOOKUP($A26,NumberofDaysTable,4),(xSPRDOPT(N26,$E26,$BU26,0,$BP26,$BS26,$BT26,$A26-Inputs!$D$1,1,1))*(8*VLOOKUP($A26,NumberofDaysTable,4))),0))</f>
        <v>#NAME?</v>
      </c>
      <c r="AC26" s="282" t="e">
        <f aca="false">IF($A26="N/A"," ",(IF(V26&lt;&gt;0,(8*VLOOKUP($A26,NumberofDaysTable,6)),0)))</f>
        <v>#N/A</v>
      </c>
      <c r="AD26" s="298" t="e">
        <f aca="false">IF($A26="N/A"," ",RANK(P26,$P$16:$V$27))</f>
        <v>#NAME?</v>
      </c>
      <c r="AE26" s="299" t="e">
        <f aca="false">IF($A26="N/A"," ",RANK(Q26,$P$16:$V$27))</f>
        <v>#NAME?</v>
      </c>
      <c r="AF26" s="299" t="e">
        <f aca="false">IF($A26="N/A"," ",RANK(R26,$P$16:$V$27))</f>
        <v>#NAME?</v>
      </c>
      <c r="AG26" s="299" t="e">
        <f aca="false">IF($A26="N/A"," ",RANK(S26,$P$16:$V$27))</f>
        <v>#NAME?</v>
      </c>
      <c r="AH26" s="299" t="e">
        <f aca="false">IF($A26="N/A"," ",RANK(T26,$P$16:$V$27))</f>
        <v>#NAME?</v>
      </c>
      <c r="AI26" s="299" t="e">
        <f aca="false">IF($A26="N/A"," ",RANK(U26,$P$16:$V$27))</f>
        <v>#NAME?</v>
      </c>
      <c r="AJ26" s="300" t="e">
        <f aca="false">IF($A26="N/A"," ",RANK(V26,$P$16:$V$27))</f>
        <v>#NAME?</v>
      </c>
      <c r="AK26" s="286" t="e">
        <f aca="false">IF($A26="N/A"," ",IF(AD26&lt;=$AJ$2,W26,0))</f>
        <v>#NAME?</v>
      </c>
      <c r="AL26" s="301" t="e">
        <f aca="false">IF($A26="N/A"," ",IF(AE26&lt;=$AJ$2,X26,0))</f>
        <v>#NAME?</v>
      </c>
      <c r="AM26" s="301" t="e">
        <f aca="false">IF($A26="N/A"," ",IF(AF26&lt;=$AJ$2,Y26,0))</f>
        <v>#NAME?</v>
      </c>
      <c r="AN26" s="301" t="e">
        <f aca="false">IF($A26="N/A"," ",IF(AG26&lt;=$AJ$2,Z26,0))</f>
        <v>#NAME?</v>
      </c>
      <c r="AO26" s="301" t="e">
        <f aca="false">IF($A26="N/A"," ",IF(AH26&lt;=$AJ$2,AA26,0))</f>
        <v>#NAME?</v>
      </c>
      <c r="AP26" s="301" t="e">
        <f aca="false">IF($A26="N/A"," ",IF(AI26&lt;=$AJ$2,AB26,0))</f>
        <v>#NAME?</v>
      </c>
      <c r="AQ26" s="301" t="e">
        <f aca="false">IF($A26="N/A"," ",IF(AJ26&lt;=$AJ$2,AC26,0))</f>
        <v>#NAME?</v>
      </c>
      <c r="AR26" s="299" t="e">
        <f aca="false">SUM(AK16:AQ27)</f>
        <v>#NAME?</v>
      </c>
      <c r="AS26" s="288" t="e">
        <f aca="false">IF($A26="N/A"," ",IF(AND(AD26=$AJ$2+1,AK26=0),MIN($AR$27,W26),0))</f>
        <v>#NAME?</v>
      </c>
      <c r="AT26" s="302" t="e">
        <f aca="false">IF($A26="N/A"," ",IF(AND(AE26=$AJ$2+1,AL26=0),MIN($AR$27,X26),0))</f>
        <v>#NAME?</v>
      </c>
      <c r="AU26" s="302" t="e">
        <f aca="false">IF($A26="N/A"," ",IF(AND(AF26=$AJ$2+1,AM26=0),MIN($AR$27,Y26),0))</f>
        <v>#NAME?</v>
      </c>
      <c r="AV26" s="302" t="e">
        <f aca="false">IF($A26="N/A"," ",IF(AND(AG26=$AJ$2+1,AN26=0),MIN($AR$27,Z26),0))</f>
        <v>#NAME?</v>
      </c>
      <c r="AW26" s="302" t="e">
        <f aca="false">IF($A26="N/A"," ",IF(AND(AH26=$AJ$2+1,AO26=0),MIN($AR$27,AA26),0))</f>
        <v>#NAME?</v>
      </c>
      <c r="AX26" s="302" t="e">
        <f aca="false">IF($A26="N/A"," ",IF(AND(AI26=$AJ$2+1,AP26=0),MIN($AR$27,AB26),0))</f>
        <v>#NAME?</v>
      </c>
      <c r="AY26" s="302" t="e">
        <f aca="false">IF($A26="N/A"," ",IF(AND(AJ26=$AJ$2+1,AQ26=0),MIN($AR$27,AC26),0))</f>
        <v>#NAME?</v>
      </c>
      <c r="AZ26" s="300" t="e">
        <f aca="false">SUM(AS16:AY27)</f>
        <v>#NAME?</v>
      </c>
      <c r="BA26" s="291" t="n">
        <f aca="false">IF($A26="N/A"," ",(IF(MONTH(A26)&gt;=4,IF(MONTH(A26)&lt;=10,Inputs!$F$13,Inputs!$F$14),Inputs!$F$14))*$BW26)</f>
        <v>180</v>
      </c>
      <c r="BB26" s="292" t="e">
        <f aca="false">IF($A26="N/A"," ",(IF(AK26&gt;0,($BA26*(8*(VLOOKUP($A26,NumberofDaysTable,2)))*P26),0)+IF(AS26&gt;0,($BA26*((AS26))*P26),0)))</f>
        <v>#NAME?</v>
      </c>
      <c r="BC26" s="292" t="e">
        <f aca="false">IF($A26="N/A"," ",(IF(AL26&gt;0,($BA26*(8*(VLOOKUP($A26,NumberofDaysTable,2)))*Q26),0)+IF(AT26&gt;0,($BA26*((AT26))*Q26),0)))</f>
        <v>#NAME?</v>
      </c>
      <c r="BD26" s="292" t="e">
        <f aca="false">IF($A26="N/A"," ",(IF(AM26&gt;0,($BA26*(8*(VLOOKUP($A26,NumberofDaysTable,3)))*R26),0)+IF(AU26&gt;0,($BA26*((AU26))*R26),0)))</f>
        <v>#NAME?</v>
      </c>
      <c r="BE26" s="292" t="e">
        <f aca="false">IF($A26="N/A"," ",(IF(AN26&gt;0,($BA26*(8*(VLOOKUP($A26,NumberofDaysTable,3)))*S26),0)+IF(AV26&gt;0,($BA26*((AV26))*S26),0)))</f>
        <v>#NAME?</v>
      </c>
      <c r="BF26" s="292" t="e">
        <f aca="false">IF($A26="N/A"," ",(IF(AO26&gt;0,($BA26*(8*(VLOOKUP($A26,NumberofDaysTable,4)+VLOOKUP($A26,NumberofDaysTable,5)))*T26),0)+IF(AW26&gt;0,($BA26*((AW26))*T26),0)))</f>
        <v>#NAME?</v>
      </c>
      <c r="BG26" s="292" t="e">
        <f aca="false">IF($A26="N/A"," ",(IF(AP26&gt;0,($BA26*(8*(VLOOKUP($A26,NumberofDaysTable,4)+VLOOKUP($A26,NumberofDaysTable,5)))*U26),0)+IF(AX26&gt;0,($BA26*((AX26))*U26),0)))</f>
        <v>#NAME?</v>
      </c>
      <c r="BH26" s="292" t="e">
        <f aca="false">IF($A26="N/A"," ",($BA26*AQ26*V26))</f>
        <v>#NAME?</v>
      </c>
      <c r="BI26" s="292" t="e">
        <f aca="false">IF($A26="N/A"," ",SUM(BB26:BH26))</f>
        <v>#NAME?</v>
      </c>
      <c r="BJ26" s="293" t="e">
        <f aca="false">IF($A26="N/A"," ",(H26*(SUM(AK26:AQ26)+SUM(AS26:AY26))*BA26))</f>
        <v>#NAME?</v>
      </c>
      <c r="BK26" s="293" t="e">
        <f aca="false">IF($A26="N/A"," ",((C26*D26)*(SUM($AK26:$AQ26)+SUM($AS26:$AY26))*$BA26))</f>
        <v>#N/A</v>
      </c>
      <c r="BL26" s="293" t="e">
        <f aca="false">IF($A26="N/A"," ",(F26*(SUM($AK26:$AQ26)+SUM($AS26:$AY26))*$BA26))</f>
        <v>#NAME?</v>
      </c>
      <c r="BM26" s="293" t="e">
        <f aca="false">IF($A26="N/A"," ",(G26*(SUM($AK26:$AQ26)+SUM($AS26:$AY26))*$BA26))</f>
        <v>#NAME?</v>
      </c>
      <c r="BN26" s="294" t="n">
        <f aca="false">IF(A26="N/A"," ",(VLOOKUP(A26,PowerVolTable,(IF('Pricing Inputs'!$AT$3=2,7,IF('Pricing Inputs'!$AT$3=1,6,8))),FALSE())))</f>
        <v>0.229995</v>
      </c>
      <c r="BO26" s="294" t="n">
        <f aca="false">IF(A26="N/A"," ",(VLOOKUP(A26,IntraPowerVol,(IF('Pricing Inputs'!$AT$3=2,3,IF('Pricing Inputs'!$AT$3=1,2,4))),FALSE())*VLOOKUP(MONTH($A26),Inputs!$A$28:$B$39,2)))</f>
        <v>1.4375</v>
      </c>
      <c r="BP26" s="295" t="n">
        <f aca="false">IF($A26="N/A"," ",(IF(DateToday&gt;$A26,$BO26,((($BN26^2)*((($A26-1)-DateToday)/((EOMONTH($A26,0)+1)-DateToday-15)))+((($BO26)^2)*((15)/((EOMONTH($A26,0)+1)-DateToday-15))))^0.5)))</f>
        <v>1.4375</v>
      </c>
      <c r="BQ26" s="294" t="e">
        <f aca="false">IF($A26="N/A"," ",(VLOOKUP($A26,GasVolTable,(IF('Pricing Inputs'!$AT$3=2,6,IF('Pricing Inputs'!$AT$3=1,7,5))),FALSE())))</f>
        <v>#N/A</v>
      </c>
      <c r="BR26" s="294" t="e">
        <f aca="false">IF($A26="N/A"," ",(VLOOKUP($A26,OmicronVol,(IF('Pricing Inputs'!$AT$3=2,3,IF('Pricing Inputs'!$AT$3=1,4,2))),FALSE())))</f>
        <v>#N/A</v>
      </c>
      <c r="BS26" s="295" t="e">
        <f aca="false">IF($A26="N/A"," ",IF('Pricing Inputs'!$AN$3=1,(IF(DateToday&gt;$A26,$BR26,((($BQ26^2)*((($A26-1)-DateToday)/((EOMONTH($A26,0)+1)-DateToday-15)))+((($BR26)^2)*((15)/((EOMONTH($A26,0)+1)-DateToday-15))))^0.5)),0.0001))</f>
        <v>#N/A</v>
      </c>
      <c r="BT26" s="294" t="n">
        <f aca="false">IF($A26="N/A"," ",IF('Pricing Inputs'!$AN$3=1,(VLOOKUP($A26,CorrelationTable,2,FALSE())),0))</f>
        <v>0.9</v>
      </c>
      <c r="BU26" s="296" t="e">
        <f aca="false">IF($A26="N/A"," ",F26+G26+(D26*(VLOOKUP($A26,'Gas Curves'!$B$17:$P$310,14,FALSE()))))</f>
        <v>#N/A</v>
      </c>
      <c r="BV26" s="294" t="n">
        <f aca="false">IF($A26="N/A"," ",IF('Pricing Inputs'!$AW$3=1,0,(VLOOKUP($A26,InterestRatesTable,2))))</f>
        <v>0</v>
      </c>
      <c r="BW26" s="297" t="n">
        <f aca="false">IF($A26="N/A"," ",(1+BV26/2)^(-2*((EOMONTH(A26,0)+20)-DateToday)/365.25))</f>
        <v>1</v>
      </c>
    </row>
    <row r="27" customFormat="false" ht="12.75" hidden="false" customHeight="false" outlineLevel="0" collapsed="false">
      <c r="A27" s="272" t="n">
        <f aca="false">IF(A26="N/A","N/A",IF(EDATE(A26,1)&gt;Inputs!$K$3,"N/A",EDATE(A26,1)))</f>
        <v>37591</v>
      </c>
      <c r="B27" s="273" t="n">
        <f aca="false">IF(A27="N/A"," ",YEAR(A27))</f>
        <v>2002</v>
      </c>
      <c r="C27" s="274" t="e">
        <f aca="false">IF(A27="N/A"," ",VLOOKUP(A27,ScaledPrice,10))</f>
        <v>#N/A</v>
      </c>
      <c r="D27" s="275" t="n">
        <f aca="false">IF(A27="N/A"," ",(VLOOKUP(MONTH($A27),Inputs!$A$14:$B$25,2))/1000)</f>
        <v>10.5</v>
      </c>
      <c r="E27" s="276" t="e">
        <f aca="false">IF($A27="N/A"," ",C27*D27)</f>
        <v>#N/A</v>
      </c>
      <c r="F27" s="277" t="n">
        <f aca="false">IF(A27="N/A"," ",Inputs!$F$6)</f>
        <v>2</v>
      </c>
      <c r="G27" s="277" t="n">
        <f aca="false">IF(A27="N/A"," ",Inputs!$F$9/IF(AND('Pricing Inputs'!$AQ$3&gt;=4,'Pricing Inputs'!$AQ$3&lt;=6),16,IF(AND('Pricing Inputs'!$AQ$3&gt;=7,'Pricing Inputs'!$AQ$3&lt;=9),8,24))/(BA27/BW27))</f>
        <v>0</v>
      </c>
      <c r="H27" s="278" t="e">
        <f aca="false">IF(A27="N/A"," ",(C27*D27)+F27+G27)</f>
        <v>#N/A</v>
      </c>
      <c r="I27" s="279" t="n">
        <f aca="false">VLOOKUP(A27,ScaledPrice,(IF(AND('Pricing Inputs'!$AQ$3&gt;=1,'Pricing Inputs'!$AQ$3&lt;=6),2,4)))</f>
        <v>30.3341027995637</v>
      </c>
      <c r="J27" s="279" t="n">
        <f aca="false">IF(A27="N/A"," ",IF(AND('Pricing Inputs'!$AQ$3&gt;=1,'Pricing Inputs'!$AQ$3&lt;=6),I27,(VLOOKUP(A27,ScaledPrice,2))*(2-(VLOOKUP(A27,ScaledPrice,3)))))</f>
        <v>31.6658972004363</v>
      </c>
      <c r="K27" s="279" t="n">
        <f aca="false">IF(A27="N/A"," ",IF(OR('Pricing Inputs'!$AQ$3=2,'Pricing Inputs'!$AQ$3=3,'Pricing Inputs'!$AQ$3=5,'Pricing Inputs'!$AQ$3=6,'Pricing Inputs'!$AQ$3=8,'Pricing Inputs'!$AQ$3=9),VLOOKUP(A27,ScaledPrice,IF(AND('Pricing Inputs'!$AQ$3&gt;=2,'Pricing Inputs'!$AQ$3&lt;=6),5,6)),0))</f>
        <v>24.9082109084651</v>
      </c>
      <c r="L27" s="279" t="n">
        <f aca="false">IF(A27="N/A"," ",IF(OR('Pricing Inputs'!$AQ$3=2,'Pricing Inputs'!$AQ$3=3,'Pricing Inputs'!$AQ$3=5,'Pricing Inputs'!$AQ$3=6,'Pricing Inputs'!$AQ$3=8,'Pricing Inputs'!$AQ$3=9),IF(AND('Pricing Inputs'!$AQ$3&gt;=2,'Pricing Inputs'!$AQ$3&lt;=6),K27,(VLOOKUP(A27,ScaledPrice,5))*(2-(VLOOKUP(A27,ScaledPrice,3)))),0))</f>
        <v>26.0017858871892</v>
      </c>
      <c r="M27" s="279" t="n">
        <f aca="false">IF(A27="N/A"," ",IF(OR('Pricing Inputs'!$AQ$3=3,'Pricing Inputs'!$AQ$3=6,'Pricing Inputs'!$AQ$3=9),(VLOOKUP(A27,ScaledPrice,IF(AND('Pricing Inputs'!$AQ$3&gt;=3,'Pricing Inputs'!$AQ$3&lt;=6),7,8))),0))</f>
        <v>21.4785010744303</v>
      </c>
      <c r="N27" s="279" t="n">
        <f aca="false">IF(A27="N/A"," ",IF(OR('Pricing Inputs'!$AQ$3=3,'Pricing Inputs'!$AQ$3=6,'Pricing Inputs'!$AQ$3=9),IF(AND('Pricing Inputs'!$AQ$3&gt;=3,'Pricing Inputs'!$AQ$3&lt;=6),M27,(VLOOKUP(A27,ScaledPrice,7))*(2-(VLOOKUP(A27,ScaledPrice,3)))),0))</f>
        <v>22.4214973996908</v>
      </c>
      <c r="O27" s="279" t="n">
        <f aca="false">IF(A27="N/A"," ",IF(AND('Pricing Inputs'!$AQ$3&gt;=1,'Pricing Inputs'!$AQ$3&lt;=3),VLOOKUP(A27,ScaledPrice,9),0))</f>
        <v>0</v>
      </c>
      <c r="P27" s="280" t="e">
        <f aca="false">IF($A27="N/A"," ",IF('Pricing Inputs'!$AN$8=2,(I27-H27),IF('Pricing Inputs'!$AN$3=2,IF((I27-$H27)&gt;0,I27-$H27,0),(xSPRDOPT(I27,$E27,$BU27,0,$BP27,$BS27,$BT27,($A27-Inputs!$D$1)+15,1,0)))))</f>
        <v>#NAME?</v>
      </c>
      <c r="Q27" s="280" t="e">
        <f aca="false">IF($A27="N/A"," ",IF('Pricing Inputs'!$AN$8=2,(J27-$H27),IF('Pricing Inputs'!$AN$3=2,IF((J27-$H27)&gt;0,J27-$H27,0),(xSPRDOPT(J27,$E27,$BU27,0,$BP27,$BS27,$BT27,($A27-Inputs!$D$1)+15,1,0)))))</f>
        <v>#NAME?</v>
      </c>
      <c r="R27" s="280" t="e">
        <f aca="false">IF($A27="N/A"," ",IF('Pricing Inputs'!$AN$8=2,(K27-$H27),IF('Pricing Inputs'!$AN$3=2,IF((K27-$H27)&gt;0,K27-$H27,0),(xSPRDOPT(K27,$E27,$BU27,0,$BP27,$BS27,$BT27,($A27-Inputs!$D$1)+15,1,0)))))</f>
        <v>#NAME?</v>
      </c>
      <c r="S27" s="280" t="e">
        <f aca="false">IF($A27="N/A"," ",IF('Pricing Inputs'!$AN$8=2,(L27-$H27),IF('Pricing Inputs'!$AN$3=2,IF((L27-$H27)&gt;0,L27-$H27,0),(xSPRDOPT(L27,$E27,$BU27,0,$BP27,$BS27,$BT27,($A27-Inputs!$D$1)+15,1,0)))))</f>
        <v>#NAME?</v>
      </c>
      <c r="T27" s="280" t="e">
        <f aca="false">IF($A27="N/A"," ",IF('Pricing Inputs'!$AN$8=2,(M27-$H27),IF('Pricing Inputs'!$AN$3=2,IF((M27-$H27)&gt;0,M27-$H27,0),(xSPRDOPT(M27,$E27,$BU27,0,$BP27,$BS27,$BT27,($A27-Inputs!$D$1)+15,1,0)))))</f>
        <v>#NAME?</v>
      </c>
      <c r="U27" s="280" t="e">
        <f aca="false">IF($A27="N/A"," ",IF('Pricing Inputs'!$AN$8=2,(N27-$H27),IF('Pricing Inputs'!$AN$3=2,IF((N27-$H27)&gt;0,N27-$H27,0),(xSPRDOPT(N27,$E27,$BU27,0,$BP27,$BS27,$BT27,($A27-Inputs!$D$1)+15,1,0)))))</f>
        <v>#NAME?</v>
      </c>
      <c r="V27" s="281" t="e">
        <f aca="false">IF($A27="N/A"," ",(IF('Pricing Inputs'!$AN$8=2,(O27-$H27),IF((O27-$H27)&lt;=0,0,(O27-$H27)))))</f>
        <v>#N/A</v>
      </c>
      <c r="W27" s="282" t="e">
        <f aca="false">IF($A27="N/A"," ",IF(0&lt;&gt;P27,IF('Pricing Inputs'!$AN$3=2,8*VLOOKUP($A27,NumberofDaysTable,2),(xSPRDOPT(I27,$E27,$BU27,0,$BP27,$BS27,$BT27,$A27-Inputs!$D$1,1,1))*(8*VLOOKUP($A27,NumberofDaysTable,2))),0))</f>
        <v>#NAME?</v>
      </c>
      <c r="X27" s="282" t="e">
        <f aca="false">IF($A27="N/A"," ",IF(Q27&lt;&gt;0,IF('Pricing Inputs'!$AN$3=2,8*VLOOKUP($A27,NumberofDaysTable,2),(xSPRDOPT(J27,$E27,$BU27,0,$BP27,$BS27,$BT27,$A27-Inputs!$D$1,1,1))*(8*VLOOKUP($A27,NumberofDaysTable,2))),0))</f>
        <v>#NAME?</v>
      </c>
      <c r="Y27" s="282" t="e">
        <f aca="false">IF($A27="N/A"," ",IF(R27&lt;&gt;0,IF('Pricing Inputs'!$AN$3=2,8*VLOOKUP($A27,NumberofDaysTable,3),(xSPRDOPT(K27,$E27,$BU27,0,$BP27,$BS27,$BT27,$A27-Inputs!$D$1,1,1))*(8*VLOOKUP($A27,NumberofDaysTable,3))),0))</f>
        <v>#NAME?</v>
      </c>
      <c r="Z27" s="282" t="e">
        <f aca="false">IF($A27="N/A"," ",IF(S27&lt;&gt;0,IF('Pricing Inputs'!$AN$3=2,8*VLOOKUP($A27,NumberofDaysTable,3),(xSPRDOPT(L27,$E27,$BU27,0,$BP27,$BS27,$BT27,$A27-Inputs!$D$1,1,1))*(8*VLOOKUP($A27,NumberofDaysTable,3))),0))</f>
        <v>#NAME?</v>
      </c>
      <c r="AA27" s="282" t="e">
        <f aca="false">IF($A27="N/A"," ",IF(T27&lt;&gt;0,IF('Pricing Inputs'!$AN$3=2,8*VLOOKUP($A27,NumberofDaysTable,4),(xSPRDOPT(M27,$E27,$BU27,0,$BP27,$BS27,$BT27,$A27-Inputs!$D$1,1,1))*(8*VLOOKUP($A27,NumberofDaysTable,4))),0))</f>
        <v>#NAME?</v>
      </c>
      <c r="AB27" s="282" t="e">
        <f aca="false">IF($A27="N/A"," ",IF(U27&lt;&gt;0,IF('Pricing Inputs'!$AN$3=2,8*VLOOKUP($A27,NumberofDaysTable,4),(xSPRDOPT(N27,$E27,$BU27,0,$BP27,$BS27,$BT27,$A27-Inputs!$D$1,1,1))*(8*VLOOKUP($A27,NumberofDaysTable,4))),0))</f>
        <v>#NAME?</v>
      </c>
      <c r="AC27" s="282" t="e">
        <f aca="false">IF($A27="N/A"," ",(IF(V27&lt;&gt;0,(8*VLOOKUP($A27,NumberofDaysTable,6)),0)))</f>
        <v>#N/A</v>
      </c>
      <c r="AD27" s="305" t="e">
        <f aca="false">IF($A27="N/A"," ",RANK(P27,$P$16:$V$27))</f>
        <v>#NAME?</v>
      </c>
      <c r="AE27" s="306" t="e">
        <f aca="false">IF($A27="N/A"," ",RANK(Q27,$P$16:$V$27))</f>
        <v>#NAME?</v>
      </c>
      <c r="AF27" s="306" t="e">
        <f aca="false">IF($A27="N/A"," ",RANK(R27,$P$16:$V$27))</f>
        <v>#NAME?</v>
      </c>
      <c r="AG27" s="306" t="e">
        <f aca="false">IF($A27="N/A"," ",RANK(S27,$P$16:$V$27))</f>
        <v>#NAME?</v>
      </c>
      <c r="AH27" s="306" t="e">
        <f aca="false">IF($A27="N/A"," ",RANK(T27,$P$16:$V$27))</f>
        <v>#NAME?</v>
      </c>
      <c r="AI27" s="306" t="e">
        <f aca="false">IF($A27="N/A"," ",RANK(U27,$P$16:$V$27))</f>
        <v>#NAME?</v>
      </c>
      <c r="AJ27" s="307" t="e">
        <f aca="false">IF($A27="N/A"," ",RANK(V27,$P$16:$V$27))</f>
        <v>#NAME?</v>
      </c>
      <c r="AK27" s="308" t="e">
        <f aca="false">IF($A27="N/A"," ",IF(AD27&lt;=$AJ$2,W27,0))</f>
        <v>#NAME?</v>
      </c>
      <c r="AL27" s="309" t="e">
        <f aca="false">IF($A27="N/A"," ",IF(AE27&lt;=$AJ$2,X27,0))</f>
        <v>#NAME?</v>
      </c>
      <c r="AM27" s="309" t="e">
        <f aca="false">IF($A27="N/A"," ",IF(AF27&lt;=$AJ$2,Y27,0))</f>
        <v>#NAME?</v>
      </c>
      <c r="AN27" s="309" t="e">
        <f aca="false">IF($A27="N/A"," ",IF(AG27&lt;=$AJ$2,Z27,0))</f>
        <v>#NAME?</v>
      </c>
      <c r="AO27" s="309" t="e">
        <f aca="false">IF($A27="N/A"," ",IF(AH27&lt;=$AJ$2,AA27,0))</f>
        <v>#NAME?</v>
      </c>
      <c r="AP27" s="309" t="e">
        <f aca="false">IF($A27="N/A"," ",IF(AI27&lt;=$AJ$2,AB27,0))</f>
        <v>#NAME?</v>
      </c>
      <c r="AQ27" s="309" t="e">
        <f aca="false">IF($A27="N/A"," ",IF(AJ27&lt;=$AJ$2,AC27,0))</f>
        <v>#NAME?</v>
      </c>
      <c r="AR27" s="307" t="e">
        <f aca="false">IF(($AP$2-AR26)&gt;=0,$AP$2-AR26,0)</f>
        <v>#NAME?</v>
      </c>
      <c r="AS27" s="310" t="e">
        <f aca="false">IF($A27="N/A"," ",IF(AND(AD27=$AJ$2+1,AK27=0),MIN($AR$27,W27),0))</f>
        <v>#NAME?</v>
      </c>
      <c r="AT27" s="311" t="e">
        <f aca="false">IF($A27="N/A"," ",IF(AND(AE27=$AJ$2+1,AL27=0),MIN($AR$27,X27),0))</f>
        <v>#NAME?</v>
      </c>
      <c r="AU27" s="311" t="e">
        <f aca="false">IF($A27="N/A"," ",IF(AND(AF27=$AJ$2+1,AM27=0),MIN($AR$27,Y27),0))</f>
        <v>#NAME?</v>
      </c>
      <c r="AV27" s="311" t="e">
        <f aca="false">IF($A27="N/A"," ",IF(AND(AG27=$AJ$2+1,AN27=0),MIN($AR$27,Z27),0))</f>
        <v>#NAME?</v>
      </c>
      <c r="AW27" s="311" t="e">
        <f aca="false">IF($A27="N/A"," ",IF(AND(AH27=$AJ$2+1,AO27=0),MIN($AR$27,AA27),0))</f>
        <v>#NAME?</v>
      </c>
      <c r="AX27" s="311" t="e">
        <f aca="false">IF($A27="N/A"," ",IF(AND(AI27=$AJ$2+1,AP27=0),MIN($AR$27,AB27),0))</f>
        <v>#NAME?</v>
      </c>
      <c r="AY27" s="311" t="e">
        <f aca="false">IF($A27="N/A"," ",IF(AND(AJ27=$AJ$2+1,AQ27=0),MIN($AR$27,AC27),0))</f>
        <v>#NAME?</v>
      </c>
      <c r="AZ27" s="312" t="e">
        <f aca="false">AR26+AZ26</f>
        <v>#NAME?</v>
      </c>
      <c r="BA27" s="291" t="n">
        <f aca="false">IF($A27="N/A"," ",(IF(MONTH(A27)&gt;=4,IF(MONTH(A27)&lt;=10,Inputs!$F$13,Inputs!$F$14),Inputs!$F$14))*$BW27)</f>
        <v>180</v>
      </c>
      <c r="BB27" s="292" t="e">
        <f aca="false">IF($A27="N/A"," ",(IF(AK27&gt;0,($BA27*(8*(VLOOKUP($A27,NumberofDaysTable,2)))*P27),0)+IF(AS27&gt;0,($BA27*((AS27))*P27),0)))</f>
        <v>#NAME?</v>
      </c>
      <c r="BC27" s="292" t="e">
        <f aca="false">IF($A27="N/A"," ",(IF(AL27&gt;0,($BA27*(8*(VLOOKUP($A27,NumberofDaysTable,2)))*Q27),0)+IF(AT27&gt;0,($BA27*((AT27))*Q27),0)))</f>
        <v>#NAME?</v>
      </c>
      <c r="BD27" s="292" t="e">
        <f aca="false">IF($A27="N/A"," ",(IF(AM27&gt;0,($BA27*(8*(VLOOKUP($A27,NumberofDaysTable,3)))*R27),0)+IF(AU27&gt;0,($BA27*((AU27))*R27),0)))</f>
        <v>#NAME?</v>
      </c>
      <c r="BE27" s="292" t="e">
        <f aca="false">IF($A27="N/A"," ",(IF(AN27&gt;0,($BA27*(8*(VLOOKUP($A27,NumberofDaysTable,3)))*S27),0)+IF(AV27&gt;0,($BA27*((AV27))*S27),0)))</f>
        <v>#NAME?</v>
      </c>
      <c r="BF27" s="292" t="e">
        <f aca="false">IF($A27="N/A"," ",(IF(AO27&gt;0,($BA27*(8*(VLOOKUP($A27,NumberofDaysTable,4)+VLOOKUP($A27,NumberofDaysTable,5)))*T27),0)+IF(AW27&gt;0,($BA27*((AW27))*T27),0)))</f>
        <v>#NAME?</v>
      </c>
      <c r="BG27" s="292" t="e">
        <f aca="false">IF($A27="N/A"," ",(IF(AP27&gt;0,($BA27*(8*(VLOOKUP($A27,NumberofDaysTable,4)+VLOOKUP($A27,NumberofDaysTable,5)))*U27),0)+IF(AX27&gt;0,($BA27*((AX27))*U27),0)))</f>
        <v>#NAME?</v>
      </c>
      <c r="BH27" s="292" t="e">
        <f aca="false">IF($A27="N/A"," ",($BA27*AQ27*V27))</f>
        <v>#NAME?</v>
      </c>
      <c r="BI27" s="292" t="e">
        <f aca="false">IF($A27="N/A"," ",SUM(BB27:BH27))</f>
        <v>#NAME?</v>
      </c>
      <c r="BJ27" s="293" t="e">
        <f aca="false">IF($A27="N/A"," ",(H27*(SUM(AK27:AQ27)+SUM(AS27:AY27))*BA27))</f>
        <v>#NAME?</v>
      </c>
      <c r="BK27" s="293" t="e">
        <f aca="false">IF($A27="N/A"," ",((C27*D27)*(SUM($AK27:$AQ27)+SUM($AS27:$AY27))*$BA27))</f>
        <v>#N/A</v>
      </c>
      <c r="BL27" s="293" t="e">
        <f aca="false">IF($A27="N/A"," ",(F27*(SUM($AK27:$AQ27)+SUM($AS27:$AY27))*$BA27))</f>
        <v>#NAME?</v>
      </c>
      <c r="BM27" s="293" t="e">
        <f aca="false">IF($A27="N/A"," ",(G27*(SUM($AK27:$AQ27)+SUM($AS27:$AY27))*$BA27))</f>
        <v>#NAME?</v>
      </c>
      <c r="BN27" s="294" t="n">
        <f aca="false">IF(A27="N/A"," ",(VLOOKUP(A27,PowerVolTable,(IF('Pricing Inputs'!$AT$3=2,7,IF('Pricing Inputs'!$AT$3=1,6,8))),FALSE())))</f>
        <v>0.238203</v>
      </c>
      <c r="BO27" s="294" t="n">
        <f aca="false">IF(A27="N/A"," ",(VLOOKUP(A27,IntraPowerVol,(IF('Pricing Inputs'!$AT$3=2,3,IF('Pricing Inputs'!$AT$3=1,2,4))),FALSE())*VLOOKUP(MONTH($A27),Inputs!$A$28:$B$39,2)))</f>
        <v>1.4375</v>
      </c>
      <c r="BP27" s="295" t="n">
        <f aca="false">IF($A27="N/A"," ",(IF(DateToday&gt;$A27,$BO27,((($BN27^2)*((($A27-1)-DateToday)/((EOMONTH($A27,0)+1)-DateToday-15)))+((($BO27)^2)*((15)/((EOMONTH($A27,0)+1)-DateToday-15))))^0.5)))</f>
        <v>1.4375</v>
      </c>
      <c r="BQ27" s="294" t="e">
        <f aca="false">IF($A27="N/A"," ",(VLOOKUP($A27,GasVolTable,(IF('Pricing Inputs'!$AT$3=2,6,IF('Pricing Inputs'!$AT$3=1,7,5))),FALSE())))</f>
        <v>#N/A</v>
      </c>
      <c r="BR27" s="294" t="e">
        <f aca="false">IF($A27="N/A"," ",(VLOOKUP($A27,OmicronVol,(IF('Pricing Inputs'!$AT$3=2,3,IF('Pricing Inputs'!$AT$3=1,4,2))),FALSE())))</f>
        <v>#N/A</v>
      </c>
      <c r="BS27" s="295" t="e">
        <f aca="false">IF($A27="N/A"," ",IF('Pricing Inputs'!$AN$3=1,(IF(DateToday&gt;$A27,$BR27,((($BQ27^2)*((($A27-1)-DateToday)/((EOMONTH($A27,0)+1)-DateToday-15)))+((($BR27)^2)*((15)/((EOMONTH($A27,0)+1)-DateToday-15))))^0.5)),0.0001))</f>
        <v>#N/A</v>
      </c>
      <c r="BT27" s="294" t="n">
        <f aca="false">IF($A27="N/A"," ",IF('Pricing Inputs'!$AN$3=1,(VLOOKUP($A27,CorrelationTable,2,FALSE())),0))</f>
        <v>0.9</v>
      </c>
      <c r="BU27" s="296" t="e">
        <f aca="false">IF($A27="N/A"," ",F27+G27+(D27*(VLOOKUP($A27,'Gas Curves'!$B$17:$P$310,14,FALSE()))))</f>
        <v>#N/A</v>
      </c>
      <c r="BV27" s="294" t="n">
        <f aca="false">IF($A27="N/A"," ",IF('Pricing Inputs'!$AW$3=1,0,(VLOOKUP($A27,InterestRatesTable,2))))</f>
        <v>0</v>
      </c>
      <c r="BW27" s="297" t="n">
        <f aca="false">IF($A27="N/A"," ",(1+BV27/2)^(-2*((EOMONTH(A27,0)+20)-DateToday)/365.25))</f>
        <v>1</v>
      </c>
    </row>
    <row r="28" customFormat="false" ht="12.75" hidden="false" customHeight="false" outlineLevel="0" collapsed="false">
      <c r="A28" s="272" t="n">
        <f aca="false">IF(A27="N/A","N/A",IF(EDATE(A27,1)&gt;Inputs!$K$3,"N/A",EDATE(A27,1)))</f>
        <v>37622</v>
      </c>
      <c r="B28" s="273" t="n">
        <f aca="false">IF(A28="N/A"," ",YEAR(A28))</f>
        <v>2003</v>
      </c>
      <c r="C28" s="274" t="e">
        <f aca="false">IF(A28="N/A"," ",VLOOKUP(A28,ScaledPrice,10))</f>
        <v>#N/A</v>
      </c>
      <c r="D28" s="275" t="n">
        <f aca="false">IF(A28="N/A"," ",(VLOOKUP(MONTH($A28),Inputs!$A$14:$B$25,2))/1000)</f>
        <v>10.5</v>
      </c>
      <c r="E28" s="276" t="e">
        <f aca="false">IF($A28="N/A"," ",C28*D28)</f>
        <v>#N/A</v>
      </c>
      <c r="F28" s="277" t="n">
        <f aca="false">IF(A28="N/A"," ",Inputs!$F$6)</f>
        <v>2</v>
      </c>
      <c r="G28" s="277" t="n">
        <f aca="false">IF(A28="N/A"," ",Inputs!$F$9/IF(AND('Pricing Inputs'!$AQ$3&gt;=4,'Pricing Inputs'!$AQ$3&lt;=6),16,IF(AND('Pricing Inputs'!$AQ$3&gt;=7,'Pricing Inputs'!$AQ$3&lt;=9),8,24))/(BA28/BW28))</f>
        <v>0</v>
      </c>
      <c r="H28" s="278" t="e">
        <f aca="false">IF(A28="N/A"," ",(C28*D28)+F28+G28)</f>
        <v>#N/A</v>
      </c>
      <c r="I28" s="279" t="n">
        <f aca="false">VLOOKUP(A28,ScaledPrice,(IF(AND('Pricing Inputs'!$AQ$3&gt;=1,'Pricing Inputs'!$AQ$3&lt;=6),2,4)))</f>
        <v>35.5191924386672</v>
      </c>
      <c r="J28" s="279" t="n">
        <f aca="false">IF(A28="N/A"," ",IF(AND('Pricing Inputs'!$AQ$3&gt;=1,'Pricing Inputs'!$AQ$3&lt;=6),I28,(VLOOKUP(A28,ScaledPrice,2))*(2-(VLOOKUP(A28,ScaledPrice,3)))))</f>
        <v>37.7808075613328</v>
      </c>
      <c r="K28" s="279" t="n">
        <f aca="false">IF(A28="N/A"," ",IF(OR('Pricing Inputs'!$AQ$3=2,'Pricing Inputs'!$AQ$3=3,'Pricing Inputs'!$AQ$3=5,'Pricing Inputs'!$AQ$3=6,'Pricing Inputs'!$AQ$3=8,'Pricing Inputs'!$AQ$3=9),VLOOKUP(A28,ScaledPrice,IF(AND('Pricing Inputs'!$AQ$3&gt;=2,'Pricing Inputs'!$AQ$3&lt;=6),5,6)),0))</f>
        <v>27.7648133006653</v>
      </c>
      <c r="L28" s="279" t="n">
        <f aca="false">IF(A28="N/A"," ",IF(OR('Pricing Inputs'!$AQ$3=2,'Pricing Inputs'!$AQ$3=3,'Pricing Inputs'!$AQ$3=5,'Pricing Inputs'!$AQ$3=6,'Pricing Inputs'!$AQ$3=8,'Pricing Inputs'!$AQ$3=9),IF(AND('Pricing Inputs'!$AQ$3&gt;=2,'Pricing Inputs'!$AQ$3&lt;=6),K28,(VLOOKUP(A28,ScaledPrice,5))*(2-(VLOOKUP(A28,ScaledPrice,3)))),0))</f>
        <v>29.532683494989</v>
      </c>
      <c r="M28" s="279" t="n">
        <f aca="false">IF(A28="N/A"," ",IF(OR('Pricing Inputs'!$AQ$3=3,'Pricing Inputs'!$AQ$3=6,'Pricing Inputs'!$AQ$3=9),(VLOOKUP(A28,ScaledPrice,IF(AND('Pricing Inputs'!$AQ$3&gt;=3,'Pricing Inputs'!$AQ$3&lt;=6),7,8))),0))</f>
        <v>26.3147306442213</v>
      </c>
      <c r="N28" s="279" t="n">
        <f aca="false">IF(A28="N/A"," ",IF(OR('Pricing Inputs'!$AQ$3=3,'Pricing Inputs'!$AQ$3=6,'Pricing Inputs'!$AQ$3=9),IF(AND('Pricing Inputs'!$AQ$3&gt;=3,'Pricing Inputs'!$AQ$3&lt;=6),M28,(VLOOKUP(A28,ScaledPrice,7))*(2-(VLOOKUP(A28,ScaledPrice,3)))),0))</f>
        <v>27.9902696609545</v>
      </c>
      <c r="O28" s="279" t="n">
        <f aca="false">IF(A28="N/A"," ",IF(AND('Pricing Inputs'!$AQ$3&gt;=1,'Pricing Inputs'!$AQ$3&lt;=3),VLOOKUP(A28,ScaledPrice,9),0))</f>
        <v>0</v>
      </c>
      <c r="P28" s="280" t="e">
        <f aca="false">IF($A28="N/A"," ",IF('Pricing Inputs'!$AN$8=2,(I28-H28),IF('Pricing Inputs'!$AN$3=2,IF((I28-$H28)&gt;0,I28-$H28,0),(xSPRDOPT(I28,$E28,$BU28,0,$BP28,$BS28,$BT28,($A28-Inputs!$D$1)+15,1,0)))))</f>
        <v>#NAME?</v>
      </c>
      <c r="Q28" s="280" t="e">
        <f aca="false">IF($A28="N/A"," ",IF('Pricing Inputs'!$AN$8=2,(J28-$H28),IF('Pricing Inputs'!$AN$3=2,IF((J28-$H28)&gt;0,J28-$H28,0),(xSPRDOPT(J28,$E28,$BU28,0,$BP28,$BS28,$BT28,($A28-Inputs!$D$1)+15,1,0)))))</f>
        <v>#NAME?</v>
      </c>
      <c r="R28" s="280" t="e">
        <f aca="false">IF($A28="N/A"," ",IF('Pricing Inputs'!$AN$8=2,(K28-$H28),IF('Pricing Inputs'!$AN$3=2,IF((K28-$H28)&gt;0,K28-$H28,0),(xSPRDOPT(K28,$E28,$BU28,0,$BP28,$BS28,$BT28,($A28-Inputs!$D$1)+15,1,0)))))</f>
        <v>#NAME?</v>
      </c>
      <c r="S28" s="280" t="e">
        <f aca="false">IF($A28="N/A"," ",IF('Pricing Inputs'!$AN$8=2,(L28-$H28),IF('Pricing Inputs'!$AN$3=2,IF((L28-$H28)&gt;0,L28-$H28,0),(xSPRDOPT(L28,$E28,$BU28,0,$BP28,$BS28,$BT28,($A28-Inputs!$D$1)+15,1,0)))))</f>
        <v>#NAME?</v>
      </c>
      <c r="T28" s="280" t="e">
        <f aca="false">IF($A28="N/A"," ",IF('Pricing Inputs'!$AN$8=2,(M28-$H28),IF('Pricing Inputs'!$AN$3=2,IF((M28-$H28)&gt;0,M28-$H28,0),(xSPRDOPT(M28,$E28,$BU28,0,$BP28,$BS28,$BT28,($A28-Inputs!$D$1)+15,1,0)))))</f>
        <v>#NAME?</v>
      </c>
      <c r="U28" s="280" t="e">
        <f aca="false">IF($A28="N/A"," ",IF('Pricing Inputs'!$AN$8=2,(N28-$H28),IF('Pricing Inputs'!$AN$3=2,IF((N28-$H28)&gt;0,N28-$H28,0),(xSPRDOPT(N28,$E28,$BU28,0,$BP28,$BS28,$BT28,($A28-Inputs!$D$1)+15,1,0)))))</f>
        <v>#NAME?</v>
      </c>
      <c r="V28" s="281" t="e">
        <f aca="false">IF($A28="N/A"," ",(IF('Pricing Inputs'!$AN$8=2,(O28-$H28),IF((O28-$H28)&lt;=0,0,(O28-$H28)))))</f>
        <v>#N/A</v>
      </c>
      <c r="W28" s="282" t="e">
        <f aca="false">IF($A28="N/A"," ",IF(0&lt;&gt;P28,IF('Pricing Inputs'!$AN$3=2,8*VLOOKUP($A28,NumberofDaysTable,2),(xSPRDOPT(I28,$E28,$BU28,0,$BP28,$BS28,$BT28,$A28-Inputs!$D$1,1,1))*(8*VLOOKUP($A28,NumberofDaysTable,2))),0))</f>
        <v>#NAME?</v>
      </c>
      <c r="X28" s="282" t="e">
        <f aca="false">IF($A28="N/A"," ",IF(Q28&lt;&gt;0,IF('Pricing Inputs'!$AN$3=2,8*VLOOKUP($A28,NumberofDaysTable,2),(xSPRDOPT(J28,$E28,$BU28,0,$BP28,$BS28,$BT28,$A28-Inputs!$D$1,1,1))*(8*VLOOKUP($A28,NumberofDaysTable,2))),0))</f>
        <v>#NAME?</v>
      </c>
      <c r="Y28" s="282" t="e">
        <f aca="false">IF($A28="N/A"," ",IF(R28&lt;&gt;0,IF('Pricing Inputs'!$AN$3=2,8*VLOOKUP($A28,NumberofDaysTable,3),(xSPRDOPT(K28,$E28,$BU28,0,$BP28,$BS28,$BT28,$A28-Inputs!$D$1,1,1))*(8*VLOOKUP($A28,NumberofDaysTable,3))),0))</f>
        <v>#NAME?</v>
      </c>
      <c r="Z28" s="282" t="e">
        <f aca="false">IF($A28="N/A"," ",IF(S28&lt;&gt;0,IF('Pricing Inputs'!$AN$3=2,8*VLOOKUP($A28,NumberofDaysTable,3),(xSPRDOPT(L28,$E28,$BU28,0,$BP28,$BS28,$BT28,$A28-Inputs!$D$1,1,1))*(8*VLOOKUP($A28,NumberofDaysTable,3))),0))</f>
        <v>#NAME?</v>
      </c>
      <c r="AA28" s="282" t="e">
        <f aca="false">IF($A28="N/A"," ",IF(T28&lt;&gt;0,IF('Pricing Inputs'!$AN$3=2,8*VLOOKUP($A28,NumberofDaysTable,4),(xSPRDOPT(M28,$E28,$BU28,0,$BP28,$BS28,$BT28,$A28-Inputs!$D$1,1,1))*(8*VLOOKUP($A28,NumberofDaysTable,4))),0))</f>
        <v>#NAME?</v>
      </c>
      <c r="AB28" s="282" t="e">
        <f aca="false">IF($A28="N/A"," ",IF(U28&lt;&gt;0,IF('Pricing Inputs'!$AN$3=2,8*VLOOKUP($A28,NumberofDaysTable,4),(xSPRDOPT(N28,$E28,$BU28,0,$BP28,$BS28,$BT28,$A28-Inputs!$D$1,1,1))*(8*VLOOKUP($A28,NumberofDaysTable,4))),0))</f>
        <v>#NAME?</v>
      </c>
      <c r="AC28" s="282" t="e">
        <f aca="false">IF($A28="N/A"," ",(IF(V28&lt;&gt;0,(8*VLOOKUP($A28,NumberofDaysTable,6)),0)))</f>
        <v>#N/A</v>
      </c>
      <c r="AD28" s="283" t="e">
        <f aca="false">IF($A28="N/A"," ",RANK(P28,$P$28:$V$39))</f>
        <v>#NAME?</v>
      </c>
      <c r="AE28" s="284" t="e">
        <f aca="false">IF($A28="N/A"," ",RANK(Q28,$P$28:$V$39))</f>
        <v>#NAME?</v>
      </c>
      <c r="AF28" s="284" t="e">
        <f aca="false">IF($A28="N/A"," ",RANK(R28,$P$28:$V$39))</f>
        <v>#NAME?</v>
      </c>
      <c r="AG28" s="284" t="e">
        <f aca="false">IF($A28="N/A"," ",RANK(S28,$P$28:$V$39))</f>
        <v>#NAME?</v>
      </c>
      <c r="AH28" s="284" t="e">
        <f aca="false">IF($A28="N/A"," ",RANK(T28,$P$28:$V$39))</f>
        <v>#NAME?</v>
      </c>
      <c r="AI28" s="284" t="e">
        <f aca="false">IF($A28="N/A"," ",RANK(U28,$P$28:$V$39))</f>
        <v>#NAME?</v>
      </c>
      <c r="AJ28" s="285" t="e">
        <f aca="false">IF($A28="N/A"," ",RANK(V28,$P$28:$V$39))</f>
        <v>#NAME?</v>
      </c>
      <c r="AK28" s="313" t="e">
        <f aca="false">IF($A28="N/A"," ",IF(AD28&lt;=$AJ$2,W28,0))</f>
        <v>#NAME?</v>
      </c>
      <c r="AL28" s="287" t="e">
        <f aca="false">IF($A28="N/A"," ",IF(AE28&lt;=$AJ$2,X28,0))</f>
        <v>#NAME?</v>
      </c>
      <c r="AM28" s="287" t="e">
        <f aca="false">IF($A28="N/A"," ",IF(AF28&lt;=$AJ$2,Y28,0))</f>
        <v>#NAME?</v>
      </c>
      <c r="AN28" s="287" t="e">
        <f aca="false">IF($A28="N/A"," ",IF(AG28&lt;=$AJ$2,Z28,0))</f>
        <v>#NAME?</v>
      </c>
      <c r="AO28" s="287" t="e">
        <f aca="false">IF($A28="N/A"," ",IF(AH28&lt;=$AJ$2,AA28,0))</f>
        <v>#NAME?</v>
      </c>
      <c r="AP28" s="287" t="e">
        <f aca="false">IF($A28="N/A"," ",IF(AI28&lt;=$AJ$2,AB28,0))</f>
        <v>#NAME?</v>
      </c>
      <c r="AQ28" s="287" t="e">
        <f aca="false">IF($A28="N/A"," ",IF(AJ28&lt;=$AJ$2,AC28,0))</f>
        <v>#NAME?</v>
      </c>
      <c r="AR28" s="285"/>
      <c r="AS28" s="314" t="e">
        <f aca="false">IF($A28="N/A"," ",IF(AND(AD28=$AJ$2+1,AK28=0),MIN($AR$39,W28),0))</f>
        <v>#NAME?</v>
      </c>
      <c r="AT28" s="289" t="e">
        <f aca="false">IF($A28="N/A"," ",IF(AND(AE28=$AJ$2+1,AL28=0),MIN($AR$39,X28),0))</f>
        <v>#NAME?</v>
      </c>
      <c r="AU28" s="289" t="e">
        <f aca="false">IF($A28="N/A"," ",IF(AND(AF28=$AJ$2+1,AM28=0),MIN($AR$39,Y28),0))</f>
        <v>#NAME?</v>
      </c>
      <c r="AV28" s="289" t="e">
        <f aca="false">IF($A28="N/A"," ",IF(AND(AG28=$AJ$2+1,AN28=0),MIN($AR$39,Z28),0))</f>
        <v>#NAME?</v>
      </c>
      <c r="AW28" s="289" t="e">
        <f aca="false">IF($A28="N/A"," ",IF(AND(AH28=$AJ$2+1,AO28=0),MIN($AR$39,AA28),0))</f>
        <v>#NAME?</v>
      </c>
      <c r="AX28" s="289" t="e">
        <f aca="false">IF($A28="N/A"," ",IF(AND(AI28=$AJ$2+1,AP28=0),MIN($AR$39,AB28),0))</f>
        <v>#NAME?</v>
      </c>
      <c r="AY28" s="289" t="e">
        <f aca="false">IF($A28="N/A"," ",IF(AND(AJ28=$AJ$2+1,AQ28=0),MIN($AR$39,AC28),0))</f>
        <v>#NAME?</v>
      </c>
      <c r="AZ28" s="285"/>
      <c r="BA28" s="291" t="n">
        <f aca="false">IF($A28="N/A"," ",(IF(MONTH(A28)&gt;=4,IF(MONTH(A28)&lt;=10,Inputs!$F$13,Inputs!$F$14),Inputs!$F$14))*$BW28)</f>
        <v>180</v>
      </c>
      <c r="BB28" s="292" t="e">
        <f aca="false">IF($A28="N/A"," ",(IF(AK28&gt;0,($BA28*(8*(VLOOKUP($A28,NumberofDaysTable,2)))*P28),0)+IF(AS28&gt;0,($BA28*((AS28))*P28),0)))</f>
        <v>#NAME?</v>
      </c>
      <c r="BC28" s="292" t="e">
        <f aca="false">IF($A28="N/A"," ",(IF(AL28&gt;0,($BA28*(8*(VLOOKUP($A28,NumberofDaysTable,2)))*Q28),0)+IF(AT28&gt;0,($BA28*((AT28))*Q28),0)))</f>
        <v>#NAME?</v>
      </c>
      <c r="BD28" s="292" t="e">
        <f aca="false">IF($A28="N/A"," ",(IF(AM28&gt;0,($BA28*(8*(VLOOKUP($A28,NumberofDaysTable,3)))*R28),0)+IF(AU28&gt;0,($BA28*((AU28))*R28),0)))</f>
        <v>#NAME?</v>
      </c>
      <c r="BE28" s="292" t="e">
        <f aca="false">IF($A28="N/A"," ",(IF(AN28&gt;0,($BA28*(8*(VLOOKUP($A28,NumberofDaysTable,3)))*S28),0)+IF(AV28&gt;0,($BA28*((AV28))*S28),0)))</f>
        <v>#NAME?</v>
      </c>
      <c r="BF28" s="292" t="e">
        <f aca="false">IF($A28="N/A"," ",(IF(AO28&gt;0,($BA28*(8*(VLOOKUP($A28,NumberofDaysTable,4)+VLOOKUP($A28,NumberofDaysTable,5)))*T28),0)+IF(AW28&gt;0,($BA28*((AW28))*T28),0)))</f>
        <v>#NAME?</v>
      </c>
      <c r="BG28" s="292" t="e">
        <f aca="false">IF($A28="N/A"," ",(IF(AP28&gt;0,($BA28*(8*(VLOOKUP($A28,NumberofDaysTable,4)+VLOOKUP($A28,NumberofDaysTable,5)))*U28),0)+IF(AX28&gt;0,($BA28*((AX28))*U28),0)))</f>
        <v>#NAME?</v>
      </c>
      <c r="BH28" s="292" t="e">
        <f aca="false">IF($A28="N/A"," ",($BA28*AQ28*V28))</f>
        <v>#NAME?</v>
      </c>
      <c r="BI28" s="292" t="e">
        <f aca="false">IF($A28="N/A"," ",SUM(BB28:BH28))</f>
        <v>#NAME?</v>
      </c>
      <c r="BJ28" s="293" t="e">
        <f aca="false">IF($A28="N/A"," ",(H28*(SUM(AK28:AQ28)+SUM(AS28:AY28))*BA28))</f>
        <v>#NAME?</v>
      </c>
      <c r="BK28" s="293" t="e">
        <f aca="false">IF($A28="N/A"," ",((C28*D28)*(SUM($AK28:$AQ28)+SUM($AS28:$AY28))*$BA28))</f>
        <v>#N/A</v>
      </c>
      <c r="BL28" s="293" t="e">
        <f aca="false">IF($A28="N/A"," ",(F28*(SUM($AK28:$AQ28)+SUM($AS28:$AY28))*$BA28))</f>
        <v>#NAME?</v>
      </c>
      <c r="BM28" s="293" t="e">
        <f aca="false">IF($A28="N/A"," ",(G28*(SUM($AK28:$AQ28)+SUM($AS28:$AY28))*$BA28))</f>
        <v>#NAME?</v>
      </c>
      <c r="BN28" s="294" t="n">
        <f aca="false">IF(A28="N/A"," ",(VLOOKUP(A28,PowerVolTable,(IF('Pricing Inputs'!$AT$3=2,7,IF('Pricing Inputs'!$AT$3=1,6,8))),FALSE())))</f>
        <v>0.25631</v>
      </c>
      <c r="BO28" s="294" t="n">
        <f aca="false">IF(A28="N/A"," ",(VLOOKUP(A28,IntraPowerVol,(IF('Pricing Inputs'!$AT$3=2,3,IF('Pricing Inputs'!$AT$3=1,2,4))),FALSE())*VLOOKUP(MONTH($A28),Inputs!$A$28:$B$39,2)))</f>
        <v>2.3</v>
      </c>
      <c r="BP28" s="295" t="n">
        <f aca="false">IF($A28="N/A"," ",(IF(DateToday&gt;$A28,$BO28,((($BN28^2)*((($A28-1)-DateToday)/((EOMONTH($A28,0)+1)-DateToday-15)))+((($BO28)^2)*((15)/((EOMONTH($A28,0)+1)-DateToday-15))))^0.5)))</f>
        <v>2.3</v>
      </c>
      <c r="BQ28" s="294" t="e">
        <f aca="false">IF($A28="N/A"," ",(VLOOKUP($A28,GasVolTable,(IF('Pricing Inputs'!$AT$3=2,6,IF('Pricing Inputs'!$AT$3=1,7,5))),FALSE())))</f>
        <v>#N/A</v>
      </c>
      <c r="BR28" s="294" t="e">
        <f aca="false">IF($A28="N/A"," ",(VLOOKUP($A28,OmicronVol,(IF('Pricing Inputs'!$AT$3=2,3,IF('Pricing Inputs'!$AT$3=1,4,2))),FALSE())))</f>
        <v>#N/A</v>
      </c>
      <c r="BS28" s="295" t="e">
        <f aca="false">IF($A28="N/A"," ",IF('Pricing Inputs'!$AN$3=1,(IF(DateToday&gt;$A28,$BR28,((($BQ28^2)*((($A28-1)-DateToday)/((EOMONTH($A28,0)+1)-DateToday-15)))+((($BR28)^2)*((15)/((EOMONTH($A28,0)+1)-DateToday-15))))^0.5)),0.0001))</f>
        <v>#N/A</v>
      </c>
      <c r="BT28" s="294" t="n">
        <f aca="false">IF($A28="N/A"," ",IF('Pricing Inputs'!$AN$3=1,(VLOOKUP($A28,CorrelationTable,2,FALSE())),0))</f>
        <v>0.9</v>
      </c>
      <c r="BU28" s="296" t="e">
        <f aca="false">IF($A28="N/A"," ",F28+G28+(D28*(VLOOKUP($A28,'Gas Curves'!$B$17:$P$310,14,FALSE()))))</f>
        <v>#N/A</v>
      </c>
      <c r="BV28" s="294" t="n">
        <f aca="false">IF($A28="N/A"," ",IF('Pricing Inputs'!$AW$3=1,0,(VLOOKUP($A28,InterestRatesTable,2))))</f>
        <v>0</v>
      </c>
      <c r="BW28" s="297" t="n">
        <f aca="false">IF($A28="N/A"," ",(1+BV28/2)^(-2*((EOMONTH(A28,0)+20)-DateToday)/365.25))</f>
        <v>1</v>
      </c>
    </row>
    <row r="29" customFormat="false" ht="12.75" hidden="false" customHeight="false" outlineLevel="0" collapsed="false">
      <c r="A29" s="272" t="n">
        <f aca="false">IF(A28="N/A","N/A",IF(EDATE(A28,1)&gt;Inputs!$K$3,"N/A",EDATE(A28,1)))</f>
        <v>37653</v>
      </c>
      <c r="B29" s="273" t="n">
        <f aca="false">IF(A29="N/A"," ",YEAR(A29))</f>
        <v>2003</v>
      </c>
      <c r="C29" s="274" t="e">
        <f aca="false">IF(A29="N/A"," ",VLOOKUP(A29,ScaledPrice,10))</f>
        <v>#N/A</v>
      </c>
      <c r="D29" s="275" t="n">
        <f aca="false">IF(A29="N/A"," ",(VLOOKUP(MONTH($A29),Inputs!$A$14:$B$25,2))/1000)</f>
        <v>10.5</v>
      </c>
      <c r="E29" s="276" t="e">
        <f aca="false">IF($A29="N/A"," ",C29*D29)</f>
        <v>#N/A</v>
      </c>
      <c r="F29" s="277" t="n">
        <f aca="false">IF(A29="N/A"," ",Inputs!$F$6)</f>
        <v>2</v>
      </c>
      <c r="G29" s="277" t="n">
        <f aca="false">IF(A29="N/A"," ",Inputs!$F$9/IF(AND('Pricing Inputs'!$AQ$3&gt;=4,'Pricing Inputs'!$AQ$3&lt;=6),16,IF(AND('Pricing Inputs'!$AQ$3&gt;=7,'Pricing Inputs'!$AQ$3&lt;=9),8,24))/(BA29/BW29))</f>
        <v>0</v>
      </c>
      <c r="H29" s="278" t="e">
        <f aca="false">IF(A29="N/A"," ",(C29*D29)+F29+G29)</f>
        <v>#N/A</v>
      </c>
      <c r="I29" s="279" t="n">
        <f aca="false">VLOOKUP(A29,ScaledPrice,(IF(AND('Pricing Inputs'!$AQ$3&gt;=1,'Pricing Inputs'!$AQ$3&lt;=6),2,4)))</f>
        <v>35.5191924386672</v>
      </c>
      <c r="J29" s="279" t="n">
        <f aca="false">IF(A29="N/A"," ",IF(AND('Pricing Inputs'!$AQ$3&gt;=1,'Pricing Inputs'!$AQ$3&lt;=6),I29,(VLOOKUP(A29,ScaledPrice,2))*(2-(VLOOKUP(A29,ScaledPrice,3)))))</f>
        <v>37.7808075613328</v>
      </c>
      <c r="K29" s="279" t="n">
        <f aca="false">IF(A29="N/A"," ",IF(OR('Pricing Inputs'!$AQ$3=2,'Pricing Inputs'!$AQ$3=3,'Pricing Inputs'!$AQ$3=5,'Pricing Inputs'!$AQ$3=6,'Pricing Inputs'!$AQ$3=8,'Pricing Inputs'!$AQ$3=9),VLOOKUP(A29,ScaledPrice,IF(AND('Pricing Inputs'!$AQ$3&gt;=2,'Pricing Inputs'!$AQ$3&lt;=6),5,6)),0))</f>
        <v>26.79324636773</v>
      </c>
      <c r="L29" s="279" t="n">
        <f aca="false">IF(A29="N/A"," ",IF(OR('Pricing Inputs'!$AQ$3=2,'Pricing Inputs'!$AQ$3=3,'Pricing Inputs'!$AQ$3=5,'Pricing Inputs'!$AQ$3=6,'Pricing Inputs'!$AQ$3=8,'Pricing Inputs'!$AQ$3=9),IF(AND('Pricing Inputs'!$AQ$3&gt;=2,'Pricing Inputs'!$AQ$3&lt;=6),K29,(VLOOKUP(A29,ScaledPrice,5))*(2-(VLOOKUP(A29,ScaledPrice,3)))),0))</f>
        <v>28.4992539374458</v>
      </c>
      <c r="M29" s="279" t="n">
        <f aca="false">IF(A29="N/A"," ",IF(OR('Pricing Inputs'!$AQ$3=3,'Pricing Inputs'!$AQ$3=6,'Pricing Inputs'!$AQ$3=9),(VLOOKUP(A29,ScaledPrice,IF(AND('Pricing Inputs'!$AQ$3&gt;=3,'Pricing Inputs'!$AQ$3&lt;=6),7,8))),0))</f>
        <v>24.3715927116532</v>
      </c>
      <c r="N29" s="279" t="n">
        <f aca="false">IF(A29="N/A"," ",IF(OR('Pricing Inputs'!$AQ$3=3,'Pricing Inputs'!$AQ$3=6,'Pricing Inputs'!$AQ$3=9),IF(AND('Pricing Inputs'!$AQ$3&gt;=3,'Pricing Inputs'!$AQ$3&lt;=6),M29,(VLOOKUP(A29,ScaledPrice,7))*(2-(VLOOKUP(A29,ScaledPrice,3)))),0))</f>
        <v>25.9234062202316</v>
      </c>
      <c r="O29" s="279" t="n">
        <f aca="false">IF(A29="N/A"," ",IF(AND('Pricing Inputs'!$AQ$3&gt;=1,'Pricing Inputs'!$AQ$3&lt;=3),VLOOKUP(A29,ScaledPrice,9),0))</f>
        <v>0</v>
      </c>
      <c r="P29" s="280" t="e">
        <f aca="false">IF($A29="N/A"," ",IF('Pricing Inputs'!$AN$8=2,(I29-H29),IF('Pricing Inputs'!$AN$3=2,IF((I29-$H29)&gt;0,I29-$H29,0),(xSPRDOPT(I29,$E29,$BU29,0,$BP29,$BS29,$BT29,($A29-Inputs!$D$1)+15,1,0)))))</f>
        <v>#NAME?</v>
      </c>
      <c r="Q29" s="280" t="e">
        <f aca="false">IF($A29="N/A"," ",IF('Pricing Inputs'!$AN$8=2,(J29-$H29),IF('Pricing Inputs'!$AN$3=2,IF((J29-$H29)&gt;0,J29-$H29,0),(xSPRDOPT(J29,$E29,$BU29,0,$BP29,$BS29,$BT29,($A29-Inputs!$D$1)+15,1,0)))))</f>
        <v>#NAME?</v>
      </c>
      <c r="R29" s="280" t="e">
        <f aca="false">IF($A29="N/A"," ",IF('Pricing Inputs'!$AN$8=2,(K29-$H29),IF('Pricing Inputs'!$AN$3=2,IF((K29-$H29)&gt;0,K29-$H29,0),(xSPRDOPT(K29,$E29,$BU29,0,$BP29,$BS29,$BT29,($A29-Inputs!$D$1)+15,1,0)))))</f>
        <v>#NAME?</v>
      </c>
      <c r="S29" s="280" t="e">
        <f aca="false">IF($A29="N/A"," ",IF('Pricing Inputs'!$AN$8=2,(L29-$H29),IF('Pricing Inputs'!$AN$3=2,IF((L29-$H29)&gt;0,L29-$H29,0),(xSPRDOPT(L29,$E29,$BU29,0,$BP29,$BS29,$BT29,($A29-Inputs!$D$1)+15,1,0)))))</f>
        <v>#NAME?</v>
      </c>
      <c r="T29" s="280" t="e">
        <f aca="false">IF($A29="N/A"," ",IF('Pricing Inputs'!$AN$8=2,(M29-$H29),IF('Pricing Inputs'!$AN$3=2,IF((M29-$H29)&gt;0,M29-$H29,0),(xSPRDOPT(M29,$E29,$BU29,0,$BP29,$BS29,$BT29,($A29-Inputs!$D$1)+15,1,0)))))</f>
        <v>#NAME?</v>
      </c>
      <c r="U29" s="280" t="e">
        <f aca="false">IF($A29="N/A"," ",IF('Pricing Inputs'!$AN$8=2,(N29-$H29),IF('Pricing Inputs'!$AN$3=2,IF((N29-$H29)&gt;0,N29-$H29,0),(xSPRDOPT(N29,$E29,$BU29,0,$BP29,$BS29,$BT29,($A29-Inputs!$D$1)+15,1,0)))))</f>
        <v>#NAME?</v>
      </c>
      <c r="V29" s="281" t="e">
        <f aca="false">IF($A29="N/A"," ",(IF('Pricing Inputs'!$AN$8=2,(O29-$H29),IF((O29-$H29)&lt;=0,0,(O29-$H29)))))</f>
        <v>#N/A</v>
      </c>
      <c r="W29" s="282" t="e">
        <f aca="false">IF($A29="N/A"," ",IF(0&lt;&gt;P29,IF('Pricing Inputs'!$AN$3=2,8*VLOOKUP($A29,NumberofDaysTable,2),(xSPRDOPT(I29,$E29,$BU29,0,$BP29,$BS29,$BT29,$A29-Inputs!$D$1,1,1))*(8*VLOOKUP($A29,NumberofDaysTable,2))),0))</f>
        <v>#NAME?</v>
      </c>
      <c r="X29" s="282" t="e">
        <f aca="false">IF($A29="N/A"," ",IF(Q29&lt;&gt;0,IF('Pricing Inputs'!$AN$3=2,8*VLOOKUP($A29,NumberofDaysTable,2),(xSPRDOPT(J29,$E29,$BU29,0,$BP29,$BS29,$BT29,$A29-Inputs!$D$1,1,1))*(8*VLOOKUP($A29,NumberofDaysTable,2))),0))</f>
        <v>#NAME?</v>
      </c>
      <c r="Y29" s="282" t="e">
        <f aca="false">IF($A29="N/A"," ",IF(R29&lt;&gt;0,IF('Pricing Inputs'!$AN$3=2,8*VLOOKUP($A29,NumberofDaysTable,3),(xSPRDOPT(K29,$E29,$BU29,0,$BP29,$BS29,$BT29,$A29-Inputs!$D$1,1,1))*(8*VLOOKUP($A29,NumberofDaysTable,3))),0))</f>
        <v>#NAME?</v>
      </c>
      <c r="Z29" s="282" t="e">
        <f aca="false">IF($A29="N/A"," ",IF(S29&lt;&gt;0,IF('Pricing Inputs'!$AN$3=2,8*VLOOKUP($A29,NumberofDaysTable,3),(xSPRDOPT(L29,$E29,$BU29,0,$BP29,$BS29,$BT29,$A29-Inputs!$D$1,1,1))*(8*VLOOKUP($A29,NumberofDaysTable,3))),0))</f>
        <v>#NAME?</v>
      </c>
      <c r="AA29" s="282" t="e">
        <f aca="false">IF($A29="N/A"," ",IF(T29&lt;&gt;0,IF('Pricing Inputs'!$AN$3=2,8*VLOOKUP($A29,NumberofDaysTable,4),(xSPRDOPT(M29,$E29,$BU29,0,$BP29,$BS29,$BT29,$A29-Inputs!$D$1,1,1))*(8*VLOOKUP($A29,NumberofDaysTable,4))),0))</f>
        <v>#NAME?</v>
      </c>
      <c r="AB29" s="282" t="e">
        <f aca="false">IF($A29="N/A"," ",IF(U29&lt;&gt;0,IF('Pricing Inputs'!$AN$3=2,8*VLOOKUP($A29,NumberofDaysTable,4),(xSPRDOPT(N29,$E29,$BU29,0,$BP29,$BS29,$BT29,$A29-Inputs!$D$1,1,1))*(8*VLOOKUP($A29,NumberofDaysTable,4))),0))</f>
        <v>#NAME?</v>
      </c>
      <c r="AC29" s="282" t="e">
        <f aca="false">IF($A29="N/A"," ",(IF(V29&lt;&gt;0,(8*VLOOKUP($A29,NumberofDaysTable,6)),0)))</f>
        <v>#N/A</v>
      </c>
      <c r="AD29" s="298" t="e">
        <f aca="false">IF($A29="N/A"," ",RANK(P29,$P$28:$V$39))</f>
        <v>#NAME?</v>
      </c>
      <c r="AE29" s="299" t="e">
        <f aca="false">IF($A29="N/A"," ",RANK(Q29,$P$28:$V$39))</f>
        <v>#NAME?</v>
      </c>
      <c r="AF29" s="299" t="e">
        <f aca="false">IF($A29="N/A"," ",RANK(R29,$P$28:$V$39))</f>
        <v>#NAME?</v>
      </c>
      <c r="AG29" s="299" t="e">
        <f aca="false">IF($A29="N/A"," ",RANK(S29,$P$28:$V$39))</f>
        <v>#NAME?</v>
      </c>
      <c r="AH29" s="299" t="e">
        <f aca="false">IF($A29="N/A"," ",RANK(T29,$P$28:$V$39))</f>
        <v>#NAME?</v>
      </c>
      <c r="AI29" s="299" t="e">
        <f aca="false">IF($A29="N/A"," ",RANK(U29,$P$28:$V$39))</f>
        <v>#NAME?</v>
      </c>
      <c r="AJ29" s="300" t="e">
        <f aca="false">IF($A29="N/A"," ",RANK(V29,$P$28:$V$39))</f>
        <v>#NAME?</v>
      </c>
      <c r="AK29" s="286" t="e">
        <f aca="false">IF($A29="N/A"," ",IF(AD29&lt;=$AJ$2,W29,0))</f>
        <v>#NAME?</v>
      </c>
      <c r="AL29" s="301" t="e">
        <f aca="false">IF($A29="N/A"," ",IF(AE29&lt;=$AJ$2,X29,0))</f>
        <v>#NAME?</v>
      </c>
      <c r="AM29" s="301" t="e">
        <f aca="false">IF($A29="N/A"," ",IF(AF29&lt;=$AJ$2,Y29,0))</f>
        <v>#NAME?</v>
      </c>
      <c r="AN29" s="301" t="e">
        <f aca="false">IF($A29="N/A"," ",IF(AG29&lt;=$AJ$2,Z29,0))</f>
        <v>#NAME?</v>
      </c>
      <c r="AO29" s="301" t="e">
        <f aca="false">IF($A29="N/A"," ",IF(AH29&lt;=$AJ$2,AA29,0))</f>
        <v>#NAME?</v>
      </c>
      <c r="AP29" s="301" t="e">
        <f aca="false">IF($A29="N/A"," ",IF(AI29&lt;=$AJ$2,AB29,0))</f>
        <v>#NAME?</v>
      </c>
      <c r="AQ29" s="301" t="e">
        <f aca="false">IF($A29="N/A"," ",IF(AJ29&lt;=$AJ$2,AC29,0))</f>
        <v>#NAME?</v>
      </c>
      <c r="AR29" s="300"/>
      <c r="AS29" s="288" t="e">
        <f aca="false">IF($A29="N/A"," ",IF(AND(AD29=$AJ$2+1,AK29=0),MIN($AR$39,W29),0))</f>
        <v>#NAME?</v>
      </c>
      <c r="AT29" s="302" t="e">
        <f aca="false">IF($A29="N/A"," ",IF(AND(AE29=$AJ$2+1,AL29=0),MIN($AR$39,X29),0))</f>
        <v>#NAME?</v>
      </c>
      <c r="AU29" s="302" t="e">
        <f aca="false">IF($A29="N/A"," ",IF(AND(AF29=$AJ$2+1,AM29=0),MIN($AR$39,Y29),0))</f>
        <v>#NAME?</v>
      </c>
      <c r="AV29" s="302" t="e">
        <f aca="false">IF($A29="N/A"," ",IF(AND(AG29=$AJ$2+1,AN29=0),MIN($AR$39,Z29),0))</f>
        <v>#NAME?</v>
      </c>
      <c r="AW29" s="302" t="e">
        <f aca="false">IF($A29="N/A"," ",IF(AND(AH29=$AJ$2+1,AO29=0),MIN($AR$39,AA29),0))</f>
        <v>#NAME?</v>
      </c>
      <c r="AX29" s="302" t="e">
        <f aca="false">IF($A29="N/A"," ",IF(AND(AI29=$AJ$2+1,AP29=0),MIN($AR$39,AB29),0))</f>
        <v>#NAME?</v>
      </c>
      <c r="AY29" s="302" t="e">
        <f aca="false">IF($A29="N/A"," ",IF(AND(AJ29=$AJ$2+1,AQ29=0),MIN($AR$39,AC29),0))</f>
        <v>#NAME?</v>
      </c>
      <c r="AZ29" s="300"/>
      <c r="BA29" s="291" t="n">
        <f aca="false">IF($A29="N/A"," ",(IF(MONTH(A29)&gt;=4,IF(MONTH(A29)&lt;=10,Inputs!$F$13,Inputs!$F$14),Inputs!$F$14))*$BW29)</f>
        <v>180</v>
      </c>
      <c r="BB29" s="292" t="e">
        <f aca="false">IF($A29="N/A"," ",(IF(AK29&gt;0,($BA29*(8*(VLOOKUP($A29,NumberofDaysTable,2)))*P29),0)+IF(AS29&gt;0,($BA29*((AS29))*P29),0)))</f>
        <v>#NAME?</v>
      </c>
      <c r="BC29" s="292" t="e">
        <f aca="false">IF($A29="N/A"," ",(IF(AL29&gt;0,($BA29*(8*(VLOOKUP($A29,NumberofDaysTable,2)))*Q29),0)+IF(AT29&gt;0,($BA29*((AT29))*Q29),0)))</f>
        <v>#NAME?</v>
      </c>
      <c r="BD29" s="292" t="e">
        <f aca="false">IF($A29="N/A"," ",(IF(AM29&gt;0,($BA29*(8*(VLOOKUP($A29,NumberofDaysTable,3)))*R29),0)+IF(AU29&gt;0,($BA29*((AU29))*R29),0)))</f>
        <v>#NAME?</v>
      </c>
      <c r="BE29" s="292" t="e">
        <f aca="false">IF($A29="N/A"," ",(IF(AN29&gt;0,($BA29*(8*(VLOOKUP($A29,NumberofDaysTable,3)))*S29),0)+IF(AV29&gt;0,($BA29*((AV29))*S29),0)))</f>
        <v>#NAME?</v>
      </c>
      <c r="BF29" s="292" t="e">
        <f aca="false">IF($A29="N/A"," ",(IF(AO29&gt;0,($BA29*(8*(VLOOKUP($A29,NumberofDaysTable,4)+VLOOKUP($A29,NumberofDaysTable,5)))*T29),0)+IF(AW29&gt;0,($BA29*((AW29))*T29),0)))</f>
        <v>#NAME?</v>
      </c>
      <c r="BG29" s="292" t="e">
        <f aca="false">IF($A29="N/A"," ",(IF(AP29&gt;0,($BA29*(8*(VLOOKUP($A29,NumberofDaysTable,4)+VLOOKUP($A29,NumberofDaysTable,5)))*U29),0)+IF(AX29&gt;0,($BA29*((AX29))*U29),0)))</f>
        <v>#NAME?</v>
      </c>
      <c r="BH29" s="292" t="e">
        <f aca="false">IF($A29="N/A"," ",($BA29*AQ29*V29))</f>
        <v>#NAME?</v>
      </c>
      <c r="BI29" s="292" t="e">
        <f aca="false">IF($A29="N/A"," ",SUM(BB29:BH29))</f>
        <v>#NAME?</v>
      </c>
      <c r="BJ29" s="293" t="e">
        <f aca="false">IF($A29="N/A"," ",(H29*(SUM(AK29:AQ29)+SUM(AS29:AY29))*BA29))</f>
        <v>#NAME?</v>
      </c>
      <c r="BK29" s="293" t="e">
        <f aca="false">IF($A29="N/A"," ",((C29*D29)*(SUM($AK29:$AQ29)+SUM($AS29:$AY29))*$BA29))</f>
        <v>#N/A</v>
      </c>
      <c r="BL29" s="293" t="e">
        <f aca="false">IF($A29="N/A"," ",(F29*(SUM($AK29:$AQ29)+SUM($AS29:$AY29))*$BA29))</f>
        <v>#NAME?</v>
      </c>
      <c r="BM29" s="293" t="e">
        <f aca="false">IF($A29="N/A"," ",(G29*(SUM($AK29:$AQ29)+SUM($AS29:$AY29))*$BA29))</f>
        <v>#NAME?</v>
      </c>
      <c r="BN29" s="294" t="n">
        <f aca="false">IF(A29="N/A"," ",(VLOOKUP(A29,PowerVolTable,(IF('Pricing Inputs'!$AT$3=2,7,IF('Pricing Inputs'!$AT$3=1,6,8))),FALSE())))</f>
        <v>0.247285</v>
      </c>
      <c r="BO29" s="294" t="n">
        <f aca="false">IF(A29="N/A"," ",(VLOOKUP(A29,IntraPowerVol,(IF('Pricing Inputs'!$AT$3=2,3,IF('Pricing Inputs'!$AT$3=1,2,4))),FALSE())*VLOOKUP(MONTH($A29),Inputs!$A$28:$B$39,2)))</f>
        <v>2.3</v>
      </c>
      <c r="BP29" s="295" t="n">
        <f aca="false">IF($A29="N/A"," ",(IF(DateToday&gt;$A29,$BO29,((($BN29^2)*((($A29-1)-DateToday)/((EOMONTH($A29,0)+1)-DateToday-15)))+((($BO29)^2)*((15)/((EOMONTH($A29,0)+1)-DateToday-15))))^0.5)))</f>
        <v>2.3</v>
      </c>
      <c r="BQ29" s="294" t="e">
        <f aca="false">IF($A29="N/A"," ",(VLOOKUP($A29,GasVolTable,(IF('Pricing Inputs'!$AT$3=2,6,IF('Pricing Inputs'!$AT$3=1,7,5))),FALSE())))</f>
        <v>#N/A</v>
      </c>
      <c r="BR29" s="294" t="e">
        <f aca="false">IF($A29="N/A"," ",(VLOOKUP($A29,OmicronVol,(IF('Pricing Inputs'!$AT$3=2,3,IF('Pricing Inputs'!$AT$3=1,4,2))),FALSE())))</f>
        <v>#N/A</v>
      </c>
      <c r="BS29" s="295" t="e">
        <f aca="false">IF($A29="N/A"," ",IF('Pricing Inputs'!$AN$3=1,(IF(DateToday&gt;$A29,$BR29,((($BQ29^2)*((($A29-1)-DateToday)/((EOMONTH($A29,0)+1)-DateToday-15)))+((($BR29)^2)*((15)/((EOMONTH($A29,0)+1)-DateToday-15))))^0.5)),0.0001))</f>
        <v>#N/A</v>
      </c>
      <c r="BT29" s="294" t="n">
        <f aca="false">IF($A29="N/A"," ",IF('Pricing Inputs'!$AN$3=1,(VLOOKUP($A29,CorrelationTable,2,FALSE())),0))</f>
        <v>0.9</v>
      </c>
      <c r="BU29" s="296" t="e">
        <f aca="false">IF($A29="N/A"," ",F29+G29+(D29*(VLOOKUP($A29,'Gas Curves'!$B$17:$P$310,14,FALSE()))))</f>
        <v>#N/A</v>
      </c>
      <c r="BV29" s="294" t="n">
        <f aca="false">IF($A29="N/A"," ",IF('Pricing Inputs'!$AW$3=1,0,(VLOOKUP($A29,InterestRatesTable,2))))</f>
        <v>0</v>
      </c>
      <c r="BW29" s="297" t="n">
        <f aca="false">IF($A29="N/A"," ",(1+BV29/2)^(-2*((EOMONTH(A29,0)+20)-DateToday)/365.25))</f>
        <v>1</v>
      </c>
    </row>
    <row r="30" customFormat="false" ht="12.75" hidden="false" customHeight="false" outlineLevel="0" collapsed="false">
      <c r="A30" s="272" t="n">
        <f aca="false">IF(A29="N/A","N/A",IF(EDATE(A29,1)&gt;Inputs!$K$3,"N/A",EDATE(A29,1)))</f>
        <v>37681</v>
      </c>
      <c r="B30" s="273" t="n">
        <f aca="false">IF(A30="N/A"," ",YEAR(A30))</f>
        <v>2003</v>
      </c>
      <c r="C30" s="274" t="e">
        <f aca="false">IF(A30="N/A"," ",VLOOKUP(A30,ScaledPrice,10))</f>
        <v>#N/A</v>
      </c>
      <c r="D30" s="275" t="n">
        <f aca="false">IF(A30="N/A"," ",(VLOOKUP(MONTH($A30),Inputs!$A$14:$B$25,2))/1000)</f>
        <v>10.5</v>
      </c>
      <c r="E30" s="276" t="e">
        <f aca="false">IF($A30="N/A"," ",C30*D30)</f>
        <v>#N/A</v>
      </c>
      <c r="F30" s="277" t="n">
        <f aca="false">IF(A30="N/A"," ",Inputs!$F$6)</f>
        <v>2</v>
      </c>
      <c r="G30" s="277" t="n">
        <f aca="false">IF(A30="N/A"," ",Inputs!$F$9/IF(AND('Pricing Inputs'!$AQ$3&gt;=4,'Pricing Inputs'!$AQ$3&lt;=6),16,IF(AND('Pricing Inputs'!$AQ$3&gt;=7,'Pricing Inputs'!$AQ$3&lt;=9),8,24))/(BA30/BW30))</f>
        <v>0</v>
      </c>
      <c r="H30" s="278" t="e">
        <f aca="false">IF(A30="N/A"," ",(C30*D30)+F30+G30)</f>
        <v>#N/A</v>
      </c>
      <c r="I30" s="279" t="n">
        <f aca="false">VLOOKUP(A30,ScaledPrice,(IF(AND('Pricing Inputs'!$AQ$3&gt;=1,'Pricing Inputs'!$AQ$3&lt;=6),2,4)))</f>
        <v>31.967285</v>
      </c>
      <c r="J30" s="279" t="n">
        <f aca="false">IF(A30="N/A"," ",IF(AND('Pricing Inputs'!$AQ$3&gt;=1,'Pricing Inputs'!$AQ$3&lt;=6),I30,(VLOOKUP(A30,ScaledPrice,2))*(2-(VLOOKUP(A30,ScaledPrice,3)))))</f>
        <v>33.832715</v>
      </c>
      <c r="K30" s="279" t="n">
        <f aca="false">IF(A30="N/A"," ",IF(OR('Pricing Inputs'!$AQ$3=2,'Pricing Inputs'!$AQ$3=3,'Pricing Inputs'!$AQ$3=5,'Pricing Inputs'!$AQ$3=6,'Pricing Inputs'!$AQ$3=8,'Pricing Inputs'!$AQ$3=9),VLOOKUP(A30,ScaledPrice,IF(AND('Pricing Inputs'!$AQ$3&gt;=2,'Pricing Inputs'!$AQ$3&lt;=6),5,6)),0))</f>
        <v>20.2440844520187</v>
      </c>
      <c r="L30" s="279" t="n">
        <f aca="false">IF(A30="N/A"," ",IF(OR('Pricing Inputs'!$AQ$3=2,'Pricing Inputs'!$AQ$3=3,'Pricing Inputs'!$AQ$3=5,'Pricing Inputs'!$AQ$3=6,'Pricing Inputs'!$AQ$3=8,'Pricing Inputs'!$AQ$3=9),IF(AND('Pricing Inputs'!$AQ$3&gt;=2,'Pricing Inputs'!$AQ$3&lt;=6),K30,(VLOOKUP(A30,ScaledPrice,5))*(2-(VLOOKUP(A30,ScaledPrice,3)))),0))</f>
        <v>21.4254147545242</v>
      </c>
      <c r="M30" s="279" t="n">
        <f aca="false">IF(A30="N/A"," ",IF(OR('Pricing Inputs'!$AQ$3=3,'Pricing Inputs'!$AQ$3=6,'Pricing Inputs'!$AQ$3=9),(VLOOKUP(A30,ScaledPrice,IF(AND('Pricing Inputs'!$AQ$3&gt;=3,'Pricing Inputs'!$AQ$3&lt;=6),7,8))),0))</f>
        <v>19.8843303575134</v>
      </c>
      <c r="N30" s="279" t="n">
        <f aca="false">IF(A30="N/A"," ",IF(OR('Pricing Inputs'!$AQ$3=3,'Pricing Inputs'!$AQ$3=6,'Pricing Inputs'!$AQ$3=9),IF(AND('Pricing Inputs'!$AQ$3&gt;=3,'Pricing Inputs'!$AQ$3&lt;=6),M30,(VLOOKUP(A30,ScaledPrice,7))*(2-(VLOOKUP(A30,ScaledPrice,3)))),0))</f>
        <v>21.044667445221</v>
      </c>
      <c r="O30" s="279" t="n">
        <f aca="false">IF(A30="N/A"," ",IF(AND('Pricing Inputs'!$AQ$3&gt;=1,'Pricing Inputs'!$AQ$3&lt;=3),VLOOKUP(A30,ScaledPrice,9),0))</f>
        <v>0</v>
      </c>
      <c r="P30" s="280" t="e">
        <f aca="false">IF($A30="N/A"," ",IF('Pricing Inputs'!$AN$8=2,(I30-H30),IF('Pricing Inputs'!$AN$3=2,IF((I30-$H30)&gt;0,I30-$H30,0),(xSPRDOPT(I30,$E30,$BU30,0,$BP30,$BS30,$BT30,($A30-Inputs!$D$1)+15,1,0)))))</f>
        <v>#NAME?</v>
      </c>
      <c r="Q30" s="280" t="e">
        <f aca="false">IF($A30="N/A"," ",IF('Pricing Inputs'!$AN$8=2,(J30-$H30),IF('Pricing Inputs'!$AN$3=2,IF((J30-$H30)&gt;0,J30-$H30,0),(xSPRDOPT(J30,$E30,$BU30,0,$BP30,$BS30,$BT30,($A30-Inputs!$D$1)+15,1,0)))))</f>
        <v>#NAME?</v>
      </c>
      <c r="R30" s="280" t="e">
        <f aca="false">IF($A30="N/A"," ",IF('Pricing Inputs'!$AN$8=2,(K30-$H30),IF('Pricing Inputs'!$AN$3=2,IF((K30-$H30)&gt;0,K30-$H30,0),(xSPRDOPT(K30,$E30,$BU30,0,$BP30,$BS30,$BT30,($A30-Inputs!$D$1)+15,1,0)))))</f>
        <v>#NAME?</v>
      </c>
      <c r="S30" s="280" t="e">
        <f aca="false">IF($A30="N/A"," ",IF('Pricing Inputs'!$AN$8=2,(L30-$H30),IF('Pricing Inputs'!$AN$3=2,IF((L30-$H30)&gt;0,L30-$H30,0),(xSPRDOPT(L30,$E30,$BU30,0,$BP30,$BS30,$BT30,($A30-Inputs!$D$1)+15,1,0)))))</f>
        <v>#NAME?</v>
      </c>
      <c r="T30" s="280" t="e">
        <f aca="false">IF($A30="N/A"," ",IF('Pricing Inputs'!$AN$8=2,(M30-$H30),IF('Pricing Inputs'!$AN$3=2,IF((M30-$H30)&gt;0,M30-$H30,0),(xSPRDOPT(M30,$E30,$BU30,0,$BP30,$BS30,$BT30,($A30-Inputs!$D$1)+15,1,0)))))</f>
        <v>#NAME?</v>
      </c>
      <c r="U30" s="280" t="e">
        <f aca="false">IF($A30="N/A"," ",IF('Pricing Inputs'!$AN$8=2,(N30-$H30),IF('Pricing Inputs'!$AN$3=2,IF((N30-$H30)&gt;0,N30-$H30,0),(xSPRDOPT(N30,$E30,$BU30,0,$BP30,$BS30,$BT30,($A30-Inputs!$D$1)+15,1,0)))))</f>
        <v>#NAME?</v>
      </c>
      <c r="V30" s="281" t="e">
        <f aca="false">IF($A30="N/A"," ",(IF('Pricing Inputs'!$AN$8=2,(O30-$H30),IF((O30-$H30)&lt;=0,0,(O30-$H30)))))</f>
        <v>#N/A</v>
      </c>
      <c r="W30" s="282" t="e">
        <f aca="false">IF($A30="N/A"," ",IF(0&lt;&gt;P30,IF('Pricing Inputs'!$AN$3=2,8*VLOOKUP($A30,NumberofDaysTable,2),(xSPRDOPT(I30,$E30,$BU30,0,$BP30,$BS30,$BT30,$A30-Inputs!$D$1,1,1))*(8*VLOOKUP($A30,NumberofDaysTable,2))),0))</f>
        <v>#NAME?</v>
      </c>
      <c r="X30" s="282" t="e">
        <f aca="false">IF($A30="N/A"," ",IF(Q30&lt;&gt;0,IF('Pricing Inputs'!$AN$3=2,8*VLOOKUP($A30,NumberofDaysTable,2),(xSPRDOPT(J30,$E30,$BU30,0,$BP30,$BS30,$BT30,$A30-Inputs!$D$1,1,1))*(8*VLOOKUP($A30,NumberofDaysTable,2))),0))</f>
        <v>#NAME?</v>
      </c>
      <c r="Y30" s="282" t="e">
        <f aca="false">IF($A30="N/A"," ",IF(R30&lt;&gt;0,IF('Pricing Inputs'!$AN$3=2,8*VLOOKUP($A30,NumberofDaysTable,3),(xSPRDOPT(K30,$E30,$BU30,0,$BP30,$BS30,$BT30,$A30-Inputs!$D$1,1,1))*(8*VLOOKUP($A30,NumberofDaysTable,3))),0))</f>
        <v>#NAME?</v>
      </c>
      <c r="Z30" s="282" t="e">
        <f aca="false">IF($A30="N/A"," ",IF(S30&lt;&gt;0,IF('Pricing Inputs'!$AN$3=2,8*VLOOKUP($A30,NumberofDaysTable,3),(xSPRDOPT(L30,$E30,$BU30,0,$BP30,$BS30,$BT30,$A30-Inputs!$D$1,1,1))*(8*VLOOKUP($A30,NumberofDaysTable,3))),0))</f>
        <v>#NAME?</v>
      </c>
      <c r="AA30" s="282" t="e">
        <f aca="false">IF($A30="N/A"," ",IF(T30&lt;&gt;0,IF('Pricing Inputs'!$AN$3=2,8*VLOOKUP($A30,NumberofDaysTable,4),(xSPRDOPT(M30,$E30,$BU30,0,$BP30,$BS30,$BT30,$A30-Inputs!$D$1,1,1))*(8*VLOOKUP($A30,NumberofDaysTable,4))),0))</f>
        <v>#NAME?</v>
      </c>
      <c r="AB30" s="282" t="e">
        <f aca="false">IF($A30="N/A"," ",IF(U30&lt;&gt;0,IF('Pricing Inputs'!$AN$3=2,8*VLOOKUP($A30,NumberofDaysTable,4),(xSPRDOPT(N30,$E30,$BU30,0,$BP30,$BS30,$BT30,$A30-Inputs!$D$1,1,1))*(8*VLOOKUP($A30,NumberofDaysTable,4))),0))</f>
        <v>#NAME?</v>
      </c>
      <c r="AC30" s="282" t="e">
        <f aca="false">IF($A30="N/A"," ",(IF(V30&lt;&gt;0,(8*VLOOKUP($A30,NumberofDaysTable,6)),0)))</f>
        <v>#N/A</v>
      </c>
      <c r="AD30" s="298" t="e">
        <f aca="false">IF($A30="N/A"," ",RANK(P30,$P$28:$V$39))</f>
        <v>#NAME?</v>
      </c>
      <c r="AE30" s="299" t="e">
        <f aca="false">IF($A30="N/A"," ",RANK(Q30,$P$28:$V$39))</f>
        <v>#NAME?</v>
      </c>
      <c r="AF30" s="299" t="e">
        <f aca="false">IF($A30="N/A"," ",RANK(R30,$P$28:$V$39))</f>
        <v>#NAME?</v>
      </c>
      <c r="AG30" s="299" t="e">
        <f aca="false">IF($A30="N/A"," ",RANK(S30,$P$28:$V$39))</f>
        <v>#NAME?</v>
      </c>
      <c r="AH30" s="299" t="e">
        <f aca="false">IF($A30="N/A"," ",RANK(T30,$P$28:$V$39))</f>
        <v>#NAME?</v>
      </c>
      <c r="AI30" s="299" t="e">
        <f aca="false">IF($A30="N/A"," ",RANK(U30,$P$28:$V$39))</f>
        <v>#NAME?</v>
      </c>
      <c r="AJ30" s="300" t="e">
        <f aca="false">IF($A30="N/A"," ",RANK(V30,$P$28:$V$39))</f>
        <v>#NAME?</v>
      </c>
      <c r="AK30" s="286" t="e">
        <f aca="false">IF($A30="N/A"," ",IF(AD30&lt;=$AJ$2,W30,0))</f>
        <v>#NAME?</v>
      </c>
      <c r="AL30" s="301" t="e">
        <f aca="false">IF($A30="N/A"," ",IF(AE30&lt;=$AJ$2,X30,0))</f>
        <v>#NAME?</v>
      </c>
      <c r="AM30" s="301" t="e">
        <f aca="false">IF($A30="N/A"," ",IF(AF30&lt;=$AJ$2,Y30,0))</f>
        <v>#NAME?</v>
      </c>
      <c r="AN30" s="301" t="e">
        <f aca="false">IF($A30="N/A"," ",IF(AG30&lt;=$AJ$2,Z30,0))</f>
        <v>#NAME?</v>
      </c>
      <c r="AO30" s="301" t="e">
        <f aca="false">IF($A30="N/A"," ",IF(AH30&lt;=$AJ$2,AA30,0))</f>
        <v>#NAME?</v>
      </c>
      <c r="AP30" s="301" t="e">
        <f aca="false">IF($A30="N/A"," ",IF(AI30&lt;=$AJ$2,AB30,0))</f>
        <v>#NAME?</v>
      </c>
      <c r="AQ30" s="301" t="e">
        <f aca="false">IF($A30="N/A"," ",IF(AJ30&lt;=$AJ$2,AC30,0))</f>
        <v>#NAME?</v>
      </c>
      <c r="AR30" s="300"/>
      <c r="AS30" s="288" t="e">
        <f aca="false">IF($A30="N/A"," ",IF(AND(AD30=$AJ$2+1,AK30=0),MIN($AR$39,W30),0))</f>
        <v>#NAME?</v>
      </c>
      <c r="AT30" s="302" t="e">
        <f aca="false">IF($A30="N/A"," ",IF(AND(AE30=$AJ$2+1,AL30=0),MIN($AR$39,X30),0))</f>
        <v>#NAME?</v>
      </c>
      <c r="AU30" s="302" t="e">
        <f aca="false">IF($A30="N/A"," ",IF(AND(AF30=$AJ$2+1,AM30=0),MIN($AR$39,Y30),0))</f>
        <v>#NAME?</v>
      </c>
      <c r="AV30" s="302" t="e">
        <f aca="false">IF($A30="N/A"," ",IF(AND(AG30=$AJ$2+1,AN30=0),MIN($AR$39,Z30),0))</f>
        <v>#NAME?</v>
      </c>
      <c r="AW30" s="302" t="e">
        <f aca="false">IF($A30="N/A"," ",IF(AND(AH30=$AJ$2+1,AO30=0),MIN($AR$39,AA30),0))</f>
        <v>#NAME?</v>
      </c>
      <c r="AX30" s="302" t="e">
        <f aca="false">IF($A30="N/A"," ",IF(AND(AI30=$AJ$2+1,AP30=0),MIN($AR$39,AB30),0))</f>
        <v>#NAME?</v>
      </c>
      <c r="AY30" s="302" t="e">
        <f aca="false">IF($A30="N/A"," ",IF(AND(AJ30=$AJ$2+1,AQ30=0),MIN($AR$39,AC30),0))</f>
        <v>#NAME?</v>
      </c>
      <c r="AZ30" s="300"/>
      <c r="BA30" s="291" t="n">
        <f aca="false">IF($A30="N/A"," ",(IF(MONTH(A30)&gt;=4,IF(MONTH(A30)&lt;=10,Inputs!$F$13,Inputs!$F$14),Inputs!$F$14))*$BW30)</f>
        <v>180</v>
      </c>
      <c r="BB30" s="292" t="e">
        <f aca="false">IF($A30="N/A"," ",(IF(AK30&gt;0,($BA30*(8*(VLOOKUP($A30,NumberofDaysTable,2)))*P30),0)+IF(AS30&gt;0,($BA30*((AS30))*P30),0)))</f>
        <v>#NAME?</v>
      </c>
      <c r="BC30" s="292" t="e">
        <f aca="false">IF($A30="N/A"," ",(IF(AL30&gt;0,($BA30*(8*(VLOOKUP($A30,NumberofDaysTable,2)))*Q30),0)+IF(AT30&gt;0,($BA30*((AT30))*Q30),0)))</f>
        <v>#NAME?</v>
      </c>
      <c r="BD30" s="292" t="e">
        <f aca="false">IF($A30="N/A"," ",(IF(AM30&gt;0,($BA30*(8*(VLOOKUP($A30,NumberofDaysTable,3)))*R30),0)+IF(AU30&gt;0,($BA30*((AU30))*R30),0)))</f>
        <v>#NAME?</v>
      </c>
      <c r="BE30" s="292" t="e">
        <f aca="false">IF($A30="N/A"," ",(IF(AN30&gt;0,($BA30*(8*(VLOOKUP($A30,NumberofDaysTable,3)))*S30),0)+IF(AV30&gt;0,($BA30*((AV30))*S30),0)))</f>
        <v>#NAME?</v>
      </c>
      <c r="BF30" s="292" t="e">
        <f aca="false">IF($A30="N/A"," ",(IF(AO30&gt;0,($BA30*(8*(VLOOKUP($A30,NumberofDaysTable,4)+VLOOKUP($A30,NumberofDaysTable,5)))*T30),0)+IF(AW30&gt;0,($BA30*((AW30))*T30),0)))</f>
        <v>#NAME?</v>
      </c>
      <c r="BG30" s="292" t="e">
        <f aca="false">IF($A30="N/A"," ",(IF(AP30&gt;0,($BA30*(8*(VLOOKUP($A30,NumberofDaysTable,4)+VLOOKUP($A30,NumberofDaysTable,5)))*U30),0)+IF(AX30&gt;0,($BA30*((AX30))*U30),0)))</f>
        <v>#NAME?</v>
      </c>
      <c r="BH30" s="292" t="e">
        <f aca="false">IF($A30="N/A"," ",($BA30*AQ30*V30))</f>
        <v>#NAME?</v>
      </c>
      <c r="BI30" s="292" t="e">
        <f aca="false">IF($A30="N/A"," ",SUM(BB30:BH30))</f>
        <v>#NAME?</v>
      </c>
      <c r="BJ30" s="293" t="e">
        <f aca="false">IF($A30="N/A"," ",(H30*(SUM(AK30:AQ30)+SUM(AS30:AY30))*BA30))</f>
        <v>#NAME?</v>
      </c>
      <c r="BK30" s="293" t="e">
        <f aca="false">IF($A30="N/A"," ",((C30*D30)*(SUM($AK30:$AQ30)+SUM($AS30:$AY30))*$BA30))</f>
        <v>#N/A</v>
      </c>
      <c r="BL30" s="293" t="e">
        <f aca="false">IF($A30="N/A"," ",(F30*(SUM($AK30:$AQ30)+SUM($AS30:$AY30))*$BA30))</f>
        <v>#NAME?</v>
      </c>
      <c r="BM30" s="293" t="e">
        <f aca="false">IF($A30="N/A"," ",(G30*(SUM($AK30:$AQ30)+SUM($AS30:$AY30))*$BA30))</f>
        <v>#NAME?</v>
      </c>
      <c r="BN30" s="294" t="n">
        <f aca="false">IF(A30="N/A"," ",(VLOOKUP(A30,PowerVolTable,(IF('Pricing Inputs'!$AT$3=2,7,IF('Pricing Inputs'!$AT$3=1,6,8))),FALSE())))</f>
        <v>0.2410351875</v>
      </c>
      <c r="BO30" s="294" t="n">
        <f aca="false">IF(A30="N/A"," ",(VLOOKUP(A30,IntraPowerVol,(IF('Pricing Inputs'!$AT$3=2,3,IF('Pricing Inputs'!$AT$3=1,2,4))),FALSE())*VLOOKUP(MONTH($A30),Inputs!$A$28:$B$39,2)))</f>
        <v>1.495</v>
      </c>
      <c r="BP30" s="295" t="n">
        <f aca="false">IF($A30="N/A"," ",(IF(DateToday&gt;$A30,$BO30,((($BN30^2)*((($A30-1)-DateToday)/((EOMONTH($A30,0)+1)-DateToday-15)))+((($BO30)^2)*((15)/((EOMONTH($A30,0)+1)-DateToday-15))))^0.5)))</f>
        <v>1.495</v>
      </c>
      <c r="BQ30" s="294" t="e">
        <f aca="false">IF($A30="N/A"," ",(VLOOKUP($A30,GasVolTable,(IF('Pricing Inputs'!$AT$3=2,6,IF('Pricing Inputs'!$AT$3=1,7,5))),FALSE())))</f>
        <v>#N/A</v>
      </c>
      <c r="BR30" s="294" t="e">
        <f aca="false">IF($A30="N/A"," ",(VLOOKUP($A30,OmicronVol,(IF('Pricing Inputs'!$AT$3=2,3,IF('Pricing Inputs'!$AT$3=1,4,2))),FALSE())))</f>
        <v>#N/A</v>
      </c>
      <c r="BS30" s="295" t="e">
        <f aca="false">IF($A30="N/A"," ",IF('Pricing Inputs'!$AN$3=1,(IF(DateToday&gt;$A30,$BR30,((($BQ30^2)*((($A30-1)-DateToday)/((EOMONTH($A30,0)+1)-DateToday-15)))+((($BR30)^2)*((15)/((EOMONTH($A30,0)+1)-DateToday-15))))^0.5)),0.0001))</f>
        <v>#N/A</v>
      </c>
      <c r="BT30" s="294" t="n">
        <f aca="false">IF($A30="N/A"," ",IF('Pricing Inputs'!$AN$3=1,(VLOOKUP($A30,CorrelationTable,2,FALSE())),0))</f>
        <v>0.9</v>
      </c>
      <c r="BU30" s="296" t="e">
        <f aca="false">IF($A30="N/A"," ",F30+G30+(D30*(VLOOKUP($A30,'Gas Curves'!$B$17:$P$310,14,FALSE()))))</f>
        <v>#N/A</v>
      </c>
      <c r="BV30" s="294" t="n">
        <f aca="false">IF($A30="N/A"," ",IF('Pricing Inputs'!$AW$3=1,0,(VLOOKUP($A30,InterestRatesTable,2))))</f>
        <v>0</v>
      </c>
      <c r="BW30" s="297" t="n">
        <f aca="false">IF($A30="N/A"," ",(1+BV30/2)^(-2*((EOMONTH(A30,0)+20)-DateToday)/365.25))</f>
        <v>1</v>
      </c>
    </row>
    <row r="31" customFormat="false" ht="12.75" hidden="false" customHeight="false" outlineLevel="0" collapsed="false">
      <c r="A31" s="272" t="n">
        <f aca="false">IF(A30="N/A","N/A",IF(EDATE(A30,1)&gt;Inputs!$K$3,"N/A",EDATE(A30,1)))</f>
        <v>37712</v>
      </c>
      <c r="B31" s="273" t="n">
        <f aca="false">IF(A31="N/A"," ",YEAR(A31))</f>
        <v>2003</v>
      </c>
      <c r="C31" s="274" t="e">
        <f aca="false">IF(A31="N/A"," ",VLOOKUP(A31,ScaledPrice,10))</f>
        <v>#N/A</v>
      </c>
      <c r="D31" s="275" t="n">
        <f aca="false">IF(A31="N/A"," ",(VLOOKUP(MONTH($A31),Inputs!$A$14:$B$25,2))/1000)</f>
        <v>10.5</v>
      </c>
      <c r="E31" s="276" t="e">
        <f aca="false">IF($A31="N/A"," ",C31*D31)</f>
        <v>#N/A</v>
      </c>
      <c r="F31" s="277" t="n">
        <f aca="false">IF(A31="N/A"," ",Inputs!$F$6)</f>
        <v>2</v>
      </c>
      <c r="G31" s="277" t="n">
        <f aca="false">IF(A31="N/A"," ",Inputs!$F$9/IF(AND('Pricing Inputs'!$AQ$3&gt;=4,'Pricing Inputs'!$AQ$3&lt;=6),16,IF(AND('Pricing Inputs'!$AQ$3&gt;=7,'Pricing Inputs'!$AQ$3&lt;=9),8,24))/(BA31/BW31))</f>
        <v>0</v>
      </c>
      <c r="H31" s="278" t="e">
        <f aca="false">IF(A31="N/A"," ",(C31*D31)+F31+G31)</f>
        <v>#N/A</v>
      </c>
      <c r="I31" s="279" t="n">
        <f aca="false">VLOOKUP(A31,ScaledPrice,(IF(AND('Pricing Inputs'!$AQ$3&gt;=1,'Pricing Inputs'!$AQ$3&lt;=6),2,4)))</f>
        <v>29.2759021649141</v>
      </c>
      <c r="J31" s="279" t="n">
        <f aca="false">IF(A31="N/A"," ",IF(AND('Pricing Inputs'!$AQ$3&gt;=1,'Pricing Inputs'!$AQ$3&lt;=6),I31,(VLOOKUP(A31,ScaledPrice,2))*(2-(VLOOKUP(A31,ScaledPrice,3)))))</f>
        <v>34.0240978350859</v>
      </c>
      <c r="K31" s="279" t="n">
        <f aca="false">IF(A31="N/A"," ",IF(OR('Pricing Inputs'!$AQ$3=2,'Pricing Inputs'!$AQ$3=3,'Pricing Inputs'!$AQ$3=5,'Pricing Inputs'!$AQ$3=6,'Pricing Inputs'!$AQ$3=8,'Pricing Inputs'!$AQ$3=9),VLOOKUP(A31,ScaledPrice,IF(AND('Pricing Inputs'!$AQ$3&gt;=2,'Pricing Inputs'!$AQ$3&lt;=6),5,6)),0))</f>
        <v>19.9034513038811</v>
      </c>
      <c r="L31" s="279" t="n">
        <f aca="false">IF(A31="N/A"," ",IF(OR('Pricing Inputs'!$AQ$3=2,'Pricing Inputs'!$AQ$3=3,'Pricing Inputs'!$AQ$3=5,'Pricing Inputs'!$AQ$3=6,'Pricing Inputs'!$AQ$3=8,'Pricing Inputs'!$AQ$3=9),IF(AND('Pricing Inputs'!$AQ$3&gt;=2,'Pricing Inputs'!$AQ$3&lt;=6),K31,(VLOOKUP(A31,ScaledPrice,5))*(2-(VLOOKUP(A31,ScaledPrice,3)))),0))</f>
        <v>23.1315493064705</v>
      </c>
      <c r="M31" s="279" t="n">
        <f aca="false">IF(A31="N/A"," ",IF(OR('Pricing Inputs'!$AQ$3=3,'Pricing Inputs'!$AQ$3=6,'Pricing Inputs'!$AQ$3=9),(VLOOKUP(A31,ScaledPrice,IF(AND('Pricing Inputs'!$AQ$3&gt;=3,'Pricing Inputs'!$AQ$3&lt;=6),7,8))),0))</f>
        <v>18.7171517694834</v>
      </c>
      <c r="N31" s="279" t="n">
        <f aca="false">IF(A31="N/A"," ",IF(OR('Pricing Inputs'!$AQ$3=3,'Pricing Inputs'!$AQ$3=6,'Pricing Inputs'!$AQ$3=9),IF(AND('Pricing Inputs'!$AQ$3&gt;=3,'Pricing Inputs'!$AQ$3&lt;=6),M31,(VLOOKUP(A31,ScaledPrice,7))*(2-(VLOOKUP(A31,ScaledPrice,3)))),0))</f>
        <v>21.7528463994619</v>
      </c>
      <c r="O31" s="279" t="n">
        <f aca="false">IF(A31="N/A"," ",IF(AND('Pricing Inputs'!$AQ$3&gt;=1,'Pricing Inputs'!$AQ$3&lt;=3),VLOOKUP(A31,ScaledPrice,9),0))</f>
        <v>0</v>
      </c>
      <c r="P31" s="280" t="e">
        <f aca="false">IF($A31="N/A"," ",IF('Pricing Inputs'!$AN$8=2,(I31-H31),IF('Pricing Inputs'!$AN$3=2,IF((I31-$H31)&gt;0,I31-$H31,0),(xSPRDOPT(I31,$E31,$BU31,0,$BP31,$BS31,$BT31,($A31-Inputs!$D$1)+15,1,0)))))</f>
        <v>#NAME?</v>
      </c>
      <c r="Q31" s="280" t="e">
        <f aca="false">IF($A31="N/A"," ",IF('Pricing Inputs'!$AN$8=2,(J31-$H31),IF('Pricing Inputs'!$AN$3=2,IF((J31-$H31)&gt;0,J31-$H31,0),(xSPRDOPT(J31,$E31,$BU31,0,$BP31,$BS31,$BT31,($A31-Inputs!$D$1)+15,1,0)))))</f>
        <v>#NAME?</v>
      </c>
      <c r="R31" s="280" t="e">
        <f aca="false">IF($A31="N/A"," ",IF('Pricing Inputs'!$AN$8=2,(K31-$H31),IF('Pricing Inputs'!$AN$3=2,IF((K31-$H31)&gt;0,K31-$H31,0),(xSPRDOPT(K31,$E31,$BU31,0,$BP31,$BS31,$BT31,($A31-Inputs!$D$1)+15,1,0)))))</f>
        <v>#NAME?</v>
      </c>
      <c r="S31" s="280" t="e">
        <f aca="false">IF($A31="N/A"," ",IF('Pricing Inputs'!$AN$8=2,(L31-$H31),IF('Pricing Inputs'!$AN$3=2,IF((L31-$H31)&gt;0,L31-$H31,0),(xSPRDOPT(L31,$E31,$BU31,0,$BP31,$BS31,$BT31,($A31-Inputs!$D$1)+15,1,0)))))</f>
        <v>#NAME?</v>
      </c>
      <c r="T31" s="280" t="e">
        <f aca="false">IF($A31="N/A"," ",IF('Pricing Inputs'!$AN$8=2,(M31-$H31),IF('Pricing Inputs'!$AN$3=2,IF((M31-$H31)&gt;0,M31-$H31,0),(xSPRDOPT(M31,$E31,$BU31,0,$BP31,$BS31,$BT31,($A31-Inputs!$D$1)+15,1,0)))))</f>
        <v>#NAME?</v>
      </c>
      <c r="U31" s="280" t="e">
        <f aca="false">IF($A31="N/A"," ",IF('Pricing Inputs'!$AN$8=2,(N31-$H31),IF('Pricing Inputs'!$AN$3=2,IF((N31-$H31)&gt;0,N31-$H31,0),(xSPRDOPT(N31,$E31,$BU31,0,$BP31,$BS31,$BT31,($A31-Inputs!$D$1)+15,1,0)))))</f>
        <v>#NAME?</v>
      </c>
      <c r="V31" s="281" t="e">
        <f aca="false">IF($A31="N/A"," ",(IF('Pricing Inputs'!$AN$8=2,(O31-$H31),IF((O31-$H31)&lt;=0,0,(O31-$H31)))))</f>
        <v>#N/A</v>
      </c>
      <c r="W31" s="282" t="e">
        <f aca="false">IF($A31="N/A"," ",IF(0&lt;&gt;P31,IF('Pricing Inputs'!$AN$3=2,8*VLOOKUP($A31,NumberofDaysTable,2),(xSPRDOPT(I31,$E31,$BU31,0,$BP31,$BS31,$BT31,$A31-Inputs!$D$1,1,1))*(8*VLOOKUP($A31,NumberofDaysTable,2))),0))</f>
        <v>#NAME?</v>
      </c>
      <c r="X31" s="282" t="e">
        <f aca="false">IF($A31="N/A"," ",IF(Q31&lt;&gt;0,IF('Pricing Inputs'!$AN$3=2,8*VLOOKUP($A31,NumberofDaysTable,2),(xSPRDOPT(J31,$E31,$BU31,0,$BP31,$BS31,$BT31,$A31-Inputs!$D$1,1,1))*(8*VLOOKUP($A31,NumberofDaysTable,2))),0))</f>
        <v>#NAME?</v>
      </c>
      <c r="Y31" s="282" t="e">
        <f aca="false">IF($A31="N/A"," ",IF(R31&lt;&gt;0,IF('Pricing Inputs'!$AN$3=2,8*VLOOKUP($A31,NumberofDaysTable,3),(xSPRDOPT(K31,$E31,$BU31,0,$BP31,$BS31,$BT31,$A31-Inputs!$D$1,1,1))*(8*VLOOKUP($A31,NumberofDaysTable,3))),0))</f>
        <v>#NAME?</v>
      </c>
      <c r="Z31" s="282" t="e">
        <f aca="false">IF($A31="N/A"," ",IF(S31&lt;&gt;0,IF('Pricing Inputs'!$AN$3=2,8*VLOOKUP($A31,NumberofDaysTable,3),(xSPRDOPT(L31,$E31,$BU31,0,$BP31,$BS31,$BT31,$A31-Inputs!$D$1,1,1))*(8*VLOOKUP($A31,NumberofDaysTable,3))),0))</f>
        <v>#NAME?</v>
      </c>
      <c r="AA31" s="282" t="e">
        <f aca="false">IF($A31="N/A"," ",IF(T31&lt;&gt;0,IF('Pricing Inputs'!$AN$3=2,8*VLOOKUP($A31,NumberofDaysTable,4),(xSPRDOPT(M31,$E31,$BU31,0,$BP31,$BS31,$BT31,$A31-Inputs!$D$1,1,1))*(8*VLOOKUP($A31,NumberofDaysTable,4))),0))</f>
        <v>#NAME?</v>
      </c>
      <c r="AB31" s="282" t="e">
        <f aca="false">IF($A31="N/A"," ",IF(U31&lt;&gt;0,IF('Pricing Inputs'!$AN$3=2,8*VLOOKUP($A31,NumberofDaysTable,4),(xSPRDOPT(N31,$E31,$BU31,0,$BP31,$BS31,$BT31,$A31-Inputs!$D$1,1,1))*(8*VLOOKUP($A31,NumberofDaysTable,4))),0))</f>
        <v>#NAME?</v>
      </c>
      <c r="AC31" s="282" t="e">
        <f aca="false">IF($A31="N/A"," ",(IF(V31&lt;&gt;0,(8*VLOOKUP($A31,NumberofDaysTable,6)),0)))</f>
        <v>#N/A</v>
      </c>
      <c r="AD31" s="298" t="e">
        <f aca="false">IF($A31="N/A"," ",RANK(P31,$P$28:$V$39))</f>
        <v>#NAME?</v>
      </c>
      <c r="AE31" s="299" t="e">
        <f aca="false">IF($A31="N/A"," ",RANK(Q31,$P$28:$V$39))</f>
        <v>#NAME?</v>
      </c>
      <c r="AF31" s="299" t="e">
        <f aca="false">IF($A31="N/A"," ",RANK(R31,$P$28:$V$39))</f>
        <v>#NAME?</v>
      </c>
      <c r="AG31" s="299" t="e">
        <f aca="false">IF($A31="N/A"," ",RANK(S31,$P$28:$V$39))</f>
        <v>#NAME?</v>
      </c>
      <c r="AH31" s="299" t="e">
        <f aca="false">IF($A31="N/A"," ",RANK(T31,$P$28:$V$39))</f>
        <v>#NAME?</v>
      </c>
      <c r="AI31" s="299" t="e">
        <f aca="false">IF($A31="N/A"," ",RANK(U31,$P$28:$V$39))</f>
        <v>#NAME?</v>
      </c>
      <c r="AJ31" s="300" t="e">
        <f aca="false">IF($A31="N/A"," ",RANK(V31,$P$28:$V$39))</f>
        <v>#NAME?</v>
      </c>
      <c r="AK31" s="286" t="e">
        <f aca="false">IF($A31="N/A"," ",IF(AD31&lt;=$AJ$2,W31,0))</f>
        <v>#NAME?</v>
      </c>
      <c r="AL31" s="301" t="e">
        <f aca="false">IF($A31="N/A"," ",IF(AE31&lt;=$AJ$2,X31,0))</f>
        <v>#NAME?</v>
      </c>
      <c r="AM31" s="301" t="e">
        <f aca="false">IF($A31="N/A"," ",IF(AF31&lt;=$AJ$2,Y31,0))</f>
        <v>#NAME?</v>
      </c>
      <c r="AN31" s="301" t="e">
        <f aca="false">IF($A31="N/A"," ",IF(AG31&lt;=$AJ$2,Z31,0))</f>
        <v>#NAME?</v>
      </c>
      <c r="AO31" s="301" t="e">
        <f aca="false">IF($A31="N/A"," ",IF(AH31&lt;=$AJ$2,AA31,0))</f>
        <v>#NAME?</v>
      </c>
      <c r="AP31" s="301" t="e">
        <f aca="false">IF($A31="N/A"," ",IF(AI31&lt;=$AJ$2,AB31,0))</f>
        <v>#NAME?</v>
      </c>
      <c r="AQ31" s="301" t="e">
        <f aca="false">IF($A31="N/A"," ",IF(AJ31&lt;=$AJ$2,AC31,0))</f>
        <v>#NAME?</v>
      </c>
      <c r="AR31" s="300"/>
      <c r="AS31" s="288" t="e">
        <f aca="false">IF($A31="N/A"," ",IF(AND(AD31=$AJ$2+1,AK31=0),MIN($AR$39,W31),0))</f>
        <v>#NAME?</v>
      </c>
      <c r="AT31" s="302" t="e">
        <f aca="false">IF($A31="N/A"," ",IF(AND(AE31=$AJ$2+1,AL31=0),MIN($AR$39,X31),0))</f>
        <v>#NAME?</v>
      </c>
      <c r="AU31" s="302" t="e">
        <f aca="false">IF($A31="N/A"," ",IF(AND(AF31=$AJ$2+1,AM31=0),MIN($AR$39,Y31),0))</f>
        <v>#NAME?</v>
      </c>
      <c r="AV31" s="302" t="e">
        <f aca="false">IF($A31="N/A"," ",IF(AND(AG31=$AJ$2+1,AN31=0),MIN($AR$39,Z31),0))</f>
        <v>#NAME?</v>
      </c>
      <c r="AW31" s="302" t="e">
        <f aca="false">IF($A31="N/A"," ",IF(AND(AH31=$AJ$2+1,AO31=0),MIN($AR$39,AA31),0))</f>
        <v>#NAME?</v>
      </c>
      <c r="AX31" s="302" t="e">
        <f aca="false">IF($A31="N/A"," ",IF(AND(AI31=$AJ$2+1,AP31=0),MIN($AR$39,AB31),0))</f>
        <v>#NAME?</v>
      </c>
      <c r="AY31" s="302" t="e">
        <f aca="false">IF($A31="N/A"," ",IF(AND(AJ31=$AJ$2+1,AQ31=0),MIN($AR$39,AC31),0))</f>
        <v>#NAME?</v>
      </c>
      <c r="AZ31" s="300"/>
      <c r="BA31" s="291" t="n">
        <f aca="false">IF($A31="N/A"," ",(IF(MONTH(A31)&gt;=4,IF(MONTH(A31)&lt;=10,Inputs!$F$13,Inputs!$F$14),Inputs!$F$14))*$BW31)</f>
        <v>180</v>
      </c>
      <c r="BB31" s="292" t="e">
        <f aca="false">IF($A31="N/A"," ",(IF(AK31&gt;0,($BA31*(8*(VLOOKUP($A31,NumberofDaysTable,2)))*P31),0)+IF(AS31&gt;0,($BA31*((AS31))*P31),0)))</f>
        <v>#NAME?</v>
      </c>
      <c r="BC31" s="292" t="e">
        <f aca="false">IF($A31="N/A"," ",(IF(AL31&gt;0,($BA31*(8*(VLOOKUP($A31,NumberofDaysTable,2)))*Q31),0)+IF(AT31&gt;0,($BA31*((AT31))*Q31),0)))</f>
        <v>#NAME?</v>
      </c>
      <c r="BD31" s="292" t="e">
        <f aca="false">IF($A31="N/A"," ",(IF(AM31&gt;0,($BA31*(8*(VLOOKUP($A31,NumberofDaysTable,3)))*R31),0)+IF(AU31&gt;0,($BA31*((AU31))*R31),0)))</f>
        <v>#NAME?</v>
      </c>
      <c r="BE31" s="292" t="e">
        <f aca="false">IF($A31="N/A"," ",(IF(AN31&gt;0,($BA31*(8*(VLOOKUP($A31,NumberofDaysTable,3)))*S31),0)+IF(AV31&gt;0,($BA31*((AV31))*S31),0)))</f>
        <v>#NAME?</v>
      </c>
      <c r="BF31" s="292" t="e">
        <f aca="false">IF($A31="N/A"," ",(IF(AO31&gt;0,($BA31*(8*(VLOOKUP($A31,NumberofDaysTable,4)+VLOOKUP($A31,NumberofDaysTable,5)))*T31),0)+IF(AW31&gt;0,($BA31*((AW31))*T31),0)))</f>
        <v>#NAME?</v>
      </c>
      <c r="BG31" s="292" t="e">
        <f aca="false">IF($A31="N/A"," ",(IF(AP31&gt;0,($BA31*(8*(VLOOKUP($A31,NumberofDaysTable,4)+VLOOKUP($A31,NumberofDaysTable,5)))*U31),0)+IF(AX31&gt;0,($BA31*((AX31))*U31),0)))</f>
        <v>#NAME?</v>
      </c>
      <c r="BH31" s="292" t="e">
        <f aca="false">IF($A31="N/A"," ",($BA31*AQ31*V31))</f>
        <v>#NAME?</v>
      </c>
      <c r="BI31" s="292" t="e">
        <f aca="false">IF($A31="N/A"," ",SUM(BB31:BH31))</f>
        <v>#NAME?</v>
      </c>
      <c r="BJ31" s="293" t="e">
        <f aca="false">IF($A31="N/A"," ",(H31*(SUM(AK31:AQ31)+SUM(AS31:AY31))*BA31))</f>
        <v>#NAME?</v>
      </c>
      <c r="BK31" s="293" t="e">
        <f aca="false">IF($A31="N/A"," ",((C31*D31)*(SUM($AK31:$AQ31)+SUM($AS31:$AY31))*$BA31))</f>
        <v>#N/A</v>
      </c>
      <c r="BL31" s="293" t="e">
        <f aca="false">IF($A31="N/A"," ",(F31*(SUM($AK31:$AQ31)+SUM($AS31:$AY31))*$BA31))</f>
        <v>#NAME?</v>
      </c>
      <c r="BM31" s="293" t="e">
        <f aca="false">IF($A31="N/A"," ",(G31*(SUM($AK31:$AQ31)+SUM($AS31:$AY31))*$BA31))</f>
        <v>#NAME?</v>
      </c>
      <c r="BN31" s="294" t="n">
        <f aca="false">IF(A31="N/A"," ",(VLOOKUP(A31,PowerVolTable,(IF('Pricing Inputs'!$AT$3=2,7,IF('Pricing Inputs'!$AT$3=1,6,8))),FALSE())))</f>
        <v>0.214840125</v>
      </c>
      <c r="BO31" s="294" t="n">
        <f aca="false">IF(A31="N/A"," ",(VLOOKUP(A31,IntraPowerVol,(IF('Pricing Inputs'!$AT$3=2,3,IF('Pricing Inputs'!$AT$3=1,2,4))),FALSE())*VLOOKUP(MONTH($A31),Inputs!$A$28:$B$39,2)))</f>
        <v>1.265</v>
      </c>
      <c r="BP31" s="295" t="n">
        <f aca="false">IF($A31="N/A"," ",(IF(DateToday&gt;$A31,$BO31,((($BN31^2)*((($A31-1)-DateToday)/((EOMONTH($A31,0)+1)-DateToday-15)))+((($BO31)^2)*((15)/((EOMONTH($A31,0)+1)-DateToday-15))))^0.5)))</f>
        <v>1.265</v>
      </c>
      <c r="BQ31" s="294" t="e">
        <f aca="false">IF($A31="N/A"," ",(VLOOKUP($A31,GasVolTable,(IF('Pricing Inputs'!$AT$3=2,6,IF('Pricing Inputs'!$AT$3=1,7,5))),FALSE())))</f>
        <v>#N/A</v>
      </c>
      <c r="BR31" s="294" t="e">
        <f aca="false">IF($A31="N/A"," ",(VLOOKUP($A31,OmicronVol,(IF('Pricing Inputs'!$AT$3=2,3,IF('Pricing Inputs'!$AT$3=1,4,2))),FALSE())))</f>
        <v>#N/A</v>
      </c>
      <c r="BS31" s="295" t="e">
        <f aca="false">IF($A31="N/A"," ",IF('Pricing Inputs'!$AN$3=1,(IF(DateToday&gt;$A31,$BR31,((($BQ31^2)*((($A31-1)-DateToday)/((EOMONTH($A31,0)+1)-DateToday-15)))+((($BR31)^2)*((15)/((EOMONTH($A31,0)+1)-DateToday-15))))^0.5)),0.0001))</f>
        <v>#N/A</v>
      </c>
      <c r="BT31" s="294" t="n">
        <f aca="false">IF($A31="N/A"," ",IF('Pricing Inputs'!$AN$3=1,(VLOOKUP($A31,CorrelationTable,2,FALSE())),0))</f>
        <v>0.9</v>
      </c>
      <c r="BU31" s="296" t="e">
        <f aca="false">IF($A31="N/A"," ",F31+G31+(D31*(VLOOKUP($A31,'Gas Curves'!$B$17:$P$310,14,FALSE()))))</f>
        <v>#N/A</v>
      </c>
      <c r="BV31" s="294" t="n">
        <f aca="false">IF($A31="N/A"," ",IF('Pricing Inputs'!$AW$3=1,0,(VLOOKUP($A31,InterestRatesTable,2))))</f>
        <v>0</v>
      </c>
      <c r="BW31" s="297" t="n">
        <f aca="false">IF($A31="N/A"," ",(1+BV31/2)^(-2*((EOMONTH(A31,0)+20)-DateToday)/365.25))</f>
        <v>1</v>
      </c>
    </row>
    <row r="32" customFormat="false" ht="12.75" hidden="false" customHeight="false" outlineLevel="0" collapsed="false">
      <c r="A32" s="272" t="n">
        <f aca="false">IF(A31="N/A","N/A",IF(EDATE(A31,1)&gt;Inputs!$K$3,"N/A",EDATE(A31,1)))</f>
        <v>37742</v>
      </c>
      <c r="B32" s="273" t="n">
        <f aca="false">IF(A32="N/A"," ",YEAR(A32))</f>
        <v>2003</v>
      </c>
      <c r="C32" s="274" t="e">
        <f aca="false">IF(A32="N/A"," ",VLOOKUP(A32,ScaledPrice,10))</f>
        <v>#N/A</v>
      </c>
      <c r="D32" s="275" t="n">
        <f aca="false">IF(A32="N/A"," ",(VLOOKUP(MONTH($A32),Inputs!$A$14:$B$25,2))/1000)</f>
        <v>10.5</v>
      </c>
      <c r="E32" s="276" t="e">
        <f aca="false">IF($A32="N/A"," ",C32*D32)</f>
        <v>#N/A</v>
      </c>
      <c r="F32" s="277" t="n">
        <f aca="false">IF(A32="N/A"," ",Inputs!$F$6)</f>
        <v>2</v>
      </c>
      <c r="G32" s="277" t="n">
        <f aca="false">IF(A32="N/A"," ",Inputs!$F$9/IF(AND('Pricing Inputs'!$AQ$3&gt;=4,'Pricing Inputs'!$AQ$3&lt;=6),16,IF(AND('Pricing Inputs'!$AQ$3&gt;=7,'Pricing Inputs'!$AQ$3&lt;=9),8,24))/(BA32/BW32))</f>
        <v>0</v>
      </c>
      <c r="H32" s="278" t="e">
        <f aca="false">IF(A32="N/A"," ",(C32*D32)+F32+G32)</f>
        <v>#N/A</v>
      </c>
      <c r="I32" s="279" t="n">
        <f aca="false">VLOOKUP(A32,ScaledPrice,(IF(AND('Pricing Inputs'!$AQ$3&gt;=1,'Pricing Inputs'!$AQ$3&lt;=6),2,4)))</f>
        <v>32.7197612935557</v>
      </c>
      <c r="J32" s="279" t="n">
        <f aca="false">IF(A32="N/A"," ",IF(AND('Pricing Inputs'!$AQ$3&gt;=1,'Pricing Inputs'!$AQ$3&lt;=6),I32,(VLOOKUP(A32,ScaledPrice,2))*(2-(VLOOKUP(A32,ScaledPrice,3)))))</f>
        <v>34.5802387064443</v>
      </c>
      <c r="K32" s="279" t="n">
        <f aca="false">IF(A32="N/A"," ",IF(OR('Pricing Inputs'!$AQ$3=2,'Pricing Inputs'!$AQ$3=3,'Pricing Inputs'!$AQ$3=5,'Pricing Inputs'!$AQ$3=6,'Pricing Inputs'!$AQ$3=8,'Pricing Inputs'!$AQ$3=9),VLOOKUP(A32,ScaledPrice,IF(AND('Pricing Inputs'!$AQ$3&gt;=2,'Pricing Inputs'!$AQ$3&lt;=6),5,6)),0))</f>
        <v>21.0344796041356</v>
      </c>
      <c r="L32" s="279" t="n">
        <f aca="false">IF(A32="N/A"," ",IF(OR('Pricing Inputs'!$AQ$3=2,'Pricing Inputs'!$AQ$3=3,'Pricing Inputs'!$AQ$3=5,'Pricing Inputs'!$AQ$3=6,'Pricing Inputs'!$AQ$3=8,'Pricing Inputs'!$AQ$3=9),IF(AND('Pricing Inputs'!$AQ$3&gt;=2,'Pricing Inputs'!$AQ$3&lt;=6),K32,(VLOOKUP(A32,ScaledPrice,5))*(2-(VLOOKUP(A32,ScaledPrice,3)))),0))</f>
        <v>22.2305205484523</v>
      </c>
      <c r="M32" s="279" t="n">
        <f aca="false">IF(A32="N/A"," ",IF(OR('Pricing Inputs'!$AQ$3=3,'Pricing Inputs'!$AQ$3=6,'Pricing Inputs'!$AQ$3=9),(VLOOKUP(A32,ScaledPrice,IF(AND('Pricing Inputs'!$AQ$3&gt;=3,'Pricing Inputs'!$AQ$3&lt;=6),7,8))),0))</f>
        <v>20.190960944182</v>
      </c>
      <c r="N32" s="279" t="n">
        <f aca="false">IF(A32="N/A"," ",IF(OR('Pricing Inputs'!$AQ$3=3,'Pricing Inputs'!$AQ$3=6,'Pricing Inputs'!$AQ$3=9),IF(AND('Pricing Inputs'!$AQ$3&gt;=3,'Pricing Inputs'!$AQ$3&lt;=6),M32,(VLOOKUP(A32,ScaledPrice,7))*(2-(VLOOKUP(A32,ScaledPrice,3)))),0))</f>
        <v>21.3390385980543</v>
      </c>
      <c r="O32" s="279" t="n">
        <f aca="false">IF(A32="N/A"," ",IF(AND('Pricing Inputs'!$AQ$3&gt;=1,'Pricing Inputs'!$AQ$3&lt;=3),VLOOKUP(A32,ScaledPrice,9),0))</f>
        <v>0</v>
      </c>
      <c r="P32" s="280" t="e">
        <f aca="false">IF($A32="N/A"," ",IF('Pricing Inputs'!$AN$8=2,(I32-H32),IF('Pricing Inputs'!$AN$3=2,IF((I32-$H32)&gt;0,I32-$H32,0),(xSPRDOPT(I32,$E32,$BU32,0,$BP32,$BS32,$BT32,($A32-Inputs!$D$1)+15,1,0)))))</f>
        <v>#NAME?</v>
      </c>
      <c r="Q32" s="280" t="e">
        <f aca="false">IF($A32="N/A"," ",IF('Pricing Inputs'!$AN$8=2,(J32-$H32),IF('Pricing Inputs'!$AN$3=2,IF((J32-$H32)&gt;0,J32-$H32,0),(xSPRDOPT(J32,$E32,$BU32,0,$BP32,$BS32,$BT32,($A32-Inputs!$D$1)+15,1,0)))))</f>
        <v>#NAME?</v>
      </c>
      <c r="R32" s="280" t="e">
        <f aca="false">IF($A32="N/A"," ",IF('Pricing Inputs'!$AN$8=2,(K32-$H32),IF('Pricing Inputs'!$AN$3=2,IF((K32-$H32)&gt;0,K32-$H32,0),(xSPRDOPT(K32,$E32,$BU32,0,$BP32,$BS32,$BT32,($A32-Inputs!$D$1)+15,1,0)))))</f>
        <v>#NAME?</v>
      </c>
      <c r="S32" s="280" t="e">
        <f aca="false">IF($A32="N/A"," ",IF('Pricing Inputs'!$AN$8=2,(L32-$H32),IF('Pricing Inputs'!$AN$3=2,IF((L32-$H32)&gt;0,L32-$H32,0),(xSPRDOPT(L32,$E32,$BU32,0,$BP32,$BS32,$BT32,($A32-Inputs!$D$1)+15,1,0)))))</f>
        <v>#NAME?</v>
      </c>
      <c r="T32" s="280" t="e">
        <f aca="false">IF($A32="N/A"," ",IF('Pricing Inputs'!$AN$8=2,(M32-$H32),IF('Pricing Inputs'!$AN$3=2,IF((M32-$H32)&gt;0,M32-$H32,0),(xSPRDOPT(M32,$E32,$BU32,0,$BP32,$BS32,$BT32,($A32-Inputs!$D$1)+15,1,0)))))</f>
        <v>#NAME?</v>
      </c>
      <c r="U32" s="280" t="e">
        <f aca="false">IF($A32="N/A"," ",IF('Pricing Inputs'!$AN$8=2,(N32-$H32),IF('Pricing Inputs'!$AN$3=2,IF((N32-$H32)&gt;0,N32-$H32,0),(xSPRDOPT(N32,$E32,$BU32,0,$BP32,$BS32,$BT32,($A32-Inputs!$D$1)+15,1,0)))))</f>
        <v>#NAME?</v>
      </c>
      <c r="V32" s="281" t="e">
        <f aca="false">IF($A32="N/A"," ",(IF('Pricing Inputs'!$AN$8=2,(O32-$H32),IF((O32-$H32)&lt;=0,0,(O32-$H32)))))</f>
        <v>#N/A</v>
      </c>
      <c r="W32" s="282" t="e">
        <f aca="false">IF($A32="N/A"," ",IF(0&lt;&gt;P32,IF('Pricing Inputs'!$AN$3=2,8*VLOOKUP($A32,NumberofDaysTable,2),(xSPRDOPT(I32,$E32,$BU32,0,$BP32,$BS32,$BT32,$A32-Inputs!$D$1,1,1))*(8*VLOOKUP($A32,NumberofDaysTable,2))),0))</f>
        <v>#NAME?</v>
      </c>
      <c r="X32" s="282" t="e">
        <f aca="false">IF($A32="N/A"," ",IF(Q32&lt;&gt;0,IF('Pricing Inputs'!$AN$3=2,8*VLOOKUP($A32,NumberofDaysTable,2),(xSPRDOPT(J32,$E32,$BU32,0,$BP32,$BS32,$BT32,$A32-Inputs!$D$1,1,1))*(8*VLOOKUP($A32,NumberofDaysTable,2))),0))</f>
        <v>#NAME?</v>
      </c>
      <c r="Y32" s="282" t="e">
        <f aca="false">IF($A32="N/A"," ",IF(R32&lt;&gt;0,IF('Pricing Inputs'!$AN$3=2,8*VLOOKUP($A32,NumberofDaysTable,3),(xSPRDOPT(K32,$E32,$BU32,0,$BP32,$BS32,$BT32,$A32-Inputs!$D$1,1,1))*(8*VLOOKUP($A32,NumberofDaysTable,3))),0))</f>
        <v>#NAME?</v>
      </c>
      <c r="Z32" s="282" t="e">
        <f aca="false">IF($A32="N/A"," ",IF(S32&lt;&gt;0,IF('Pricing Inputs'!$AN$3=2,8*VLOOKUP($A32,NumberofDaysTable,3),(xSPRDOPT(L32,$E32,$BU32,0,$BP32,$BS32,$BT32,$A32-Inputs!$D$1,1,1))*(8*VLOOKUP($A32,NumberofDaysTable,3))),0))</f>
        <v>#NAME?</v>
      </c>
      <c r="AA32" s="282" t="e">
        <f aca="false">IF($A32="N/A"," ",IF(T32&lt;&gt;0,IF('Pricing Inputs'!$AN$3=2,8*VLOOKUP($A32,NumberofDaysTable,4),(xSPRDOPT(M32,$E32,$BU32,0,$BP32,$BS32,$BT32,$A32-Inputs!$D$1,1,1))*(8*VLOOKUP($A32,NumberofDaysTable,4))),0))</f>
        <v>#NAME?</v>
      </c>
      <c r="AB32" s="282" t="e">
        <f aca="false">IF($A32="N/A"," ",IF(U32&lt;&gt;0,IF('Pricing Inputs'!$AN$3=2,8*VLOOKUP($A32,NumberofDaysTable,4),(xSPRDOPT(N32,$E32,$BU32,0,$BP32,$BS32,$BT32,$A32-Inputs!$D$1,1,1))*(8*VLOOKUP($A32,NumberofDaysTable,4))),0))</f>
        <v>#NAME?</v>
      </c>
      <c r="AC32" s="282" t="e">
        <f aca="false">IF($A32="N/A"," ",(IF(V32&lt;&gt;0,(8*VLOOKUP($A32,NumberofDaysTable,6)),0)))</f>
        <v>#N/A</v>
      </c>
      <c r="AD32" s="298" t="e">
        <f aca="false">IF($A32="N/A"," ",RANK(P32,$P$28:$V$39))</f>
        <v>#NAME?</v>
      </c>
      <c r="AE32" s="299" t="e">
        <f aca="false">IF($A32="N/A"," ",RANK(Q32,$P$28:$V$39))</f>
        <v>#NAME?</v>
      </c>
      <c r="AF32" s="299" t="e">
        <f aca="false">IF($A32="N/A"," ",RANK(R32,$P$28:$V$39))</f>
        <v>#NAME?</v>
      </c>
      <c r="AG32" s="299" t="e">
        <f aca="false">IF($A32="N/A"," ",RANK(S32,$P$28:$V$39))</f>
        <v>#NAME?</v>
      </c>
      <c r="AH32" s="299" t="e">
        <f aca="false">IF($A32="N/A"," ",RANK(T32,$P$28:$V$39))</f>
        <v>#NAME?</v>
      </c>
      <c r="AI32" s="299" t="e">
        <f aca="false">IF($A32="N/A"," ",RANK(U32,$P$28:$V$39))</f>
        <v>#NAME?</v>
      </c>
      <c r="AJ32" s="300" t="e">
        <f aca="false">IF($A32="N/A"," ",RANK(V32,$P$28:$V$39))</f>
        <v>#NAME?</v>
      </c>
      <c r="AK32" s="286" t="e">
        <f aca="false">IF($A32="N/A"," ",IF(AD32&lt;=$AJ$2,W32,0))</f>
        <v>#NAME?</v>
      </c>
      <c r="AL32" s="301" t="e">
        <f aca="false">IF($A32="N/A"," ",IF(AE32&lt;=$AJ$2,X32,0))</f>
        <v>#NAME?</v>
      </c>
      <c r="AM32" s="301" t="e">
        <f aca="false">IF($A32="N/A"," ",IF(AF32&lt;=$AJ$2,Y32,0))</f>
        <v>#NAME?</v>
      </c>
      <c r="AN32" s="301" t="e">
        <f aca="false">IF($A32="N/A"," ",IF(AG32&lt;=$AJ$2,Z32,0))</f>
        <v>#NAME?</v>
      </c>
      <c r="AO32" s="301" t="e">
        <f aca="false">IF($A32="N/A"," ",IF(AH32&lt;=$AJ$2,AA32,0))</f>
        <v>#NAME?</v>
      </c>
      <c r="AP32" s="301" t="e">
        <f aca="false">IF($A32="N/A"," ",IF(AI32&lt;=$AJ$2,AB32,0))</f>
        <v>#NAME?</v>
      </c>
      <c r="AQ32" s="301" t="e">
        <f aca="false">IF($A32="N/A"," ",IF(AJ32&lt;=$AJ$2,AC32,0))</f>
        <v>#NAME?</v>
      </c>
      <c r="AR32" s="300"/>
      <c r="AS32" s="288" t="e">
        <f aca="false">IF($A32="N/A"," ",IF(AND(AD32=$AJ$2+1,AK32=0),MIN($AR$39,W32),0))</f>
        <v>#NAME?</v>
      </c>
      <c r="AT32" s="302" t="e">
        <f aca="false">IF($A32="N/A"," ",IF(AND(AE32=$AJ$2+1,AL32=0),MIN($AR$39,X32),0))</f>
        <v>#NAME?</v>
      </c>
      <c r="AU32" s="302" t="e">
        <f aca="false">IF($A32="N/A"," ",IF(AND(AF32=$AJ$2+1,AM32=0),MIN($AR$39,Y32),0))</f>
        <v>#NAME?</v>
      </c>
      <c r="AV32" s="302" t="e">
        <f aca="false">IF($A32="N/A"," ",IF(AND(AG32=$AJ$2+1,AN32=0),MIN($AR$39,Z32),0))</f>
        <v>#NAME?</v>
      </c>
      <c r="AW32" s="302" t="e">
        <f aca="false">IF($A32="N/A"," ",IF(AND(AH32=$AJ$2+1,AO32=0),MIN($AR$39,AA32),0))</f>
        <v>#NAME?</v>
      </c>
      <c r="AX32" s="302" t="e">
        <f aca="false">IF($A32="N/A"," ",IF(AND(AI32=$AJ$2+1,AP32=0),MIN($AR$39,AB32),0))</f>
        <v>#NAME?</v>
      </c>
      <c r="AY32" s="302" t="e">
        <f aca="false">IF($A32="N/A"," ",IF(AND(AJ32=$AJ$2+1,AQ32=0),MIN($AR$39,AC32),0))</f>
        <v>#NAME?</v>
      </c>
      <c r="AZ32" s="300"/>
      <c r="BA32" s="291" t="n">
        <f aca="false">IF($A32="N/A"," ",(IF(MONTH(A32)&gt;=4,IF(MONTH(A32)&lt;=10,Inputs!$F$13,Inputs!$F$14),Inputs!$F$14))*$BW32)</f>
        <v>180</v>
      </c>
      <c r="BB32" s="292" t="e">
        <f aca="false">IF($A32="N/A"," ",(IF(AK32&gt;0,($BA32*(8*(VLOOKUP($A32,NumberofDaysTable,2)))*P32),0)+IF(AS32&gt;0,($BA32*((AS32))*P32),0)))</f>
        <v>#NAME?</v>
      </c>
      <c r="BC32" s="292" t="e">
        <f aca="false">IF($A32="N/A"," ",(IF(AL32&gt;0,($BA32*(8*(VLOOKUP($A32,NumberofDaysTable,2)))*Q32),0)+IF(AT32&gt;0,($BA32*((AT32))*Q32),0)))</f>
        <v>#NAME?</v>
      </c>
      <c r="BD32" s="292" t="e">
        <f aca="false">IF($A32="N/A"," ",(IF(AM32&gt;0,($BA32*(8*(VLOOKUP($A32,NumberofDaysTable,3)))*R32),0)+IF(AU32&gt;0,($BA32*((AU32))*R32),0)))</f>
        <v>#NAME?</v>
      </c>
      <c r="BE32" s="292" t="e">
        <f aca="false">IF($A32="N/A"," ",(IF(AN32&gt;0,($BA32*(8*(VLOOKUP($A32,NumberofDaysTable,3)))*S32),0)+IF(AV32&gt;0,($BA32*((AV32))*S32),0)))</f>
        <v>#NAME?</v>
      </c>
      <c r="BF32" s="292" t="e">
        <f aca="false">IF($A32="N/A"," ",(IF(AO32&gt;0,($BA32*(8*(VLOOKUP($A32,NumberofDaysTable,4)+VLOOKUP($A32,NumberofDaysTable,5)))*T32),0)+IF(AW32&gt;0,($BA32*((AW32))*T32),0)))</f>
        <v>#NAME?</v>
      </c>
      <c r="BG32" s="292" t="e">
        <f aca="false">IF($A32="N/A"," ",(IF(AP32&gt;0,($BA32*(8*(VLOOKUP($A32,NumberofDaysTable,4)+VLOOKUP($A32,NumberofDaysTable,5)))*U32),0)+IF(AX32&gt;0,($BA32*((AX32))*U32),0)))</f>
        <v>#NAME?</v>
      </c>
      <c r="BH32" s="292" t="e">
        <f aca="false">IF($A32="N/A"," ",($BA32*AQ32*V32))</f>
        <v>#NAME?</v>
      </c>
      <c r="BI32" s="292" t="e">
        <f aca="false">IF($A32="N/A"," ",SUM(BB32:BH32))</f>
        <v>#NAME?</v>
      </c>
      <c r="BJ32" s="293" t="e">
        <f aca="false">IF($A32="N/A"," ",(H32*(SUM(AK32:AQ32)+SUM(AS32:AY32))*BA32))</f>
        <v>#NAME?</v>
      </c>
      <c r="BK32" s="293" t="e">
        <f aca="false">IF($A32="N/A"," ",((C32*D32)*(SUM($AK32:$AQ32)+SUM($AS32:$AY32))*$BA32))</f>
        <v>#N/A</v>
      </c>
      <c r="BL32" s="293" t="e">
        <f aca="false">IF($A32="N/A"," ",(F32*(SUM($AK32:$AQ32)+SUM($AS32:$AY32))*$BA32))</f>
        <v>#NAME?</v>
      </c>
      <c r="BM32" s="293" t="e">
        <f aca="false">IF($A32="N/A"," ",(G32*(SUM($AK32:$AQ32)+SUM($AS32:$AY32))*$BA32))</f>
        <v>#NAME?</v>
      </c>
      <c r="BN32" s="294" t="n">
        <f aca="false">IF(A32="N/A"," ",(VLOOKUP(A32,PowerVolTable,(IF('Pricing Inputs'!$AT$3=2,7,IF('Pricing Inputs'!$AT$3=1,6,8))),FALSE())))</f>
        <v>0.247330125</v>
      </c>
      <c r="BO32" s="294" t="n">
        <f aca="false">IF(A32="N/A"," ",(VLOOKUP(A32,IntraPowerVol,(IF('Pricing Inputs'!$AT$3=2,3,IF('Pricing Inputs'!$AT$3=1,2,4))),FALSE())*VLOOKUP(MONTH($A32),Inputs!$A$28:$B$39,2)))</f>
        <v>1.265</v>
      </c>
      <c r="BP32" s="295" t="n">
        <f aca="false">IF($A32="N/A"," ",(IF(DateToday&gt;$A32,$BO32,((($BN32^2)*((($A32-1)-DateToday)/((EOMONTH($A32,0)+1)-DateToday-15)))+((($BO32)^2)*((15)/((EOMONTH($A32,0)+1)-DateToday-15))))^0.5)))</f>
        <v>1.265</v>
      </c>
      <c r="BQ32" s="294" t="e">
        <f aca="false">IF($A32="N/A"," ",(VLOOKUP($A32,GasVolTable,(IF('Pricing Inputs'!$AT$3=2,6,IF('Pricing Inputs'!$AT$3=1,7,5))),FALSE())))</f>
        <v>#N/A</v>
      </c>
      <c r="BR32" s="294" t="e">
        <f aca="false">IF($A32="N/A"," ",(VLOOKUP($A32,OmicronVol,(IF('Pricing Inputs'!$AT$3=2,3,IF('Pricing Inputs'!$AT$3=1,4,2))),FALSE())))</f>
        <v>#N/A</v>
      </c>
      <c r="BS32" s="295" t="e">
        <f aca="false">IF($A32="N/A"," ",IF('Pricing Inputs'!$AN$3=1,(IF(DateToday&gt;$A32,$BR32,((($BQ32^2)*((($A32-1)-DateToday)/((EOMONTH($A32,0)+1)-DateToday-15)))+((($BR32)^2)*((15)/((EOMONTH($A32,0)+1)-DateToday-15))))^0.5)),0.0001))</f>
        <v>#N/A</v>
      </c>
      <c r="BT32" s="294" t="n">
        <f aca="false">IF($A32="N/A"," ",IF('Pricing Inputs'!$AN$3=1,(VLOOKUP($A32,CorrelationTable,2,FALSE())),0))</f>
        <v>0.9</v>
      </c>
      <c r="BU32" s="296" t="e">
        <f aca="false">IF($A32="N/A"," ",F32+G32+(D32*(VLOOKUP($A32,'Gas Curves'!$B$17:$P$310,14,FALSE()))))</f>
        <v>#N/A</v>
      </c>
      <c r="BV32" s="294" t="n">
        <f aca="false">IF($A32="N/A"," ",IF('Pricing Inputs'!$AW$3=1,0,(VLOOKUP($A32,InterestRatesTable,2))))</f>
        <v>0</v>
      </c>
      <c r="BW32" s="297" t="n">
        <f aca="false">IF($A32="N/A"," ",(1+BV32/2)^(-2*((EOMONTH(A32,0)+20)-DateToday)/365.25))</f>
        <v>1</v>
      </c>
    </row>
    <row r="33" customFormat="false" ht="12.75" hidden="false" customHeight="false" outlineLevel="0" collapsed="false">
      <c r="A33" s="272" t="n">
        <f aca="false">IF(A32="N/A","N/A",IF(EDATE(A32,1)&gt;Inputs!$K$3,"N/A",EDATE(A32,1)))</f>
        <v>37773</v>
      </c>
      <c r="B33" s="273" t="n">
        <f aca="false">IF(A33="N/A"," ",YEAR(A33))</f>
        <v>2003</v>
      </c>
      <c r="C33" s="274" t="e">
        <f aca="false">IF(A33="N/A"," ",VLOOKUP(A33,ScaledPrice,10))</f>
        <v>#N/A</v>
      </c>
      <c r="D33" s="275" t="n">
        <f aca="false">IF(A33="N/A"," ",(VLOOKUP(MONTH($A33),Inputs!$A$14:$B$25,2))/1000)</f>
        <v>10.5</v>
      </c>
      <c r="E33" s="276" t="e">
        <f aca="false">IF($A33="N/A"," ",C33*D33)</f>
        <v>#N/A</v>
      </c>
      <c r="F33" s="277" t="n">
        <f aca="false">IF(A33="N/A"," ",Inputs!$F$6)</f>
        <v>2</v>
      </c>
      <c r="G33" s="277" t="n">
        <f aca="false">IF(A33="N/A"," ",Inputs!$F$9/IF(AND('Pricing Inputs'!$AQ$3&gt;=4,'Pricing Inputs'!$AQ$3&lt;=6),16,IF(AND('Pricing Inputs'!$AQ$3&gt;=7,'Pricing Inputs'!$AQ$3&lt;=9),8,24))/(BA33/BW33))</f>
        <v>0</v>
      </c>
      <c r="H33" s="278" t="e">
        <f aca="false">IF(A33="N/A"," ",(C33*D33)+F33+G33)</f>
        <v>#N/A</v>
      </c>
      <c r="I33" s="279" t="n">
        <f aca="false">VLOOKUP(A33,ScaledPrice,(IF(AND('Pricing Inputs'!$AQ$3&gt;=1,'Pricing Inputs'!$AQ$3&lt;=6),2,4)))</f>
        <v>55.874344671392</v>
      </c>
      <c r="J33" s="279" t="n">
        <f aca="false">IF(A33="N/A"," ",IF(AND('Pricing Inputs'!$AQ$3&gt;=1,'Pricing Inputs'!$AQ$3&lt;=6),I33,(VLOOKUP(A33,ScaledPrice,2))*(2-(VLOOKUP(A33,ScaledPrice,3)))))</f>
        <v>42.125655328608</v>
      </c>
      <c r="K33" s="279" t="n">
        <f aca="false">IF(A33="N/A"," ",IF(OR('Pricing Inputs'!$AQ$3=2,'Pricing Inputs'!$AQ$3=3,'Pricing Inputs'!$AQ$3=5,'Pricing Inputs'!$AQ$3=6,'Pricing Inputs'!$AQ$3=8,'Pricing Inputs'!$AQ$3=9),VLOOKUP(A33,ScaledPrice,IF(AND('Pricing Inputs'!$AQ$3&gt;=2,'Pricing Inputs'!$AQ$3&lt;=6),5,6)),0))</f>
        <v>29.7146038312528</v>
      </c>
      <c r="L33" s="279" t="n">
        <f aca="false">IF(A33="N/A"," ",IF(OR('Pricing Inputs'!$AQ$3=2,'Pricing Inputs'!$AQ$3=3,'Pricing Inputs'!$AQ$3=5,'Pricing Inputs'!$AQ$3=6,'Pricing Inputs'!$AQ$3=8,'Pricing Inputs'!$AQ$3=9),IF(AND('Pricing Inputs'!$AQ$3&gt;=2,'Pricing Inputs'!$AQ$3&lt;=6),K33,(VLOOKUP(A33,ScaledPrice,5))*(2-(VLOOKUP(A33,ScaledPrice,3)))),0))</f>
        <v>22.402896473923</v>
      </c>
      <c r="M33" s="279" t="n">
        <f aca="false">IF(A33="N/A"," ",IF(OR('Pricing Inputs'!$AQ$3=3,'Pricing Inputs'!$AQ$3=6,'Pricing Inputs'!$AQ$3=9),(VLOOKUP(A33,ScaledPrice,IF(AND('Pricing Inputs'!$AQ$3&gt;=3,'Pricing Inputs'!$AQ$3&lt;=6),7,8))),0))</f>
        <v>22.2841705135395</v>
      </c>
      <c r="N33" s="279" t="n">
        <f aca="false">IF(A33="N/A"," ",IF(OR('Pricing Inputs'!$AQ$3=3,'Pricing Inputs'!$AQ$3=6,'Pricing Inputs'!$AQ$3=9),IF(AND('Pricing Inputs'!$AQ$3&gt;=3,'Pricing Inputs'!$AQ$3&lt;=6),M33,(VLOOKUP(A33,ScaledPrice,7))*(2-(VLOOKUP(A33,ScaledPrice,3)))),0))</f>
        <v>16.8008285709332</v>
      </c>
      <c r="O33" s="279" t="n">
        <f aca="false">IF(A33="N/A"," ",IF(AND('Pricing Inputs'!$AQ$3&gt;=1,'Pricing Inputs'!$AQ$3&lt;=3),VLOOKUP(A33,ScaledPrice,9),0))</f>
        <v>0</v>
      </c>
      <c r="P33" s="280" t="e">
        <f aca="false">IF($A33="N/A"," ",IF('Pricing Inputs'!$AN$8=2,(I33-H33),IF('Pricing Inputs'!$AN$3=2,IF((I33-$H33)&gt;0,I33-$H33,0),(xSPRDOPT(I33,$E33,$BU33,0,$BP33,$BS33,$BT33,($A33-Inputs!$D$1)+15,1,0)))))</f>
        <v>#NAME?</v>
      </c>
      <c r="Q33" s="280" t="e">
        <f aca="false">IF($A33="N/A"," ",IF('Pricing Inputs'!$AN$8=2,(J33-$H33),IF('Pricing Inputs'!$AN$3=2,IF((J33-$H33)&gt;0,J33-$H33,0),(xSPRDOPT(J33,$E33,$BU33,0,$BP33,$BS33,$BT33,($A33-Inputs!$D$1)+15,1,0)))))</f>
        <v>#NAME?</v>
      </c>
      <c r="R33" s="280" t="e">
        <f aca="false">IF($A33="N/A"," ",IF('Pricing Inputs'!$AN$8=2,(K33-$H33),IF('Pricing Inputs'!$AN$3=2,IF((K33-$H33)&gt;0,K33-$H33,0),(xSPRDOPT(K33,$E33,$BU33,0,$BP33,$BS33,$BT33,($A33-Inputs!$D$1)+15,1,0)))))</f>
        <v>#NAME?</v>
      </c>
      <c r="S33" s="280" t="e">
        <f aca="false">IF($A33="N/A"," ",IF('Pricing Inputs'!$AN$8=2,(L33-$H33),IF('Pricing Inputs'!$AN$3=2,IF((L33-$H33)&gt;0,L33-$H33,0),(xSPRDOPT(L33,$E33,$BU33,0,$BP33,$BS33,$BT33,($A33-Inputs!$D$1)+15,1,0)))))</f>
        <v>#NAME?</v>
      </c>
      <c r="T33" s="280" t="e">
        <f aca="false">IF($A33="N/A"," ",IF('Pricing Inputs'!$AN$8=2,(M33-$H33),IF('Pricing Inputs'!$AN$3=2,IF((M33-$H33)&gt;0,M33-$H33,0),(xSPRDOPT(M33,$E33,$BU33,0,$BP33,$BS33,$BT33,($A33-Inputs!$D$1)+15,1,0)))))</f>
        <v>#NAME?</v>
      </c>
      <c r="U33" s="280" t="e">
        <f aca="false">IF($A33="N/A"," ",IF('Pricing Inputs'!$AN$8=2,(N33-$H33),IF('Pricing Inputs'!$AN$3=2,IF((N33-$H33)&gt;0,N33-$H33,0),(xSPRDOPT(N33,$E33,$BU33,0,$BP33,$BS33,$BT33,($A33-Inputs!$D$1)+15,1,0)))))</f>
        <v>#NAME?</v>
      </c>
      <c r="V33" s="281" t="e">
        <f aca="false">IF($A33="N/A"," ",(IF('Pricing Inputs'!$AN$8=2,(O33-$H33),IF((O33-$H33)&lt;=0,0,(O33-$H33)))))</f>
        <v>#N/A</v>
      </c>
      <c r="W33" s="282" t="e">
        <f aca="false">IF($A33="N/A"," ",IF(0&lt;&gt;P33,IF('Pricing Inputs'!$AN$3=2,8*VLOOKUP($A33,NumberofDaysTable,2),(xSPRDOPT(I33,$E33,$BU33,0,$BP33,$BS33,$BT33,$A33-Inputs!$D$1,1,1))*(8*VLOOKUP($A33,NumberofDaysTable,2))),0))</f>
        <v>#NAME?</v>
      </c>
      <c r="X33" s="282" t="e">
        <f aca="false">IF($A33="N/A"," ",IF(Q33&lt;&gt;0,IF('Pricing Inputs'!$AN$3=2,8*VLOOKUP($A33,NumberofDaysTable,2),(xSPRDOPT(J33,$E33,$BU33,0,$BP33,$BS33,$BT33,$A33-Inputs!$D$1,1,1))*(8*VLOOKUP($A33,NumberofDaysTable,2))),0))</f>
        <v>#NAME?</v>
      </c>
      <c r="Y33" s="282" t="e">
        <f aca="false">IF($A33="N/A"," ",IF(R33&lt;&gt;0,IF('Pricing Inputs'!$AN$3=2,8*VLOOKUP($A33,NumberofDaysTable,3),(xSPRDOPT(K33,$E33,$BU33,0,$BP33,$BS33,$BT33,$A33-Inputs!$D$1,1,1))*(8*VLOOKUP($A33,NumberofDaysTable,3))),0))</f>
        <v>#NAME?</v>
      </c>
      <c r="Z33" s="282" t="e">
        <f aca="false">IF($A33="N/A"," ",IF(S33&lt;&gt;0,IF('Pricing Inputs'!$AN$3=2,8*VLOOKUP($A33,NumberofDaysTable,3),(xSPRDOPT(L33,$E33,$BU33,0,$BP33,$BS33,$BT33,$A33-Inputs!$D$1,1,1))*(8*VLOOKUP($A33,NumberofDaysTable,3))),0))</f>
        <v>#NAME?</v>
      </c>
      <c r="AA33" s="282" t="e">
        <f aca="false">IF($A33="N/A"," ",IF(T33&lt;&gt;0,IF('Pricing Inputs'!$AN$3=2,8*VLOOKUP($A33,NumberofDaysTable,4),(xSPRDOPT(M33,$E33,$BU33,0,$BP33,$BS33,$BT33,$A33-Inputs!$D$1,1,1))*(8*VLOOKUP($A33,NumberofDaysTable,4))),0))</f>
        <v>#NAME?</v>
      </c>
      <c r="AB33" s="282" t="e">
        <f aca="false">IF($A33="N/A"," ",IF(U33&lt;&gt;0,IF('Pricing Inputs'!$AN$3=2,8*VLOOKUP($A33,NumberofDaysTable,4),(xSPRDOPT(N33,$E33,$BU33,0,$BP33,$BS33,$BT33,$A33-Inputs!$D$1,1,1))*(8*VLOOKUP($A33,NumberofDaysTable,4))),0))</f>
        <v>#NAME?</v>
      </c>
      <c r="AC33" s="282" t="e">
        <f aca="false">IF($A33="N/A"," ",(IF(V33&lt;&gt;0,(8*VLOOKUP($A33,NumberofDaysTable,6)),0)))</f>
        <v>#N/A</v>
      </c>
      <c r="AD33" s="298" t="e">
        <f aca="false">IF($A33="N/A"," ",RANK(P33,$P$28:$V$39))</f>
        <v>#NAME?</v>
      </c>
      <c r="AE33" s="299" t="e">
        <f aca="false">IF($A33="N/A"," ",RANK(Q33,$P$28:$V$39))</f>
        <v>#NAME?</v>
      </c>
      <c r="AF33" s="299" t="e">
        <f aca="false">IF($A33="N/A"," ",RANK(R33,$P$28:$V$39))</f>
        <v>#NAME?</v>
      </c>
      <c r="AG33" s="299" t="e">
        <f aca="false">IF($A33="N/A"," ",RANK(S33,$P$28:$V$39))</f>
        <v>#NAME?</v>
      </c>
      <c r="AH33" s="299" t="e">
        <f aca="false">IF($A33="N/A"," ",RANK(T33,$P$28:$V$39))</f>
        <v>#NAME?</v>
      </c>
      <c r="AI33" s="299" t="e">
        <f aca="false">IF($A33="N/A"," ",RANK(U33,$P$28:$V$39))</f>
        <v>#NAME?</v>
      </c>
      <c r="AJ33" s="300" t="e">
        <f aca="false">IF($A33="N/A"," ",RANK(V33,$P$28:$V$39))</f>
        <v>#NAME?</v>
      </c>
      <c r="AK33" s="286" t="e">
        <f aca="false">IF($A33="N/A"," ",IF(AD33&lt;=$AJ$2,W33,0))</f>
        <v>#NAME?</v>
      </c>
      <c r="AL33" s="301" t="e">
        <f aca="false">IF($A33="N/A"," ",IF(AE33&lt;=$AJ$2,X33,0))</f>
        <v>#NAME?</v>
      </c>
      <c r="AM33" s="301" t="e">
        <f aca="false">IF($A33="N/A"," ",IF(AF33&lt;=$AJ$2,Y33,0))</f>
        <v>#NAME?</v>
      </c>
      <c r="AN33" s="301" t="e">
        <f aca="false">IF($A33="N/A"," ",IF(AG33&lt;=$AJ$2,Z33,0))</f>
        <v>#NAME?</v>
      </c>
      <c r="AO33" s="301" t="e">
        <f aca="false">IF($A33="N/A"," ",IF(AH33&lt;=$AJ$2,AA33,0))</f>
        <v>#NAME?</v>
      </c>
      <c r="AP33" s="301" t="e">
        <f aca="false">IF($A33="N/A"," ",IF(AI33&lt;=$AJ$2,AB33,0))</f>
        <v>#NAME?</v>
      </c>
      <c r="AQ33" s="301" t="e">
        <f aca="false">IF($A33="N/A"," ",IF(AJ33&lt;=$AJ$2,AC33,0))</f>
        <v>#NAME?</v>
      </c>
      <c r="AR33" s="300"/>
      <c r="AS33" s="288" t="e">
        <f aca="false">IF($A33="N/A"," ",IF(AND(AD33=$AJ$2+1,AK33=0),MIN($AR$39,W33),0))</f>
        <v>#NAME?</v>
      </c>
      <c r="AT33" s="302" t="e">
        <f aca="false">IF($A33="N/A"," ",IF(AND(AE33=$AJ$2+1,AL33=0),MIN($AR$39,X33),0))</f>
        <v>#NAME?</v>
      </c>
      <c r="AU33" s="302" t="e">
        <f aca="false">IF($A33="N/A"," ",IF(AND(AF33=$AJ$2+1,AM33=0),MIN($AR$39,Y33),0))</f>
        <v>#NAME?</v>
      </c>
      <c r="AV33" s="302" t="e">
        <f aca="false">IF($A33="N/A"," ",IF(AND(AG33=$AJ$2+1,AN33=0),MIN($AR$39,Z33),0))</f>
        <v>#NAME?</v>
      </c>
      <c r="AW33" s="302" t="e">
        <f aca="false">IF($A33="N/A"," ",IF(AND(AH33=$AJ$2+1,AO33=0),MIN($AR$39,AA33),0))</f>
        <v>#NAME?</v>
      </c>
      <c r="AX33" s="302" t="e">
        <f aca="false">IF($A33="N/A"," ",IF(AND(AI33=$AJ$2+1,AP33=0),MIN($AR$39,AB33),0))</f>
        <v>#NAME?</v>
      </c>
      <c r="AY33" s="302" t="e">
        <f aca="false">IF($A33="N/A"," ",IF(AND(AJ33=$AJ$2+1,AQ33=0),MIN($AR$39,AC33),0))</f>
        <v>#NAME?</v>
      </c>
      <c r="AZ33" s="300"/>
      <c r="BA33" s="291" t="n">
        <f aca="false">IF($A33="N/A"," ",(IF(MONTH(A33)&gt;=4,IF(MONTH(A33)&lt;=10,Inputs!$F$13,Inputs!$F$14),Inputs!$F$14))*$BW33)</f>
        <v>180</v>
      </c>
      <c r="BB33" s="292" t="e">
        <f aca="false">IF($A33="N/A"," ",(IF(AK33&gt;0,($BA33*(8*(VLOOKUP($A33,NumberofDaysTable,2)))*P33),0)+IF(AS33&gt;0,($BA33*((AS33))*P33),0)))</f>
        <v>#NAME?</v>
      </c>
      <c r="BC33" s="292" t="e">
        <f aca="false">IF($A33="N/A"," ",(IF(AL33&gt;0,($BA33*(8*(VLOOKUP($A33,NumberofDaysTable,2)))*Q33),0)+IF(AT33&gt;0,($BA33*((AT33))*Q33),0)))</f>
        <v>#NAME?</v>
      </c>
      <c r="BD33" s="292" t="e">
        <f aca="false">IF($A33="N/A"," ",(IF(AM33&gt;0,($BA33*(8*(VLOOKUP($A33,NumberofDaysTable,3)))*R33),0)+IF(AU33&gt;0,($BA33*((AU33))*R33),0)))</f>
        <v>#NAME?</v>
      </c>
      <c r="BE33" s="292" t="e">
        <f aca="false">IF($A33="N/A"," ",(IF(AN33&gt;0,($BA33*(8*(VLOOKUP($A33,NumberofDaysTable,3)))*S33),0)+IF(AV33&gt;0,($BA33*((AV33))*S33),0)))</f>
        <v>#NAME?</v>
      </c>
      <c r="BF33" s="292" t="e">
        <f aca="false">IF($A33="N/A"," ",(IF(AO33&gt;0,($BA33*(8*(VLOOKUP($A33,NumberofDaysTable,4)+VLOOKUP($A33,NumberofDaysTable,5)))*T33),0)+IF(AW33&gt;0,($BA33*((AW33))*T33),0)))</f>
        <v>#NAME?</v>
      </c>
      <c r="BG33" s="292" t="e">
        <f aca="false">IF($A33="N/A"," ",(IF(AP33&gt;0,($BA33*(8*(VLOOKUP($A33,NumberofDaysTable,4)+VLOOKUP($A33,NumberofDaysTable,5)))*U33),0)+IF(AX33&gt;0,($BA33*((AX33))*U33),0)))</f>
        <v>#NAME?</v>
      </c>
      <c r="BH33" s="292" t="e">
        <f aca="false">IF($A33="N/A"," ",($BA33*AQ33*V33))</f>
        <v>#NAME?</v>
      </c>
      <c r="BI33" s="292" t="e">
        <f aca="false">IF($A33="N/A"," ",SUM(BB33:BH33))</f>
        <v>#NAME?</v>
      </c>
      <c r="BJ33" s="293" t="e">
        <f aca="false">IF($A33="N/A"," ",(H33*(SUM(AK33:AQ33)+SUM(AS33:AY33))*BA33))</f>
        <v>#NAME?</v>
      </c>
      <c r="BK33" s="293" t="e">
        <f aca="false">IF($A33="N/A"," ",((C33*D33)*(SUM($AK33:$AQ33)+SUM($AS33:$AY33))*$BA33))</f>
        <v>#N/A</v>
      </c>
      <c r="BL33" s="293" t="e">
        <f aca="false">IF($A33="N/A"," ",(F33*(SUM($AK33:$AQ33)+SUM($AS33:$AY33))*$BA33))</f>
        <v>#NAME?</v>
      </c>
      <c r="BM33" s="293" t="e">
        <f aca="false">IF($A33="N/A"," ",(G33*(SUM($AK33:$AQ33)+SUM($AS33:$AY33))*$BA33))</f>
        <v>#NAME?</v>
      </c>
      <c r="BN33" s="294" t="n">
        <f aca="false">IF(A33="N/A"," ",(VLOOKUP(A33,PowerVolTable,(IF('Pricing Inputs'!$AT$3=2,7,IF('Pricing Inputs'!$AT$3=1,6,8))),FALSE())))</f>
        <v>0.3100764375</v>
      </c>
      <c r="BO33" s="294" t="n">
        <f aca="false">IF(A33="N/A"," ",(VLOOKUP(A33,IntraPowerVol,(IF('Pricing Inputs'!$AT$3=2,3,IF('Pricing Inputs'!$AT$3=1,2,4))),FALSE())*VLOOKUP(MONTH($A33),Inputs!$A$28:$B$39,2)))</f>
        <v>2.3</v>
      </c>
      <c r="BP33" s="295" t="n">
        <f aca="false">IF($A33="N/A"," ",(IF(DateToday&gt;$A33,$BO33,((($BN33^2)*((($A33-1)-DateToday)/((EOMONTH($A33,0)+1)-DateToday-15)))+((($BO33)^2)*((15)/((EOMONTH($A33,0)+1)-DateToday-15))))^0.5)))</f>
        <v>2.3</v>
      </c>
      <c r="BQ33" s="294" t="e">
        <f aca="false">IF($A33="N/A"," ",(VLOOKUP($A33,GasVolTable,(IF('Pricing Inputs'!$AT$3=2,6,IF('Pricing Inputs'!$AT$3=1,7,5))),FALSE())))</f>
        <v>#N/A</v>
      </c>
      <c r="BR33" s="294" t="e">
        <f aca="false">IF($A33="N/A"," ",(VLOOKUP($A33,OmicronVol,(IF('Pricing Inputs'!$AT$3=2,3,IF('Pricing Inputs'!$AT$3=1,4,2))),FALSE())))</f>
        <v>#N/A</v>
      </c>
      <c r="BS33" s="295" t="e">
        <f aca="false">IF($A33="N/A"," ",IF('Pricing Inputs'!$AN$3=1,(IF(DateToday&gt;$A33,$BR33,((($BQ33^2)*((($A33-1)-DateToday)/((EOMONTH($A33,0)+1)-DateToday-15)))+((($BR33)^2)*((15)/((EOMONTH($A33,0)+1)-DateToday-15))))^0.5)),0.0001))</f>
        <v>#N/A</v>
      </c>
      <c r="BT33" s="294" t="n">
        <f aca="false">IF($A33="N/A"," ",IF('Pricing Inputs'!$AN$3=1,(VLOOKUP($A33,CorrelationTable,2,FALSE())),0))</f>
        <v>0.9</v>
      </c>
      <c r="BU33" s="296" t="e">
        <f aca="false">IF($A33="N/A"," ",F33+G33+(D33*(VLOOKUP($A33,'Gas Curves'!$B$17:$P$310,14,FALSE()))))</f>
        <v>#N/A</v>
      </c>
      <c r="BV33" s="294" t="n">
        <f aca="false">IF($A33="N/A"," ",IF('Pricing Inputs'!$AW$3=1,0,(VLOOKUP($A33,InterestRatesTable,2))))</f>
        <v>0</v>
      </c>
      <c r="BW33" s="297" t="n">
        <f aca="false">IF($A33="N/A"," ",(1+BV33/2)^(-2*((EOMONTH(A33,0)+20)-DateToday)/365.25))</f>
        <v>1</v>
      </c>
    </row>
    <row r="34" customFormat="false" ht="12.75" hidden="false" customHeight="false" outlineLevel="0" collapsed="false">
      <c r="A34" s="272" t="n">
        <f aca="false">IF(A33="N/A","N/A",IF(EDATE(A33,1)&gt;Inputs!$K$3,"N/A",EDATE(A33,1)))</f>
        <v>37803</v>
      </c>
      <c r="B34" s="273" t="n">
        <f aca="false">IF(A34="N/A"," ",YEAR(A34))</f>
        <v>2003</v>
      </c>
      <c r="C34" s="274" t="e">
        <f aca="false">IF(A34="N/A"," ",VLOOKUP(A34,ScaledPrice,10))</f>
        <v>#N/A</v>
      </c>
      <c r="D34" s="275" t="n">
        <f aca="false">IF(A34="N/A"," ",(VLOOKUP(MONTH($A34),Inputs!$A$14:$B$25,2))/1000)</f>
        <v>10.5</v>
      </c>
      <c r="E34" s="276" t="e">
        <f aca="false">IF($A34="N/A"," ",C34*D34)</f>
        <v>#N/A</v>
      </c>
      <c r="F34" s="277" t="n">
        <f aca="false">IF(A34="N/A"," ",Inputs!$F$6)</f>
        <v>2</v>
      </c>
      <c r="G34" s="277" t="n">
        <f aca="false">IF(A34="N/A"," ",Inputs!$F$9/IF(AND('Pricing Inputs'!$AQ$3&gt;=4,'Pricing Inputs'!$AQ$3&lt;=6),16,IF(AND('Pricing Inputs'!$AQ$3&gt;=7,'Pricing Inputs'!$AQ$3&lt;=9),8,24))/(BA34/BW34))</f>
        <v>0</v>
      </c>
      <c r="H34" s="278" t="e">
        <f aca="false">IF(A34="N/A"," ",(C34*D34)+F34+G34)</f>
        <v>#N/A</v>
      </c>
      <c r="I34" s="279" t="n">
        <f aca="false">VLOOKUP(A34,ScaledPrice,(IF(AND('Pricing Inputs'!$AQ$3&gt;=1,'Pricing Inputs'!$AQ$3&lt;=6),2,4)))</f>
        <v>84.0123764767387</v>
      </c>
      <c r="J34" s="279" t="n">
        <f aca="false">IF(A34="N/A"," ",IF(AND('Pricing Inputs'!$AQ$3&gt;=1,'Pricing Inputs'!$AQ$3&lt;=6),I34,(VLOOKUP(A34,ScaledPrice,2))*(2-(VLOOKUP(A34,ScaledPrice,3)))))</f>
        <v>56.9876235232614</v>
      </c>
      <c r="K34" s="279" t="n">
        <f aca="false">IF(A34="N/A"," ",IF(OR('Pricing Inputs'!$AQ$3=2,'Pricing Inputs'!$AQ$3=3,'Pricing Inputs'!$AQ$3=5,'Pricing Inputs'!$AQ$3=6,'Pricing Inputs'!$AQ$3=8,'Pricing Inputs'!$AQ$3=9),VLOOKUP(A34,ScaledPrice,IF(AND('Pricing Inputs'!$AQ$3&gt;=2,'Pricing Inputs'!$AQ$3&lt;=6),5,6)),0))</f>
        <v>46.7862535814119</v>
      </c>
      <c r="L34" s="279" t="n">
        <f aca="false">IF(A34="N/A"," ",IF(OR('Pricing Inputs'!$AQ$3=2,'Pricing Inputs'!$AQ$3=3,'Pricing Inputs'!$AQ$3=5,'Pricing Inputs'!$AQ$3=6,'Pricing Inputs'!$AQ$3=8,'Pricing Inputs'!$AQ$3=9),IF(AND('Pricing Inputs'!$AQ$3&gt;=2,'Pricing Inputs'!$AQ$3&lt;=6),K34,(VLOOKUP(A34,ScaledPrice,5))*(2-(VLOOKUP(A34,ScaledPrice,3)))),0))</f>
        <v>31.7362455030607</v>
      </c>
      <c r="M34" s="279" t="n">
        <f aca="false">IF(A34="N/A"," ",IF(OR('Pricing Inputs'!$AQ$3=3,'Pricing Inputs'!$AQ$3=6,'Pricing Inputs'!$AQ$3=9),(VLOOKUP(A34,ScaledPrice,IF(AND('Pricing Inputs'!$AQ$3&gt;=3,'Pricing Inputs'!$AQ$3&lt;=6),7,8))),0))</f>
        <v>34.2573864950014</v>
      </c>
      <c r="N34" s="279" t="n">
        <f aca="false">IF(A34="N/A"," ",IF(OR('Pricing Inputs'!$AQ$3=3,'Pricing Inputs'!$AQ$3=6,'Pricing Inputs'!$AQ$3=9),IF(AND('Pricing Inputs'!$AQ$3&gt;=3,'Pricing Inputs'!$AQ$3&lt;=6),M34,(VLOOKUP(A34,ScaledPrice,7))*(2-(VLOOKUP(A34,ScaledPrice,3)))),0))</f>
        <v>23.2376124368834</v>
      </c>
      <c r="O34" s="279" t="n">
        <f aca="false">IF(A34="N/A"," ",IF(AND('Pricing Inputs'!$AQ$3&gt;=1,'Pricing Inputs'!$AQ$3&lt;=3),VLOOKUP(A34,ScaledPrice,9),0))</f>
        <v>0</v>
      </c>
      <c r="P34" s="280" t="e">
        <f aca="false">IF($A34="N/A"," ",IF('Pricing Inputs'!$AN$8=2,(I34-H34),IF('Pricing Inputs'!$AN$3=2,IF((I34-$H34)&gt;0,I34-$H34,0),(xSPRDOPT(I34,$E34,$BU34,0,$BP34,$BS34,$BT34,($A34-Inputs!$D$1)+15,1,0)))))</f>
        <v>#NAME?</v>
      </c>
      <c r="Q34" s="280" t="e">
        <f aca="false">IF($A34="N/A"," ",IF('Pricing Inputs'!$AN$8=2,(J34-$H34),IF('Pricing Inputs'!$AN$3=2,IF((J34-$H34)&gt;0,J34-$H34,0),(xSPRDOPT(J34,$E34,$BU34,0,$BP34,$BS34,$BT34,($A34-Inputs!$D$1)+15,1,0)))))</f>
        <v>#NAME?</v>
      </c>
      <c r="R34" s="280" t="e">
        <f aca="false">IF($A34="N/A"," ",IF('Pricing Inputs'!$AN$8=2,(K34-$H34),IF('Pricing Inputs'!$AN$3=2,IF((K34-$H34)&gt;0,K34-$H34,0),(xSPRDOPT(K34,$E34,$BU34,0,$BP34,$BS34,$BT34,($A34-Inputs!$D$1)+15,1,0)))))</f>
        <v>#NAME?</v>
      </c>
      <c r="S34" s="280" t="e">
        <f aca="false">IF($A34="N/A"," ",IF('Pricing Inputs'!$AN$8=2,(L34-$H34),IF('Pricing Inputs'!$AN$3=2,IF((L34-$H34)&gt;0,L34-$H34,0),(xSPRDOPT(L34,$E34,$BU34,0,$BP34,$BS34,$BT34,($A34-Inputs!$D$1)+15,1,0)))))</f>
        <v>#NAME?</v>
      </c>
      <c r="T34" s="280" t="e">
        <f aca="false">IF($A34="N/A"," ",IF('Pricing Inputs'!$AN$8=2,(M34-$H34),IF('Pricing Inputs'!$AN$3=2,IF((M34-$H34)&gt;0,M34-$H34,0),(xSPRDOPT(M34,$E34,$BU34,0,$BP34,$BS34,$BT34,($A34-Inputs!$D$1)+15,1,0)))))</f>
        <v>#NAME?</v>
      </c>
      <c r="U34" s="280" t="e">
        <f aca="false">IF($A34="N/A"," ",IF('Pricing Inputs'!$AN$8=2,(N34-$H34),IF('Pricing Inputs'!$AN$3=2,IF((N34-$H34)&gt;0,N34-$H34,0),(xSPRDOPT(N34,$E34,$BU34,0,$BP34,$BS34,$BT34,($A34-Inputs!$D$1)+15,1,0)))))</f>
        <v>#NAME?</v>
      </c>
      <c r="V34" s="281" t="e">
        <f aca="false">IF($A34="N/A"," ",(IF('Pricing Inputs'!$AN$8=2,(O34-$H34),IF((O34-$H34)&lt;=0,0,(O34-$H34)))))</f>
        <v>#N/A</v>
      </c>
      <c r="W34" s="282" t="e">
        <f aca="false">IF($A34="N/A"," ",IF(0&lt;&gt;P34,IF('Pricing Inputs'!$AN$3=2,8*VLOOKUP($A34,NumberofDaysTable,2),(xSPRDOPT(I34,$E34,$BU34,0,$BP34,$BS34,$BT34,$A34-Inputs!$D$1,1,1))*(8*VLOOKUP($A34,NumberofDaysTable,2))),0))</f>
        <v>#NAME?</v>
      </c>
      <c r="X34" s="282" t="e">
        <f aca="false">IF($A34="N/A"," ",IF(Q34&lt;&gt;0,IF('Pricing Inputs'!$AN$3=2,8*VLOOKUP($A34,NumberofDaysTable,2),(xSPRDOPT(J34,$E34,$BU34,0,$BP34,$BS34,$BT34,$A34-Inputs!$D$1,1,1))*(8*VLOOKUP($A34,NumberofDaysTable,2))),0))</f>
        <v>#NAME?</v>
      </c>
      <c r="Y34" s="282" t="e">
        <f aca="false">IF($A34="N/A"," ",IF(R34&lt;&gt;0,IF('Pricing Inputs'!$AN$3=2,8*VLOOKUP($A34,NumberofDaysTable,3),(xSPRDOPT(K34,$E34,$BU34,0,$BP34,$BS34,$BT34,$A34-Inputs!$D$1,1,1))*(8*VLOOKUP($A34,NumberofDaysTable,3))),0))</f>
        <v>#NAME?</v>
      </c>
      <c r="Z34" s="282" t="e">
        <f aca="false">IF($A34="N/A"," ",IF(S34&lt;&gt;0,IF('Pricing Inputs'!$AN$3=2,8*VLOOKUP($A34,NumberofDaysTable,3),(xSPRDOPT(L34,$E34,$BU34,0,$BP34,$BS34,$BT34,$A34-Inputs!$D$1,1,1))*(8*VLOOKUP($A34,NumberofDaysTable,3))),0))</f>
        <v>#NAME?</v>
      </c>
      <c r="AA34" s="282" t="e">
        <f aca="false">IF($A34="N/A"," ",IF(T34&lt;&gt;0,IF('Pricing Inputs'!$AN$3=2,8*VLOOKUP($A34,NumberofDaysTable,4),(xSPRDOPT(M34,$E34,$BU34,0,$BP34,$BS34,$BT34,$A34-Inputs!$D$1,1,1))*(8*VLOOKUP($A34,NumberofDaysTable,4))),0))</f>
        <v>#NAME?</v>
      </c>
      <c r="AB34" s="282" t="e">
        <f aca="false">IF($A34="N/A"," ",IF(U34&lt;&gt;0,IF('Pricing Inputs'!$AN$3=2,8*VLOOKUP($A34,NumberofDaysTable,4),(xSPRDOPT(N34,$E34,$BU34,0,$BP34,$BS34,$BT34,$A34-Inputs!$D$1,1,1))*(8*VLOOKUP($A34,NumberofDaysTable,4))),0))</f>
        <v>#NAME?</v>
      </c>
      <c r="AC34" s="282" t="e">
        <f aca="false">IF($A34="N/A"," ",(IF(V34&lt;&gt;0,(8*VLOOKUP($A34,NumberofDaysTable,6)),0)))</f>
        <v>#N/A</v>
      </c>
      <c r="AD34" s="298" t="e">
        <f aca="false">IF($A34="N/A"," ",RANK(P34,$P$28:$V$39))</f>
        <v>#NAME?</v>
      </c>
      <c r="AE34" s="299" t="e">
        <f aca="false">IF($A34="N/A"," ",RANK(Q34,$P$28:$V$39))</f>
        <v>#NAME?</v>
      </c>
      <c r="AF34" s="299" t="e">
        <f aca="false">IF($A34="N/A"," ",RANK(R34,$P$28:$V$39))</f>
        <v>#NAME?</v>
      </c>
      <c r="AG34" s="299" t="e">
        <f aca="false">IF($A34="N/A"," ",RANK(S34,$P$28:$V$39))</f>
        <v>#NAME?</v>
      </c>
      <c r="AH34" s="299" t="e">
        <f aca="false">IF($A34="N/A"," ",RANK(T34,$P$28:$V$39))</f>
        <v>#NAME?</v>
      </c>
      <c r="AI34" s="299" t="e">
        <f aca="false">IF($A34="N/A"," ",RANK(U34,$P$28:$V$39))</f>
        <v>#NAME?</v>
      </c>
      <c r="AJ34" s="300" t="e">
        <f aca="false">IF($A34="N/A"," ",RANK(V34,$P$28:$V$39))</f>
        <v>#NAME?</v>
      </c>
      <c r="AK34" s="286" t="e">
        <f aca="false">IF($A34="N/A"," ",IF(AD34&lt;=$AJ$2,W34,0))</f>
        <v>#NAME?</v>
      </c>
      <c r="AL34" s="301" t="e">
        <f aca="false">IF($A34="N/A"," ",IF(AE34&lt;=$AJ$2,X34,0))</f>
        <v>#NAME?</v>
      </c>
      <c r="AM34" s="301" t="e">
        <f aca="false">IF($A34="N/A"," ",IF(AF34&lt;=$AJ$2,Y34,0))</f>
        <v>#NAME?</v>
      </c>
      <c r="AN34" s="301" t="e">
        <f aca="false">IF($A34="N/A"," ",IF(AG34&lt;=$AJ$2,Z34,0))</f>
        <v>#NAME?</v>
      </c>
      <c r="AO34" s="301" t="e">
        <f aca="false">IF($A34="N/A"," ",IF(AH34&lt;=$AJ$2,AA34,0))</f>
        <v>#NAME?</v>
      </c>
      <c r="AP34" s="301" t="e">
        <f aca="false">IF($A34="N/A"," ",IF(AI34&lt;=$AJ$2,AB34,0))</f>
        <v>#NAME?</v>
      </c>
      <c r="AQ34" s="301" t="e">
        <f aca="false">IF($A34="N/A"," ",IF(AJ34&lt;=$AJ$2,AC34,0))</f>
        <v>#NAME?</v>
      </c>
      <c r="AR34" s="300"/>
      <c r="AS34" s="288" t="e">
        <f aca="false">IF($A34="N/A"," ",IF(AND(AD34=$AJ$2+1,AK34=0),MIN($AR$39,W34),0))</f>
        <v>#NAME?</v>
      </c>
      <c r="AT34" s="302" t="e">
        <f aca="false">IF($A34="N/A"," ",IF(AND(AE34=$AJ$2+1,AL34=0),MIN($AR$39,X34),0))</f>
        <v>#NAME?</v>
      </c>
      <c r="AU34" s="302" t="e">
        <f aca="false">IF($A34="N/A"," ",IF(AND(AF34=$AJ$2+1,AM34=0),MIN($AR$39,Y34),0))</f>
        <v>#NAME?</v>
      </c>
      <c r="AV34" s="302" t="e">
        <f aca="false">IF($A34="N/A"," ",IF(AND(AG34=$AJ$2+1,AN34=0),MIN($AR$39,Z34),0))</f>
        <v>#NAME?</v>
      </c>
      <c r="AW34" s="302" t="e">
        <f aca="false">IF($A34="N/A"," ",IF(AND(AH34=$AJ$2+1,AO34=0),MIN($AR$39,AA34),0))</f>
        <v>#NAME?</v>
      </c>
      <c r="AX34" s="302" t="e">
        <f aca="false">IF($A34="N/A"," ",IF(AND(AI34=$AJ$2+1,AP34=0),MIN($AR$39,AB34),0))</f>
        <v>#NAME?</v>
      </c>
      <c r="AY34" s="302" t="e">
        <f aca="false">IF($A34="N/A"," ",IF(AND(AJ34=$AJ$2+1,AQ34=0),MIN($AR$39,AC34),0))</f>
        <v>#NAME?</v>
      </c>
      <c r="AZ34" s="300"/>
      <c r="BA34" s="291" t="n">
        <f aca="false">IF($A34="N/A"," ",(IF(MONTH(A34)&gt;=4,IF(MONTH(A34)&lt;=10,Inputs!$F$13,Inputs!$F$14),Inputs!$F$14))*$BW34)</f>
        <v>180</v>
      </c>
      <c r="BB34" s="292" t="e">
        <f aca="false">IF($A34="N/A"," ",(IF(AK34&gt;0,($BA34*(8*(VLOOKUP($A34,NumberofDaysTable,2)))*P34),0)+IF(AS34&gt;0,($BA34*((AS34))*P34),0)))</f>
        <v>#NAME?</v>
      </c>
      <c r="BC34" s="292" t="e">
        <f aca="false">IF($A34="N/A"," ",(IF(AL34&gt;0,($BA34*(8*(VLOOKUP($A34,NumberofDaysTable,2)))*Q34),0)+IF(AT34&gt;0,($BA34*((AT34))*Q34),0)))</f>
        <v>#NAME?</v>
      </c>
      <c r="BD34" s="292" t="e">
        <f aca="false">IF($A34="N/A"," ",(IF(AM34&gt;0,($BA34*(8*(VLOOKUP($A34,NumberofDaysTable,3)))*R34),0)+IF(AU34&gt;0,($BA34*((AU34))*R34),0)))</f>
        <v>#NAME?</v>
      </c>
      <c r="BE34" s="292" t="e">
        <f aca="false">IF($A34="N/A"," ",(IF(AN34&gt;0,($BA34*(8*(VLOOKUP($A34,NumberofDaysTable,3)))*S34),0)+IF(AV34&gt;0,($BA34*((AV34))*S34),0)))</f>
        <v>#NAME?</v>
      </c>
      <c r="BF34" s="292" t="e">
        <f aca="false">IF($A34="N/A"," ",(IF(AO34&gt;0,($BA34*(8*(VLOOKUP($A34,NumberofDaysTable,4)+VLOOKUP($A34,NumberofDaysTable,5)))*T34),0)+IF(AW34&gt;0,($BA34*((AW34))*T34),0)))</f>
        <v>#NAME?</v>
      </c>
      <c r="BG34" s="292" t="e">
        <f aca="false">IF($A34="N/A"," ",(IF(AP34&gt;0,($BA34*(8*(VLOOKUP($A34,NumberofDaysTable,4)+VLOOKUP($A34,NumberofDaysTable,5)))*U34),0)+IF(AX34&gt;0,($BA34*((AX34))*U34),0)))</f>
        <v>#NAME?</v>
      </c>
      <c r="BH34" s="292" t="e">
        <f aca="false">IF($A34="N/A"," ",($BA34*AQ34*V34))</f>
        <v>#NAME?</v>
      </c>
      <c r="BI34" s="292" t="e">
        <f aca="false">IF($A34="N/A"," ",SUM(BB34:BH34))</f>
        <v>#NAME?</v>
      </c>
      <c r="BJ34" s="293" t="e">
        <f aca="false">IF($A34="N/A"," ",(H34*(SUM(AK34:AQ34)+SUM(AS34:AY34))*BA34))</f>
        <v>#NAME?</v>
      </c>
      <c r="BK34" s="293" t="e">
        <f aca="false">IF($A34="N/A"," ",((C34*D34)*(SUM($AK34:$AQ34)+SUM($AS34:$AY34))*$BA34))</f>
        <v>#N/A</v>
      </c>
      <c r="BL34" s="293" t="e">
        <f aca="false">IF($A34="N/A"," ",(F34*(SUM($AK34:$AQ34)+SUM($AS34:$AY34))*$BA34))</f>
        <v>#NAME?</v>
      </c>
      <c r="BM34" s="293" t="e">
        <f aca="false">IF($A34="N/A"," ",(G34*(SUM($AK34:$AQ34)+SUM($AS34:$AY34))*$BA34))</f>
        <v>#NAME?</v>
      </c>
      <c r="BN34" s="294" t="n">
        <f aca="false">IF(A34="N/A"," ",(VLOOKUP(A34,PowerVolTable,(IF('Pricing Inputs'!$AT$3=2,7,IF('Pricing Inputs'!$AT$3=1,6,8))),FALSE())))</f>
        <v>0.3669339375</v>
      </c>
      <c r="BO34" s="294" t="n">
        <f aca="false">IF(A34="N/A"," ",(VLOOKUP(A34,IntraPowerVol,(IF('Pricing Inputs'!$AT$3=2,3,IF('Pricing Inputs'!$AT$3=1,2,4))),FALSE())*VLOOKUP(MONTH($A34),Inputs!$A$28:$B$39,2)))</f>
        <v>3.45</v>
      </c>
      <c r="BP34" s="295" t="n">
        <f aca="false">IF($A34="N/A"," ",(IF(DateToday&gt;$A34,$BO34,((($BN34^2)*((($A34-1)-DateToday)/((EOMONTH($A34,0)+1)-DateToday-15)))+((($BO34)^2)*((15)/((EOMONTH($A34,0)+1)-DateToday-15))))^0.5)))</f>
        <v>3.45</v>
      </c>
      <c r="BQ34" s="294" t="e">
        <f aca="false">IF($A34="N/A"," ",(VLOOKUP($A34,GasVolTable,(IF('Pricing Inputs'!$AT$3=2,6,IF('Pricing Inputs'!$AT$3=1,7,5))),FALSE())))</f>
        <v>#N/A</v>
      </c>
      <c r="BR34" s="294" t="e">
        <f aca="false">IF($A34="N/A"," ",(VLOOKUP($A34,OmicronVol,(IF('Pricing Inputs'!$AT$3=2,3,IF('Pricing Inputs'!$AT$3=1,4,2))),FALSE())))</f>
        <v>#N/A</v>
      </c>
      <c r="BS34" s="295" t="e">
        <f aca="false">IF($A34="N/A"," ",IF('Pricing Inputs'!$AN$3=1,(IF(DateToday&gt;$A34,$BR34,((($BQ34^2)*((($A34-1)-DateToday)/((EOMONTH($A34,0)+1)-DateToday-15)))+((($BR34)^2)*((15)/((EOMONTH($A34,0)+1)-DateToday-15))))^0.5)),0.0001))</f>
        <v>#N/A</v>
      </c>
      <c r="BT34" s="294" t="n">
        <f aca="false">IF($A34="N/A"," ",IF('Pricing Inputs'!$AN$3=1,(VLOOKUP($A34,CorrelationTable,2,FALSE())),0))</f>
        <v>0.9</v>
      </c>
      <c r="BU34" s="296" t="e">
        <f aca="false">IF($A34="N/A"," ",F34+G34+(D34*(VLOOKUP($A34,'Gas Curves'!$B$17:$P$310,14,FALSE()))))</f>
        <v>#N/A</v>
      </c>
      <c r="BV34" s="294" t="n">
        <f aca="false">IF($A34="N/A"," ",IF('Pricing Inputs'!$AW$3=1,0,(VLOOKUP($A34,InterestRatesTable,2))))</f>
        <v>0</v>
      </c>
      <c r="BW34" s="297" t="n">
        <f aca="false">IF($A34="N/A"," ",(1+BV34/2)^(-2*((EOMONTH(A34,0)+20)-DateToday)/365.25))</f>
        <v>1</v>
      </c>
    </row>
    <row r="35" customFormat="false" ht="12.75" hidden="false" customHeight="false" outlineLevel="0" collapsed="false">
      <c r="A35" s="272" t="n">
        <f aca="false">IF(A34="N/A","N/A",IF(EDATE(A34,1)&gt;Inputs!$K$3,"N/A",EDATE(A34,1)))</f>
        <v>37834</v>
      </c>
      <c r="B35" s="273" t="n">
        <f aca="false">IF(A35="N/A"," ",YEAR(A35))</f>
        <v>2003</v>
      </c>
      <c r="C35" s="274" t="e">
        <f aca="false">IF(A35="N/A"," ",VLOOKUP(A35,ScaledPrice,10))</f>
        <v>#N/A</v>
      </c>
      <c r="D35" s="275" t="n">
        <f aca="false">IF(A35="N/A"," ",(VLOOKUP(MONTH($A35),Inputs!$A$14:$B$25,2))/1000)</f>
        <v>10.5</v>
      </c>
      <c r="E35" s="276" t="e">
        <f aca="false">IF($A35="N/A"," ",C35*D35)</f>
        <v>#N/A</v>
      </c>
      <c r="F35" s="277" t="n">
        <f aca="false">IF(A35="N/A"," ",Inputs!$F$6)</f>
        <v>2</v>
      </c>
      <c r="G35" s="277" t="n">
        <f aca="false">IF(A35="N/A"," ",Inputs!$F$9/IF(AND('Pricing Inputs'!$AQ$3&gt;=4,'Pricing Inputs'!$AQ$3&lt;=6),16,IF(AND('Pricing Inputs'!$AQ$3&gt;=7,'Pricing Inputs'!$AQ$3&lt;=9),8,24))/(BA35/BW35))</f>
        <v>0</v>
      </c>
      <c r="H35" s="278" t="e">
        <f aca="false">IF(A35="N/A"," ",(C35*D35)+F35+G35)</f>
        <v>#N/A</v>
      </c>
      <c r="I35" s="279" t="n">
        <f aca="false">VLOOKUP(A35,ScaledPrice,(IF(AND('Pricing Inputs'!$AQ$3&gt;=1,'Pricing Inputs'!$AQ$3&lt;=6),2,4)))</f>
        <v>73.189310592308</v>
      </c>
      <c r="J35" s="279" t="n">
        <f aca="false">IF(A35="N/A"," ",IF(AND('Pricing Inputs'!$AQ$3&gt;=1,'Pricing Inputs'!$AQ$3&lt;=6),I35,(VLOOKUP(A35,ScaledPrice,2))*(2-(VLOOKUP(A35,ScaledPrice,3)))))</f>
        <v>58.810689407692</v>
      </c>
      <c r="K35" s="279" t="n">
        <f aca="false">IF(A35="N/A"," ",IF(OR('Pricing Inputs'!$AQ$3=2,'Pricing Inputs'!$AQ$3=3,'Pricing Inputs'!$AQ$3=5,'Pricing Inputs'!$AQ$3=6,'Pricing Inputs'!$AQ$3=8,'Pricing Inputs'!$AQ$3=9),VLOOKUP(A35,ScaledPrice,IF(AND('Pricing Inputs'!$AQ$3&gt;=2,'Pricing Inputs'!$AQ$3&lt;=6),5,6)),0))</f>
        <v>46.0455012433681</v>
      </c>
      <c r="L35" s="279" t="n">
        <f aca="false">IF(A35="N/A"," ",IF(OR('Pricing Inputs'!$AQ$3=2,'Pricing Inputs'!$AQ$3=3,'Pricing Inputs'!$AQ$3=5,'Pricing Inputs'!$AQ$3=6,'Pricing Inputs'!$AQ$3=8,'Pricing Inputs'!$AQ$3=9),IF(AND('Pricing Inputs'!$AQ$3&gt;=2,'Pricing Inputs'!$AQ$3&lt;=6),K35,(VLOOKUP(A35,ScaledPrice,5))*(2-(VLOOKUP(A35,ScaledPrice,3)))),0))</f>
        <v>36.9994969255772</v>
      </c>
      <c r="M35" s="279" t="n">
        <f aca="false">IF(A35="N/A"," ",IF(OR('Pricing Inputs'!$AQ$3=3,'Pricing Inputs'!$AQ$3=6,'Pricing Inputs'!$AQ$3=9),(VLOOKUP(A35,ScaledPrice,IF(AND('Pricing Inputs'!$AQ$3&gt;=3,'Pricing Inputs'!$AQ$3&lt;=6),7,8))),0))</f>
        <v>33.5395569740495</v>
      </c>
      <c r="N35" s="279" t="n">
        <f aca="false">IF(A35="N/A"," ",IF(OR('Pricing Inputs'!$AQ$3=3,'Pricing Inputs'!$AQ$3=6,'Pricing Inputs'!$AQ$3=9),IF(AND('Pricing Inputs'!$AQ$3&gt;=3,'Pricing Inputs'!$AQ$3&lt;=6),M35,(VLOOKUP(A35,ScaledPrice,7))*(2-(VLOOKUP(A35,ScaledPrice,3)))),0))</f>
        <v>26.9504447044173</v>
      </c>
      <c r="O35" s="279" t="n">
        <f aca="false">IF(A35="N/A"," ",IF(AND('Pricing Inputs'!$AQ$3&gt;=1,'Pricing Inputs'!$AQ$3&lt;=3),VLOOKUP(A35,ScaledPrice,9),0))</f>
        <v>0</v>
      </c>
      <c r="P35" s="280" t="e">
        <f aca="false">IF($A35="N/A"," ",IF('Pricing Inputs'!$AN$8=2,(I35-H35),IF('Pricing Inputs'!$AN$3=2,IF((I35-$H35)&gt;0,I35-$H35,0),(xSPRDOPT(I35,$E35,$BU35,0,$BP35,$BS35,$BT35,($A35-Inputs!$D$1)+15,1,0)))))</f>
        <v>#NAME?</v>
      </c>
      <c r="Q35" s="280" t="e">
        <f aca="false">IF($A35="N/A"," ",IF('Pricing Inputs'!$AN$8=2,(J35-$H35),IF('Pricing Inputs'!$AN$3=2,IF((J35-$H35)&gt;0,J35-$H35,0),(xSPRDOPT(J35,$E35,$BU35,0,$BP35,$BS35,$BT35,($A35-Inputs!$D$1)+15,1,0)))))</f>
        <v>#NAME?</v>
      </c>
      <c r="R35" s="280" t="e">
        <f aca="false">IF($A35="N/A"," ",IF('Pricing Inputs'!$AN$8=2,(K35-$H35),IF('Pricing Inputs'!$AN$3=2,IF((K35-$H35)&gt;0,K35-$H35,0),(xSPRDOPT(K35,$E35,$BU35,0,$BP35,$BS35,$BT35,($A35-Inputs!$D$1)+15,1,0)))))</f>
        <v>#NAME?</v>
      </c>
      <c r="S35" s="280" t="e">
        <f aca="false">IF($A35="N/A"," ",IF('Pricing Inputs'!$AN$8=2,(L35-$H35),IF('Pricing Inputs'!$AN$3=2,IF((L35-$H35)&gt;0,L35-$H35,0),(xSPRDOPT(L35,$E35,$BU35,0,$BP35,$BS35,$BT35,($A35-Inputs!$D$1)+15,1,0)))))</f>
        <v>#NAME?</v>
      </c>
      <c r="T35" s="280" t="e">
        <f aca="false">IF($A35="N/A"," ",IF('Pricing Inputs'!$AN$8=2,(M35-$H35),IF('Pricing Inputs'!$AN$3=2,IF((M35-$H35)&gt;0,M35-$H35,0),(xSPRDOPT(M35,$E35,$BU35,0,$BP35,$BS35,$BT35,($A35-Inputs!$D$1)+15,1,0)))))</f>
        <v>#NAME?</v>
      </c>
      <c r="U35" s="280" t="e">
        <f aca="false">IF($A35="N/A"," ",IF('Pricing Inputs'!$AN$8=2,(N35-$H35),IF('Pricing Inputs'!$AN$3=2,IF((N35-$H35)&gt;0,N35-$H35,0),(xSPRDOPT(N35,$E35,$BU35,0,$BP35,$BS35,$BT35,($A35-Inputs!$D$1)+15,1,0)))))</f>
        <v>#NAME?</v>
      </c>
      <c r="V35" s="281" t="e">
        <f aca="false">IF($A35="N/A"," ",(IF('Pricing Inputs'!$AN$8=2,(O35-$H35),IF((O35-$H35)&lt;=0,0,(O35-$H35)))))</f>
        <v>#N/A</v>
      </c>
      <c r="W35" s="282" t="e">
        <f aca="false">IF($A35="N/A"," ",IF(0&lt;&gt;P35,IF('Pricing Inputs'!$AN$3=2,8*VLOOKUP($A35,NumberofDaysTable,2),(xSPRDOPT(I35,$E35,$BU35,0,$BP35,$BS35,$BT35,$A35-Inputs!$D$1,1,1))*(8*VLOOKUP($A35,NumberofDaysTable,2))),0))</f>
        <v>#NAME?</v>
      </c>
      <c r="X35" s="282" t="e">
        <f aca="false">IF($A35="N/A"," ",IF(Q35&lt;&gt;0,IF('Pricing Inputs'!$AN$3=2,8*VLOOKUP($A35,NumberofDaysTable,2),(xSPRDOPT(J35,$E35,$BU35,0,$BP35,$BS35,$BT35,$A35-Inputs!$D$1,1,1))*(8*VLOOKUP($A35,NumberofDaysTable,2))),0))</f>
        <v>#NAME?</v>
      </c>
      <c r="Y35" s="282" t="e">
        <f aca="false">IF($A35="N/A"," ",IF(R35&lt;&gt;0,IF('Pricing Inputs'!$AN$3=2,8*VLOOKUP($A35,NumberofDaysTable,3),(xSPRDOPT(K35,$E35,$BU35,0,$BP35,$BS35,$BT35,$A35-Inputs!$D$1,1,1))*(8*VLOOKUP($A35,NumberofDaysTable,3))),0))</f>
        <v>#NAME?</v>
      </c>
      <c r="Z35" s="282" t="e">
        <f aca="false">IF($A35="N/A"," ",IF(S35&lt;&gt;0,IF('Pricing Inputs'!$AN$3=2,8*VLOOKUP($A35,NumberofDaysTable,3),(xSPRDOPT(L35,$E35,$BU35,0,$BP35,$BS35,$BT35,$A35-Inputs!$D$1,1,1))*(8*VLOOKUP($A35,NumberofDaysTable,3))),0))</f>
        <v>#NAME?</v>
      </c>
      <c r="AA35" s="282" t="e">
        <f aca="false">IF($A35="N/A"," ",IF(T35&lt;&gt;0,IF('Pricing Inputs'!$AN$3=2,8*VLOOKUP($A35,NumberofDaysTable,4),(xSPRDOPT(M35,$E35,$BU35,0,$BP35,$BS35,$BT35,$A35-Inputs!$D$1,1,1))*(8*VLOOKUP($A35,NumberofDaysTable,4))),0))</f>
        <v>#NAME?</v>
      </c>
      <c r="AB35" s="282" t="e">
        <f aca="false">IF($A35="N/A"," ",IF(U35&lt;&gt;0,IF('Pricing Inputs'!$AN$3=2,8*VLOOKUP($A35,NumberofDaysTable,4),(xSPRDOPT(N35,$E35,$BU35,0,$BP35,$BS35,$BT35,$A35-Inputs!$D$1,1,1))*(8*VLOOKUP($A35,NumberofDaysTable,4))),0))</f>
        <v>#NAME?</v>
      </c>
      <c r="AC35" s="282" t="e">
        <f aca="false">IF($A35="N/A"," ",(IF(V35&lt;&gt;0,(8*VLOOKUP($A35,NumberofDaysTable,6)),0)))</f>
        <v>#N/A</v>
      </c>
      <c r="AD35" s="298" t="e">
        <f aca="false">IF($A35="N/A"," ",RANK(P35,$P$28:$V$39))</f>
        <v>#NAME?</v>
      </c>
      <c r="AE35" s="299" t="e">
        <f aca="false">IF($A35="N/A"," ",RANK(Q35,$P$28:$V$39))</f>
        <v>#NAME?</v>
      </c>
      <c r="AF35" s="299" t="e">
        <f aca="false">IF($A35="N/A"," ",RANK(R35,$P$28:$V$39))</f>
        <v>#NAME?</v>
      </c>
      <c r="AG35" s="299" t="e">
        <f aca="false">IF($A35="N/A"," ",RANK(S35,$P$28:$V$39))</f>
        <v>#NAME?</v>
      </c>
      <c r="AH35" s="299" t="e">
        <f aca="false">IF($A35="N/A"," ",RANK(T35,$P$28:$V$39))</f>
        <v>#NAME?</v>
      </c>
      <c r="AI35" s="299" t="e">
        <f aca="false">IF($A35="N/A"," ",RANK(U35,$P$28:$V$39))</f>
        <v>#NAME?</v>
      </c>
      <c r="AJ35" s="300" t="e">
        <f aca="false">IF($A35="N/A"," ",RANK(V35,$P$28:$V$39))</f>
        <v>#NAME?</v>
      </c>
      <c r="AK35" s="286" t="e">
        <f aca="false">IF($A35="N/A"," ",IF(AD35&lt;=$AJ$2,W35,0))</f>
        <v>#NAME?</v>
      </c>
      <c r="AL35" s="301" t="e">
        <f aca="false">IF($A35="N/A"," ",IF(AE35&lt;=$AJ$2,X35,0))</f>
        <v>#NAME?</v>
      </c>
      <c r="AM35" s="301" t="e">
        <f aca="false">IF($A35="N/A"," ",IF(AF35&lt;=$AJ$2,Y35,0))</f>
        <v>#NAME?</v>
      </c>
      <c r="AN35" s="301" t="e">
        <f aca="false">IF($A35="N/A"," ",IF(AG35&lt;=$AJ$2,Z35,0))</f>
        <v>#NAME?</v>
      </c>
      <c r="AO35" s="301" t="e">
        <f aca="false">IF($A35="N/A"," ",IF(AH35&lt;=$AJ$2,AA35,0))</f>
        <v>#NAME?</v>
      </c>
      <c r="AP35" s="301" t="e">
        <f aca="false">IF($A35="N/A"," ",IF(AI35&lt;=$AJ$2,AB35,0))</f>
        <v>#NAME?</v>
      </c>
      <c r="AQ35" s="301" t="e">
        <f aca="false">IF($A35="N/A"," ",IF(AJ35&lt;=$AJ$2,AC35,0))</f>
        <v>#NAME?</v>
      </c>
      <c r="AR35" s="300"/>
      <c r="AS35" s="288" t="e">
        <f aca="false">IF($A35="N/A"," ",IF(AND(AD35=$AJ$2+1,AK35=0),MIN($AR$39,W35),0))</f>
        <v>#NAME?</v>
      </c>
      <c r="AT35" s="302" t="e">
        <f aca="false">IF($A35="N/A"," ",IF(AND(AE35=$AJ$2+1,AL35=0),MIN($AR$39,X35),0))</f>
        <v>#NAME?</v>
      </c>
      <c r="AU35" s="302" t="e">
        <f aca="false">IF($A35="N/A"," ",IF(AND(AF35=$AJ$2+1,AM35=0),MIN($AR$39,Y35),0))</f>
        <v>#NAME?</v>
      </c>
      <c r="AV35" s="302" t="e">
        <f aca="false">IF($A35="N/A"," ",IF(AND(AG35=$AJ$2+1,AN35=0),MIN($AR$39,Z35),0))</f>
        <v>#NAME?</v>
      </c>
      <c r="AW35" s="302" t="e">
        <f aca="false">IF($A35="N/A"," ",IF(AND(AH35=$AJ$2+1,AO35=0),MIN($AR$39,AA35),0))</f>
        <v>#NAME?</v>
      </c>
      <c r="AX35" s="302" t="e">
        <f aca="false">IF($A35="N/A"," ",IF(AND(AI35=$AJ$2+1,AP35=0),MIN($AR$39,AB35),0))</f>
        <v>#NAME?</v>
      </c>
      <c r="AY35" s="302" t="e">
        <f aca="false">IF($A35="N/A"," ",IF(AND(AJ35=$AJ$2+1,AQ35=0),MIN($AR$39,AC35),0))</f>
        <v>#NAME?</v>
      </c>
      <c r="AZ35" s="300"/>
      <c r="BA35" s="291" t="n">
        <f aca="false">IF($A35="N/A"," ",(IF(MONTH(A35)&gt;=4,IF(MONTH(A35)&lt;=10,Inputs!$F$13,Inputs!$F$14),Inputs!$F$14))*$BW35)</f>
        <v>180</v>
      </c>
      <c r="BB35" s="292" t="e">
        <f aca="false">IF($A35="N/A"," ",(IF(AK35&gt;0,($BA35*(8*(VLOOKUP($A35,NumberofDaysTable,2)))*P35),0)+IF(AS35&gt;0,($BA35*((AS35))*P35),0)))</f>
        <v>#NAME?</v>
      </c>
      <c r="BC35" s="292" t="e">
        <f aca="false">IF($A35="N/A"," ",(IF(AL35&gt;0,($BA35*(8*(VLOOKUP($A35,NumberofDaysTable,2)))*Q35),0)+IF(AT35&gt;0,($BA35*((AT35))*Q35),0)))</f>
        <v>#NAME?</v>
      </c>
      <c r="BD35" s="292" t="e">
        <f aca="false">IF($A35="N/A"," ",(IF(AM35&gt;0,($BA35*(8*(VLOOKUP($A35,NumberofDaysTable,3)))*R35),0)+IF(AU35&gt;0,($BA35*((AU35))*R35),0)))</f>
        <v>#NAME?</v>
      </c>
      <c r="BE35" s="292" t="e">
        <f aca="false">IF($A35="N/A"," ",(IF(AN35&gt;0,($BA35*(8*(VLOOKUP($A35,NumberofDaysTable,3)))*S35),0)+IF(AV35&gt;0,($BA35*((AV35))*S35),0)))</f>
        <v>#NAME?</v>
      </c>
      <c r="BF35" s="292" t="e">
        <f aca="false">IF($A35="N/A"," ",(IF(AO35&gt;0,($BA35*(8*(VLOOKUP($A35,NumberofDaysTable,4)+VLOOKUP($A35,NumberofDaysTable,5)))*T35),0)+IF(AW35&gt;0,($BA35*((AW35))*T35),0)))</f>
        <v>#NAME?</v>
      </c>
      <c r="BG35" s="292" t="e">
        <f aca="false">IF($A35="N/A"," ",(IF(AP35&gt;0,($BA35*(8*(VLOOKUP($A35,NumberofDaysTable,4)+VLOOKUP($A35,NumberofDaysTable,5)))*U35),0)+IF(AX35&gt;0,($BA35*((AX35))*U35),0)))</f>
        <v>#NAME?</v>
      </c>
      <c r="BH35" s="292" t="e">
        <f aca="false">IF($A35="N/A"," ",($BA35*AQ35*V35))</f>
        <v>#NAME?</v>
      </c>
      <c r="BI35" s="292" t="e">
        <f aca="false">IF($A35="N/A"," ",SUM(BB35:BH35))</f>
        <v>#NAME?</v>
      </c>
      <c r="BJ35" s="293" t="e">
        <f aca="false">IF($A35="N/A"," ",(H35*(SUM(AK35:AQ35)+SUM(AS35:AY35))*BA35))</f>
        <v>#NAME?</v>
      </c>
      <c r="BK35" s="293" t="e">
        <f aca="false">IF($A35="N/A"," ",((C35*D35)*(SUM($AK35:$AQ35)+SUM($AS35:$AY35))*$BA35))</f>
        <v>#N/A</v>
      </c>
      <c r="BL35" s="293" t="e">
        <f aca="false">IF($A35="N/A"," ",(F35*(SUM($AK35:$AQ35)+SUM($AS35:$AY35))*$BA35))</f>
        <v>#NAME?</v>
      </c>
      <c r="BM35" s="293" t="e">
        <f aca="false">IF($A35="N/A"," ",(G35*(SUM($AK35:$AQ35)+SUM($AS35:$AY35))*$BA35))</f>
        <v>#NAME?</v>
      </c>
      <c r="BN35" s="294" t="n">
        <f aca="false">IF(A35="N/A"," ",(VLOOKUP(A35,PowerVolTable,(IF('Pricing Inputs'!$AT$3=2,7,IF('Pricing Inputs'!$AT$3=1,6,8))),FALSE())))</f>
        <v>0.361045125</v>
      </c>
      <c r="BO35" s="294" t="n">
        <f aca="false">IF(A35="N/A"," ",(VLOOKUP(A35,IntraPowerVol,(IF('Pricing Inputs'!$AT$3=2,3,IF('Pricing Inputs'!$AT$3=1,2,4))),FALSE())*VLOOKUP(MONTH($A35),Inputs!$A$28:$B$39,2)))</f>
        <v>3.45</v>
      </c>
      <c r="BP35" s="295" t="n">
        <f aca="false">IF($A35="N/A"," ",(IF(DateToday&gt;$A35,$BO35,((($BN35^2)*((($A35-1)-DateToday)/((EOMONTH($A35,0)+1)-DateToday-15)))+((($BO35)^2)*((15)/((EOMONTH($A35,0)+1)-DateToday-15))))^0.5)))</f>
        <v>3.45</v>
      </c>
      <c r="BQ35" s="294" t="e">
        <f aca="false">IF($A35="N/A"," ",(VLOOKUP($A35,GasVolTable,(IF('Pricing Inputs'!$AT$3=2,6,IF('Pricing Inputs'!$AT$3=1,7,5))),FALSE())))</f>
        <v>#N/A</v>
      </c>
      <c r="BR35" s="294" t="e">
        <f aca="false">IF($A35="N/A"," ",(VLOOKUP($A35,OmicronVol,(IF('Pricing Inputs'!$AT$3=2,3,IF('Pricing Inputs'!$AT$3=1,4,2))),FALSE())))</f>
        <v>#N/A</v>
      </c>
      <c r="BS35" s="295" t="e">
        <f aca="false">IF($A35="N/A"," ",IF('Pricing Inputs'!$AN$3=1,(IF(DateToday&gt;$A35,$BR35,((($BQ35^2)*((($A35-1)-DateToday)/((EOMONTH($A35,0)+1)-DateToday-15)))+((($BR35)^2)*((15)/((EOMONTH($A35,0)+1)-DateToday-15))))^0.5)),0.0001))</f>
        <v>#N/A</v>
      </c>
      <c r="BT35" s="294" t="n">
        <f aca="false">IF($A35="N/A"," ",IF('Pricing Inputs'!$AN$3=1,(VLOOKUP($A35,CorrelationTable,2,FALSE())),0))</f>
        <v>0.9</v>
      </c>
      <c r="BU35" s="296" t="e">
        <f aca="false">IF($A35="N/A"," ",F35+G35+(D35*(VLOOKUP($A35,'Gas Curves'!$B$17:$P$310,14,FALSE()))))</f>
        <v>#N/A</v>
      </c>
      <c r="BV35" s="294" t="n">
        <f aca="false">IF($A35="N/A"," ",IF('Pricing Inputs'!$AW$3=1,0,(VLOOKUP($A35,InterestRatesTable,2))))</f>
        <v>0</v>
      </c>
      <c r="BW35" s="297" t="n">
        <f aca="false">IF($A35="N/A"," ",(1+BV35/2)^(-2*((EOMONTH(A35,0)+20)-DateToday)/365.25))</f>
        <v>1</v>
      </c>
    </row>
    <row r="36" customFormat="false" ht="12.75" hidden="false" customHeight="false" outlineLevel="0" collapsed="false">
      <c r="A36" s="272" t="n">
        <f aca="false">IF(A35="N/A","N/A",IF(EDATE(A35,1)&gt;Inputs!$K$3,"N/A",EDATE(A35,1)))</f>
        <v>37865</v>
      </c>
      <c r="B36" s="273" t="n">
        <f aca="false">IF(A36="N/A"," ",YEAR(A36))</f>
        <v>2003</v>
      </c>
      <c r="C36" s="274" t="e">
        <f aca="false">IF(A36="N/A"," ",VLOOKUP(A36,ScaledPrice,10))</f>
        <v>#N/A</v>
      </c>
      <c r="D36" s="275" t="n">
        <f aca="false">IF(A36="N/A"," ",(VLOOKUP(MONTH($A36),Inputs!$A$14:$B$25,2))/1000)</f>
        <v>10.5</v>
      </c>
      <c r="E36" s="276" t="e">
        <f aca="false">IF($A36="N/A"," ",C36*D36)</f>
        <v>#N/A</v>
      </c>
      <c r="F36" s="277" t="n">
        <f aca="false">IF(A36="N/A"," ",Inputs!$F$6)</f>
        <v>2</v>
      </c>
      <c r="G36" s="277" t="n">
        <f aca="false">IF(A36="N/A"," ",Inputs!$F$9/IF(AND('Pricing Inputs'!$AQ$3&gt;=4,'Pricing Inputs'!$AQ$3&lt;=6),16,IF(AND('Pricing Inputs'!$AQ$3&gt;=7,'Pricing Inputs'!$AQ$3&lt;=9),8,24))/(BA36/BW36))</f>
        <v>0</v>
      </c>
      <c r="H36" s="278" t="e">
        <f aca="false">IF(A36="N/A"," ",(C36*D36)+F36+G36)</f>
        <v>#N/A</v>
      </c>
      <c r="I36" s="279" t="n">
        <f aca="false">VLOOKUP(A36,ScaledPrice,(IF(AND('Pricing Inputs'!$AQ$3&gt;=1,'Pricing Inputs'!$AQ$3&lt;=6),2,4)))</f>
        <v>35.8018283192647</v>
      </c>
      <c r="J36" s="279" t="n">
        <f aca="false">IF(A36="N/A"," ",IF(AND('Pricing Inputs'!$AQ$3&gt;=1,'Pricing Inputs'!$AQ$3&lt;=6),I36,(VLOOKUP(A36,ScaledPrice,2))*(2-(VLOOKUP(A36,ScaledPrice,3)))))</f>
        <v>29.4981716807353</v>
      </c>
      <c r="K36" s="279" t="n">
        <f aca="false">IF(A36="N/A"," ",IF(OR('Pricing Inputs'!$AQ$3=2,'Pricing Inputs'!$AQ$3=3,'Pricing Inputs'!$AQ$3=5,'Pricing Inputs'!$AQ$3=6,'Pricing Inputs'!$AQ$3=8,'Pricing Inputs'!$AQ$3=9),VLOOKUP(A36,ScaledPrice,IF(AND('Pricing Inputs'!$AQ$3&gt;=2,'Pricing Inputs'!$AQ$3&lt;=6),5,6)),0))</f>
        <v>25.1161055928535</v>
      </c>
      <c r="L36" s="279" t="n">
        <f aca="false">IF(A36="N/A"," ",IF(OR('Pricing Inputs'!$AQ$3=2,'Pricing Inputs'!$AQ$3=3,'Pricing Inputs'!$AQ$3=5,'Pricing Inputs'!$AQ$3=6,'Pricing Inputs'!$AQ$3=8,'Pricing Inputs'!$AQ$3=9),IF(AND('Pricing Inputs'!$AQ$3&gt;=2,'Pricing Inputs'!$AQ$3&lt;=6),K36,(VLOOKUP(A36,ScaledPrice,5))*(2-(VLOOKUP(A36,ScaledPrice,3)))),0))</f>
        <v>20.6938927286797</v>
      </c>
      <c r="M36" s="279" t="n">
        <f aca="false">IF(A36="N/A"," ",IF(OR('Pricing Inputs'!$AQ$3=3,'Pricing Inputs'!$AQ$3=6,'Pricing Inputs'!$AQ$3=9),(VLOOKUP(A36,ScaledPrice,IF(AND('Pricing Inputs'!$AQ$3&gt;=3,'Pricing Inputs'!$AQ$3&lt;=6),7,8))),0))</f>
        <v>25.6588907402999</v>
      </c>
      <c r="N36" s="279" t="n">
        <f aca="false">IF(A36="N/A"," ",IF(OR('Pricing Inputs'!$AQ$3=3,'Pricing Inputs'!$AQ$3=6,'Pricing Inputs'!$AQ$3=9),IF(AND('Pricing Inputs'!$AQ$3&gt;=3,'Pricing Inputs'!$AQ$3&lt;=6),M36,(VLOOKUP(A36,ScaledPrice,7))*(2-(VLOOKUP(A36,ScaledPrice,3)))),0))</f>
        <v>21.1411092597001</v>
      </c>
      <c r="O36" s="279" t="n">
        <f aca="false">IF(A36="N/A"," ",IF(AND('Pricing Inputs'!$AQ$3&gt;=1,'Pricing Inputs'!$AQ$3&lt;=3),VLOOKUP(A36,ScaledPrice,9),0))</f>
        <v>0</v>
      </c>
      <c r="P36" s="280" t="e">
        <f aca="false">IF($A36="N/A"," ",IF('Pricing Inputs'!$AN$8=2,(I36-H36),IF('Pricing Inputs'!$AN$3=2,IF((I36-$H36)&gt;0,I36-$H36,0),(xSPRDOPT(I36,$E36,$BU36,0,$BP36,$BS36,$BT36,($A36-Inputs!$D$1)+15,1,0)))))</f>
        <v>#NAME?</v>
      </c>
      <c r="Q36" s="280" t="e">
        <f aca="false">IF($A36="N/A"," ",IF('Pricing Inputs'!$AN$8=2,(J36-$H36),IF('Pricing Inputs'!$AN$3=2,IF((J36-$H36)&gt;0,J36-$H36,0),(xSPRDOPT(J36,$E36,$BU36,0,$BP36,$BS36,$BT36,($A36-Inputs!$D$1)+15,1,0)))))</f>
        <v>#NAME?</v>
      </c>
      <c r="R36" s="280" t="e">
        <f aca="false">IF($A36="N/A"," ",IF('Pricing Inputs'!$AN$8=2,(K36-$H36),IF('Pricing Inputs'!$AN$3=2,IF((K36-$H36)&gt;0,K36-$H36,0),(xSPRDOPT(K36,$E36,$BU36,0,$BP36,$BS36,$BT36,($A36-Inputs!$D$1)+15,1,0)))))</f>
        <v>#NAME?</v>
      </c>
      <c r="S36" s="280" t="e">
        <f aca="false">IF($A36="N/A"," ",IF('Pricing Inputs'!$AN$8=2,(L36-$H36),IF('Pricing Inputs'!$AN$3=2,IF((L36-$H36)&gt;0,L36-$H36,0),(xSPRDOPT(L36,$E36,$BU36,0,$BP36,$BS36,$BT36,($A36-Inputs!$D$1)+15,1,0)))))</f>
        <v>#NAME?</v>
      </c>
      <c r="T36" s="280" t="e">
        <f aca="false">IF($A36="N/A"," ",IF('Pricing Inputs'!$AN$8=2,(M36-$H36),IF('Pricing Inputs'!$AN$3=2,IF((M36-$H36)&gt;0,M36-$H36,0),(xSPRDOPT(M36,$E36,$BU36,0,$BP36,$BS36,$BT36,($A36-Inputs!$D$1)+15,1,0)))))</f>
        <v>#NAME?</v>
      </c>
      <c r="U36" s="280" t="e">
        <f aca="false">IF($A36="N/A"," ",IF('Pricing Inputs'!$AN$8=2,(N36-$H36),IF('Pricing Inputs'!$AN$3=2,IF((N36-$H36)&gt;0,N36-$H36,0),(xSPRDOPT(N36,$E36,$BU36,0,$BP36,$BS36,$BT36,($A36-Inputs!$D$1)+15,1,0)))))</f>
        <v>#NAME?</v>
      </c>
      <c r="V36" s="281" t="e">
        <f aca="false">IF($A36="N/A"," ",(IF('Pricing Inputs'!$AN$8=2,(O36-$H36),IF((O36-$H36)&lt;=0,0,(O36-$H36)))))</f>
        <v>#N/A</v>
      </c>
      <c r="W36" s="282" t="e">
        <f aca="false">IF($A36="N/A"," ",IF(0&lt;&gt;P36,IF('Pricing Inputs'!$AN$3=2,8*VLOOKUP($A36,NumberofDaysTable,2),(xSPRDOPT(I36,$E36,$BU36,0,$BP36,$BS36,$BT36,$A36-Inputs!$D$1,1,1))*(8*VLOOKUP($A36,NumberofDaysTable,2))),0))</f>
        <v>#NAME?</v>
      </c>
      <c r="X36" s="282" t="e">
        <f aca="false">IF($A36="N/A"," ",IF(Q36&lt;&gt;0,IF('Pricing Inputs'!$AN$3=2,8*VLOOKUP($A36,NumberofDaysTable,2),(xSPRDOPT(J36,$E36,$BU36,0,$BP36,$BS36,$BT36,$A36-Inputs!$D$1,1,1))*(8*VLOOKUP($A36,NumberofDaysTable,2))),0))</f>
        <v>#NAME?</v>
      </c>
      <c r="Y36" s="282" t="e">
        <f aca="false">IF($A36="N/A"," ",IF(R36&lt;&gt;0,IF('Pricing Inputs'!$AN$3=2,8*VLOOKUP($A36,NumberofDaysTable,3),(xSPRDOPT(K36,$E36,$BU36,0,$BP36,$BS36,$BT36,$A36-Inputs!$D$1,1,1))*(8*VLOOKUP($A36,NumberofDaysTable,3))),0))</f>
        <v>#NAME?</v>
      </c>
      <c r="Z36" s="282" t="e">
        <f aca="false">IF($A36="N/A"," ",IF(S36&lt;&gt;0,IF('Pricing Inputs'!$AN$3=2,8*VLOOKUP($A36,NumberofDaysTable,3),(xSPRDOPT(L36,$E36,$BU36,0,$BP36,$BS36,$BT36,$A36-Inputs!$D$1,1,1))*(8*VLOOKUP($A36,NumberofDaysTable,3))),0))</f>
        <v>#NAME?</v>
      </c>
      <c r="AA36" s="282" t="e">
        <f aca="false">IF($A36="N/A"," ",IF(T36&lt;&gt;0,IF('Pricing Inputs'!$AN$3=2,8*VLOOKUP($A36,NumberofDaysTable,4),(xSPRDOPT(M36,$E36,$BU36,0,$BP36,$BS36,$BT36,$A36-Inputs!$D$1,1,1))*(8*VLOOKUP($A36,NumberofDaysTable,4))),0))</f>
        <v>#NAME?</v>
      </c>
      <c r="AB36" s="282" t="e">
        <f aca="false">IF($A36="N/A"," ",IF(U36&lt;&gt;0,IF('Pricing Inputs'!$AN$3=2,8*VLOOKUP($A36,NumberofDaysTable,4),(xSPRDOPT(N36,$E36,$BU36,0,$BP36,$BS36,$BT36,$A36-Inputs!$D$1,1,1))*(8*VLOOKUP($A36,NumberofDaysTable,4))),0))</f>
        <v>#NAME?</v>
      </c>
      <c r="AC36" s="282" t="e">
        <f aca="false">IF($A36="N/A"," ",(IF(V36&lt;&gt;0,(8*VLOOKUP($A36,NumberofDaysTable,6)),0)))</f>
        <v>#N/A</v>
      </c>
      <c r="AD36" s="298" t="e">
        <f aca="false">IF($A36="N/A"," ",RANK(P36,$P$28:$V$39))</f>
        <v>#NAME?</v>
      </c>
      <c r="AE36" s="299" t="e">
        <f aca="false">IF($A36="N/A"," ",RANK(Q36,$P$28:$V$39))</f>
        <v>#NAME?</v>
      </c>
      <c r="AF36" s="299" t="e">
        <f aca="false">IF($A36="N/A"," ",RANK(R36,$P$28:$V$39))</f>
        <v>#NAME?</v>
      </c>
      <c r="AG36" s="299" t="e">
        <f aca="false">IF($A36="N/A"," ",RANK(S36,$P$28:$V$39))</f>
        <v>#NAME?</v>
      </c>
      <c r="AH36" s="299" t="e">
        <f aca="false">IF($A36="N/A"," ",RANK(T36,$P$28:$V$39))</f>
        <v>#NAME?</v>
      </c>
      <c r="AI36" s="299" t="e">
        <f aca="false">IF($A36="N/A"," ",RANK(U36,$P$28:$V$39))</f>
        <v>#NAME?</v>
      </c>
      <c r="AJ36" s="300" t="e">
        <f aca="false">IF($A36="N/A"," ",RANK(V36,$P$28:$V$39))</f>
        <v>#NAME?</v>
      </c>
      <c r="AK36" s="286" t="e">
        <f aca="false">IF($A36="N/A"," ",IF(AD36&lt;=$AJ$2,W36,0))</f>
        <v>#NAME?</v>
      </c>
      <c r="AL36" s="301" t="e">
        <f aca="false">IF($A36="N/A"," ",IF(AE36&lt;=$AJ$2,X36,0))</f>
        <v>#NAME?</v>
      </c>
      <c r="AM36" s="301" t="e">
        <f aca="false">IF($A36="N/A"," ",IF(AF36&lt;=$AJ$2,Y36,0))</f>
        <v>#NAME?</v>
      </c>
      <c r="AN36" s="301" t="e">
        <f aca="false">IF($A36="N/A"," ",IF(AG36&lt;=$AJ$2,Z36,0))</f>
        <v>#NAME?</v>
      </c>
      <c r="AO36" s="301" t="e">
        <f aca="false">IF($A36="N/A"," ",IF(AH36&lt;=$AJ$2,AA36,0))</f>
        <v>#NAME?</v>
      </c>
      <c r="AP36" s="301" t="e">
        <f aca="false">IF($A36="N/A"," ",IF(AI36&lt;=$AJ$2,AB36,0))</f>
        <v>#NAME?</v>
      </c>
      <c r="AQ36" s="301" t="e">
        <f aca="false">IF($A36="N/A"," ",IF(AJ36&lt;=$AJ$2,AC36,0))</f>
        <v>#NAME?</v>
      </c>
      <c r="AR36" s="300"/>
      <c r="AS36" s="288" t="e">
        <f aca="false">IF($A36="N/A"," ",IF(AND(AD36=$AJ$2+1,AK36=0),MIN($AR$39,W36),0))</f>
        <v>#NAME?</v>
      </c>
      <c r="AT36" s="302" t="e">
        <f aca="false">IF($A36="N/A"," ",IF(AND(AE36=$AJ$2+1,AL36=0),MIN($AR$39,X36),0))</f>
        <v>#NAME?</v>
      </c>
      <c r="AU36" s="302" t="e">
        <f aca="false">IF($A36="N/A"," ",IF(AND(AF36=$AJ$2+1,AM36=0),MIN($AR$39,Y36),0))</f>
        <v>#NAME?</v>
      </c>
      <c r="AV36" s="302" t="e">
        <f aca="false">IF($A36="N/A"," ",IF(AND(AG36=$AJ$2+1,AN36=0),MIN($AR$39,Z36),0))</f>
        <v>#NAME?</v>
      </c>
      <c r="AW36" s="302" t="e">
        <f aca="false">IF($A36="N/A"," ",IF(AND(AH36=$AJ$2+1,AO36=0),MIN($AR$39,AA36),0))</f>
        <v>#NAME?</v>
      </c>
      <c r="AX36" s="302" t="e">
        <f aca="false">IF($A36="N/A"," ",IF(AND(AI36=$AJ$2+1,AP36=0),MIN($AR$39,AB36),0))</f>
        <v>#NAME?</v>
      </c>
      <c r="AY36" s="302" t="e">
        <f aca="false">IF($A36="N/A"," ",IF(AND(AJ36=$AJ$2+1,AQ36=0),MIN($AR$39,AC36),0))</f>
        <v>#NAME?</v>
      </c>
      <c r="AZ36" s="300"/>
      <c r="BA36" s="291" t="n">
        <f aca="false">IF($A36="N/A"," ",(IF(MONTH(A36)&gt;=4,IF(MONTH(A36)&lt;=10,Inputs!$F$13,Inputs!$F$14),Inputs!$F$14))*$BW36)</f>
        <v>180</v>
      </c>
      <c r="BB36" s="292" t="e">
        <f aca="false">IF($A36="N/A"," ",(IF(AK36&gt;0,($BA36*(8*(VLOOKUP($A36,NumberofDaysTable,2)))*P36),0)+IF(AS36&gt;0,($BA36*((AS36))*P36),0)))</f>
        <v>#NAME?</v>
      </c>
      <c r="BC36" s="292" t="e">
        <f aca="false">IF($A36="N/A"," ",(IF(AL36&gt;0,($BA36*(8*(VLOOKUP($A36,NumberofDaysTable,2)))*Q36),0)+IF(AT36&gt;0,($BA36*((AT36))*Q36),0)))</f>
        <v>#NAME?</v>
      </c>
      <c r="BD36" s="292" t="e">
        <f aca="false">IF($A36="N/A"," ",(IF(AM36&gt;0,($BA36*(8*(VLOOKUP($A36,NumberofDaysTable,3)))*R36),0)+IF(AU36&gt;0,($BA36*((AU36))*R36),0)))</f>
        <v>#NAME?</v>
      </c>
      <c r="BE36" s="292" t="e">
        <f aca="false">IF($A36="N/A"," ",(IF(AN36&gt;0,($BA36*(8*(VLOOKUP($A36,NumberofDaysTable,3)))*S36),0)+IF(AV36&gt;0,($BA36*((AV36))*S36),0)))</f>
        <v>#NAME?</v>
      </c>
      <c r="BF36" s="292" t="e">
        <f aca="false">IF($A36="N/A"," ",(IF(AO36&gt;0,($BA36*(8*(VLOOKUP($A36,NumberofDaysTable,4)+VLOOKUP($A36,NumberofDaysTable,5)))*T36),0)+IF(AW36&gt;0,($BA36*((AW36))*T36),0)))</f>
        <v>#NAME?</v>
      </c>
      <c r="BG36" s="292" t="e">
        <f aca="false">IF($A36="N/A"," ",(IF(AP36&gt;0,($BA36*(8*(VLOOKUP($A36,NumberofDaysTable,4)+VLOOKUP($A36,NumberofDaysTable,5)))*U36),0)+IF(AX36&gt;0,($BA36*((AX36))*U36),0)))</f>
        <v>#NAME?</v>
      </c>
      <c r="BH36" s="292" t="e">
        <f aca="false">IF($A36="N/A"," ",($BA36*AQ36*V36))</f>
        <v>#NAME?</v>
      </c>
      <c r="BI36" s="292" t="e">
        <f aca="false">IF($A36="N/A"," ",SUM(BB36:BH36))</f>
        <v>#NAME?</v>
      </c>
      <c r="BJ36" s="293" t="e">
        <f aca="false">IF($A36="N/A"," ",(H36*(SUM(AK36:AQ36)+SUM(AS36:AY36))*BA36))</f>
        <v>#NAME?</v>
      </c>
      <c r="BK36" s="293" t="e">
        <f aca="false">IF($A36="N/A"," ",((C36*D36)*(SUM($AK36:$AQ36)+SUM($AS36:$AY36))*$BA36))</f>
        <v>#N/A</v>
      </c>
      <c r="BL36" s="293" t="e">
        <f aca="false">IF($A36="N/A"," ",(F36*(SUM($AK36:$AQ36)+SUM($AS36:$AY36))*$BA36))</f>
        <v>#NAME?</v>
      </c>
      <c r="BM36" s="293" t="e">
        <f aca="false">IF($A36="N/A"," ",(G36*(SUM($AK36:$AQ36)+SUM($AS36:$AY36))*$BA36))</f>
        <v>#NAME?</v>
      </c>
      <c r="BN36" s="294" t="n">
        <f aca="false">IF(A36="N/A"," ",(VLOOKUP(A36,PowerVolTable,(IF('Pricing Inputs'!$AT$3=2,7,IF('Pricing Inputs'!$AT$3=1,6,8))),FALSE())))</f>
        <v>0.239207625</v>
      </c>
      <c r="BO36" s="294" t="n">
        <f aca="false">IF(A36="N/A"," ",(VLOOKUP(A36,IntraPowerVol,(IF('Pricing Inputs'!$AT$3=2,3,IF('Pricing Inputs'!$AT$3=1,2,4))),FALSE())*VLOOKUP(MONTH($A36),Inputs!$A$28:$B$39,2)))</f>
        <v>1.725</v>
      </c>
      <c r="BP36" s="295" t="n">
        <f aca="false">IF($A36="N/A"," ",(IF(DateToday&gt;$A36,$BO36,((($BN36^2)*((($A36-1)-DateToday)/((EOMONTH($A36,0)+1)-DateToday-15)))+((($BO36)^2)*((15)/((EOMONTH($A36,0)+1)-DateToday-15))))^0.5)))</f>
        <v>1.725</v>
      </c>
      <c r="BQ36" s="294" t="e">
        <f aca="false">IF($A36="N/A"," ",(VLOOKUP($A36,GasVolTable,(IF('Pricing Inputs'!$AT$3=2,6,IF('Pricing Inputs'!$AT$3=1,7,5))),FALSE())))</f>
        <v>#N/A</v>
      </c>
      <c r="BR36" s="294" t="e">
        <f aca="false">IF($A36="N/A"," ",(VLOOKUP($A36,OmicronVol,(IF('Pricing Inputs'!$AT$3=2,3,IF('Pricing Inputs'!$AT$3=1,4,2))),FALSE())))</f>
        <v>#N/A</v>
      </c>
      <c r="BS36" s="295" t="e">
        <f aca="false">IF($A36="N/A"," ",IF('Pricing Inputs'!$AN$3=1,(IF(DateToday&gt;$A36,$BR36,((($BQ36^2)*((($A36-1)-DateToday)/((EOMONTH($A36,0)+1)-DateToday-15)))+((($BR36)^2)*((15)/((EOMONTH($A36,0)+1)-DateToday-15))))^0.5)),0.0001))</f>
        <v>#N/A</v>
      </c>
      <c r="BT36" s="294" t="n">
        <f aca="false">IF($A36="N/A"," ",IF('Pricing Inputs'!$AN$3=1,(VLOOKUP($A36,CorrelationTable,2,FALSE())),0))</f>
        <v>0.9</v>
      </c>
      <c r="BU36" s="296" t="e">
        <f aca="false">IF($A36="N/A"," ",F36+G36+(D36*(VLOOKUP($A36,'Gas Curves'!$B$17:$P$310,14,FALSE()))))</f>
        <v>#N/A</v>
      </c>
      <c r="BV36" s="294" t="n">
        <f aca="false">IF($A36="N/A"," ",IF('Pricing Inputs'!$AW$3=1,0,(VLOOKUP($A36,InterestRatesTable,2))))</f>
        <v>0</v>
      </c>
      <c r="BW36" s="297" t="n">
        <f aca="false">IF($A36="N/A"," ",(1+BV36/2)^(-2*((EOMONTH(A36,0)+20)-DateToday)/365.25))</f>
        <v>1</v>
      </c>
    </row>
    <row r="37" customFormat="false" ht="12.75" hidden="false" customHeight="false" outlineLevel="0" collapsed="false">
      <c r="A37" s="272" t="n">
        <f aca="false">IF(A36="N/A","N/A",IF(EDATE(A36,1)&gt;Inputs!$K$3,"N/A",EDATE(A36,1)))</f>
        <v>37895</v>
      </c>
      <c r="B37" s="273" t="n">
        <f aca="false">IF(A37="N/A"," ",YEAR(A37))</f>
        <v>2003</v>
      </c>
      <c r="C37" s="274" t="e">
        <f aca="false">IF(A37="N/A"," ",VLOOKUP(A37,ScaledPrice,10))</f>
        <v>#N/A</v>
      </c>
      <c r="D37" s="275" t="n">
        <f aca="false">IF(A37="N/A"," ",(VLOOKUP(MONTH($A37),Inputs!$A$14:$B$25,2))/1000)</f>
        <v>10.5</v>
      </c>
      <c r="E37" s="276" t="e">
        <f aca="false">IF($A37="N/A"," ",C37*D37)</f>
        <v>#N/A</v>
      </c>
      <c r="F37" s="277" t="n">
        <f aca="false">IF(A37="N/A"," ",Inputs!$F$6)</f>
        <v>2</v>
      </c>
      <c r="G37" s="277" t="n">
        <f aca="false">IF(A37="N/A"," ",Inputs!$F$9/IF(AND('Pricing Inputs'!$AQ$3&gt;=4,'Pricing Inputs'!$AQ$3&lt;=6),16,IF(AND('Pricing Inputs'!$AQ$3&gt;=7,'Pricing Inputs'!$AQ$3&lt;=9),8,24))/(BA37/BW37))</f>
        <v>0</v>
      </c>
      <c r="H37" s="278" t="e">
        <f aca="false">IF(A37="N/A"," ",(C37*D37)+F37+G37)</f>
        <v>#N/A</v>
      </c>
      <c r="I37" s="279" t="n">
        <f aca="false">VLOOKUP(A37,ScaledPrice,(IF(AND('Pricing Inputs'!$AQ$3&gt;=1,'Pricing Inputs'!$AQ$3&lt;=6),2,4)))</f>
        <v>30.00252</v>
      </c>
      <c r="J37" s="279" t="n">
        <f aca="false">IF(A37="N/A"," ",IF(AND('Pricing Inputs'!$AQ$3&gt;=1,'Pricing Inputs'!$AQ$3&lt;=6),I37,(VLOOKUP(A37,ScaledPrice,2))*(2-(VLOOKUP(A37,ScaledPrice,3)))))</f>
        <v>30.79748</v>
      </c>
      <c r="K37" s="279" t="n">
        <f aca="false">IF(A37="N/A"," ",IF(OR('Pricing Inputs'!$AQ$3=2,'Pricing Inputs'!$AQ$3=3,'Pricing Inputs'!$AQ$3=5,'Pricing Inputs'!$AQ$3=6,'Pricing Inputs'!$AQ$3=8,'Pricing Inputs'!$AQ$3=9),VLOOKUP(A37,ScaledPrice,IF(AND('Pricing Inputs'!$AQ$3&gt;=2,'Pricing Inputs'!$AQ$3&lt;=6),5,6)),0))</f>
        <v>22.699768567915</v>
      </c>
      <c r="L37" s="279" t="n">
        <f aca="false">IF(A37="N/A"," ",IF(OR('Pricing Inputs'!$AQ$3=2,'Pricing Inputs'!$AQ$3=3,'Pricing Inputs'!$AQ$3=5,'Pricing Inputs'!$AQ$3=6,'Pricing Inputs'!$AQ$3=8,'Pricing Inputs'!$AQ$3=9),IF(AND('Pricing Inputs'!$AQ$3&gt;=2,'Pricing Inputs'!$AQ$3&lt;=6),K37,(VLOOKUP(A37,ScaledPrice,5))*(2-(VLOOKUP(A37,ScaledPrice,3)))),0))</f>
        <v>23.3012316457081</v>
      </c>
      <c r="M37" s="279" t="n">
        <f aca="false">IF(A37="N/A"," ",IF(OR('Pricing Inputs'!$AQ$3=3,'Pricing Inputs'!$AQ$3=6,'Pricing Inputs'!$AQ$3=9),(VLOOKUP(A37,ScaledPrice,IF(AND('Pricing Inputs'!$AQ$3&gt;=3,'Pricing Inputs'!$AQ$3&lt;=6),7,8))),0))</f>
        <v>20.7264117593479</v>
      </c>
      <c r="N37" s="279" t="n">
        <f aca="false">IF(A37="N/A"," ",IF(OR('Pricing Inputs'!$AQ$3=3,'Pricing Inputs'!$AQ$3=6,'Pricing Inputs'!$AQ$3=9),IF(AND('Pricing Inputs'!$AQ$3&gt;=3,'Pricing Inputs'!$AQ$3&lt;=6),M37,(VLOOKUP(A37,ScaledPrice,7))*(2-(VLOOKUP(A37,ScaledPrice,3)))),0))</f>
        <v>21.2755879049587</v>
      </c>
      <c r="O37" s="279" t="n">
        <f aca="false">IF(A37="N/A"," ",IF(AND('Pricing Inputs'!$AQ$3&gt;=1,'Pricing Inputs'!$AQ$3&lt;=3),VLOOKUP(A37,ScaledPrice,9),0))</f>
        <v>0</v>
      </c>
      <c r="P37" s="280" t="e">
        <f aca="false">IF($A37="N/A"," ",IF('Pricing Inputs'!$AN$8=2,(I37-H37),IF('Pricing Inputs'!$AN$3=2,IF((I37-$H37)&gt;0,I37-$H37,0),(xSPRDOPT(I37,$E37,$BU37,0,$BP37,$BS37,$BT37,($A37-Inputs!$D$1)+15,1,0)))))</f>
        <v>#NAME?</v>
      </c>
      <c r="Q37" s="280" t="e">
        <f aca="false">IF($A37="N/A"," ",IF('Pricing Inputs'!$AN$8=2,(J37-$H37),IF('Pricing Inputs'!$AN$3=2,IF((J37-$H37)&gt;0,J37-$H37,0),(xSPRDOPT(J37,$E37,$BU37,0,$BP37,$BS37,$BT37,($A37-Inputs!$D$1)+15,1,0)))))</f>
        <v>#NAME?</v>
      </c>
      <c r="R37" s="280" t="e">
        <f aca="false">IF($A37="N/A"," ",IF('Pricing Inputs'!$AN$8=2,(K37-$H37),IF('Pricing Inputs'!$AN$3=2,IF((K37-$H37)&gt;0,K37-$H37,0),(xSPRDOPT(K37,$E37,$BU37,0,$BP37,$BS37,$BT37,($A37-Inputs!$D$1)+15,1,0)))))</f>
        <v>#NAME?</v>
      </c>
      <c r="S37" s="280" t="e">
        <f aca="false">IF($A37="N/A"," ",IF('Pricing Inputs'!$AN$8=2,(L37-$H37),IF('Pricing Inputs'!$AN$3=2,IF((L37-$H37)&gt;0,L37-$H37,0),(xSPRDOPT(L37,$E37,$BU37,0,$BP37,$BS37,$BT37,($A37-Inputs!$D$1)+15,1,0)))))</f>
        <v>#NAME?</v>
      </c>
      <c r="T37" s="280" t="e">
        <f aca="false">IF($A37="N/A"," ",IF('Pricing Inputs'!$AN$8=2,(M37-$H37),IF('Pricing Inputs'!$AN$3=2,IF((M37-$H37)&gt;0,M37-$H37,0),(xSPRDOPT(M37,$E37,$BU37,0,$BP37,$BS37,$BT37,($A37-Inputs!$D$1)+15,1,0)))))</f>
        <v>#NAME?</v>
      </c>
      <c r="U37" s="280" t="e">
        <f aca="false">IF($A37="N/A"," ",IF('Pricing Inputs'!$AN$8=2,(N37-$H37),IF('Pricing Inputs'!$AN$3=2,IF((N37-$H37)&gt;0,N37-$H37,0),(xSPRDOPT(N37,$E37,$BU37,0,$BP37,$BS37,$BT37,($A37-Inputs!$D$1)+15,1,0)))))</f>
        <v>#NAME?</v>
      </c>
      <c r="V37" s="281" t="e">
        <f aca="false">IF($A37="N/A"," ",(IF('Pricing Inputs'!$AN$8=2,(O37-$H37),IF((O37-$H37)&lt;=0,0,(O37-$H37)))))</f>
        <v>#N/A</v>
      </c>
      <c r="W37" s="282" t="e">
        <f aca="false">IF($A37="N/A"," ",IF(0&lt;&gt;P37,IF('Pricing Inputs'!$AN$3=2,8*VLOOKUP($A37,NumberofDaysTable,2),(xSPRDOPT(I37,$E37,$BU37,0,$BP37,$BS37,$BT37,$A37-Inputs!$D$1,1,1))*(8*VLOOKUP($A37,NumberofDaysTable,2))),0))</f>
        <v>#NAME?</v>
      </c>
      <c r="X37" s="282" t="e">
        <f aca="false">IF($A37="N/A"," ",IF(Q37&lt;&gt;0,IF('Pricing Inputs'!$AN$3=2,8*VLOOKUP($A37,NumberofDaysTable,2),(xSPRDOPT(J37,$E37,$BU37,0,$BP37,$BS37,$BT37,$A37-Inputs!$D$1,1,1))*(8*VLOOKUP($A37,NumberofDaysTable,2))),0))</f>
        <v>#NAME?</v>
      </c>
      <c r="Y37" s="282" t="e">
        <f aca="false">IF($A37="N/A"," ",IF(R37&lt;&gt;0,IF('Pricing Inputs'!$AN$3=2,8*VLOOKUP($A37,NumberofDaysTable,3),(xSPRDOPT(K37,$E37,$BU37,0,$BP37,$BS37,$BT37,$A37-Inputs!$D$1,1,1))*(8*VLOOKUP($A37,NumberofDaysTable,3))),0))</f>
        <v>#NAME?</v>
      </c>
      <c r="Z37" s="282" t="e">
        <f aca="false">IF($A37="N/A"," ",IF(S37&lt;&gt;0,IF('Pricing Inputs'!$AN$3=2,8*VLOOKUP($A37,NumberofDaysTable,3),(xSPRDOPT(L37,$E37,$BU37,0,$BP37,$BS37,$BT37,$A37-Inputs!$D$1,1,1))*(8*VLOOKUP($A37,NumberofDaysTable,3))),0))</f>
        <v>#NAME?</v>
      </c>
      <c r="AA37" s="282" t="e">
        <f aca="false">IF($A37="N/A"," ",IF(T37&lt;&gt;0,IF('Pricing Inputs'!$AN$3=2,8*VLOOKUP($A37,NumberofDaysTable,4),(xSPRDOPT(M37,$E37,$BU37,0,$BP37,$BS37,$BT37,$A37-Inputs!$D$1,1,1))*(8*VLOOKUP($A37,NumberofDaysTable,4))),0))</f>
        <v>#NAME?</v>
      </c>
      <c r="AB37" s="282" t="e">
        <f aca="false">IF($A37="N/A"," ",IF(U37&lt;&gt;0,IF('Pricing Inputs'!$AN$3=2,8*VLOOKUP($A37,NumberofDaysTable,4),(xSPRDOPT(N37,$E37,$BU37,0,$BP37,$BS37,$BT37,$A37-Inputs!$D$1,1,1))*(8*VLOOKUP($A37,NumberofDaysTable,4))),0))</f>
        <v>#NAME?</v>
      </c>
      <c r="AC37" s="282" t="e">
        <f aca="false">IF($A37="N/A"," ",(IF(V37&lt;&gt;0,(8*VLOOKUP($A37,NumberofDaysTable,6)),0)))</f>
        <v>#N/A</v>
      </c>
      <c r="AD37" s="298" t="e">
        <f aca="false">IF($A37="N/A"," ",RANK(P37,$P$28:$V$39))</f>
        <v>#NAME?</v>
      </c>
      <c r="AE37" s="299" t="e">
        <f aca="false">IF($A37="N/A"," ",RANK(Q37,$P$28:$V$39))</f>
        <v>#NAME?</v>
      </c>
      <c r="AF37" s="299" t="e">
        <f aca="false">IF($A37="N/A"," ",RANK(R37,$P$28:$V$39))</f>
        <v>#NAME?</v>
      </c>
      <c r="AG37" s="299" t="e">
        <f aca="false">IF($A37="N/A"," ",RANK(S37,$P$28:$V$39))</f>
        <v>#NAME?</v>
      </c>
      <c r="AH37" s="299" t="e">
        <f aca="false">IF($A37="N/A"," ",RANK(T37,$P$28:$V$39))</f>
        <v>#NAME?</v>
      </c>
      <c r="AI37" s="299" t="e">
        <f aca="false">IF($A37="N/A"," ",RANK(U37,$P$28:$V$39))</f>
        <v>#NAME?</v>
      </c>
      <c r="AJ37" s="300" t="e">
        <f aca="false">IF($A37="N/A"," ",RANK(V37,$P$28:$V$39))</f>
        <v>#NAME?</v>
      </c>
      <c r="AK37" s="286" t="e">
        <f aca="false">IF($A37="N/A"," ",IF(AD37&lt;=$AJ$2,W37,0))</f>
        <v>#NAME?</v>
      </c>
      <c r="AL37" s="301" t="e">
        <f aca="false">IF($A37="N/A"," ",IF(AE37&lt;=$AJ$2,X37,0))</f>
        <v>#NAME?</v>
      </c>
      <c r="AM37" s="301" t="e">
        <f aca="false">IF($A37="N/A"," ",IF(AF37&lt;=$AJ$2,Y37,0))</f>
        <v>#NAME?</v>
      </c>
      <c r="AN37" s="301" t="e">
        <f aca="false">IF($A37="N/A"," ",IF(AG37&lt;=$AJ$2,Z37,0))</f>
        <v>#NAME?</v>
      </c>
      <c r="AO37" s="301" t="e">
        <f aca="false">IF($A37="N/A"," ",IF(AH37&lt;=$AJ$2,AA37,0))</f>
        <v>#NAME?</v>
      </c>
      <c r="AP37" s="301" t="e">
        <f aca="false">IF($A37="N/A"," ",IF(AI37&lt;=$AJ$2,AB37,0))</f>
        <v>#NAME?</v>
      </c>
      <c r="AQ37" s="301" t="e">
        <f aca="false">IF($A37="N/A"," ",IF(AJ37&lt;=$AJ$2,AC37,0))</f>
        <v>#NAME?</v>
      </c>
      <c r="AR37" s="304" t="s">
        <v>1301</v>
      </c>
      <c r="AS37" s="288" t="e">
        <f aca="false">IF($A37="N/A"," ",IF(AND(AD37=$AJ$2+1,AK37=0),MIN($AR$39,W37),0))</f>
        <v>#NAME?</v>
      </c>
      <c r="AT37" s="302" t="e">
        <f aca="false">IF($A37="N/A"," ",IF(AND(AE37=$AJ$2+1,AL37=0),MIN($AR$39,X37),0))</f>
        <v>#NAME?</v>
      </c>
      <c r="AU37" s="302" t="e">
        <f aca="false">IF($A37="N/A"," ",IF(AND(AF37=$AJ$2+1,AM37=0),MIN($AR$39,Y37),0))</f>
        <v>#NAME?</v>
      </c>
      <c r="AV37" s="302" t="e">
        <f aca="false">IF($A37="N/A"," ",IF(AND(AG37=$AJ$2+1,AN37=0),MIN($AR$39,Z37),0))</f>
        <v>#NAME?</v>
      </c>
      <c r="AW37" s="302" t="e">
        <f aca="false">IF($A37="N/A"," ",IF(AND(AH37=$AJ$2+1,AO37=0),MIN($AR$39,AA37),0))</f>
        <v>#NAME?</v>
      </c>
      <c r="AX37" s="302" t="e">
        <f aca="false">IF($A37="N/A"," ",IF(AND(AI37=$AJ$2+1,AP37=0),MIN($AR$39,AB37),0))</f>
        <v>#NAME?</v>
      </c>
      <c r="AY37" s="302" t="e">
        <f aca="false">IF($A37="N/A"," ",IF(AND(AJ37=$AJ$2+1,AQ37=0),MIN($AR$39,AC37),0))</f>
        <v>#NAME?</v>
      </c>
      <c r="AZ37" s="303" t="s">
        <v>1328</v>
      </c>
      <c r="BA37" s="291" t="n">
        <f aca="false">IF($A37="N/A"," ",(IF(MONTH(A37)&gt;=4,IF(MONTH(A37)&lt;=10,Inputs!$F$13,Inputs!$F$14),Inputs!$F$14))*$BW37)</f>
        <v>180</v>
      </c>
      <c r="BB37" s="292" t="e">
        <f aca="false">IF($A37="N/A"," ",(IF(AK37&gt;0,($BA37*(8*(VLOOKUP($A37,NumberofDaysTable,2)))*P37),0)+IF(AS37&gt;0,($BA37*((AS37))*P37),0)))</f>
        <v>#NAME?</v>
      </c>
      <c r="BC37" s="292" t="e">
        <f aca="false">IF($A37="N/A"," ",(IF(AL37&gt;0,($BA37*(8*(VLOOKUP($A37,NumberofDaysTable,2)))*Q37),0)+IF(AT37&gt;0,($BA37*((AT37))*Q37),0)))</f>
        <v>#NAME?</v>
      </c>
      <c r="BD37" s="292" t="e">
        <f aca="false">IF($A37="N/A"," ",(IF(AM37&gt;0,($BA37*(8*(VLOOKUP($A37,NumberofDaysTable,3)))*R37),0)+IF(AU37&gt;0,($BA37*((AU37))*R37),0)))</f>
        <v>#NAME?</v>
      </c>
      <c r="BE37" s="292" t="e">
        <f aca="false">IF($A37="N/A"," ",(IF(AN37&gt;0,($BA37*(8*(VLOOKUP($A37,NumberofDaysTable,3)))*S37),0)+IF(AV37&gt;0,($BA37*((AV37))*S37),0)))</f>
        <v>#NAME?</v>
      </c>
      <c r="BF37" s="292" t="e">
        <f aca="false">IF($A37="N/A"," ",(IF(AO37&gt;0,($BA37*(8*(VLOOKUP($A37,NumberofDaysTable,4)+VLOOKUP($A37,NumberofDaysTable,5)))*T37),0)+IF(AW37&gt;0,($BA37*((AW37))*T37),0)))</f>
        <v>#NAME?</v>
      </c>
      <c r="BG37" s="292" t="e">
        <f aca="false">IF($A37="N/A"," ",(IF(AP37&gt;0,($BA37*(8*(VLOOKUP($A37,NumberofDaysTable,4)+VLOOKUP($A37,NumberofDaysTable,5)))*U37),0)+IF(AX37&gt;0,($BA37*((AX37))*U37),0)))</f>
        <v>#NAME?</v>
      </c>
      <c r="BH37" s="292" t="e">
        <f aca="false">IF($A37="N/A"," ",($BA37*AQ37*V37))</f>
        <v>#NAME?</v>
      </c>
      <c r="BI37" s="292" t="e">
        <f aca="false">IF($A37="N/A"," ",SUM(BB37:BH37))</f>
        <v>#NAME?</v>
      </c>
      <c r="BJ37" s="293" t="e">
        <f aca="false">IF($A37="N/A"," ",(H37*(SUM(AK37:AQ37)+SUM(AS37:AY37))*BA37))</f>
        <v>#NAME?</v>
      </c>
      <c r="BK37" s="293" t="e">
        <f aca="false">IF($A37="N/A"," ",((C37*D37)*(SUM($AK37:$AQ37)+SUM($AS37:$AY37))*$BA37))</f>
        <v>#N/A</v>
      </c>
      <c r="BL37" s="293" t="e">
        <f aca="false">IF($A37="N/A"," ",(F37*(SUM($AK37:$AQ37)+SUM($AS37:$AY37))*$BA37))</f>
        <v>#NAME?</v>
      </c>
      <c r="BM37" s="293" t="e">
        <f aca="false">IF($A37="N/A"," ",(G37*(SUM($AK37:$AQ37)+SUM($AS37:$AY37))*$BA37))</f>
        <v>#NAME?</v>
      </c>
      <c r="BN37" s="294" t="n">
        <f aca="false">IF(A37="N/A"," ",(VLOOKUP(A37,PowerVolTable,(IF('Pricing Inputs'!$AT$3=2,7,IF('Pricing Inputs'!$AT$3=1,6,8))),FALSE())))</f>
        <v>0.21849525</v>
      </c>
      <c r="BO37" s="294" t="n">
        <f aca="false">IF(A37="N/A"," ",(VLOOKUP(A37,IntraPowerVol,(IF('Pricing Inputs'!$AT$3=2,3,IF('Pricing Inputs'!$AT$3=1,2,4))),FALSE())*VLOOKUP(MONTH($A37),Inputs!$A$28:$B$39,2)))</f>
        <v>1.265</v>
      </c>
      <c r="BP37" s="295" t="n">
        <f aca="false">IF($A37="N/A"," ",(IF(DateToday&gt;$A37,$BO37,((($BN37^2)*((($A37-1)-DateToday)/((EOMONTH($A37,0)+1)-DateToday-15)))+((($BO37)^2)*((15)/((EOMONTH($A37,0)+1)-DateToday-15))))^0.5)))</f>
        <v>1.265</v>
      </c>
      <c r="BQ37" s="294" t="e">
        <f aca="false">IF($A37="N/A"," ",(VLOOKUP($A37,GasVolTable,(IF('Pricing Inputs'!$AT$3=2,6,IF('Pricing Inputs'!$AT$3=1,7,5))),FALSE())))</f>
        <v>#N/A</v>
      </c>
      <c r="BR37" s="294" t="e">
        <f aca="false">IF($A37="N/A"," ",(VLOOKUP($A37,OmicronVol,(IF('Pricing Inputs'!$AT$3=2,3,IF('Pricing Inputs'!$AT$3=1,4,2))),FALSE())))</f>
        <v>#N/A</v>
      </c>
      <c r="BS37" s="295" t="e">
        <f aca="false">IF($A37="N/A"," ",IF('Pricing Inputs'!$AN$3=1,(IF(DateToday&gt;$A37,$BR37,((($BQ37^2)*((($A37-1)-DateToday)/((EOMONTH($A37,0)+1)-DateToday-15)))+((($BR37)^2)*((15)/((EOMONTH($A37,0)+1)-DateToday-15))))^0.5)),0.0001))</f>
        <v>#N/A</v>
      </c>
      <c r="BT37" s="294" t="n">
        <f aca="false">IF($A37="N/A"," ",IF('Pricing Inputs'!$AN$3=1,(VLOOKUP($A37,CorrelationTable,2,FALSE())),0))</f>
        <v>0.9</v>
      </c>
      <c r="BU37" s="296" t="e">
        <f aca="false">IF($A37="N/A"," ",F37+G37+(D37*(VLOOKUP($A37,'Gas Curves'!$B$17:$P$310,14,FALSE()))))</f>
        <v>#N/A</v>
      </c>
      <c r="BV37" s="294" t="n">
        <f aca="false">IF($A37="N/A"," ",IF('Pricing Inputs'!$AW$3=1,0,(VLOOKUP($A37,InterestRatesTable,2))))</f>
        <v>0</v>
      </c>
      <c r="BW37" s="297" t="n">
        <f aca="false">IF($A37="N/A"," ",(1+BV37/2)^(-2*((EOMONTH(A37,0)+20)-DateToday)/365.25))</f>
        <v>1</v>
      </c>
    </row>
    <row r="38" customFormat="false" ht="12.75" hidden="false" customHeight="false" outlineLevel="0" collapsed="false">
      <c r="A38" s="272" t="n">
        <f aca="false">IF(A37="N/A","N/A",IF(EDATE(A37,1)&gt;Inputs!$K$3,"N/A",EDATE(A37,1)))</f>
        <v>37926</v>
      </c>
      <c r="B38" s="273" t="n">
        <f aca="false">IF(A38="N/A"," ",YEAR(A38))</f>
        <v>2003</v>
      </c>
      <c r="C38" s="274" t="e">
        <f aca="false">IF(A38="N/A"," ",VLOOKUP(A38,ScaledPrice,10))</f>
        <v>#N/A</v>
      </c>
      <c r="D38" s="275" t="n">
        <f aca="false">IF(A38="N/A"," ",(VLOOKUP(MONTH($A38),Inputs!$A$14:$B$25,2))/1000)</f>
        <v>10.5</v>
      </c>
      <c r="E38" s="276" t="e">
        <f aca="false">IF($A38="N/A"," ",C38*D38)</f>
        <v>#N/A</v>
      </c>
      <c r="F38" s="277" t="n">
        <f aca="false">IF(A38="N/A"," ",Inputs!$F$6)</f>
        <v>2</v>
      </c>
      <c r="G38" s="277" t="n">
        <f aca="false">IF(A38="N/A"," ",Inputs!$F$9/IF(AND('Pricing Inputs'!$AQ$3&gt;=4,'Pricing Inputs'!$AQ$3&lt;=6),16,IF(AND('Pricing Inputs'!$AQ$3&gt;=7,'Pricing Inputs'!$AQ$3&lt;=9),8,24))/(BA38/BW38))</f>
        <v>0</v>
      </c>
      <c r="H38" s="278" t="e">
        <f aca="false">IF(A38="N/A"," ",(C38*D38)+F38+G38)</f>
        <v>#N/A</v>
      </c>
      <c r="I38" s="279" t="n">
        <f aca="false">VLOOKUP(A38,ScaledPrice,(IF(AND('Pricing Inputs'!$AQ$3&gt;=1,'Pricing Inputs'!$AQ$3&lt;=6),2,4)))</f>
        <v>30.443399375</v>
      </c>
      <c r="J38" s="279" t="n">
        <f aca="false">IF(A38="N/A"," ",IF(AND('Pricing Inputs'!$AQ$3&gt;=1,'Pricing Inputs'!$AQ$3&lt;=6),I38,(VLOOKUP(A38,ScaledPrice,2))*(2-(VLOOKUP(A38,ScaledPrice,3)))))</f>
        <v>31.106600625</v>
      </c>
      <c r="K38" s="279" t="n">
        <f aca="false">IF(A38="N/A"," ",IF(OR('Pricing Inputs'!$AQ$3=2,'Pricing Inputs'!$AQ$3=3,'Pricing Inputs'!$AQ$3=5,'Pricing Inputs'!$AQ$3=6,'Pricing Inputs'!$AQ$3=8,'Pricing Inputs'!$AQ$3=9),VLOOKUP(A38,ScaledPrice,IF(AND('Pricing Inputs'!$AQ$3&gt;=2,'Pricing Inputs'!$AQ$3&lt;=6),5,6)),0))</f>
        <v>23.7461003885651</v>
      </c>
      <c r="L38" s="279" t="n">
        <f aca="false">IF(A38="N/A"," ",IF(OR('Pricing Inputs'!$AQ$3=2,'Pricing Inputs'!$AQ$3=3,'Pricing Inputs'!$AQ$3=5,'Pricing Inputs'!$AQ$3=6,'Pricing Inputs'!$AQ$3=8,'Pricing Inputs'!$AQ$3=9),IF(AND('Pricing Inputs'!$AQ$3&gt;=2,'Pricing Inputs'!$AQ$3&lt;=6),K38,(VLOOKUP(A38,ScaledPrice,5))*(2-(VLOOKUP(A38,ScaledPrice,3)))),0))</f>
        <v>24.2634027852631</v>
      </c>
      <c r="M38" s="279" t="n">
        <f aca="false">IF(A38="N/A"," ",IF(OR('Pricing Inputs'!$AQ$3=3,'Pricing Inputs'!$AQ$3=6,'Pricing Inputs'!$AQ$3=9),(VLOOKUP(A38,ScaledPrice,IF(AND('Pricing Inputs'!$AQ$3&gt;=3,'Pricing Inputs'!$AQ$3&lt;=6),7,8))),0))</f>
        <v>21.7674013313675</v>
      </c>
      <c r="N38" s="279" t="n">
        <f aca="false">IF(A38="N/A"," ",IF(OR('Pricing Inputs'!$AQ$3=3,'Pricing Inputs'!$AQ$3=6,'Pricing Inputs'!$AQ$3=9),IF(AND('Pricing Inputs'!$AQ$3&gt;=3,'Pricing Inputs'!$AQ$3&lt;=6),M38,(VLOOKUP(A38,ScaledPrice,7))*(2-(VLOOKUP(A38,ScaledPrice,3)))),0))</f>
        <v>22.2415983024216</v>
      </c>
      <c r="O38" s="279" t="n">
        <f aca="false">IF(A38="N/A"," ",IF(AND('Pricing Inputs'!$AQ$3&gt;=1,'Pricing Inputs'!$AQ$3&lt;=3),VLOOKUP(A38,ScaledPrice,9),0))</f>
        <v>0</v>
      </c>
      <c r="P38" s="280" t="e">
        <f aca="false">IF($A38="N/A"," ",IF('Pricing Inputs'!$AN$8=2,(I38-H38),IF('Pricing Inputs'!$AN$3=2,IF((I38-$H38)&gt;0,I38-$H38,0),(xSPRDOPT(I38,$E38,$BU38,0,$BP38,$BS38,$BT38,($A38-Inputs!$D$1)+15,1,0)))))</f>
        <v>#NAME?</v>
      </c>
      <c r="Q38" s="280" t="e">
        <f aca="false">IF($A38="N/A"," ",IF('Pricing Inputs'!$AN$8=2,(J38-$H38),IF('Pricing Inputs'!$AN$3=2,IF((J38-$H38)&gt;0,J38-$H38,0),(xSPRDOPT(J38,$E38,$BU38,0,$BP38,$BS38,$BT38,($A38-Inputs!$D$1)+15,1,0)))))</f>
        <v>#NAME?</v>
      </c>
      <c r="R38" s="280" t="e">
        <f aca="false">IF($A38="N/A"," ",IF('Pricing Inputs'!$AN$8=2,(K38-$H38),IF('Pricing Inputs'!$AN$3=2,IF((K38-$H38)&gt;0,K38-$H38,0),(xSPRDOPT(K38,$E38,$BU38,0,$BP38,$BS38,$BT38,($A38-Inputs!$D$1)+15,1,0)))))</f>
        <v>#NAME?</v>
      </c>
      <c r="S38" s="280" t="e">
        <f aca="false">IF($A38="N/A"," ",IF('Pricing Inputs'!$AN$8=2,(L38-$H38),IF('Pricing Inputs'!$AN$3=2,IF((L38-$H38)&gt;0,L38-$H38,0),(xSPRDOPT(L38,$E38,$BU38,0,$BP38,$BS38,$BT38,($A38-Inputs!$D$1)+15,1,0)))))</f>
        <v>#NAME?</v>
      </c>
      <c r="T38" s="280" t="e">
        <f aca="false">IF($A38="N/A"," ",IF('Pricing Inputs'!$AN$8=2,(M38-$H38),IF('Pricing Inputs'!$AN$3=2,IF((M38-$H38)&gt;0,M38-$H38,0),(xSPRDOPT(M38,$E38,$BU38,0,$BP38,$BS38,$BT38,($A38-Inputs!$D$1)+15,1,0)))))</f>
        <v>#NAME?</v>
      </c>
      <c r="U38" s="280" t="e">
        <f aca="false">IF($A38="N/A"," ",IF('Pricing Inputs'!$AN$8=2,(N38-$H38),IF('Pricing Inputs'!$AN$3=2,IF((N38-$H38)&gt;0,N38-$H38,0),(xSPRDOPT(N38,$E38,$BU38,0,$BP38,$BS38,$BT38,($A38-Inputs!$D$1)+15,1,0)))))</f>
        <v>#NAME?</v>
      </c>
      <c r="V38" s="281" t="e">
        <f aca="false">IF($A38="N/A"," ",(IF('Pricing Inputs'!$AN$8=2,(O38-$H38),IF((O38-$H38)&lt;=0,0,(O38-$H38)))))</f>
        <v>#N/A</v>
      </c>
      <c r="W38" s="282" t="e">
        <f aca="false">IF($A38="N/A"," ",IF(0&lt;&gt;P38,IF('Pricing Inputs'!$AN$3=2,8*VLOOKUP($A38,NumberofDaysTable,2),(xSPRDOPT(I38,$E38,$BU38,0,$BP38,$BS38,$BT38,$A38-Inputs!$D$1,1,1))*(8*VLOOKUP($A38,NumberofDaysTable,2))),0))</f>
        <v>#NAME?</v>
      </c>
      <c r="X38" s="282" t="e">
        <f aca="false">IF($A38="N/A"," ",IF(Q38&lt;&gt;0,IF('Pricing Inputs'!$AN$3=2,8*VLOOKUP($A38,NumberofDaysTable,2),(xSPRDOPT(J38,$E38,$BU38,0,$BP38,$BS38,$BT38,$A38-Inputs!$D$1,1,1))*(8*VLOOKUP($A38,NumberofDaysTable,2))),0))</f>
        <v>#NAME?</v>
      </c>
      <c r="Y38" s="282" t="e">
        <f aca="false">IF($A38="N/A"," ",IF(R38&lt;&gt;0,IF('Pricing Inputs'!$AN$3=2,8*VLOOKUP($A38,NumberofDaysTable,3),(xSPRDOPT(K38,$E38,$BU38,0,$BP38,$BS38,$BT38,$A38-Inputs!$D$1,1,1))*(8*VLOOKUP($A38,NumberofDaysTable,3))),0))</f>
        <v>#NAME?</v>
      </c>
      <c r="Z38" s="282" t="e">
        <f aca="false">IF($A38="N/A"," ",IF(S38&lt;&gt;0,IF('Pricing Inputs'!$AN$3=2,8*VLOOKUP($A38,NumberofDaysTable,3),(xSPRDOPT(L38,$E38,$BU38,0,$BP38,$BS38,$BT38,$A38-Inputs!$D$1,1,1))*(8*VLOOKUP($A38,NumberofDaysTable,3))),0))</f>
        <v>#NAME?</v>
      </c>
      <c r="AA38" s="282" t="e">
        <f aca="false">IF($A38="N/A"," ",IF(T38&lt;&gt;0,IF('Pricing Inputs'!$AN$3=2,8*VLOOKUP($A38,NumberofDaysTable,4),(xSPRDOPT(M38,$E38,$BU38,0,$BP38,$BS38,$BT38,$A38-Inputs!$D$1,1,1))*(8*VLOOKUP($A38,NumberofDaysTable,4))),0))</f>
        <v>#NAME?</v>
      </c>
      <c r="AB38" s="282" t="e">
        <f aca="false">IF($A38="N/A"," ",IF(U38&lt;&gt;0,IF('Pricing Inputs'!$AN$3=2,8*VLOOKUP($A38,NumberofDaysTable,4),(xSPRDOPT(N38,$E38,$BU38,0,$BP38,$BS38,$BT38,$A38-Inputs!$D$1,1,1))*(8*VLOOKUP($A38,NumberofDaysTable,4))),0))</f>
        <v>#NAME?</v>
      </c>
      <c r="AC38" s="282" t="e">
        <f aca="false">IF($A38="N/A"," ",(IF(V38&lt;&gt;0,(8*VLOOKUP($A38,NumberofDaysTable,6)),0)))</f>
        <v>#N/A</v>
      </c>
      <c r="AD38" s="298" t="e">
        <f aca="false">IF($A38="N/A"," ",RANK(P38,$P$28:$V$39))</f>
        <v>#NAME?</v>
      </c>
      <c r="AE38" s="299" t="e">
        <f aca="false">IF($A38="N/A"," ",RANK(Q38,$P$28:$V$39))</f>
        <v>#NAME?</v>
      </c>
      <c r="AF38" s="299" t="e">
        <f aca="false">IF($A38="N/A"," ",RANK(R38,$P$28:$V$39))</f>
        <v>#NAME?</v>
      </c>
      <c r="AG38" s="299" t="e">
        <f aca="false">IF($A38="N/A"," ",RANK(S38,$P$28:$V$39))</f>
        <v>#NAME?</v>
      </c>
      <c r="AH38" s="299" t="e">
        <f aca="false">IF($A38="N/A"," ",RANK(T38,$P$28:$V$39))</f>
        <v>#NAME?</v>
      </c>
      <c r="AI38" s="299" t="e">
        <f aca="false">IF($A38="N/A"," ",RANK(U38,$P$28:$V$39))</f>
        <v>#NAME?</v>
      </c>
      <c r="AJ38" s="300" t="e">
        <f aca="false">IF($A38="N/A"," ",RANK(V38,$P$28:$V$39))</f>
        <v>#NAME?</v>
      </c>
      <c r="AK38" s="286" t="e">
        <f aca="false">IF($A38="N/A"," ",IF(AD38&lt;=$AJ$2,W38,0))</f>
        <v>#NAME?</v>
      </c>
      <c r="AL38" s="301" t="e">
        <f aca="false">IF($A38="N/A"," ",IF(AE38&lt;=$AJ$2,X38,0))</f>
        <v>#NAME?</v>
      </c>
      <c r="AM38" s="301" t="e">
        <f aca="false">IF($A38="N/A"," ",IF(AF38&lt;=$AJ$2,Y38,0))</f>
        <v>#NAME?</v>
      </c>
      <c r="AN38" s="301" t="e">
        <f aca="false">IF($A38="N/A"," ",IF(AG38&lt;=$AJ$2,Z38,0))</f>
        <v>#NAME?</v>
      </c>
      <c r="AO38" s="301" t="e">
        <f aca="false">IF($A38="N/A"," ",IF(AH38&lt;=$AJ$2,AA38,0))</f>
        <v>#NAME?</v>
      </c>
      <c r="AP38" s="301" t="e">
        <f aca="false">IF($A38="N/A"," ",IF(AI38&lt;=$AJ$2,AB38,0))</f>
        <v>#NAME?</v>
      </c>
      <c r="AQ38" s="301" t="e">
        <f aca="false">IF($A38="N/A"," ",IF(AJ38&lt;=$AJ$2,AC38,0))</f>
        <v>#NAME?</v>
      </c>
      <c r="AR38" s="300" t="e">
        <f aca="false">SUM(AK28:AQ39)</f>
        <v>#NAME?</v>
      </c>
      <c r="AS38" s="288" t="e">
        <f aca="false">IF($A38="N/A"," ",IF(AND(AD38=$AJ$2+1,AK38=0),MIN($AR$39,W38),0))</f>
        <v>#NAME?</v>
      </c>
      <c r="AT38" s="302" t="e">
        <f aca="false">IF($A38="N/A"," ",IF(AND(AE38=$AJ$2+1,AL38=0),MIN($AR$39,X38),0))</f>
        <v>#NAME?</v>
      </c>
      <c r="AU38" s="302" t="e">
        <f aca="false">IF($A38="N/A"," ",IF(AND(AF38=$AJ$2+1,AM38=0),MIN($AR$39,Y38),0))</f>
        <v>#NAME?</v>
      </c>
      <c r="AV38" s="302" t="e">
        <f aca="false">IF($A38="N/A"," ",IF(AND(AG38=$AJ$2+1,AN38=0),MIN($AR$39,Z38),0))</f>
        <v>#NAME?</v>
      </c>
      <c r="AW38" s="302" t="e">
        <f aca="false">IF($A38="N/A"," ",IF(AND(AH38=$AJ$2+1,AO38=0),MIN($AR$39,AA38),0))</f>
        <v>#NAME?</v>
      </c>
      <c r="AX38" s="302" t="e">
        <f aca="false">IF($A38="N/A"," ",IF(AND(AI38=$AJ$2+1,AP38=0),MIN($AR$39,AB38),0))</f>
        <v>#NAME?</v>
      </c>
      <c r="AY38" s="302" t="e">
        <f aca="false">IF($A38="N/A"," ",IF(AND(AJ38=$AJ$2+1,AQ38=0),MIN($AR$39,AC38),0))</f>
        <v>#NAME?</v>
      </c>
      <c r="AZ38" s="300" t="e">
        <f aca="false">SUM(AS28:AY39)</f>
        <v>#NAME?</v>
      </c>
      <c r="BA38" s="291" t="n">
        <f aca="false">IF($A38="N/A"," ",(IF(MONTH(A38)&gt;=4,IF(MONTH(A38)&lt;=10,Inputs!$F$13,Inputs!$F$14),Inputs!$F$14))*$BW38)</f>
        <v>180</v>
      </c>
      <c r="BB38" s="292" t="e">
        <f aca="false">IF($A38="N/A"," ",(IF(AK38&gt;0,($BA38*(8*(VLOOKUP($A38,NumberofDaysTable,2)))*P38),0)+IF(AS38&gt;0,($BA38*((AS38))*P38),0)))</f>
        <v>#NAME?</v>
      </c>
      <c r="BC38" s="292" t="e">
        <f aca="false">IF($A38="N/A"," ",(IF(AL38&gt;0,($BA38*(8*(VLOOKUP($A38,NumberofDaysTable,2)))*Q38),0)+IF(AT38&gt;0,($BA38*((AT38))*Q38),0)))</f>
        <v>#NAME?</v>
      </c>
      <c r="BD38" s="292" t="e">
        <f aca="false">IF($A38="N/A"," ",(IF(AM38&gt;0,($BA38*(8*(VLOOKUP($A38,NumberofDaysTable,3)))*R38),0)+IF(AU38&gt;0,($BA38*((AU38))*R38),0)))</f>
        <v>#NAME?</v>
      </c>
      <c r="BE38" s="292" t="e">
        <f aca="false">IF($A38="N/A"," ",(IF(AN38&gt;0,($BA38*(8*(VLOOKUP($A38,NumberofDaysTable,3)))*S38),0)+IF(AV38&gt;0,($BA38*((AV38))*S38),0)))</f>
        <v>#NAME?</v>
      </c>
      <c r="BF38" s="292" t="e">
        <f aca="false">IF($A38="N/A"," ",(IF(AO38&gt;0,($BA38*(8*(VLOOKUP($A38,NumberofDaysTable,4)+VLOOKUP($A38,NumberofDaysTable,5)))*T38),0)+IF(AW38&gt;0,($BA38*((AW38))*T38),0)))</f>
        <v>#NAME?</v>
      </c>
      <c r="BG38" s="292" t="e">
        <f aca="false">IF($A38="N/A"," ",(IF(AP38&gt;0,($BA38*(8*(VLOOKUP($A38,NumberofDaysTable,4)+VLOOKUP($A38,NumberofDaysTable,5)))*U38),0)+IF(AX38&gt;0,($BA38*((AX38))*U38),0)))</f>
        <v>#NAME?</v>
      </c>
      <c r="BH38" s="292" t="e">
        <f aca="false">IF($A38="N/A"," ",($BA38*AQ38*V38))</f>
        <v>#NAME?</v>
      </c>
      <c r="BI38" s="292" t="e">
        <f aca="false">IF($A38="N/A"," ",SUM(BB38:BH38))</f>
        <v>#NAME?</v>
      </c>
      <c r="BJ38" s="293" t="e">
        <f aca="false">IF($A38="N/A"," ",(H38*(SUM(AK38:AQ38)+SUM(AS38:AY38))*BA38))</f>
        <v>#NAME?</v>
      </c>
      <c r="BK38" s="293" t="e">
        <f aca="false">IF($A38="N/A"," ",((C38*D38)*(SUM($AK38:$AQ38)+SUM($AS38:$AY38))*$BA38))</f>
        <v>#N/A</v>
      </c>
      <c r="BL38" s="293" t="e">
        <f aca="false">IF($A38="N/A"," ",(F38*(SUM($AK38:$AQ38)+SUM($AS38:$AY38))*$BA38))</f>
        <v>#NAME?</v>
      </c>
      <c r="BM38" s="293" t="e">
        <f aca="false">IF($A38="N/A"," ",(G38*(SUM($AK38:$AQ38)+SUM($AS38:$AY38))*$BA38))</f>
        <v>#NAME?</v>
      </c>
      <c r="BN38" s="294" t="n">
        <f aca="false">IF(A38="N/A"," ",(VLOOKUP(A38,PowerVolTable,(IF('Pricing Inputs'!$AT$3=2,7,IF('Pricing Inputs'!$AT$3=1,6,8))),FALSE())))</f>
        <v>0.21849525</v>
      </c>
      <c r="BO38" s="294" t="n">
        <f aca="false">IF(A38="N/A"," ",(VLOOKUP(A38,IntraPowerVol,(IF('Pricing Inputs'!$AT$3=2,3,IF('Pricing Inputs'!$AT$3=1,2,4))),FALSE())*VLOOKUP(MONTH($A38),Inputs!$A$28:$B$39,2)))</f>
        <v>1.4375</v>
      </c>
      <c r="BP38" s="295" t="n">
        <f aca="false">IF($A38="N/A"," ",(IF(DateToday&gt;$A38,$BO38,((($BN38^2)*((($A38-1)-DateToday)/((EOMONTH($A38,0)+1)-DateToday-15)))+((($BO38)^2)*((15)/((EOMONTH($A38,0)+1)-DateToday-15))))^0.5)))</f>
        <v>1.4375</v>
      </c>
      <c r="BQ38" s="294" t="e">
        <f aca="false">IF($A38="N/A"," ",(VLOOKUP($A38,GasVolTable,(IF('Pricing Inputs'!$AT$3=2,6,IF('Pricing Inputs'!$AT$3=1,7,5))),FALSE())))</f>
        <v>#N/A</v>
      </c>
      <c r="BR38" s="294" t="e">
        <f aca="false">IF($A38="N/A"," ",(VLOOKUP($A38,OmicronVol,(IF('Pricing Inputs'!$AT$3=2,3,IF('Pricing Inputs'!$AT$3=1,4,2))),FALSE())))</f>
        <v>#N/A</v>
      </c>
      <c r="BS38" s="295" t="e">
        <f aca="false">IF($A38="N/A"," ",IF('Pricing Inputs'!$AN$3=1,(IF(DateToday&gt;$A38,$BR38,((($BQ38^2)*((($A38-1)-DateToday)/((EOMONTH($A38,0)+1)-DateToday-15)))+((($BR38)^2)*((15)/((EOMONTH($A38,0)+1)-DateToday-15))))^0.5)),0.0001))</f>
        <v>#N/A</v>
      </c>
      <c r="BT38" s="294" t="n">
        <f aca="false">IF($A38="N/A"," ",IF('Pricing Inputs'!$AN$3=1,(VLOOKUP($A38,CorrelationTable,2,FALSE())),0))</f>
        <v>0.9</v>
      </c>
      <c r="BU38" s="296" t="e">
        <f aca="false">IF($A38="N/A"," ",F38+G38+(D38*(VLOOKUP($A38,'Gas Curves'!$B$17:$P$310,14,FALSE()))))</f>
        <v>#N/A</v>
      </c>
      <c r="BV38" s="294" t="n">
        <f aca="false">IF($A38="N/A"," ",IF('Pricing Inputs'!$AW$3=1,0,(VLOOKUP($A38,InterestRatesTable,2))))</f>
        <v>0</v>
      </c>
      <c r="BW38" s="297" t="n">
        <f aca="false">IF($A38="N/A"," ",(1+BV38/2)^(-2*((EOMONTH(A38,0)+20)-DateToday)/365.25))</f>
        <v>1</v>
      </c>
    </row>
    <row r="39" customFormat="false" ht="12.75" hidden="false" customHeight="false" outlineLevel="0" collapsed="false">
      <c r="A39" s="272" t="n">
        <f aca="false">IF(A38="N/A","N/A",IF(EDATE(A38,1)&gt;Inputs!$K$3,"N/A",EDATE(A38,1)))</f>
        <v>37956</v>
      </c>
      <c r="B39" s="273" t="n">
        <f aca="false">IF(A39="N/A"," ",YEAR(A39))</f>
        <v>2003</v>
      </c>
      <c r="C39" s="274" t="e">
        <f aca="false">IF(A39="N/A"," ",VLOOKUP(A39,ScaledPrice,10))</f>
        <v>#N/A</v>
      </c>
      <c r="D39" s="275" t="n">
        <f aca="false">IF(A39="N/A"," ",(VLOOKUP(MONTH($A39),Inputs!$A$14:$B$25,2))/1000)</f>
        <v>10.5</v>
      </c>
      <c r="E39" s="276" t="e">
        <f aca="false">IF($A39="N/A"," ",C39*D39)</f>
        <v>#N/A</v>
      </c>
      <c r="F39" s="277" t="n">
        <f aca="false">IF(A39="N/A"," ",Inputs!$F$6)</f>
        <v>2</v>
      </c>
      <c r="G39" s="277" t="n">
        <f aca="false">IF(A39="N/A"," ",Inputs!$F$9/IF(AND('Pricing Inputs'!$AQ$3&gt;=4,'Pricing Inputs'!$AQ$3&lt;=6),16,IF(AND('Pricing Inputs'!$AQ$3&gt;=7,'Pricing Inputs'!$AQ$3&lt;=9),8,24))/(BA39/BW39))</f>
        <v>0</v>
      </c>
      <c r="H39" s="278" t="e">
        <f aca="false">IF(A39="N/A"," ",(C39*D39)+F39+G39)</f>
        <v>#N/A</v>
      </c>
      <c r="I39" s="279" t="n">
        <f aca="false">VLOOKUP(A39,ScaledPrice,(IF(AND('Pricing Inputs'!$AQ$3&gt;=1,'Pricing Inputs'!$AQ$3&lt;=6),2,4)))</f>
        <v>29.9916209937621</v>
      </c>
      <c r="J39" s="279" t="n">
        <f aca="false">IF(A39="N/A"," ",IF(AND('Pricing Inputs'!$AQ$3&gt;=1,'Pricing Inputs'!$AQ$3&lt;=6),I39,(VLOOKUP(A39,ScaledPrice,2))*(2-(VLOOKUP(A39,ScaledPrice,3)))))</f>
        <v>31.3083790062379</v>
      </c>
      <c r="K39" s="279" t="n">
        <f aca="false">IF(A39="N/A"," ",IF(OR('Pricing Inputs'!$AQ$3=2,'Pricing Inputs'!$AQ$3=3,'Pricing Inputs'!$AQ$3=5,'Pricing Inputs'!$AQ$3=6,'Pricing Inputs'!$AQ$3=8,'Pricing Inputs'!$AQ$3=9),VLOOKUP(A39,ScaledPrice,IF(AND('Pricing Inputs'!$AQ$3&gt;=2,'Pricing Inputs'!$AQ$3&lt;=6),5,6)),0))</f>
        <v>24.9082109084651</v>
      </c>
      <c r="L39" s="279" t="n">
        <f aca="false">IF(A39="N/A"," ",IF(OR('Pricing Inputs'!$AQ$3=2,'Pricing Inputs'!$AQ$3=3,'Pricing Inputs'!$AQ$3=5,'Pricing Inputs'!$AQ$3=6,'Pricing Inputs'!$AQ$3=8,'Pricing Inputs'!$AQ$3=9),IF(AND('Pricing Inputs'!$AQ$3&gt;=2,'Pricing Inputs'!$AQ$3&lt;=6),K39,(VLOOKUP(A39,ScaledPrice,5))*(2-(VLOOKUP(A39,ScaledPrice,3)))),0))</f>
        <v>26.0017858871892</v>
      </c>
      <c r="M39" s="279" t="n">
        <f aca="false">IF(A39="N/A"," ",IF(OR('Pricing Inputs'!$AQ$3=3,'Pricing Inputs'!$AQ$3=6,'Pricing Inputs'!$AQ$3=9),(VLOOKUP(A39,ScaledPrice,IF(AND('Pricing Inputs'!$AQ$3&gt;=3,'Pricing Inputs'!$AQ$3&lt;=6),7,8))),0))</f>
        <v>21.4785010744303</v>
      </c>
      <c r="N39" s="279" t="n">
        <f aca="false">IF(A39="N/A"," ",IF(OR('Pricing Inputs'!$AQ$3=3,'Pricing Inputs'!$AQ$3=6,'Pricing Inputs'!$AQ$3=9),IF(AND('Pricing Inputs'!$AQ$3&gt;=3,'Pricing Inputs'!$AQ$3&lt;=6),M39,(VLOOKUP(A39,ScaledPrice,7))*(2-(VLOOKUP(A39,ScaledPrice,3)))),0))</f>
        <v>22.4214973996908</v>
      </c>
      <c r="O39" s="279" t="n">
        <f aca="false">IF(A39="N/A"," ",IF(AND('Pricing Inputs'!$AQ$3&gt;=1,'Pricing Inputs'!$AQ$3&lt;=3),VLOOKUP(A39,ScaledPrice,9),0))</f>
        <v>0</v>
      </c>
      <c r="P39" s="280" t="e">
        <f aca="false">IF($A39="N/A"," ",IF('Pricing Inputs'!$AN$8=2,(I39-H39),IF('Pricing Inputs'!$AN$3=2,IF((I39-$H39)&gt;0,I39-$H39,0),(xSPRDOPT(I39,$E39,$BU39,0,$BP39,$BS39,$BT39,($A39-Inputs!$D$1)+15,1,0)))))</f>
        <v>#NAME?</v>
      </c>
      <c r="Q39" s="280" t="e">
        <f aca="false">IF($A39="N/A"," ",IF('Pricing Inputs'!$AN$8=2,(J39-$H39),IF('Pricing Inputs'!$AN$3=2,IF((J39-$H39)&gt;0,J39-$H39,0),(xSPRDOPT(J39,$E39,$BU39,0,$BP39,$BS39,$BT39,($A39-Inputs!$D$1)+15,1,0)))))</f>
        <v>#NAME?</v>
      </c>
      <c r="R39" s="280" t="e">
        <f aca="false">IF($A39="N/A"," ",IF('Pricing Inputs'!$AN$8=2,(K39-$H39),IF('Pricing Inputs'!$AN$3=2,IF((K39-$H39)&gt;0,K39-$H39,0),(xSPRDOPT(K39,$E39,$BU39,0,$BP39,$BS39,$BT39,($A39-Inputs!$D$1)+15,1,0)))))</f>
        <v>#NAME?</v>
      </c>
      <c r="S39" s="280" t="e">
        <f aca="false">IF($A39="N/A"," ",IF('Pricing Inputs'!$AN$8=2,(L39-$H39),IF('Pricing Inputs'!$AN$3=2,IF((L39-$H39)&gt;0,L39-$H39,0),(xSPRDOPT(L39,$E39,$BU39,0,$BP39,$BS39,$BT39,($A39-Inputs!$D$1)+15,1,0)))))</f>
        <v>#NAME?</v>
      </c>
      <c r="T39" s="280" t="e">
        <f aca="false">IF($A39="N/A"," ",IF('Pricing Inputs'!$AN$8=2,(M39-$H39),IF('Pricing Inputs'!$AN$3=2,IF((M39-$H39)&gt;0,M39-$H39,0),(xSPRDOPT(M39,$E39,$BU39,0,$BP39,$BS39,$BT39,($A39-Inputs!$D$1)+15,1,0)))))</f>
        <v>#NAME?</v>
      </c>
      <c r="U39" s="280" t="e">
        <f aca="false">IF($A39="N/A"," ",IF('Pricing Inputs'!$AN$8=2,(N39-$H39),IF('Pricing Inputs'!$AN$3=2,IF((N39-$H39)&gt;0,N39-$H39,0),(xSPRDOPT(N39,$E39,$BU39,0,$BP39,$BS39,$BT39,($A39-Inputs!$D$1)+15,1,0)))))</f>
        <v>#NAME?</v>
      </c>
      <c r="V39" s="281" t="e">
        <f aca="false">IF($A39="N/A"," ",(IF('Pricing Inputs'!$AN$8=2,(O39-$H39),IF((O39-$H39)&lt;=0,0,(O39-$H39)))))</f>
        <v>#N/A</v>
      </c>
      <c r="W39" s="282" t="e">
        <f aca="false">IF($A39="N/A"," ",IF(0&lt;&gt;P39,IF('Pricing Inputs'!$AN$3=2,8*VLOOKUP($A39,NumberofDaysTable,2),(xSPRDOPT(I39,$E39,$BU39,0,$BP39,$BS39,$BT39,$A39-Inputs!$D$1,1,1))*(8*VLOOKUP($A39,NumberofDaysTable,2))),0))</f>
        <v>#NAME?</v>
      </c>
      <c r="X39" s="282" t="e">
        <f aca="false">IF($A39="N/A"," ",IF(Q39&lt;&gt;0,IF('Pricing Inputs'!$AN$3=2,8*VLOOKUP($A39,NumberofDaysTable,2),(xSPRDOPT(J39,$E39,$BU39,0,$BP39,$BS39,$BT39,$A39-Inputs!$D$1,1,1))*(8*VLOOKUP($A39,NumberofDaysTable,2))),0))</f>
        <v>#NAME?</v>
      </c>
      <c r="Y39" s="282" t="e">
        <f aca="false">IF($A39="N/A"," ",IF(R39&lt;&gt;0,IF('Pricing Inputs'!$AN$3=2,8*VLOOKUP($A39,NumberofDaysTable,3),(xSPRDOPT(K39,$E39,$BU39,0,$BP39,$BS39,$BT39,$A39-Inputs!$D$1,1,1))*(8*VLOOKUP($A39,NumberofDaysTable,3))),0))</f>
        <v>#NAME?</v>
      </c>
      <c r="Z39" s="282" t="e">
        <f aca="false">IF($A39="N/A"," ",IF(S39&lt;&gt;0,IF('Pricing Inputs'!$AN$3=2,8*VLOOKUP($A39,NumberofDaysTable,3),(xSPRDOPT(L39,$E39,$BU39,0,$BP39,$BS39,$BT39,$A39-Inputs!$D$1,1,1))*(8*VLOOKUP($A39,NumberofDaysTable,3))),0))</f>
        <v>#NAME?</v>
      </c>
      <c r="AA39" s="282" t="e">
        <f aca="false">IF($A39="N/A"," ",IF(T39&lt;&gt;0,IF('Pricing Inputs'!$AN$3=2,8*VLOOKUP($A39,NumberofDaysTable,4),(xSPRDOPT(M39,$E39,$BU39,0,$BP39,$BS39,$BT39,$A39-Inputs!$D$1,1,1))*(8*VLOOKUP($A39,NumberofDaysTable,4))),0))</f>
        <v>#NAME?</v>
      </c>
      <c r="AB39" s="282" t="e">
        <f aca="false">IF($A39="N/A"," ",IF(U39&lt;&gt;0,IF('Pricing Inputs'!$AN$3=2,8*VLOOKUP($A39,NumberofDaysTable,4),(xSPRDOPT(N39,$E39,$BU39,0,$BP39,$BS39,$BT39,$A39-Inputs!$D$1,1,1))*(8*VLOOKUP($A39,NumberofDaysTable,4))),0))</f>
        <v>#NAME?</v>
      </c>
      <c r="AC39" s="282" t="e">
        <f aca="false">IF($A39="N/A"," ",(IF(V39&lt;&gt;0,(8*VLOOKUP($A39,NumberofDaysTable,6)),0)))</f>
        <v>#N/A</v>
      </c>
      <c r="AD39" s="305" t="e">
        <f aca="false">IF($A39="N/A"," ",RANK(P39,$P$28:$V$39))</f>
        <v>#NAME?</v>
      </c>
      <c r="AE39" s="306" t="e">
        <f aca="false">IF($A39="N/A"," ",RANK(Q39,$P$28:$V$39))</f>
        <v>#NAME?</v>
      </c>
      <c r="AF39" s="306" t="e">
        <f aca="false">IF($A39="N/A"," ",RANK(R39,$P$28:$V$39))</f>
        <v>#NAME?</v>
      </c>
      <c r="AG39" s="306" t="e">
        <f aca="false">IF($A39="N/A"," ",RANK(S39,$P$28:$V$39))</f>
        <v>#NAME?</v>
      </c>
      <c r="AH39" s="306" t="e">
        <f aca="false">IF($A39="N/A"," ",RANK(T39,$P$28:$V$39))</f>
        <v>#NAME?</v>
      </c>
      <c r="AI39" s="306" t="e">
        <f aca="false">IF($A39="N/A"," ",RANK(U39,$P$28:$V$39))</f>
        <v>#NAME?</v>
      </c>
      <c r="AJ39" s="307" t="e">
        <f aca="false">IF($A39="N/A"," ",RANK(V39,$P$28:$V$39))</f>
        <v>#NAME?</v>
      </c>
      <c r="AK39" s="308" t="e">
        <f aca="false">IF($A39="N/A"," ",IF(AD39&lt;=$AJ$2,W39,0))</f>
        <v>#NAME?</v>
      </c>
      <c r="AL39" s="309" t="e">
        <f aca="false">IF($A39="N/A"," ",IF(AE39&lt;=$AJ$2,X39,0))</f>
        <v>#NAME?</v>
      </c>
      <c r="AM39" s="309" t="e">
        <f aca="false">IF($A39="N/A"," ",IF(AF39&lt;=$AJ$2,Y39,0))</f>
        <v>#NAME?</v>
      </c>
      <c r="AN39" s="309" t="e">
        <f aca="false">IF($A39="N/A"," ",IF(AG39&lt;=$AJ$2,Z39,0))</f>
        <v>#NAME?</v>
      </c>
      <c r="AO39" s="309" t="e">
        <f aca="false">IF($A39="N/A"," ",IF(AH39&lt;=$AJ$2,AA39,0))</f>
        <v>#NAME?</v>
      </c>
      <c r="AP39" s="309" t="e">
        <f aca="false">IF($A39="N/A"," ",IF(AI39&lt;=$AJ$2,AB39,0))</f>
        <v>#NAME?</v>
      </c>
      <c r="AQ39" s="309" t="e">
        <f aca="false">IF($A39="N/A"," ",IF(AJ39&lt;=$AJ$2,AC39,0))</f>
        <v>#NAME?</v>
      </c>
      <c r="AR39" s="307" t="e">
        <f aca="false">IF(($AP$2-AR38)&gt;=0,$AP$2-AR38,0)</f>
        <v>#NAME?</v>
      </c>
      <c r="AS39" s="310" t="e">
        <f aca="false">IF($A39="N/A"," ",IF(AND(AD39=$AJ$2+1,AK39=0),MIN($AR$39,W39),0))</f>
        <v>#NAME?</v>
      </c>
      <c r="AT39" s="311" t="e">
        <f aca="false">IF($A39="N/A"," ",IF(AND(AE39=$AJ$2+1,AL39=0),MIN($AR$39,X39),0))</f>
        <v>#NAME?</v>
      </c>
      <c r="AU39" s="311" t="e">
        <f aca="false">IF($A39="N/A"," ",IF(AND(AF39=$AJ$2+1,AM39=0),MIN($AR$39,Y39),0))</f>
        <v>#NAME?</v>
      </c>
      <c r="AV39" s="311" t="e">
        <f aca="false">IF($A39="N/A"," ",IF(AND(AG39=$AJ$2+1,AN39=0),MIN($AR$39,Z39),0))</f>
        <v>#NAME?</v>
      </c>
      <c r="AW39" s="311" t="e">
        <f aca="false">IF($A39="N/A"," ",IF(AND(AH39=$AJ$2+1,AO39=0),MIN($AR$39,AA39),0))</f>
        <v>#NAME?</v>
      </c>
      <c r="AX39" s="311" t="e">
        <f aca="false">IF($A39="N/A"," ",IF(AND(AI39=$AJ$2+1,AP39=0),MIN($AR$39,AB39),0))</f>
        <v>#NAME?</v>
      </c>
      <c r="AY39" s="311" t="e">
        <f aca="false">IF($A39="N/A"," ",IF(AND(AJ39=$AJ$2+1,AQ39=0),MIN($AR$39,AC39),0))</f>
        <v>#NAME?</v>
      </c>
      <c r="AZ39" s="312" t="e">
        <f aca="false">AR38+AZ38</f>
        <v>#NAME?</v>
      </c>
      <c r="BA39" s="291" t="n">
        <f aca="false">IF($A39="N/A"," ",(IF(MONTH(A39)&gt;=4,IF(MONTH(A39)&lt;=10,Inputs!$F$13,Inputs!$F$14),Inputs!$F$14))*$BW39)</f>
        <v>180</v>
      </c>
      <c r="BB39" s="292" t="e">
        <f aca="false">IF($A39="N/A"," ",(IF(AK39&gt;0,($BA39*(8*(VLOOKUP($A39,NumberofDaysTable,2)))*P39),0)+IF(AS39&gt;0,($BA39*((AS39))*P39),0)))</f>
        <v>#NAME?</v>
      </c>
      <c r="BC39" s="292" t="e">
        <f aca="false">IF($A39="N/A"," ",(IF(AL39&gt;0,($BA39*(8*(VLOOKUP($A39,NumberofDaysTable,2)))*Q39),0)+IF(AT39&gt;0,($BA39*((AT39))*Q39),0)))</f>
        <v>#NAME?</v>
      </c>
      <c r="BD39" s="292" t="e">
        <f aca="false">IF($A39="N/A"," ",(IF(AM39&gt;0,($BA39*(8*(VLOOKUP($A39,NumberofDaysTable,3)))*R39),0)+IF(AU39&gt;0,($BA39*((AU39))*R39),0)))</f>
        <v>#NAME?</v>
      </c>
      <c r="BE39" s="292" t="e">
        <f aca="false">IF($A39="N/A"," ",(IF(AN39&gt;0,($BA39*(8*(VLOOKUP($A39,NumberofDaysTable,3)))*S39),0)+IF(AV39&gt;0,($BA39*((AV39))*S39),0)))</f>
        <v>#NAME?</v>
      </c>
      <c r="BF39" s="292" t="e">
        <f aca="false">IF($A39="N/A"," ",(IF(AO39&gt;0,($BA39*(8*(VLOOKUP($A39,NumberofDaysTable,4)+VLOOKUP($A39,NumberofDaysTable,5)))*T39),0)+IF(AW39&gt;0,($BA39*((AW39))*T39),0)))</f>
        <v>#NAME?</v>
      </c>
      <c r="BG39" s="292" t="e">
        <f aca="false">IF($A39="N/A"," ",(IF(AP39&gt;0,($BA39*(8*(VLOOKUP($A39,NumberofDaysTable,4)+VLOOKUP($A39,NumberofDaysTable,5)))*U39),0)+IF(AX39&gt;0,($BA39*((AX39))*U39),0)))</f>
        <v>#NAME?</v>
      </c>
      <c r="BH39" s="292" t="e">
        <f aca="false">IF($A39="N/A"," ",($BA39*AQ39*V39))</f>
        <v>#NAME?</v>
      </c>
      <c r="BI39" s="292" t="e">
        <f aca="false">IF($A39="N/A"," ",SUM(BB39:BH39))</f>
        <v>#NAME?</v>
      </c>
      <c r="BJ39" s="293" t="e">
        <f aca="false">IF($A39="N/A"," ",(H39*(SUM(AK39:AQ39)+SUM(AS39:AY39))*BA39))</f>
        <v>#NAME?</v>
      </c>
      <c r="BK39" s="293" t="e">
        <f aca="false">IF($A39="N/A"," ",((C39*D39)*(SUM($AK39:$AQ39)+SUM($AS39:$AY39))*$BA39))</f>
        <v>#N/A</v>
      </c>
      <c r="BL39" s="293" t="e">
        <f aca="false">IF($A39="N/A"," ",(F39*(SUM($AK39:$AQ39)+SUM($AS39:$AY39))*$BA39))</f>
        <v>#NAME?</v>
      </c>
      <c r="BM39" s="293" t="e">
        <f aca="false">IF($A39="N/A"," ",(G39*(SUM($AK39:$AQ39)+SUM($AS39:$AY39))*$BA39))</f>
        <v>#NAME?</v>
      </c>
      <c r="BN39" s="294" t="n">
        <f aca="false">IF(A39="N/A"," ",(VLOOKUP(A39,PowerVolTable,(IF('Pricing Inputs'!$AT$3=2,7,IF('Pricing Inputs'!$AT$3=1,6,8))),FALSE())))</f>
        <v>0.22629285</v>
      </c>
      <c r="BO39" s="294" t="n">
        <f aca="false">IF(A39="N/A"," ",(VLOOKUP(A39,IntraPowerVol,(IF('Pricing Inputs'!$AT$3=2,3,IF('Pricing Inputs'!$AT$3=1,2,4))),FALSE())*VLOOKUP(MONTH($A39),Inputs!$A$28:$B$39,2)))</f>
        <v>1.4375</v>
      </c>
      <c r="BP39" s="295" t="n">
        <f aca="false">IF($A39="N/A"," ",(IF(DateToday&gt;$A39,$BO39,((($BN39^2)*((($A39-1)-DateToday)/((EOMONTH($A39,0)+1)-DateToday-15)))+((($BO39)^2)*((15)/((EOMONTH($A39,0)+1)-DateToday-15))))^0.5)))</f>
        <v>1.4375</v>
      </c>
      <c r="BQ39" s="294" t="e">
        <f aca="false">IF($A39="N/A"," ",(VLOOKUP($A39,GasVolTable,(IF('Pricing Inputs'!$AT$3=2,6,IF('Pricing Inputs'!$AT$3=1,7,5))),FALSE())))</f>
        <v>#N/A</v>
      </c>
      <c r="BR39" s="294" t="e">
        <f aca="false">IF($A39="N/A"," ",(VLOOKUP($A39,OmicronVol,(IF('Pricing Inputs'!$AT$3=2,3,IF('Pricing Inputs'!$AT$3=1,4,2))),FALSE())))</f>
        <v>#N/A</v>
      </c>
      <c r="BS39" s="295" t="e">
        <f aca="false">IF($A39="N/A"," ",IF('Pricing Inputs'!$AN$3=1,(IF(DateToday&gt;$A39,$BR39,((($BQ39^2)*((($A39-1)-DateToday)/((EOMONTH($A39,0)+1)-DateToday-15)))+((($BR39)^2)*((15)/((EOMONTH($A39,0)+1)-DateToday-15))))^0.5)),0.0001))</f>
        <v>#N/A</v>
      </c>
      <c r="BT39" s="294" t="n">
        <f aca="false">IF($A39="N/A"," ",IF('Pricing Inputs'!$AN$3=1,(VLOOKUP($A39,CorrelationTable,2,FALSE())),0))</f>
        <v>0.9</v>
      </c>
      <c r="BU39" s="296" t="e">
        <f aca="false">IF($A39="N/A"," ",F39+G39+(D39*(VLOOKUP($A39,'Gas Curves'!$B$17:$P$310,14,FALSE()))))</f>
        <v>#N/A</v>
      </c>
      <c r="BV39" s="294" t="n">
        <f aca="false">IF($A39="N/A"," ",IF('Pricing Inputs'!$AW$3=1,0,(VLOOKUP($A39,InterestRatesTable,2))))</f>
        <v>0</v>
      </c>
      <c r="BW39" s="297" t="n">
        <f aca="false">IF($A39="N/A"," ",(1+BV39/2)^(-2*((EOMONTH(A39,0)+20)-DateToday)/365.25))</f>
        <v>1</v>
      </c>
    </row>
    <row r="40" customFormat="false" ht="12.75" hidden="false" customHeight="false" outlineLevel="0" collapsed="false">
      <c r="A40" s="272" t="n">
        <f aca="false">IF(A39="N/A","N/A",IF(EDATE(A39,1)&gt;Inputs!$K$3,"N/A",EDATE(A39,1)))</f>
        <v>37987</v>
      </c>
      <c r="B40" s="273" t="n">
        <f aca="false">IF(A40="N/A"," ",YEAR(A40))</f>
        <v>2004</v>
      </c>
      <c r="C40" s="274" t="e">
        <f aca="false">IF(A40="N/A"," ",VLOOKUP(A40,ScaledPrice,10))</f>
        <v>#N/A</v>
      </c>
      <c r="D40" s="275" t="n">
        <f aca="false">IF(A40="N/A"," ",(VLOOKUP(MONTH($A40),Inputs!$A$14:$B$25,2))/1000)</f>
        <v>10.5</v>
      </c>
      <c r="E40" s="276" t="e">
        <f aca="false">IF($A40="N/A"," ",C40*D40)</f>
        <v>#N/A</v>
      </c>
      <c r="F40" s="277" t="n">
        <f aca="false">IF(A40="N/A"," ",Inputs!$F$6)</f>
        <v>2</v>
      </c>
      <c r="G40" s="277" t="n">
        <f aca="false">IF(A40="N/A"," ",Inputs!$F$9/IF(AND('Pricing Inputs'!$AQ$3&gt;=4,'Pricing Inputs'!$AQ$3&lt;=6),16,IF(AND('Pricing Inputs'!$AQ$3&gt;=7,'Pricing Inputs'!$AQ$3&lt;=9),8,24))/(BA40/BW40))</f>
        <v>0</v>
      </c>
      <c r="H40" s="278" t="e">
        <f aca="false">IF(A40="N/A"," ",(C40*D40)+F40+G40)</f>
        <v>#N/A</v>
      </c>
      <c r="I40" s="279" t="n">
        <f aca="false">VLOOKUP(A40,ScaledPrice,(IF(AND('Pricing Inputs'!$AQ$3&gt;=1,'Pricing Inputs'!$AQ$3&lt;=6),2,4)))</f>
        <v>35.5191924386672</v>
      </c>
      <c r="J40" s="279" t="n">
        <f aca="false">IF(A40="N/A"," ",IF(AND('Pricing Inputs'!$AQ$3&gt;=1,'Pricing Inputs'!$AQ$3&lt;=6),I40,(VLOOKUP(A40,ScaledPrice,2))*(2-(VLOOKUP(A40,ScaledPrice,3)))))</f>
        <v>37.7808075613328</v>
      </c>
      <c r="K40" s="279" t="n">
        <f aca="false">IF(A40="N/A"," ",IF(OR('Pricing Inputs'!$AQ$3=2,'Pricing Inputs'!$AQ$3=3,'Pricing Inputs'!$AQ$3=5,'Pricing Inputs'!$AQ$3=6,'Pricing Inputs'!$AQ$3=8,'Pricing Inputs'!$AQ$3=9),VLOOKUP(A40,ScaledPrice,IF(AND('Pricing Inputs'!$AQ$3&gt;=2,'Pricing Inputs'!$AQ$3&lt;=6),5,6)),0))</f>
        <v>27.9586424544916</v>
      </c>
      <c r="L40" s="279" t="n">
        <f aca="false">IF(A40="N/A"," ",IF(OR('Pricing Inputs'!$AQ$3=2,'Pricing Inputs'!$AQ$3=3,'Pricing Inputs'!$AQ$3=5,'Pricing Inputs'!$AQ$3=6,'Pricing Inputs'!$AQ$3=8,'Pricing Inputs'!$AQ$3=9),IF(AND('Pricing Inputs'!$AQ$3&gt;=2,'Pricing Inputs'!$AQ$3&lt;=6),K40,(VLOOKUP(A40,ScaledPrice,5))*(2-(VLOOKUP(A40,ScaledPrice,3)))),0))</f>
        <v>29.7388543411627</v>
      </c>
      <c r="M40" s="279" t="n">
        <f aca="false">IF(A40="N/A"," ",IF(OR('Pricing Inputs'!$AQ$3=3,'Pricing Inputs'!$AQ$3=6,'Pricing Inputs'!$AQ$3=9),(VLOOKUP(A40,ScaledPrice,IF(AND('Pricing Inputs'!$AQ$3&gt;=3,'Pricing Inputs'!$AQ$3&lt;=6),7,8))),0))</f>
        <v>26.5085597980476</v>
      </c>
      <c r="N40" s="279" t="n">
        <f aca="false">IF(A40="N/A"," ",IF(OR('Pricing Inputs'!$AQ$3=3,'Pricing Inputs'!$AQ$3=6,'Pricing Inputs'!$AQ$3=9),IF(AND('Pricing Inputs'!$AQ$3&gt;=3,'Pricing Inputs'!$AQ$3&lt;=6),M40,(VLOOKUP(A40,ScaledPrice,7))*(2-(VLOOKUP(A40,ScaledPrice,3)))),0))</f>
        <v>28.1964405071282</v>
      </c>
      <c r="O40" s="279" t="n">
        <f aca="false">IF(A40="N/A"," ",IF(AND('Pricing Inputs'!$AQ$3&gt;=1,'Pricing Inputs'!$AQ$3&lt;=3),VLOOKUP(A40,ScaledPrice,9),0))</f>
        <v>0</v>
      </c>
      <c r="P40" s="280" t="e">
        <f aca="false">IF($A40="N/A"," ",IF('Pricing Inputs'!$AN$8=2,(I40-H40),IF('Pricing Inputs'!$AN$3=2,IF((I40-$H40)&gt;0,I40-$H40,0),(xSPRDOPT(I40,$E40,$BU40,0,$BP40,$BS40,$BT40,($A40-Inputs!$D$1)+15,1,0)))))</f>
        <v>#NAME?</v>
      </c>
      <c r="Q40" s="280" t="e">
        <f aca="false">IF($A40="N/A"," ",IF('Pricing Inputs'!$AN$8=2,(J40-$H40),IF('Pricing Inputs'!$AN$3=2,IF((J40-$H40)&gt;0,J40-$H40,0),(xSPRDOPT(J40,$E40,$BU40,0,$BP40,$BS40,$BT40,($A40-Inputs!$D$1)+15,1,0)))))</f>
        <v>#NAME?</v>
      </c>
      <c r="R40" s="280" t="e">
        <f aca="false">IF($A40="N/A"," ",IF('Pricing Inputs'!$AN$8=2,(K40-$H40),IF('Pricing Inputs'!$AN$3=2,IF((K40-$H40)&gt;0,K40-$H40,0),(xSPRDOPT(K40,$E40,$BU40,0,$BP40,$BS40,$BT40,($A40-Inputs!$D$1)+15,1,0)))))</f>
        <v>#NAME?</v>
      </c>
      <c r="S40" s="280" t="e">
        <f aca="false">IF($A40="N/A"," ",IF('Pricing Inputs'!$AN$8=2,(L40-$H40),IF('Pricing Inputs'!$AN$3=2,IF((L40-$H40)&gt;0,L40-$H40,0),(xSPRDOPT(L40,$E40,$BU40,0,$BP40,$BS40,$BT40,($A40-Inputs!$D$1)+15,1,0)))))</f>
        <v>#NAME?</v>
      </c>
      <c r="T40" s="280" t="e">
        <f aca="false">IF($A40="N/A"," ",IF('Pricing Inputs'!$AN$8=2,(M40-$H40),IF('Pricing Inputs'!$AN$3=2,IF((M40-$H40)&gt;0,M40-$H40,0),(xSPRDOPT(M40,$E40,$BU40,0,$BP40,$BS40,$BT40,($A40-Inputs!$D$1)+15,1,0)))))</f>
        <v>#NAME?</v>
      </c>
      <c r="U40" s="280" t="e">
        <f aca="false">IF($A40="N/A"," ",IF('Pricing Inputs'!$AN$8=2,(N40-$H40),IF('Pricing Inputs'!$AN$3=2,IF((N40-$H40)&gt;0,N40-$H40,0),(xSPRDOPT(N40,$E40,$BU40,0,$BP40,$BS40,$BT40,($A40-Inputs!$D$1)+15,1,0)))))</f>
        <v>#NAME?</v>
      </c>
      <c r="V40" s="281" t="e">
        <f aca="false">IF($A40="N/A"," ",(IF('Pricing Inputs'!$AN$8=2,(O40-$H40),IF((O40-$H40)&lt;=0,0,(O40-$H40)))))</f>
        <v>#N/A</v>
      </c>
      <c r="W40" s="282" t="e">
        <f aca="false">IF($A40="N/A"," ",IF(0&lt;&gt;P40,IF('Pricing Inputs'!$AN$3=2,8*VLOOKUP($A40,NumberofDaysTable,2),(xSPRDOPT(I40,$E40,$BU40,0,$BP40,$BS40,$BT40,$A40-Inputs!$D$1,1,1))*(8*VLOOKUP($A40,NumberofDaysTable,2))),0))</f>
        <v>#NAME?</v>
      </c>
      <c r="X40" s="282" t="e">
        <f aca="false">IF($A40="N/A"," ",IF(Q40&lt;&gt;0,IF('Pricing Inputs'!$AN$3=2,8*VLOOKUP($A40,NumberofDaysTable,2),(xSPRDOPT(J40,$E40,$BU40,0,$BP40,$BS40,$BT40,$A40-Inputs!$D$1,1,1))*(8*VLOOKUP($A40,NumberofDaysTable,2))),0))</f>
        <v>#NAME?</v>
      </c>
      <c r="Y40" s="282" t="e">
        <f aca="false">IF($A40="N/A"," ",IF(R40&lt;&gt;0,IF('Pricing Inputs'!$AN$3=2,8*VLOOKUP($A40,NumberofDaysTable,3),(xSPRDOPT(K40,$E40,$BU40,0,$BP40,$BS40,$BT40,$A40-Inputs!$D$1,1,1))*(8*VLOOKUP($A40,NumberofDaysTable,3))),0))</f>
        <v>#NAME?</v>
      </c>
      <c r="Z40" s="282" t="e">
        <f aca="false">IF($A40="N/A"," ",IF(S40&lt;&gt;0,IF('Pricing Inputs'!$AN$3=2,8*VLOOKUP($A40,NumberofDaysTable,3),(xSPRDOPT(L40,$E40,$BU40,0,$BP40,$BS40,$BT40,$A40-Inputs!$D$1,1,1))*(8*VLOOKUP($A40,NumberofDaysTable,3))),0))</f>
        <v>#NAME?</v>
      </c>
      <c r="AA40" s="282" t="e">
        <f aca="false">IF($A40="N/A"," ",IF(T40&lt;&gt;0,IF('Pricing Inputs'!$AN$3=2,8*VLOOKUP($A40,NumberofDaysTable,4),(xSPRDOPT(M40,$E40,$BU40,0,$BP40,$BS40,$BT40,$A40-Inputs!$D$1,1,1))*(8*VLOOKUP($A40,NumberofDaysTable,4))),0))</f>
        <v>#NAME?</v>
      </c>
      <c r="AB40" s="282" t="e">
        <f aca="false">IF($A40="N/A"," ",IF(U40&lt;&gt;0,IF('Pricing Inputs'!$AN$3=2,8*VLOOKUP($A40,NumberofDaysTable,4),(xSPRDOPT(N40,$E40,$BU40,0,$BP40,$BS40,$BT40,$A40-Inputs!$D$1,1,1))*(8*VLOOKUP($A40,NumberofDaysTable,4))),0))</f>
        <v>#NAME?</v>
      </c>
      <c r="AC40" s="282" t="e">
        <f aca="false">IF($A40="N/A"," ",(IF(V40&lt;&gt;0,(8*VLOOKUP($A40,NumberofDaysTable,6)),0)))</f>
        <v>#N/A</v>
      </c>
      <c r="AD40" s="283" t="e">
        <f aca="false">IF($A40="N/A"," ",RANK(P40,$P$40:$V$51))</f>
        <v>#NAME?</v>
      </c>
      <c r="AE40" s="284" t="e">
        <f aca="false">IF($A40="N/A"," ",RANK(Q40,$P$40:$V$51))</f>
        <v>#NAME?</v>
      </c>
      <c r="AF40" s="284" t="e">
        <f aca="false">IF($A40="N/A"," ",RANK(R40,$P$40:$V$51))</f>
        <v>#NAME?</v>
      </c>
      <c r="AG40" s="284" t="e">
        <f aca="false">IF($A40="N/A"," ",RANK(S40,$P$40:$V$51))</f>
        <v>#NAME?</v>
      </c>
      <c r="AH40" s="284" t="e">
        <f aca="false">IF($A40="N/A"," ",RANK(T40,$P$40:$V$51))</f>
        <v>#NAME?</v>
      </c>
      <c r="AI40" s="284" t="e">
        <f aca="false">IF($A40="N/A"," ",RANK(U40,$P$40:$V$51))</f>
        <v>#NAME?</v>
      </c>
      <c r="AJ40" s="285" t="e">
        <f aca="false">IF($A40="N/A"," ",RANK(V40,$P$40:$V$51))</f>
        <v>#NAME?</v>
      </c>
      <c r="AK40" s="313" t="e">
        <f aca="false">IF($A40="N/A"," ",IF(AD40&lt;=$AJ$2,W40,0))</f>
        <v>#NAME?</v>
      </c>
      <c r="AL40" s="287" t="e">
        <f aca="false">IF($A40="N/A"," ",IF(AE40&lt;=$AJ$2,X40,0))</f>
        <v>#NAME?</v>
      </c>
      <c r="AM40" s="287" t="e">
        <f aca="false">IF($A40="N/A"," ",IF(AF40&lt;=$AJ$2,Y40,0))</f>
        <v>#NAME?</v>
      </c>
      <c r="AN40" s="287" t="e">
        <f aca="false">IF($A40="N/A"," ",IF(AG40&lt;=$AJ$2,Z40,0))</f>
        <v>#NAME?</v>
      </c>
      <c r="AO40" s="287" t="e">
        <f aca="false">IF($A40="N/A"," ",IF(AH40&lt;=$AJ$2,AA40,0))</f>
        <v>#NAME?</v>
      </c>
      <c r="AP40" s="287" t="e">
        <f aca="false">IF($A40="N/A"," ",IF(AI40&lt;=$AJ$2,AB40,0))</f>
        <v>#NAME?</v>
      </c>
      <c r="AQ40" s="287" t="e">
        <f aca="false">IF($A40="N/A"," ",IF(AJ40&lt;=$AJ$2,AC40,0))</f>
        <v>#NAME?</v>
      </c>
      <c r="AR40" s="285"/>
      <c r="AS40" s="314" t="e">
        <f aca="false">IF($A40="N/A"," ",IF(AND(AD40=$AJ$2+1,AK40=0),MIN($AR$51,W40),0))</f>
        <v>#NAME?</v>
      </c>
      <c r="AT40" s="289" t="e">
        <f aca="false">IF($A40="N/A"," ",IF(AND(AE40=$AJ$2+1,AL40=0),MIN($AR$51,X40),0))</f>
        <v>#NAME?</v>
      </c>
      <c r="AU40" s="289" t="e">
        <f aca="false">IF($A40="N/A"," ",IF(AND(AF40=$AJ$2+1,AM40=0),MIN($AR$51,Y40),0))</f>
        <v>#NAME?</v>
      </c>
      <c r="AV40" s="289" t="e">
        <f aca="false">IF($A40="N/A"," ",IF(AND(AG40=$AJ$2+1,AN40=0),MIN($AR$51,Z40),0))</f>
        <v>#NAME?</v>
      </c>
      <c r="AW40" s="289" t="e">
        <f aca="false">IF($A40="N/A"," ",IF(AND(AH40=$AJ$2+1,AO40=0),MIN($AR$51,AA40),0))</f>
        <v>#NAME?</v>
      </c>
      <c r="AX40" s="289" t="e">
        <f aca="false">IF($A40="N/A"," ",IF(AND(AI40=$AJ$2+1,AP40=0),MIN($AR$51,AB40),0))</f>
        <v>#NAME?</v>
      </c>
      <c r="AY40" s="289" t="e">
        <f aca="false">IF($A40="N/A"," ",IF(AND(AJ40=$AJ$2+1,AQ40=0),MIN($AR$51,AC40),0))</f>
        <v>#NAME?</v>
      </c>
      <c r="AZ40" s="285"/>
      <c r="BA40" s="291" t="n">
        <f aca="false">IF($A40="N/A"," ",(IF(MONTH(A40)&gt;=4,IF(MONTH(A40)&lt;=10,Inputs!$F$13,Inputs!$F$14),Inputs!$F$14))*$BW40)</f>
        <v>180</v>
      </c>
      <c r="BB40" s="292" t="e">
        <f aca="false">IF($A40="N/A"," ",(IF(AK40&gt;0,($BA40*(8*(VLOOKUP($A40,NumberofDaysTable,2)))*P40),0)+IF(AS40&gt;0,($BA40*((AS40))*P40),0)))</f>
        <v>#NAME?</v>
      </c>
      <c r="BC40" s="292" t="e">
        <f aca="false">IF($A40="N/A"," ",(IF(AL40&gt;0,($BA40*(8*(VLOOKUP($A40,NumberofDaysTable,2)))*Q40),0)+IF(AT40&gt;0,($BA40*((AT40))*Q40),0)))</f>
        <v>#NAME?</v>
      </c>
      <c r="BD40" s="292" t="e">
        <f aca="false">IF($A40="N/A"," ",(IF(AM40&gt;0,($BA40*(8*(VLOOKUP($A40,NumberofDaysTable,3)))*R40),0)+IF(AU40&gt;0,($BA40*((AU40))*R40),0)))</f>
        <v>#NAME?</v>
      </c>
      <c r="BE40" s="292" t="e">
        <f aca="false">IF($A40="N/A"," ",(IF(AN40&gt;0,($BA40*(8*(VLOOKUP($A40,NumberofDaysTable,3)))*S40),0)+IF(AV40&gt;0,($BA40*((AV40))*S40),0)))</f>
        <v>#NAME?</v>
      </c>
      <c r="BF40" s="292" t="e">
        <f aca="false">IF($A40="N/A"," ",(IF(AO40&gt;0,($BA40*(8*(VLOOKUP($A40,NumberofDaysTable,4)+VLOOKUP($A40,NumberofDaysTable,5)))*T40),0)+IF(AW40&gt;0,($BA40*((AW40))*T40),0)))</f>
        <v>#NAME?</v>
      </c>
      <c r="BG40" s="292" t="e">
        <f aca="false">IF($A40="N/A"," ",(IF(AP40&gt;0,($BA40*(8*(VLOOKUP($A40,NumberofDaysTable,4)+VLOOKUP($A40,NumberofDaysTable,5)))*U40),0)+IF(AX40&gt;0,($BA40*((AX40))*U40),0)))</f>
        <v>#NAME?</v>
      </c>
      <c r="BH40" s="292" t="e">
        <f aca="false">IF($A40="N/A"," ",($BA40*AQ40*V40))</f>
        <v>#NAME?</v>
      </c>
      <c r="BI40" s="292" t="e">
        <f aca="false">IF($A40="N/A"," ",SUM(BB40:BH40))</f>
        <v>#NAME?</v>
      </c>
      <c r="BJ40" s="293" t="e">
        <f aca="false">IF($A40="N/A"," ",(H40*(SUM(AK40:AQ40)+SUM(AS40:AY40))*BA40))</f>
        <v>#NAME?</v>
      </c>
      <c r="BK40" s="293" t="e">
        <f aca="false">IF($A40="N/A"," ",((C40*D40)*(SUM($AK40:$AQ40)+SUM($AS40:$AY40))*$BA40))</f>
        <v>#N/A</v>
      </c>
      <c r="BL40" s="293" t="e">
        <f aca="false">IF($A40="N/A"," ",(F40*(SUM($AK40:$AQ40)+SUM($AS40:$AY40))*$BA40))</f>
        <v>#NAME?</v>
      </c>
      <c r="BM40" s="293" t="e">
        <f aca="false">IF($A40="N/A"," ",(G40*(SUM($AK40:$AQ40)+SUM($AS40:$AY40))*$BA40))</f>
        <v>#NAME?</v>
      </c>
      <c r="BN40" s="294" t="n">
        <f aca="false">IF(A40="N/A"," ",(VLOOKUP(A40,PowerVolTable,(IF('Pricing Inputs'!$AT$3=2,7,IF('Pricing Inputs'!$AT$3=1,6,8))),FALSE())))</f>
        <v>0.2434945</v>
      </c>
      <c r="BO40" s="294" t="n">
        <f aca="false">IF(A40="N/A"," ",(VLOOKUP(A40,IntraPowerVol,(IF('Pricing Inputs'!$AT$3=2,3,IF('Pricing Inputs'!$AT$3=1,2,4))),FALSE())*VLOOKUP(MONTH($A40),Inputs!$A$28:$B$39,2)))</f>
        <v>2.3</v>
      </c>
      <c r="BP40" s="295" t="n">
        <f aca="false">IF($A40="N/A"," ",(IF(DateToday&gt;$A40,$BO40,((($BN40^2)*((($A40-1)-DateToday)/((EOMONTH($A40,0)+1)-DateToday-15)))+((($BO40)^2)*((15)/((EOMONTH($A40,0)+1)-DateToday-15))))^0.5)))</f>
        <v>2.3</v>
      </c>
      <c r="BQ40" s="294" t="e">
        <f aca="false">IF($A40="N/A"," ",(VLOOKUP($A40,GasVolTable,(IF('Pricing Inputs'!$AT$3=2,6,IF('Pricing Inputs'!$AT$3=1,7,5))),FALSE())))</f>
        <v>#N/A</v>
      </c>
      <c r="BR40" s="294" t="e">
        <f aca="false">IF($A40="N/A"," ",(VLOOKUP($A40,OmicronVol,(IF('Pricing Inputs'!$AT$3=2,3,IF('Pricing Inputs'!$AT$3=1,4,2))),FALSE())))</f>
        <v>#N/A</v>
      </c>
      <c r="BS40" s="295" t="e">
        <f aca="false">IF($A40="N/A"," ",IF('Pricing Inputs'!$AN$3=1,(IF(DateToday&gt;$A40,$BR40,((($BQ40^2)*((($A40-1)-DateToday)/((EOMONTH($A40,0)+1)-DateToday-15)))+((($BR40)^2)*((15)/((EOMONTH($A40,0)+1)-DateToday-15))))^0.5)),0.0001))</f>
        <v>#N/A</v>
      </c>
      <c r="BT40" s="294" t="n">
        <f aca="false">IF($A40="N/A"," ",IF('Pricing Inputs'!$AN$3=1,(VLOOKUP($A40,CorrelationTable,2,FALSE())),0))</f>
        <v>0.9</v>
      </c>
      <c r="BU40" s="296" t="e">
        <f aca="false">IF($A40="N/A"," ",F40+G40+(D40*(VLOOKUP($A40,'Gas Curves'!$B$17:$P$310,14,FALSE()))))</f>
        <v>#N/A</v>
      </c>
      <c r="BV40" s="294" t="n">
        <f aca="false">IF($A40="N/A"," ",IF('Pricing Inputs'!$AW$3=1,0,(VLOOKUP($A40,InterestRatesTable,2))))</f>
        <v>0</v>
      </c>
      <c r="BW40" s="297" t="n">
        <f aca="false">IF($A40="N/A"," ",(1+BV40/2)^(-2*((EOMONTH(A40,0)+20)-DateToday)/365.25))</f>
        <v>1</v>
      </c>
    </row>
    <row r="41" customFormat="false" ht="12.75" hidden="false" customHeight="false" outlineLevel="0" collapsed="false">
      <c r="A41" s="272" t="n">
        <f aca="false">IF(A40="N/A","N/A",IF(EDATE(A40,1)&gt;Inputs!$K$3,"N/A",EDATE(A40,1)))</f>
        <v>38018</v>
      </c>
      <c r="B41" s="273" t="n">
        <f aca="false">IF(A41="N/A"," ",YEAR(A41))</f>
        <v>2004</v>
      </c>
      <c r="C41" s="274" t="e">
        <f aca="false">IF(A41="N/A"," ",VLOOKUP(A41,ScaledPrice,10))</f>
        <v>#N/A</v>
      </c>
      <c r="D41" s="275" t="n">
        <f aca="false">IF(A41="N/A"," ",(VLOOKUP(MONTH($A41),Inputs!$A$14:$B$25,2))/1000)</f>
        <v>10.5</v>
      </c>
      <c r="E41" s="276" t="e">
        <f aca="false">IF($A41="N/A"," ",C41*D41)</f>
        <v>#N/A</v>
      </c>
      <c r="F41" s="277" t="n">
        <f aca="false">IF(A41="N/A"," ",Inputs!$F$6)</f>
        <v>2</v>
      </c>
      <c r="G41" s="277" t="n">
        <f aca="false">IF(A41="N/A"," ",Inputs!$F$9/IF(AND('Pricing Inputs'!$AQ$3&gt;=4,'Pricing Inputs'!$AQ$3&lt;=6),16,IF(AND('Pricing Inputs'!$AQ$3&gt;=7,'Pricing Inputs'!$AQ$3&lt;=9),8,24))/(BA41/BW41))</f>
        <v>0</v>
      </c>
      <c r="H41" s="278" t="e">
        <f aca="false">IF(A41="N/A"," ",(C41*D41)+F41+G41)</f>
        <v>#N/A</v>
      </c>
      <c r="I41" s="279" t="n">
        <f aca="false">VLOOKUP(A41,ScaledPrice,(IF(AND('Pricing Inputs'!$AQ$3&gt;=1,'Pricing Inputs'!$AQ$3&lt;=6),2,4)))</f>
        <v>35.5191924386672</v>
      </c>
      <c r="J41" s="279" t="n">
        <f aca="false">IF(A41="N/A"," ",IF(AND('Pricing Inputs'!$AQ$3&gt;=1,'Pricing Inputs'!$AQ$3&lt;=6),I41,(VLOOKUP(A41,ScaledPrice,2))*(2-(VLOOKUP(A41,ScaledPrice,3)))))</f>
        <v>37.7808075613328</v>
      </c>
      <c r="K41" s="279" t="n">
        <f aca="false">IF(A41="N/A"," ",IF(OR('Pricing Inputs'!$AQ$3=2,'Pricing Inputs'!$AQ$3=3,'Pricing Inputs'!$AQ$3=5,'Pricing Inputs'!$AQ$3=6,'Pricing Inputs'!$AQ$3=8,'Pricing Inputs'!$AQ$3=9),VLOOKUP(A41,ScaledPrice,IF(AND('Pricing Inputs'!$AQ$3&gt;=2,'Pricing Inputs'!$AQ$3&lt;=6),5,6)),0))</f>
        <v>26.9870755215562</v>
      </c>
      <c r="L41" s="279" t="n">
        <f aca="false">IF(A41="N/A"," ",IF(OR('Pricing Inputs'!$AQ$3=2,'Pricing Inputs'!$AQ$3=3,'Pricing Inputs'!$AQ$3=5,'Pricing Inputs'!$AQ$3=6,'Pricing Inputs'!$AQ$3=8,'Pricing Inputs'!$AQ$3=9),IF(AND('Pricing Inputs'!$AQ$3&gt;=2,'Pricing Inputs'!$AQ$3&lt;=6),K41,(VLOOKUP(A41,ScaledPrice,5))*(2-(VLOOKUP(A41,ScaledPrice,3)))),0))</f>
        <v>28.7054247836195</v>
      </c>
      <c r="M41" s="279" t="n">
        <f aca="false">IF(A41="N/A"," ",IF(OR('Pricing Inputs'!$AQ$3=3,'Pricing Inputs'!$AQ$3=6,'Pricing Inputs'!$AQ$3=9),(VLOOKUP(A41,ScaledPrice,IF(AND('Pricing Inputs'!$AQ$3&gt;=3,'Pricing Inputs'!$AQ$3&lt;=6),7,8))),0))</f>
        <v>24.5654218654795</v>
      </c>
      <c r="N41" s="279" t="n">
        <f aca="false">IF(A41="N/A"," ",IF(OR('Pricing Inputs'!$AQ$3=3,'Pricing Inputs'!$AQ$3=6,'Pricing Inputs'!$AQ$3=9),IF(AND('Pricing Inputs'!$AQ$3&gt;=3,'Pricing Inputs'!$AQ$3&lt;=6),M41,(VLOOKUP(A41,ScaledPrice,7))*(2-(VLOOKUP(A41,ScaledPrice,3)))),0))</f>
        <v>26.1295770664053</v>
      </c>
      <c r="O41" s="279" t="n">
        <f aca="false">IF(A41="N/A"," ",IF(AND('Pricing Inputs'!$AQ$3&gt;=1,'Pricing Inputs'!$AQ$3&lt;=3),VLOOKUP(A41,ScaledPrice,9),0))</f>
        <v>0</v>
      </c>
      <c r="P41" s="280" t="e">
        <f aca="false">IF($A41="N/A"," ",IF('Pricing Inputs'!$AN$8=2,(I41-H41),IF('Pricing Inputs'!$AN$3=2,IF((I41-$H41)&gt;0,I41-$H41,0),(xSPRDOPT(I41,$E41,$BU41,0,$BP41,$BS41,$BT41,($A41-Inputs!$D$1)+15,1,0)))))</f>
        <v>#NAME?</v>
      </c>
      <c r="Q41" s="280" t="e">
        <f aca="false">IF($A41="N/A"," ",IF('Pricing Inputs'!$AN$8=2,(J41-$H41),IF('Pricing Inputs'!$AN$3=2,IF((J41-$H41)&gt;0,J41-$H41,0),(xSPRDOPT(J41,$E41,$BU41,0,$BP41,$BS41,$BT41,($A41-Inputs!$D$1)+15,1,0)))))</f>
        <v>#NAME?</v>
      </c>
      <c r="R41" s="280" t="e">
        <f aca="false">IF($A41="N/A"," ",IF('Pricing Inputs'!$AN$8=2,(K41-$H41),IF('Pricing Inputs'!$AN$3=2,IF((K41-$H41)&gt;0,K41-$H41,0),(xSPRDOPT(K41,$E41,$BU41,0,$BP41,$BS41,$BT41,($A41-Inputs!$D$1)+15,1,0)))))</f>
        <v>#NAME?</v>
      </c>
      <c r="S41" s="280" t="e">
        <f aca="false">IF($A41="N/A"," ",IF('Pricing Inputs'!$AN$8=2,(L41-$H41),IF('Pricing Inputs'!$AN$3=2,IF((L41-$H41)&gt;0,L41-$H41,0),(xSPRDOPT(L41,$E41,$BU41,0,$BP41,$BS41,$BT41,($A41-Inputs!$D$1)+15,1,0)))))</f>
        <v>#NAME?</v>
      </c>
      <c r="T41" s="280" t="e">
        <f aca="false">IF($A41="N/A"," ",IF('Pricing Inputs'!$AN$8=2,(M41-$H41),IF('Pricing Inputs'!$AN$3=2,IF((M41-$H41)&gt;0,M41-$H41,0),(xSPRDOPT(M41,$E41,$BU41,0,$BP41,$BS41,$BT41,($A41-Inputs!$D$1)+15,1,0)))))</f>
        <v>#NAME?</v>
      </c>
      <c r="U41" s="280" t="e">
        <f aca="false">IF($A41="N/A"," ",IF('Pricing Inputs'!$AN$8=2,(N41-$H41),IF('Pricing Inputs'!$AN$3=2,IF((N41-$H41)&gt;0,N41-$H41,0),(xSPRDOPT(N41,$E41,$BU41,0,$BP41,$BS41,$BT41,($A41-Inputs!$D$1)+15,1,0)))))</f>
        <v>#NAME?</v>
      </c>
      <c r="V41" s="281" t="e">
        <f aca="false">IF($A41="N/A"," ",(IF('Pricing Inputs'!$AN$8=2,(O41-$H41),IF((O41-$H41)&lt;=0,0,(O41-$H41)))))</f>
        <v>#N/A</v>
      </c>
      <c r="W41" s="282" t="e">
        <f aca="false">IF($A41="N/A"," ",IF(0&lt;&gt;P41,IF('Pricing Inputs'!$AN$3=2,8*VLOOKUP($A41,NumberofDaysTable,2),(xSPRDOPT(I41,$E41,$BU41,0,$BP41,$BS41,$BT41,$A41-Inputs!$D$1,1,1))*(8*VLOOKUP($A41,NumberofDaysTable,2))),0))</f>
        <v>#NAME?</v>
      </c>
      <c r="X41" s="282" t="e">
        <f aca="false">IF($A41="N/A"," ",IF(Q41&lt;&gt;0,IF('Pricing Inputs'!$AN$3=2,8*VLOOKUP($A41,NumberofDaysTable,2),(xSPRDOPT(J41,$E41,$BU41,0,$BP41,$BS41,$BT41,$A41-Inputs!$D$1,1,1))*(8*VLOOKUP($A41,NumberofDaysTable,2))),0))</f>
        <v>#NAME?</v>
      </c>
      <c r="Y41" s="282" t="e">
        <f aca="false">IF($A41="N/A"," ",IF(R41&lt;&gt;0,IF('Pricing Inputs'!$AN$3=2,8*VLOOKUP($A41,NumberofDaysTable,3),(xSPRDOPT(K41,$E41,$BU41,0,$BP41,$BS41,$BT41,$A41-Inputs!$D$1,1,1))*(8*VLOOKUP($A41,NumberofDaysTable,3))),0))</f>
        <v>#NAME?</v>
      </c>
      <c r="Z41" s="282" t="e">
        <f aca="false">IF($A41="N/A"," ",IF(S41&lt;&gt;0,IF('Pricing Inputs'!$AN$3=2,8*VLOOKUP($A41,NumberofDaysTable,3),(xSPRDOPT(L41,$E41,$BU41,0,$BP41,$BS41,$BT41,$A41-Inputs!$D$1,1,1))*(8*VLOOKUP($A41,NumberofDaysTable,3))),0))</f>
        <v>#NAME?</v>
      </c>
      <c r="AA41" s="282" t="e">
        <f aca="false">IF($A41="N/A"," ",IF(T41&lt;&gt;0,IF('Pricing Inputs'!$AN$3=2,8*VLOOKUP($A41,NumberofDaysTable,4),(xSPRDOPT(M41,$E41,$BU41,0,$BP41,$BS41,$BT41,$A41-Inputs!$D$1,1,1))*(8*VLOOKUP($A41,NumberofDaysTable,4))),0))</f>
        <v>#NAME?</v>
      </c>
      <c r="AB41" s="282" t="e">
        <f aca="false">IF($A41="N/A"," ",IF(U41&lt;&gt;0,IF('Pricing Inputs'!$AN$3=2,8*VLOOKUP($A41,NumberofDaysTable,4),(xSPRDOPT(N41,$E41,$BU41,0,$BP41,$BS41,$BT41,$A41-Inputs!$D$1,1,1))*(8*VLOOKUP($A41,NumberofDaysTable,4))),0))</f>
        <v>#NAME?</v>
      </c>
      <c r="AC41" s="282" t="e">
        <f aca="false">IF($A41="N/A"," ",(IF(V41&lt;&gt;0,(8*VLOOKUP($A41,NumberofDaysTable,6)),0)))</f>
        <v>#N/A</v>
      </c>
      <c r="AD41" s="298" t="e">
        <f aca="false">IF($A41="N/A"," ",RANK(P41,$P$40:$V$51))</f>
        <v>#NAME?</v>
      </c>
      <c r="AE41" s="299" t="e">
        <f aca="false">IF($A41="N/A"," ",RANK(Q41,$P$40:$V$51))</f>
        <v>#NAME?</v>
      </c>
      <c r="AF41" s="299" t="e">
        <f aca="false">IF($A41="N/A"," ",RANK(R41,$P$40:$V$51))</f>
        <v>#NAME?</v>
      </c>
      <c r="AG41" s="299" t="e">
        <f aca="false">IF($A41="N/A"," ",RANK(S41,$P$40:$V$51))</f>
        <v>#NAME?</v>
      </c>
      <c r="AH41" s="299" t="e">
        <f aca="false">IF($A41="N/A"," ",RANK(T41,$P$40:$V$51))</f>
        <v>#NAME?</v>
      </c>
      <c r="AI41" s="299" t="e">
        <f aca="false">IF($A41="N/A"," ",RANK(U41,$P$40:$V$51))</f>
        <v>#NAME?</v>
      </c>
      <c r="AJ41" s="300" t="e">
        <f aca="false">IF($A41="N/A"," ",RANK(V41,$P$40:$V$51))</f>
        <v>#NAME?</v>
      </c>
      <c r="AK41" s="286" t="e">
        <f aca="false">IF($A41="N/A"," ",IF(AD41&lt;=$AJ$2,W41,0))</f>
        <v>#NAME?</v>
      </c>
      <c r="AL41" s="301" t="e">
        <f aca="false">IF($A41="N/A"," ",IF(AE41&lt;=$AJ$2,X41,0))</f>
        <v>#NAME?</v>
      </c>
      <c r="AM41" s="301" t="e">
        <f aca="false">IF($A41="N/A"," ",IF(AF41&lt;=$AJ$2,Y41,0))</f>
        <v>#NAME?</v>
      </c>
      <c r="AN41" s="301" t="e">
        <f aca="false">IF($A41="N/A"," ",IF(AG41&lt;=$AJ$2,Z41,0))</f>
        <v>#NAME?</v>
      </c>
      <c r="AO41" s="301" t="e">
        <f aca="false">IF($A41="N/A"," ",IF(AH41&lt;=$AJ$2,AA41,0))</f>
        <v>#NAME?</v>
      </c>
      <c r="AP41" s="301" t="e">
        <f aca="false">IF($A41="N/A"," ",IF(AI41&lt;=$AJ$2,AB41,0))</f>
        <v>#NAME?</v>
      </c>
      <c r="AQ41" s="301" t="e">
        <f aca="false">IF($A41="N/A"," ",IF(AJ41&lt;=$AJ$2,AC41,0))</f>
        <v>#NAME?</v>
      </c>
      <c r="AR41" s="300"/>
      <c r="AS41" s="288" t="e">
        <f aca="false">IF($A41="N/A"," ",IF(AND(AD41=$AJ$2+1,AK41=0),MIN($AR$51,W41),0))</f>
        <v>#NAME?</v>
      </c>
      <c r="AT41" s="302" t="e">
        <f aca="false">IF($A41="N/A"," ",IF(AND(AE41=$AJ$2+1,AL41=0),MIN($AR$51,X41),0))</f>
        <v>#NAME?</v>
      </c>
      <c r="AU41" s="302" t="e">
        <f aca="false">IF($A41="N/A"," ",IF(AND(AF41=$AJ$2+1,AM41=0),MIN($AR$51,Y41),0))</f>
        <v>#NAME?</v>
      </c>
      <c r="AV41" s="302" t="e">
        <f aca="false">IF($A41="N/A"," ",IF(AND(AG41=$AJ$2+1,AN41=0),MIN($AR$51,Z41),0))</f>
        <v>#NAME?</v>
      </c>
      <c r="AW41" s="302" t="e">
        <f aca="false">IF($A41="N/A"," ",IF(AND(AH41=$AJ$2+1,AO41=0),MIN($AR$51,AA41),0))</f>
        <v>#NAME?</v>
      </c>
      <c r="AX41" s="302" t="e">
        <f aca="false">IF($A41="N/A"," ",IF(AND(AI41=$AJ$2+1,AP41=0),MIN($AR$51,AB41),0))</f>
        <v>#NAME?</v>
      </c>
      <c r="AY41" s="302" t="e">
        <f aca="false">IF($A41="N/A"," ",IF(AND(AJ41=$AJ$2+1,AQ41=0),MIN($AR$51,AC41),0))</f>
        <v>#NAME?</v>
      </c>
      <c r="AZ41" s="300"/>
      <c r="BA41" s="291" t="n">
        <f aca="false">IF($A41="N/A"," ",(IF(MONTH(A41)&gt;=4,IF(MONTH(A41)&lt;=10,Inputs!$F$13,Inputs!$F$14),Inputs!$F$14))*$BW41)</f>
        <v>180</v>
      </c>
      <c r="BB41" s="292" t="e">
        <f aca="false">IF($A41="N/A"," ",(IF(AK41&gt;0,($BA41*(8*(VLOOKUP($A41,NumberofDaysTable,2)))*P41),0)+IF(AS41&gt;0,($BA41*((AS41))*P41),0)))</f>
        <v>#NAME?</v>
      </c>
      <c r="BC41" s="292" t="e">
        <f aca="false">IF($A41="N/A"," ",(IF(AL41&gt;0,($BA41*(8*(VLOOKUP($A41,NumberofDaysTable,2)))*Q41),0)+IF(AT41&gt;0,($BA41*((AT41))*Q41),0)))</f>
        <v>#NAME?</v>
      </c>
      <c r="BD41" s="292" t="e">
        <f aca="false">IF($A41="N/A"," ",(IF(AM41&gt;0,($BA41*(8*(VLOOKUP($A41,NumberofDaysTable,3)))*R41),0)+IF(AU41&gt;0,($BA41*((AU41))*R41),0)))</f>
        <v>#NAME?</v>
      </c>
      <c r="BE41" s="292" t="e">
        <f aca="false">IF($A41="N/A"," ",(IF(AN41&gt;0,($BA41*(8*(VLOOKUP($A41,NumberofDaysTable,3)))*S41),0)+IF(AV41&gt;0,($BA41*((AV41))*S41),0)))</f>
        <v>#NAME?</v>
      </c>
      <c r="BF41" s="292" t="e">
        <f aca="false">IF($A41="N/A"," ",(IF(AO41&gt;0,($BA41*(8*(VLOOKUP($A41,NumberofDaysTable,4)+VLOOKUP($A41,NumberofDaysTable,5)))*T41),0)+IF(AW41&gt;0,($BA41*((AW41))*T41),0)))</f>
        <v>#NAME?</v>
      </c>
      <c r="BG41" s="292" t="e">
        <f aca="false">IF($A41="N/A"," ",(IF(AP41&gt;0,($BA41*(8*(VLOOKUP($A41,NumberofDaysTable,4)+VLOOKUP($A41,NumberofDaysTable,5)))*U41),0)+IF(AX41&gt;0,($BA41*((AX41))*U41),0)))</f>
        <v>#NAME?</v>
      </c>
      <c r="BH41" s="292" t="e">
        <f aca="false">IF($A41="N/A"," ",($BA41*AQ41*V41))</f>
        <v>#NAME?</v>
      </c>
      <c r="BI41" s="292" t="e">
        <f aca="false">IF($A41="N/A"," ",SUM(BB41:BH41))</f>
        <v>#NAME?</v>
      </c>
      <c r="BJ41" s="293" t="e">
        <f aca="false">IF($A41="N/A"," ",(H41*(SUM(AK41:AQ41)+SUM(AS41:AY41))*BA41))</f>
        <v>#NAME?</v>
      </c>
      <c r="BK41" s="293" t="e">
        <f aca="false">IF($A41="N/A"," ",((C41*D41)*(SUM($AK41:$AQ41)+SUM($AS41:$AY41))*$BA41))</f>
        <v>#N/A</v>
      </c>
      <c r="BL41" s="293" t="e">
        <f aca="false">IF($A41="N/A"," ",(F41*(SUM($AK41:$AQ41)+SUM($AS41:$AY41))*$BA41))</f>
        <v>#NAME?</v>
      </c>
      <c r="BM41" s="293" t="e">
        <f aca="false">IF($A41="N/A"," ",(G41*(SUM($AK41:$AQ41)+SUM($AS41:$AY41))*$BA41))</f>
        <v>#NAME?</v>
      </c>
      <c r="BN41" s="294" t="n">
        <f aca="false">IF(A41="N/A"," ",(VLOOKUP(A41,PowerVolTable,(IF('Pricing Inputs'!$AT$3=2,7,IF('Pricing Inputs'!$AT$3=1,6,8))),FALSE())))</f>
        <v>0.23492075</v>
      </c>
      <c r="BO41" s="294" t="n">
        <f aca="false">IF(A41="N/A"," ",(VLOOKUP(A41,IntraPowerVol,(IF('Pricing Inputs'!$AT$3=2,3,IF('Pricing Inputs'!$AT$3=1,2,4))),FALSE())*VLOOKUP(MONTH($A41),Inputs!$A$28:$B$39,2)))</f>
        <v>2.3</v>
      </c>
      <c r="BP41" s="295" t="n">
        <f aca="false">IF($A41="N/A"," ",(IF(DateToday&gt;$A41,$BO41,((($BN41^2)*((($A41-1)-DateToday)/((EOMONTH($A41,0)+1)-DateToday-15)))+((($BO41)^2)*((15)/((EOMONTH($A41,0)+1)-DateToday-15))))^0.5)))</f>
        <v>2.3</v>
      </c>
      <c r="BQ41" s="294" t="e">
        <f aca="false">IF($A41="N/A"," ",(VLOOKUP($A41,GasVolTable,(IF('Pricing Inputs'!$AT$3=2,6,IF('Pricing Inputs'!$AT$3=1,7,5))),FALSE())))</f>
        <v>#N/A</v>
      </c>
      <c r="BR41" s="294" t="e">
        <f aca="false">IF($A41="N/A"," ",(VLOOKUP($A41,OmicronVol,(IF('Pricing Inputs'!$AT$3=2,3,IF('Pricing Inputs'!$AT$3=1,4,2))),FALSE())))</f>
        <v>#N/A</v>
      </c>
      <c r="BS41" s="295" t="e">
        <f aca="false">IF($A41="N/A"," ",IF('Pricing Inputs'!$AN$3=1,(IF(DateToday&gt;$A41,$BR41,((($BQ41^2)*((($A41-1)-DateToday)/((EOMONTH($A41,0)+1)-DateToday-15)))+((($BR41)^2)*((15)/((EOMONTH($A41,0)+1)-DateToday-15))))^0.5)),0.0001))</f>
        <v>#N/A</v>
      </c>
      <c r="BT41" s="294" t="n">
        <f aca="false">IF($A41="N/A"," ",IF('Pricing Inputs'!$AN$3=1,(VLOOKUP($A41,CorrelationTable,2,FALSE())),0))</f>
        <v>0.9</v>
      </c>
      <c r="BU41" s="296" t="e">
        <f aca="false">IF($A41="N/A"," ",F41+G41+(D41*(VLOOKUP($A41,'Gas Curves'!$B$17:$P$310,14,FALSE()))))</f>
        <v>#N/A</v>
      </c>
      <c r="BV41" s="294" t="n">
        <f aca="false">IF($A41="N/A"," ",IF('Pricing Inputs'!$AW$3=1,0,(VLOOKUP($A41,InterestRatesTable,2))))</f>
        <v>0</v>
      </c>
      <c r="BW41" s="297" t="n">
        <f aca="false">IF($A41="N/A"," ",(1+BV41/2)^(-2*((EOMONTH(A41,0)+20)-DateToday)/365.25))</f>
        <v>1</v>
      </c>
    </row>
    <row r="42" customFormat="false" ht="12.75" hidden="false" customHeight="false" outlineLevel="0" collapsed="false">
      <c r="A42" s="272" t="n">
        <f aca="false">IF(A41="N/A","N/A",IF(EDATE(A41,1)&gt;Inputs!$K$3,"N/A",EDATE(A41,1)))</f>
        <v>38047</v>
      </c>
      <c r="B42" s="273" t="n">
        <f aca="false">IF(A42="N/A"," ",YEAR(A42))</f>
        <v>2004</v>
      </c>
      <c r="C42" s="274" t="e">
        <f aca="false">IF(A42="N/A"," ",VLOOKUP(A42,ScaledPrice,10))</f>
        <v>#N/A</v>
      </c>
      <c r="D42" s="275" t="n">
        <f aca="false">IF(A42="N/A"," ",(VLOOKUP(MONTH($A42),Inputs!$A$14:$B$25,2))/1000)</f>
        <v>10.5</v>
      </c>
      <c r="E42" s="276" t="e">
        <f aca="false">IF($A42="N/A"," ",C42*D42)</f>
        <v>#N/A</v>
      </c>
      <c r="F42" s="277" t="n">
        <f aca="false">IF(A42="N/A"," ",Inputs!$F$6)</f>
        <v>2</v>
      </c>
      <c r="G42" s="277" t="n">
        <f aca="false">IF(A42="N/A"," ",Inputs!$F$9/IF(AND('Pricing Inputs'!$AQ$3&gt;=4,'Pricing Inputs'!$AQ$3&lt;=6),16,IF(AND('Pricing Inputs'!$AQ$3&gt;=7,'Pricing Inputs'!$AQ$3&lt;=9),8,24))/(BA42/BW42))</f>
        <v>0</v>
      </c>
      <c r="H42" s="278" t="e">
        <f aca="false">IF(A42="N/A"," ",(C42*D42)+F42+G42)</f>
        <v>#N/A</v>
      </c>
      <c r="I42" s="279" t="n">
        <f aca="false">VLOOKUP(A42,ScaledPrice,(IF(AND('Pricing Inputs'!$AQ$3&gt;=1,'Pricing Inputs'!$AQ$3&lt;=6),2,4)))</f>
        <v>31.967285</v>
      </c>
      <c r="J42" s="279" t="n">
        <f aca="false">IF(A42="N/A"," ",IF(AND('Pricing Inputs'!$AQ$3&gt;=1,'Pricing Inputs'!$AQ$3&lt;=6),I42,(VLOOKUP(A42,ScaledPrice,2))*(2-(VLOOKUP(A42,ScaledPrice,3)))))</f>
        <v>33.832715</v>
      </c>
      <c r="K42" s="279" t="n">
        <f aca="false">IF(A42="N/A"," ",IF(OR('Pricing Inputs'!$AQ$3=2,'Pricing Inputs'!$AQ$3=3,'Pricing Inputs'!$AQ$3=5,'Pricing Inputs'!$AQ$3=6,'Pricing Inputs'!$AQ$3=8,'Pricing Inputs'!$AQ$3=9),VLOOKUP(A42,ScaledPrice,IF(AND('Pricing Inputs'!$AQ$3&gt;=2,'Pricing Inputs'!$AQ$3&lt;=6),5,6)),0))</f>
        <v>20.4384144520187</v>
      </c>
      <c r="L42" s="279" t="n">
        <f aca="false">IF(A42="N/A"," ",IF(OR('Pricing Inputs'!$AQ$3=2,'Pricing Inputs'!$AQ$3=3,'Pricing Inputs'!$AQ$3=5,'Pricing Inputs'!$AQ$3=6,'Pricing Inputs'!$AQ$3=8,'Pricing Inputs'!$AQ$3=9),IF(AND('Pricing Inputs'!$AQ$3&gt;=2,'Pricing Inputs'!$AQ$3&lt;=6),K42,(VLOOKUP(A42,ScaledPrice,5))*(2-(VLOOKUP(A42,ScaledPrice,3)))),0))</f>
        <v>21.6310847545242</v>
      </c>
      <c r="M42" s="279" t="n">
        <f aca="false">IF(A42="N/A"," ",IF(OR('Pricing Inputs'!$AQ$3=3,'Pricing Inputs'!$AQ$3=6,'Pricing Inputs'!$AQ$3=9),(VLOOKUP(A42,ScaledPrice,IF(AND('Pricing Inputs'!$AQ$3&gt;=3,'Pricing Inputs'!$AQ$3&lt;=6),7,8))),0))</f>
        <v>20.0786603575134</v>
      </c>
      <c r="N42" s="279" t="n">
        <f aca="false">IF(A42="N/A"," ",IF(OR('Pricing Inputs'!$AQ$3=3,'Pricing Inputs'!$AQ$3=6,'Pricing Inputs'!$AQ$3=9),IF(AND('Pricing Inputs'!$AQ$3&gt;=3,'Pricing Inputs'!$AQ$3&lt;=6),M42,(VLOOKUP(A42,ScaledPrice,7))*(2-(VLOOKUP(A42,ScaledPrice,3)))),0))</f>
        <v>21.2503374452209</v>
      </c>
      <c r="O42" s="279" t="n">
        <f aca="false">IF(A42="N/A"," ",IF(AND('Pricing Inputs'!$AQ$3&gt;=1,'Pricing Inputs'!$AQ$3&lt;=3),VLOOKUP(A42,ScaledPrice,9),0))</f>
        <v>0</v>
      </c>
      <c r="P42" s="280" t="e">
        <f aca="false">IF($A42="N/A"," ",IF('Pricing Inputs'!$AN$8=2,(I42-H42),IF('Pricing Inputs'!$AN$3=2,IF((I42-$H42)&gt;0,I42-$H42,0),(xSPRDOPT(I42,$E42,$BU42,0,$BP42,$BS42,$BT42,($A42-Inputs!$D$1)+15,1,0)))))</f>
        <v>#NAME?</v>
      </c>
      <c r="Q42" s="280" t="e">
        <f aca="false">IF($A42="N/A"," ",IF('Pricing Inputs'!$AN$8=2,(J42-$H42),IF('Pricing Inputs'!$AN$3=2,IF((J42-$H42)&gt;0,J42-$H42,0),(xSPRDOPT(J42,$E42,$BU42,0,$BP42,$BS42,$BT42,($A42-Inputs!$D$1)+15,1,0)))))</f>
        <v>#NAME?</v>
      </c>
      <c r="R42" s="280" t="e">
        <f aca="false">IF($A42="N/A"," ",IF('Pricing Inputs'!$AN$8=2,(K42-$H42),IF('Pricing Inputs'!$AN$3=2,IF((K42-$H42)&gt;0,K42-$H42,0),(xSPRDOPT(K42,$E42,$BU42,0,$BP42,$BS42,$BT42,($A42-Inputs!$D$1)+15,1,0)))))</f>
        <v>#NAME?</v>
      </c>
      <c r="S42" s="280" t="e">
        <f aca="false">IF($A42="N/A"," ",IF('Pricing Inputs'!$AN$8=2,(L42-$H42),IF('Pricing Inputs'!$AN$3=2,IF((L42-$H42)&gt;0,L42-$H42,0),(xSPRDOPT(L42,$E42,$BU42,0,$BP42,$BS42,$BT42,($A42-Inputs!$D$1)+15,1,0)))))</f>
        <v>#NAME?</v>
      </c>
      <c r="T42" s="280" t="e">
        <f aca="false">IF($A42="N/A"," ",IF('Pricing Inputs'!$AN$8=2,(M42-$H42),IF('Pricing Inputs'!$AN$3=2,IF((M42-$H42)&gt;0,M42-$H42,0),(xSPRDOPT(M42,$E42,$BU42,0,$BP42,$BS42,$BT42,($A42-Inputs!$D$1)+15,1,0)))))</f>
        <v>#NAME?</v>
      </c>
      <c r="U42" s="280" t="e">
        <f aca="false">IF($A42="N/A"," ",IF('Pricing Inputs'!$AN$8=2,(N42-$H42),IF('Pricing Inputs'!$AN$3=2,IF((N42-$H42)&gt;0,N42-$H42,0),(xSPRDOPT(N42,$E42,$BU42,0,$BP42,$BS42,$BT42,($A42-Inputs!$D$1)+15,1,0)))))</f>
        <v>#NAME?</v>
      </c>
      <c r="V42" s="281" t="e">
        <f aca="false">IF($A42="N/A"," ",(IF('Pricing Inputs'!$AN$8=2,(O42-$H42),IF((O42-$H42)&lt;=0,0,(O42-$H42)))))</f>
        <v>#N/A</v>
      </c>
      <c r="W42" s="282" t="e">
        <f aca="false">IF($A42="N/A"," ",IF(0&lt;&gt;P42,IF('Pricing Inputs'!$AN$3=2,8*VLOOKUP($A42,NumberofDaysTable,2),(xSPRDOPT(I42,$E42,$BU42,0,$BP42,$BS42,$BT42,$A42-Inputs!$D$1,1,1))*(8*VLOOKUP($A42,NumberofDaysTable,2))),0))</f>
        <v>#NAME?</v>
      </c>
      <c r="X42" s="282" t="e">
        <f aca="false">IF($A42="N/A"," ",IF(Q42&lt;&gt;0,IF('Pricing Inputs'!$AN$3=2,8*VLOOKUP($A42,NumberofDaysTable,2),(xSPRDOPT(J42,$E42,$BU42,0,$BP42,$BS42,$BT42,$A42-Inputs!$D$1,1,1))*(8*VLOOKUP($A42,NumberofDaysTable,2))),0))</f>
        <v>#NAME?</v>
      </c>
      <c r="Y42" s="282" t="e">
        <f aca="false">IF($A42="N/A"," ",IF(R42&lt;&gt;0,IF('Pricing Inputs'!$AN$3=2,8*VLOOKUP($A42,NumberofDaysTable,3),(xSPRDOPT(K42,$E42,$BU42,0,$BP42,$BS42,$BT42,$A42-Inputs!$D$1,1,1))*(8*VLOOKUP($A42,NumberofDaysTable,3))),0))</f>
        <v>#NAME?</v>
      </c>
      <c r="Z42" s="282" t="e">
        <f aca="false">IF($A42="N/A"," ",IF(S42&lt;&gt;0,IF('Pricing Inputs'!$AN$3=2,8*VLOOKUP($A42,NumberofDaysTable,3),(xSPRDOPT(L42,$E42,$BU42,0,$BP42,$BS42,$BT42,$A42-Inputs!$D$1,1,1))*(8*VLOOKUP($A42,NumberofDaysTable,3))),0))</f>
        <v>#NAME?</v>
      </c>
      <c r="AA42" s="282" t="e">
        <f aca="false">IF($A42="N/A"," ",IF(T42&lt;&gt;0,IF('Pricing Inputs'!$AN$3=2,8*VLOOKUP($A42,NumberofDaysTable,4),(xSPRDOPT(M42,$E42,$BU42,0,$BP42,$BS42,$BT42,$A42-Inputs!$D$1,1,1))*(8*VLOOKUP($A42,NumberofDaysTable,4))),0))</f>
        <v>#NAME?</v>
      </c>
      <c r="AB42" s="282" t="e">
        <f aca="false">IF($A42="N/A"," ",IF(U42&lt;&gt;0,IF('Pricing Inputs'!$AN$3=2,8*VLOOKUP($A42,NumberofDaysTable,4),(xSPRDOPT(N42,$E42,$BU42,0,$BP42,$BS42,$BT42,$A42-Inputs!$D$1,1,1))*(8*VLOOKUP($A42,NumberofDaysTable,4))),0))</f>
        <v>#NAME?</v>
      </c>
      <c r="AC42" s="282" t="e">
        <f aca="false">IF($A42="N/A"," ",(IF(V42&lt;&gt;0,(8*VLOOKUP($A42,NumberofDaysTable,6)),0)))</f>
        <v>#N/A</v>
      </c>
      <c r="AD42" s="298" t="e">
        <f aca="false">IF($A42="N/A"," ",RANK(P42,$P$40:$V$51))</f>
        <v>#NAME?</v>
      </c>
      <c r="AE42" s="299" t="e">
        <f aca="false">IF($A42="N/A"," ",RANK(Q42,$P$40:$V$51))</f>
        <v>#NAME?</v>
      </c>
      <c r="AF42" s="299" t="e">
        <f aca="false">IF($A42="N/A"," ",RANK(R42,$P$40:$V$51))</f>
        <v>#NAME?</v>
      </c>
      <c r="AG42" s="299" t="e">
        <f aca="false">IF($A42="N/A"," ",RANK(S42,$P$40:$V$51))</f>
        <v>#NAME?</v>
      </c>
      <c r="AH42" s="299" t="e">
        <f aca="false">IF($A42="N/A"," ",RANK(T42,$P$40:$V$51))</f>
        <v>#NAME?</v>
      </c>
      <c r="AI42" s="299" t="e">
        <f aca="false">IF($A42="N/A"," ",RANK(U42,$P$40:$V$51))</f>
        <v>#NAME?</v>
      </c>
      <c r="AJ42" s="300" t="e">
        <f aca="false">IF($A42="N/A"," ",RANK(V42,$P$40:$V$51))</f>
        <v>#NAME?</v>
      </c>
      <c r="AK42" s="286" t="e">
        <f aca="false">IF($A42="N/A"," ",IF(AD42&lt;=$AJ$2,W42,0))</f>
        <v>#NAME?</v>
      </c>
      <c r="AL42" s="301" t="e">
        <f aca="false">IF($A42="N/A"," ",IF(AE42&lt;=$AJ$2,X42,0))</f>
        <v>#NAME?</v>
      </c>
      <c r="AM42" s="301" t="e">
        <f aca="false">IF($A42="N/A"," ",IF(AF42&lt;=$AJ$2,Y42,0))</f>
        <v>#NAME?</v>
      </c>
      <c r="AN42" s="301" t="e">
        <f aca="false">IF($A42="N/A"," ",IF(AG42&lt;=$AJ$2,Z42,0))</f>
        <v>#NAME?</v>
      </c>
      <c r="AO42" s="301" t="e">
        <f aca="false">IF($A42="N/A"," ",IF(AH42&lt;=$AJ$2,AA42,0))</f>
        <v>#NAME?</v>
      </c>
      <c r="AP42" s="301" t="e">
        <f aca="false">IF($A42="N/A"," ",IF(AI42&lt;=$AJ$2,AB42,0))</f>
        <v>#NAME?</v>
      </c>
      <c r="AQ42" s="301" t="e">
        <f aca="false">IF($A42="N/A"," ",IF(AJ42&lt;=$AJ$2,AC42,0))</f>
        <v>#NAME?</v>
      </c>
      <c r="AR42" s="300"/>
      <c r="AS42" s="288" t="e">
        <f aca="false">IF($A42="N/A"," ",IF(AND(AD42=$AJ$2+1,AK42=0),MIN($AR$51,W42),0))</f>
        <v>#NAME?</v>
      </c>
      <c r="AT42" s="302" t="e">
        <f aca="false">IF($A42="N/A"," ",IF(AND(AE42=$AJ$2+1,AL42=0),MIN($AR$51,X42),0))</f>
        <v>#NAME?</v>
      </c>
      <c r="AU42" s="302" t="e">
        <f aca="false">IF($A42="N/A"," ",IF(AND(AF42=$AJ$2+1,AM42=0),MIN($AR$51,Y42),0))</f>
        <v>#NAME?</v>
      </c>
      <c r="AV42" s="302" t="e">
        <f aca="false">IF($A42="N/A"," ",IF(AND(AG42=$AJ$2+1,AN42=0),MIN($AR$51,Z42),0))</f>
        <v>#NAME?</v>
      </c>
      <c r="AW42" s="302" t="e">
        <f aca="false">IF($A42="N/A"," ",IF(AND(AH42=$AJ$2+1,AO42=0),MIN($AR$51,AA42),0))</f>
        <v>#NAME?</v>
      </c>
      <c r="AX42" s="302" t="e">
        <f aca="false">IF($A42="N/A"," ",IF(AND(AI42=$AJ$2+1,AP42=0),MIN($AR$51,AB42),0))</f>
        <v>#NAME?</v>
      </c>
      <c r="AY42" s="302" t="e">
        <f aca="false">IF($A42="N/A"," ",IF(AND(AJ42=$AJ$2+1,AQ42=0),MIN($AR$51,AC42),0))</f>
        <v>#NAME?</v>
      </c>
      <c r="AZ42" s="300"/>
      <c r="BA42" s="291" t="n">
        <f aca="false">IF($A42="N/A"," ",(IF(MONTH(A42)&gt;=4,IF(MONTH(A42)&lt;=10,Inputs!$F$13,Inputs!$F$14),Inputs!$F$14))*$BW42)</f>
        <v>180</v>
      </c>
      <c r="BB42" s="292" t="e">
        <f aca="false">IF($A42="N/A"," ",(IF(AK42&gt;0,($BA42*(8*(VLOOKUP($A42,NumberofDaysTable,2)))*P42),0)+IF(AS42&gt;0,($BA42*((AS42))*P42),0)))</f>
        <v>#NAME?</v>
      </c>
      <c r="BC42" s="292" t="e">
        <f aca="false">IF($A42="N/A"," ",(IF(AL42&gt;0,($BA42*(8*(VLOOKUP($A42,NumberofDaysTable,2)))*Q42),0)+IF(AT42&gt;0,($BA42*((AT42))*Q42),0)))</f>
        <v>#NAME?</v>
      </c>
      <c r="BD42" s="292" t="e">
        <f aca="false">IF($A42="N/A"," ",(IF(AM42&gt;0,($BA42*(8*(VLOOKUP($A42,NumberofDaysTable,3)))*R42),0)+IF(AU42&gt;0,($BA42*((AU42))*R42),0)))</f>
        <v>#NAME?</v>
      </c>
      <c r="BE42" s="292" t="e">
        <f aca="false">IF($A42="N/A"," ",(IF(AN42&gt;0,($BA42*(8*(VLOOKUP($A42,NumberofDaysTable,3)))*S42),0)+IF(AV42&gt;0,($BA42*((AV42))*S42),0)))</f>
        <v>#NAME?</v>
      </c>
      <c r="BF42" s="292" t="e">
        <f aca="false">IF($A42="N/A"," ",(IF(AO42&gt;0,($BA42*(8*(VLOOKUP($A42,NumberofDaysTable,4)+VLOOKUP($A42,NumberofDaysTable,5)))*T42),0)+IF(AW42&gt;0,($BA42*((AW42))*T42),0)))</f>
        <v>#NAME?</v>
      </c>
      <c r="BG42" s="292" t="e">
        <f aca="false">IF($A42="N/A"," ",(IF(AP42&gt;0,($BA42*(8*(VLOOKUP($A42,NumberofDaysTable,4)+VLOOKUP($A42,NumberofDaysTable,5)))*U42),0)+IF(AX42&gt;0,($BA42*((AX42))*U42),0)))</f>
        <v>#NAME?</v>
      </c>
      <c r="BH42" s="292" t="e">
        <f aca="false">IF($A42="N/A"," ",($BA42*AQ42*V42))</f>
        <v>#NAME?</v>
      </c>
      <c r="BI42" s="292" t="e">
        <f aca="false">IF($A42="N/A"," ",SUM(BB42:BH42))</f>
        <v>#NAME?</v>
      </c>
      <c r="BJ42" s="293" t="e">
        <f aca="false">IF($A42="N/A"," ",(H42*(SUM(AK42:AQ42)+SUM(AS42:AY42))*BA42))</f>
        <v>#NAME?</v>
      </c>
      <c r="BK42" s="293" t="e">
        <f aca="false">IF($A42="N/A"," ",((C42*D42)*(SUM($AK42:$AQ42)+SUM($AS42:$AY42))*$BA42))</f>
        <v>#N/A</v>
      </c>
      <c r="BL42" s="293" t="e">
        <f aca="false">IF($A42="N/A"," ",(F42*(SUM($AK42:$AQ42)+SUM($AS42:$AY42))*$BA42))</f>
        <v>#NAME?</v>
      </c>
      <c r="BM42" s="293" t="e">
        <f aca="false">IF($A42="N/A"," ",(G42*(SUM($AK42:$AQ42)+SUM($AS42:$AY42))*$BA42))</f>
        <v>#NAME?</v>
      </c>
      <c r="BN42" s="294" t="n">
        <f aca="false">IF(A42="N/A"," ",(VLOOKUP(A42,PowerVolTable,(IF('Pricing Inputs'!$AT$3=2,7,IF('Pricing Inputs'!$AT$3=1,6,8))),FALSE())))</f>
        <v>0.228983428125</v>
      </c>
      <c r="BO42" s="294" t="n">
        <f aca="false">IF(A42="N/A"," ",(VLOOKUP(A42,IntraPowerVol,(IF('Pricing Inputs'!$AT$3=2,3,IF('Pricing Inputs'!$AT$3=1,2,4))),FALSE())*VLOOKUP(MONTH($A42),Inputs!$A$28:$B$39,2)))</f>
        <v>1.495</v>
      </c>
      <c r="BP42" s="295" t="n">
        <f aca="false">IF($A42="N/A"," ",(IF(DateToday&gt;$A42,$BO42,((($BN42^2)*((($A42-1)-DateToday)/((EOMONTH($A42,0)+1)-DateToday-15)))+((($BO42)^2)*((15)/((EOMONTH($A42,0)+1)-DateToday-15))))^0.5)))</f>
        <v>1.495</v>
      </c>
      <c r="BQ42" s="294" t="e">
        <f aca="false">IF($A42="N/A"," ",(VLOOKUP($A42,GasVolTable,(IF('Pricing Inputs'!$AT$3=2,6,IF('Pricing Inputs'!$AT$3=1,7,5))),FALSE())))</f>
        <v>#N/A</v>
      </c>
      <c r="BR42" s="294" t="e">
        <f aca="false">IF($A42="N/A"," ",(VLOOKUP($A42,OmicronVol,(IF('Pricing Inputs'!$AT$3=2,3,IF('Pricing Inputs'!$AT$3=1,4,2))),FALSE())))</f>
        <v>#N/A</v>
      </c>
      <c r="BS42" s="295" t="e">
        <f aca="false">IF($A42="N/A"," ",IF('Pricing Inputs'!$AN$3=1,(IF(DateToday&gt;$A42,$BR42,((($BQ42^2)*((($A42-1)-DateToday)/((EOMONTH($A42,0)+1)-DateToday-15)))+((($BR42)^2)*((15)/((EOMONTH($A42,0)+1)-DateToday-15))))^0.5)),0.0001))</f>
        <v>#N/A</v>
      </c>
      <c r="BT42" s="294" t="n">
        <f aca="false">IF($A42="N/A"," ",IF('Pricing Inputs'!$AN$3=1,(VLOOKUP($A42,CorrelationTable,2,FALSE())),0))</f>
        <v>0.9</v>
      </c>
      <c r="BU42" s="296" t="e">
        <f aca="false">IF($A42="N/A"," ",F42+G42+(D42*(VLOOKUP($A42,'Gas Curves'!$B$17:$P$310,14,FALSE()))))</f>
        <v>#N/A</v>
      </c>
      <c r="BV42" s="294" t="n">
        <f aca="false">IF($A42="N/A"," ",IF('Pricing Inputs'!$AW$3=1,0,(VLOOKUP($A42,InterestRatesTable,2))))</f>
        <v>0</v>
      </c>
      <c r="BW42" s="297" t="n">
        <f aca="false">IF($A42="N/A"," ",(1+BV42/2)^(-2*((EOMONTH(A42,0)+20)-DateToday)/365.25))</f>
        <v>1</v>
      </c>
    </row>
    <row r="43" customFormat="false" ht="12.75" hidden="false" customHeight="false" outlineLevel="0" collapsed="false">
      <c r="A43" s="272" t="n">
        <f aca="false">IF(A42="N/A","N/A",IF(EDATE(A42,1)&gt;Inputs!$K$3,"N/A",EDATE(A42,1)))</f>
        <v>38078</v>
      </c>
      <c r="B43" s="273" t="n">
        <f aca="false">IF(A43="N/A"," ",YEAR(A43))</f>
        <v>2004</v>
      </c>
      <c r="C43" s="274" t="e">
        <f aca="false">IF(A43="N/A"," ",VLOOKUP(A43,ScaledPrice,10))</f>
        <v>#N/A</v>
      </c>
      <c r="D43" s="275" t="n">
        <f aca="false">IF(A43="N/A"," ",(VLOOKUP(MONTH($A43),Inputs!$A$14:$B$25,2))/1000)</f>
        <v>10.5</v>
      </c>
      <c r="E43" s="276" t="e">
        <f aca="false">IF($A43="N/A"," ",C43*D43)</f>
        <v>#N/A</v>
      </c>
      <c r="F43" s="277" t="n">
        <f aca="false">IF(A43="N/A"," ",Inputs!$F$6)</f>
        <v>2</v>
      </c>
      <c r="G43" s="277" t="n">
        <f aca="false">IF(A43="N/A"," ",Inputs!$F$9/IF(AND('Pricing Inputs'!$AQ$3&gt;=4,'Pricing Inputs'!$AQ$3&lt;=6),16,IF(AND('Pricing Inputs'!$AQ$3&gt;=7,'Pricing Inputs'!$AQ$3&lt;=9),8,24))/(BA43/BW43))</f>
        <v>0</v>
      </c>
      <c r="H43" s="278" t="e">
        <f aca="false">IF(A43="N/A"," ",(C43*D43)+F43+G43)</f>
        <v>#N/A</v>
      </c>
      <c r="I43" s="279" t="n">
        <f aca="false">VLOOKUP(A43,ScaledPrice,(IF(AND('Pricing Inputs'!$AQ$3&gt;=1,'Pricing Inputs'!$AQ$3&lt;=6),2,4)))</f>
        <v>29.2759021649141</v>
      </c>
      <c r="J43" s="279" t="n">
        <f aca="false">IF(A43="N/A"," ",IF(AND('Pricing Inputs'!$AQ$3&gt;=1,'Pricing Inputs'!$AQ$3&lt;=6),I43,(VLOOKUP(A43,ScaledPrice,2))*(2-(VLOOKUP(A43,ScaledPrice,3)))))</f>
        <v>34.0240978350859</v>
      </c>
      <c r="K43" s="279" t="n">
        <f aca="false">IF(A43="N/A"," ",IF(OR('Pricing Inputs'!$AQ$3=2,'Pricing Inputs'!$AQ$3=3,'Pricing Inputs'!$AQ$3=5,'Pricing Inputs'!$AQ$3=6,'Pricing Inputs'!$AQ$3=8,'Pricing Inputs'!$AQ$3=9),VLOOKUP(A43,ScaledPrice,IF(AND('Pricing Inputs'!$AQ$3&gt;=2,'Pricing Inputs'!$AQ$3&lt;=6),5,6)),0))</f>
        <v>20.0884491058711</v>
      </c>
      <c r="L43" s="279" t="n">
        <f aca="false">IF(A43="N/A"," ",IF(OR('Pricing Inputs'!$AQ$3=2,'Pricing Inputs'!$AQ$3=3,'Pricing Inputs'!$AQ$3=5,'Pricing Inputs'!$AQ$3=6,'Pricing Inputs'!$AQ$3=8,'Pricing Inputs'!$AQ$3=9),IF(AND('Pricing Inputs'!$AQ$3&gt;=2,'Pricing Inputs'!$AQ$3&lt;=6),K43,(VLOOKUP(A43,ScaledPrice,5))*(2-(VLOOKUP(A43,ScaledPrice,3)))),0))</f>
        <v>23.3465515044805</v>
      </c>
      <c r="M43" s="279" t="n">
        <f aca="false">IF(A43="N/A"," ",IF(OR('Pricing Inputs'!$AQ$3=3,'Pricing Inputs'!$AQ$3=6,'Pricing Inputs'!$AQ$3=9),(VLOOKUP(A43,ScaledPrice,IF(AND('Pricing Inputs'!$AQ$3&gt;=3,'Pricing Inputs'!$AQ$3&lt;=6),7,8))),0))</f>
        <v>18.9021495714733</v>
      </c>
      <c r="N43" s="279" t="n">
        <f aca="false">IF(A43="N/A"," ",IF(OR('Pricing Inputs'!$AQ$3=3,'Pricing Inputs'!$AQ$3=6,'Pricing Inputs'!$AQ$3=9),IF(AND('Pricing Inputs'!$AQ$3&gt;=3,'Pricing Inputs'!$AQ$3&lt;=6),M43,(VLOOKUP(A43,ScaledPrice,7))*(2-(VLOOKUP(A43,ScaledPrice,3)))),0))</f>
        <v>21.967848597472</v>
      </c>
      <c r="O43" s="279" t="n">
        <f aca="false">IF(A43="N/A"," ",IF(AND('Pricing Inputs'!$AQ$3&gt;=1,'Pricing Inputs'!$AQ$3&lt;=3),VLOOKUP(A43,ScaledPrice,9),0))</f>
        <v>0</v>
      </c>
      <c r="P43" s="280" t="e">
        <f aca="false">IF($A43="N/A"," ",IF('Pricing Inputs'!$AN$8=2,(I43-H43),IF('Pricing Inputs'!$AN$3=2,IF((I43-$H43)&gt;0,I43-$H43,0),(xSPRDOPT(I43,$E43,$BU43,0,$BP43,$BS43,$BT43,($A43-Inputs!$D$1)+15,1,0)))))</f>
        <v>#NAME?</v>
      </c>
      <c r="Q43" s="280" t="e">
        <f aca="false">IF($A43="N/A"," ",IF('Pricing Inputs'!$AN$8=2,(J43-$H43),IF('Pricing Inputs'!$AN$3=2,IF((J43-$H43)&gt;0,J43-$H43,0),(xSPRDOPT(J43,$E43,$BU43,0,$BP43,$BS43,$BT43,($A43-Inputs!$D$1)+15,1,0)))))</f>
        <v>#NAME?</v>
      </c>
      <c r="R43" s="280" t="e">
        <f aca="false">IF($A43="N/A"," ",IF('Pricing Inputs'!$AN$8=2,(K43-$H43),IF('Pricing Inputs'!$AN$3=2,IF((K43-$H43)&gt;0,K43-$H43,0),(xSPRDOPT(K43,$E43,$BU43,0,$BP43,$BS43,$BT43,($A43-Inputs!$D$1)+15,1,0)))))</f>
        <v>#NAME?</v>
      </c>
      <c r="S43" s="280" t="e">
        <f aca="false">IF($A43="N/A"," ",IF('Pricing Inputs'!$AN$8=2,(L43-$H43),IF('Pricing Inputs'!$AN$3=2,IF((L43-$H43)&gt;0,L43-$H43,0),(xSPRDOPT(L43,$E43,$BU43,0,$BP43,$BS43,$BT43,($A43-Inputs!$D$1)+15,1,0)))))</f>
        <v>#NAME?</v>
      </c>
      <c r="T43" s="280" t="e">
        <f aca="false">IF($A43="N/A"," ",IF('Pricing Inputs'!$AN$8=2,(M43-$H43),IF('Pricing Inputs'!$AN$3=2,IF((M43-$H43)&gt;0,M43-$H43,0),(xSPRDOPT(M43,$E43,$BU43,0,$BP43,$BS43,$BT43,($A43-Inputs!$D$1)+15,1,0)))))</f>
        <v>#NAME?</v>
      </c>
      <c r="U43" s="280" t="e">
        <f aca="false">IF($A43="N/A"," ",IF('Pricing Inputs'!$AN$8=2,(N43-$H43),IF('Pricing Inputs'!$AN$3=2,IF((N43-$H43)&gt;0,N43-$H43,0),(xSPRDOPT(N43,$E43,$BU43,0,$BP43,$BS43,$BT43,($A43-Inputs!$D$1)+15,1,0)))))</f>
        <v>#NAME?</v>
      </c>
      <c r="V43" s="281" t="e">
        <f aca="false">IF($A43="N/A"," ",(IF('Pricing Inputs'!$AN$8=2,(O43-$H43),IF((O43-$H43)&lt;=0,0,(O43-$H43)))))</f>
        <v>#N/A</v>
      </c>
      <c r="W43" s="282" t="e">
        <f aca="false">IF($A43="N/A"," ",IF(0&lt;&gt;P43,IF('Pricing Inputs'!$AN$3=2,8*VLOOKUP($A43,NumberofDaysTable,2),(xSPRDOPT(I43,$E43,$BU43,0,$BP43,$BS43,$BT43,$A43-Inputs!$D$1,1,1))*(8*VLOOKUP($A43,NumberofDaysTable,2))),0))</f>
        <v>#NAME?</v>
      </c>
      <c r="X43" s="282" t="e">
        <f aca="false">IF($A43="N/A"," ",IF(Q43&lt;&gt;0,IF('Pricing Inputs'!$AN$3=2,8*VLOOKUP($A43,NumberofDaysTable,2),(xSPRDOPT(J43,$E43,$BU43,0,$BP43,$BS43,$BT43,$A43-Inputs!$D$1,1,1))*(8*VLOOKUP($A43,NumberofDaysTable,2))),0))</f>
        <v>#NAME?</v>
      </c>
      <c r="Y43" s="282" t="e">
        <f aca="false">IF($A43="N/A"," ",IF(R43&lt;&gt;0,IF('Pricing Inputs'!$AN$3=2,8*VLOOKUP($A43,NumberofDaysTable,3),(xSPRDOPT(K43,$E43,$BU43,0,$BP43,$BS43,$BT43,$A43-Inputs!$D$1,1,1))*(8*VLOOKUP($A43,NumberofDaysTable,3))),0))</f>
        <v>#NAME?</v>
      </c>
      <c r="Z43" s="282" t="e">
        <f aca="false">IF($A43="N/A"," ",IF(S43&lt;&gt;0,IF('Pricing Inputs'!$AN$3=2,8*VLOOKUP($A43,NumberofDaysTable,3),(xSPRDOPT(L43,$E43,$BU43,0,$BP43,$BS43,$BT43,$A43-Inputs!$D$1,1,1))*(8*VLOOKUP($A43,NumberofDaysTable,3))),0))</f>
        <v>#NAME?</v>
      </c>
      <c r="AA43" s="282" t="e">
        <f aca="false">IF($A43="N/A"," ",IF(T43&lt;&gt;0,IF('Pricing Inputs'!$AN$3=2,8*VLOOKUP($A43,NumberofDaysTable,4),(xSPRDOPT(M43,$E43,$BU43,0,$BP43,$BS43,$BT43,$A43-Inputs!$D$1,1,1))*(8*VLOOKUP($A43,NumberofDaysTable,4))),0))</f>
        <v>#NAME?</v>
      </c>
      <c r="AB43" s="282" t="e">
        <f aca="false">IF($A43="N/A"," ",IF(U43&lt;&gt;0,IF('Pricing Inputs'!$AN$3=2,8*VLOOKUP($A43,NumberofDaysTable,4),(xSPRDOPT(N43,$E43,$BU43,0,$BP43,$BS43,$BT43,$A43-Inputs!$D$1,1,1))*(8*VLOOKUP($A43,NumberofDaysTable,4))),0))</f>
        <v>#NAME?</v>
      </c>
      <c r="AC43" s="282" t="e">
        <f aca="false">IF($A43="N/A"," ",(IF(V43&lt;&gt;0,(8*VLOOKUP($A43,NumberofDaysTable,6)),0)))</f>
        <v>#N/A</v>
      </c>
      <c r="AD43" s="298" t="e">
        <f aca="false">IF($A43="N/A"," ",RANK(P43,$P$40:$V$51))</f>
        <v>#NAME?</v>
      </c>
      <c r="AE43" s="299" t="e">
        <f aca="false">IF($A43="N/A"," ",RANK(Q43,$P$40:$V$51))</f>
        <v>#NAME?</v>
      </c>
      <c r="AF43" s="299" t="e">
        <f aca="false">IF($A43="N/A"," ",RANK(R43,$P$40:$V$51))</f>
        <v>#NAME?</v>
      </c>
      <c r="AG43" s="299" t="e">
        <f aca="false">IF($A43="N/A"," ",RANK(S43,$P$40:$V$51))</f>
        <v>#NAME?</v>
      </c>
      <c r="AH43" s="299" t="e">
        <f aca="false">IF($A43="N/A"," ",RANK(T43,$P$40:$V$51))</f>
        <v>#NAME?</v>
      </c>
      <c r="AI43" s="299" t="e">
        <f aca="false">IF($A43="N/A"," ",RANK(U43,$P$40:$V$51))</f>
        <v>#NAME?</v>
      </c>
      <c r="AJ43" s="300" t="e">
        <f aca="false">IF($A43="N/A"," ",RANK(V43,$P$40:$V$51))</f>
        <v>#NAME?</v>
      </c>
      <c r="AK43" s="286" t="e">
        <f aca="false">IF($A43="N/A"," ",IF(AD43&lt;=$AJ$2,W43,0))</f>
        <v>#NAME?</v>
      </c>
      <c r="AL43" s="301" t="e">
        <f aca="false">IF($A43="N/A"," ",IF(AE43&lt;=$AJ$2,X43,0))</f>
        <v>#NAME?</v>
      </c>
      <c r="AM43" s="301" t="e">
        <f aca="false">IF($A43="N/A"," ",IF(AF43&lt;=$AJ$2,Y43,0))</f>
        <v>#NAME?</v>
      </c>
      <c r="AN43" s="301" t="e">
        <f aca="false">IF($A43="N/A"," ",IF(AG43&lt;=$AJ$2,Z43,0))</f>
        <v>#NAME?</v>
      </c>
      <c r="AO43" s="301" t="e">
        <f aca="false">IF($A43="N/A"," ",IF(AH43&lt;=$AJ$2,AA43,0))</f>
        <v>#NAME?</v>
      </c>
      <c r="AP43" s="301" t="e">
        <f aca="false">IF($A43="N/A"," ",IF(AI43&lt;=$AJ$2,AB43,0))</f>
        <v>#NAME?</v>
      </c>
      <c r="AQ43" s="301" t="e">
        <f aca="false">IF($A43="N/A"," ",IF(AJ43&lt;=$AJ$2,AC43,0))</f>
        <v>#NAME?</v>
      </c>
      <c r="AR43" s="300"/>
      <c r="AS43" s="288" t="e">
        <f aca="false">IF($A43="N/A"," ",IF(AND(AD43=$AJ$2+1,AK43=0),MIN($AR$51,W43),0))</f>
        <v>#NAME?</v>
      </c>
      <c r="AT43" s="302" t="e">
        <f aca="false">IF($A43="N/A"," ",IF(AND(AE43=$AJ$2+1,AL43=0),MIN($AR$51,X43),0))</f>
        <v>#NAME?</v>
      </c>
      <c r="AU43" s="302" t="e">
        <f aca="false">IF($A43="N/A"," ",IF(AND(AF43=$AJ$2+1,AM43=0),MIN($AR$51,Y43),0))</f>
        <v>#NAME?</v>
      </c>
      <c r="AV43" s="302" t="e">
        <f aca="false">IF($A43="N/A"," ",IF(AND(AG43=$AJ$2+1,AN43=0),MIN($AR$51,Z43),0))</f>
        <v>#NAME?</v>
      </c>
      <c r="AW43" s="302" t="e">
        <f aca="false">IF($A43="N/A"," ",IF(AND(AH43=$AJ$2+1,AO43=0),MIN($AR$51,AA43),0))</f>
        <v>#NAME?</v>
      </c>
      <c r="AX43" s="302" t="e">
        <f aca="false">IF($A43="N/A"," ",IF(AND(AI43=$AJ$2+1,AP43=0),MIN($AR$51,AB43),0))</f>
        <v>#NAME?</v>
      </c>
      <c r="AY43" s="302" t="e">
        <f aca="false">IF($A43="N/A"," ",IF(AND(AJ43=$AJ$2+1,AQ43=0),MIN($AR$51,AC43),0))</f>
        <v>#NAME?</v>
      </c>
      <c r="AZ43" s="300"/>
      <c r="BA43" s="291" t="n">
        <f aca="false">IF($A43="N/A"," ",(IF(MONTH(A43)&gt;=4,IF(MONTH(A43)&lt;=10,Inputs!$F$13,Inputs!$F$14),Inputs!$F$14))*$BW43)</f>
        <v>180</v>
      </c>
      <c r="BB43" s="292" t="e">
        <f aca="false">IF($A43="N/A"," ",(IF(AK43&gt;0,($BA43*(8*(VLOOKUP($A43,NumberofDaysTable,2)))*P43),0)+IF(AS43&gt;0,($BA43*((AS43))*P43),0)))</f>
        <v>#NAME?</v>
      </c>
      <c r="BC43" s="292" t="e">
        <f aca="false">IF($A43="N/A"," ",(IF(AL43&gt;0,($BA43*(8*(VLOOKUP($A43,NumberofDaysTable,2)))*Q43),0)+IF(AT43&gt;0,($BA43*((AT43))*Q43),0)))</f>
        <v>#NAME?</v>
      </c>
      <c r="BD43" s="292" t="e">
        <f aca="false">IF($A43="N/A"," ",(IF(AM43&gt;0,($BA43*(8*(VLOOKUP($A43,NumberofDaysTable,3)))*R43),0)+IF(AU43&gt;0,($BA43*((AU43))*R43),0)))</f>
        <v>#NAME?</v>
      </c>
      <c r="BE43" s="292" t="e">
        <f aca="false">IF($A43="N/A"," ",(IF(AN43&gt;0,($BA43*(8*(VLOOKUP($A43,NumberofDaysTable,3)))*S43),0)+IF(AV43&gt;0,($BA43*((AV43))*S43),0)))</f>
        <v>#NAME?</v>
      </c>
      <c r="BF43" s="292" t="e">
        <f aca="false">IF($A43="N/A"," ",(IF(AO43&gt;0,($BA43*(8*(VLOOKUP($A43,NumberofDaysTable,4)+VLOOKUP($A43,NumberofDaysTable,5)))*T43),0)+IF(AW43&gt;0,($BA43*((AW43))*T43),0)))</f>
        <v>#NAME?</v>
      </c>
      <c r="BG43" s="292" t="e">
        <f aca="false">IF($A43="N/A"," ",(IF(AP43&gt;0,($BA43*(8*(VLOOKUP($A43,NumberofDaysTable,4)+VLOOKUP($A43,NumberofDaysTable,5)))*U43),0)+IF(AX43&gt;0,($BA43*((AX43))*U43),0)))</f>
        <v>#NAME?</v>
      </c>
      <c r="BH43" s="292" t="e">
        <f aca="false">IF($A43="N/A"," ",($BA43*AQ43*V43))</f>
        <v>#NAME?</v>
      </c>
      <c r="BI43" s="292" t="e">
        <f aca="false">IF($A43="N/A"," ",SUM(BB43:BH43))</f>
        <v>#NAME?</v>
      </c>
      <c r="BJ43" s="293" t="e">
        <f aca="false">IF($A43="N/A"," ",(H43*(SUM(AK43:AQ43)+SUM(AS43:AY43))*BA43))</f>
        <v>#NAME?</v>
      </c>
      <c r="BK43" s="293" t="e">
        <f aca="false">IF($A43="N/A"," ",((C43*D43)*(SUM($AK43:$AQ43)+SUM($AS43:$AY43))*$BA43))</f>
        <v>#N/A</v>
      </c>
      <c r="BL43" s="293" t="e">
        <f aca="false">IF($A43="N/A"," ",(F43*(SUM($AK43:$AQ43)+SUM($AS43:$AY43))*$BA43))</f>
        <v>#NAME?</v>
      </c>
      <c r="BM43" s="293" t="e">
        <f aca="false">IF($A43="N/A"," ",(G43*(SUM($AK43:$AQ43)+SUM($AS43:$AY43))*$BA43))</f>
        <v>#NAME?</v>
      </c>
      <c r="BN43" s="294" t="n">
        <f aca="false">IF(A43="N/A"," ",(VLOOKUP(A43,PowerVolTable,(IF('Pricing Inputs'!$AT$3=2,7,IF('Pricing Inputs'!$AT$3=1,6,8))),FALSE())))</f>
        <v>0.20409811875</v>
      </c>
      <c r="BO43" s="294" t="n">
        <f aca="false">IF(A43="N/A"," ",(VLOOKUP(A43,IntraPowerVol,(IF('Pricing Inputs'!$AT$3=2,3,IF('Pricing Inputs'!$AT$3=1,2,4))),FALSE())*VLOOKUP(MONTH($A43),Inputs!$A$28:$B$39,2)))</f>
        <v>1.265</v>
      </c>
      <c r="BP43" s="295" t="n">
        <f aca="false">IF($A43="N/A"," ",(IF(DateToday&gt;$A43,$BO43,((($BN43^2)*((($A43-1)-DateToday)/((EOMONTH($A43,0)+1)-DateToday-15)))+((($BO43)^2)*((15)/((EOMONTH($A43,0)+1)-DateToday-15))))^0.5)))</f>
        <v>1.265</v>
      </c>
      <c r="BQ43" s="294" t="e">
        <f aca="false">IF($A43="N/A"," ",(VLOOKUP($A43,GasVolTable,(IF('Pricing Inputs'!$AT$3=2,6,IF('Pricing Inputs'!$AT$3=1,7,5))),FALSE())))</f>
        <v>#N/A</v>
      </c>
      <c r="BR43" s="294" t="e">
        <f aca="false">IF($A43="N/A"," ",(VLOOKUP($A43,OmicronVol,(IF('Pricing Inputs'!$AT$3=2,3,IF('Pricing Inputs'!$AT$3=1,4,2))),FALSE())))</f>
        <v>#N/A</v>
      </c>
      <c r="BS43" s="295" t="e">
        <f aca="false">IF($A43="N/A"," ",IF('Pricing Inputs'!$AN$3=1,(IF(DateToday&gt;$A43,$BR43,((($BQ43^2)*((($A43-1)-DateToday)/((EOMONTH($A43,0)+1)-DateToday-15)))+((($BR43)^2)*((15)/((EOMONTH($A43,0)+1)-DateToday-15))))^0.5)),0.0001))</f>
        <v>#N/A</v>
      </c>
      <c r="BT43" s="294" t="n">
        <f aca="false">IF($A43="N/A"," ",IF('Pricing Inputs'!$AN$3=1,(VLOOKUP($A43,CorrelationTable,2,FALSE())),0))</f>
        <v>0.9</v>
      </c>
      <c r="BU43" s="296" t="e">
        <f aca="false">IF($A43="N/A"," ",F43+G43+(D43*(VLOOKUP($A43,'Gas Curves'!$B$17:$P$310,14,FALSE()))))</f>
        <v>#N/A</v>
      </c>
      <c r="BV43" s="294" t="n">
        <f aca="false">IF($A43="N/A"," ",IF('Pricing Inputs'!$AW$3=1,0,(VLOOKUP($A43,InterestRatesTable,2))))</f>
        <v>0</v>
      </c>
      <c r="BW43" s="297" t="n">
        <f aca="false">IF($A43="N/A"," ",(1+BV43/2)^(-2*((EOMONTH(A43,0)+20)-DateToday)/365.25))</f>
        <v>1</v>
      </c>
    </row>
    <row r="44" customFormat="false" ht="12.75" hidden="false" customHeight="false" outlineLevel="0" collapsed="false">
      <c r="A44" s="272" t="n">
        <f aca="false">IF(A43="N/A","N/A",IF(EDATE(A43,1)&gt;Inputs!$K$3,"N/A",EDATE(A43,1)))</f>
        <v>38108</v>
      </c>
      <c r="B44" s="273" t="n">
        <f aca="false">IF(A44="N/A"," ",YEAR(A44))</f>
        <v>2004</v>
      </c>
      <c r="C44" s="274" t="e">
        <f aca="false">IF(A44="N/A"," ",VLOOKUP(A44,ScaledPrice,10))</f>
        <v>#N/A</v>
      </c>
      <c r="D44" s="275" t="n">
        <f aca="false">IF(A44="N/A"," ",(VLOOKUP(MONTH($A44),Inputs!$A$14:$B$25,2))/1000)</f>
        <v>10.5</v>
      </c>
      <c r="E44" s="276" t="e">
        <f aca="false">IF($A44="N/A"," ",C44*D44)</f>
        <v>#N/A</v>
      </c>
      <c r="F44" s="277" t="n">
        <f aca="false">IF(A44="N/A"," ",Inputs!$F$6)</f>
        <v>2</v>
      </c>
      <c r="G44" s="277" t="n">
        <f aca="false">IF(A44="N/A"," ",Inputs!$F$9/IF(AND('Pricing Inputs'!$AQ$3&gt;=4,'Pricing Inputs'!$AQ$3&lt;=6),16,IF(AND('Pricing Inputs'!$AQ$3&gt;=7,'Pricing Inputs'!$AQ$3&lt;=9),8,24))/(BA44/BW44))</f>
        <v>0</v>
      </c>
      <c r="H44" s="278" t="e">
        <f aca="false">IF(A44="N/A"," ",(C44*D44)+F44+G44)</f>
        <v>#N/A</v>
      </c>
      <c r="I44" s="279" t="n">
        <f aca="false">VLOOKUP(A44,ScaledPrice,(IF(AND('Pricing Inputs'!$AQ$3&gt;=1,'Pricing Inputs'!$AQ$3&lt;=6),2,4)))</f>
        <v>32.7197612935557</v>
      </c>
      <c r="J44" s="279" t="n">
        <f aca="false">IF(A44="N/A"," ",IF(AND('Pricing Inputs'!$AQ$3&gt;=1,'Pricing Inputs'!$AQ$3&lt;=6),I44,(VLOOKUP(A44,ScaledPrice,2))*(2-(VLOOKUP(A44,ScaledPrice,3)))))</f>
        <v>34.5802387064443</v>
      </c>
      <c r="K44" s="279" t="n">
        <f aca="false">IF(A44="N/A"," ",IF(OR('Pricing Inputs'!$AQ$3=2,'Pricing Inputs'!$AQ$3=3,'Pricing Inputs'!$AQ$3=5,'Pricing Inputs'!$AQ$3=6,'Pricing Inputs'!$AQ$3=8,'Pricing Inputs'!$AQ$3=9),VLOOKUP(A44,ScaledPrice,IF(AND('Pricing Inputs'!$AQ$3&gt;=2,'Pricing Inputs'!$AQ$3&lt;=6),5,6)),0))</f>
        <v>21.2289506965193</v>
      </c>
      <c r="L44" s="279" t="n">
        <f aca="false">IF(A44="N/A"," ",IF(OR('Pricing Inputs'!$AQ$3=2,'Pricing Inputs'!$AQ$3=3,'Pricing Inputs'!$AQ$3=5,'Pricing Inputs'!$AQ$3=6,'Pricing Inputs'!$AQ$3=8,'Pricing Inputs'!$AQ$3=9),IF(AND('Pricing Inputs'!$AQ$3&gt;=2,'Pricing Inputs'!$AQ$3&lt;=6),K44,(VLOOKUP(A44,ScaledPrice,5))*(2-(VLOOKUP(A44,ScaledPrice,3)))),0))</f>
        <v>22.4360494560686</v>
      </c>
      <c r="M44" s="279" t="n">
        <f aca="false">IF(A44="N/A"," ",IF(OR('Pricing Inputs'!$AQ$3=3,'Pricing Inputs'!$AQ$3=6,'Pricing Inputs'!$AQ$3=9),(VLOOKUP(A44,ScaledPrice,IF(AND('Pricing Inputs'!$AQ$3&gt;=3,'Pricing Inputs'!$AQ$3&lt;=6),7,8))),0))</f>
        <v>20.3854320365657</v>
      </c>
      <c r="N44" s="279" t="n">
        <f aca="false">IF(A44="N/A"," ",IF(OR('Pricing Inputs'!$AQ$3=3,'Pricing Inputs'!$AQ$3=6,'Pricing Inputs'!$AQ$3=9),IF(AND('Pricing Inputs'!$AQ$3&gt;=3,'Pricing Inputs'!$AQ$3&lt;=6),M44,(VLOOKUP(A44,ScaledPrice,7))*(2-(VLOOKUP(A44,ScaledPrice,3)))),0))</f>
        <v>21.5445675056706</v>
      </c>
      <c r="O44" s="279" t="n">
        <f aca="false">IF(A44="N/A"," ",IF(AND('Pricing Inputs'!$AQ$3&gt;=1,'Pricing Inputs'!$AQ$3&lt;=3),VLOOKUP(A44,ScaledPrice,9),0))</f>
        <v>0</v>
      </c>
      <c r="P44" s="280" t="e">
        <f aca="false">IF($A44="N/A"," ",IF('Pricing Inputs'!$AN$8=2,(I44-H44),IF('Pricing Inputs'!$AN$3=2,IF((I44-$H44)&gt;0,I44-$H44,0),(xSPRDOPT(I44,$E44,$BU44,0,$BP44,$BS44,$BT44,($A44-Inputs!$D$1)+15,1,0)))))</f>
        <v>#NAME?</v>
      </c>
      <c r="Q44" s="280" t="e">
        <f aca="false">IF($A44="N/A"," ",IF('Pricing Inputs'!$AN$8=2,(J44-$H44),IF('Pricing Inputs'!$AN$3=2,IF((J44-$H44)&gt;0,J44-$H44,0),(xSPRDOPT(J44,$E44,$BU44,0,$BP44,$BS44,$BT44,($A44-Inputs!$D$1)+15,1,0)))))</f>
        <v>#NAME?</v>
      </c>
      <c r="R44" s="280" t="e">
        <f aca="false">IF($A44="N/A"," ",IF('Pricing Inputs'!$AN$8=2,(K44-$H44),IF('Pricing Inputs'!$AN$3=2,IF((K44-$H44)&gt;0,K44-$H44,0),(xSPRDOPT(K44,$E44,$BU44,0,$BP44,$BS44,$BT44,($A44-Inputs!$D$1)+15,1,0)))))</f>
        <v>#NAME?</v>
      </c>
      <c r="S44" s="280" t="e">
        <f aca="false">IF($A44="N/A"," ",IF('Pricing Inputs'!$AN$8=2,(L44-$H44),IF('Pricing Inputs'!$AN$3=2,IF((L44-$H44)&gt;0,L44-$H44,0),(xSPRDOPT(L44,$E44,$BU44,0,$BP44,$BS44,$BT44,($A44-Inputs!$D$1)+15,1,0)))))</f>
        <v>#NAME?</v>
      </c>
      <c r="T44" s="280" t="e">
        <f aca="false">IF($A44="N/A"," ",IF('Pricing Inputs'!$AN$8=2,(M44-$H44),IF('Pricing Inputs'!$AN$3=2,IF((M44-$H44)&gt;0,M44-$H44,0),(xSPRDOPT(M44,$E44,$BU44,0,$BP44,$BS44,$BT44,($A44-Inputs!$D$1)+15,1,0)))))</f>
        <v>#NAME?</v>
      </c>
      <c r="U44" s="280" t="e">
        <f aca="false">IF($A44="N/A"," ",IF('Pricing Inputs'!$AN$8=2,(N44-$H44),IF('Pricing Inputs'!$AN$3=2,IF((N44-$H44)&gt;0,N44-$H44,0),(xSPRDOPT(N44,$E44,$BU44,0,$BP44,$BS44,$BT44,($A44-Inputs!$D$1)+15,1,0)))))</f>
        <v>#NAME?</v>
      </c>
      <c r="V44" s="281" t="e">
        <f aca="false">IF($A44="N/A"," ",(IF('Pricing Inputs'!$AN$8=2,(O44-$H44),IF((O44-$H44)&lt;=0,0,(O44-$H44)))))</f>
        <v>#N/A</v>
      </c>
      <c r="W44" s="282" t="e">
        <f aca="false">IF($A44="N/A"," ",IF(0&lt;&gt;P44,IF('Pricing Inputs'!$AN$3=2,8*VLOOKUP($A44,NumberofDaysTable,2),(xSPRDOPT(I44,$E44,$BU44,0,$BP44,$BS44,$BT44,$A44-Inputs!$D$1,1,1))*(8*VLOOKUP($A44,NumberofDaysTable,2))),0))</f>
        <v>#NAME?</v>
      </c>
      <c r="X44" s="282" t="e">
        <f aca="false">IF($A44="N/A"," ",IF(Q44&lt;&gt;0,IF('Pricing Inputs'!$AN$3=2,8*VLOOKUP($A44,NumberofDaysTable,2),(xSPRDOPT(J44,$E44,$BU44,0,$BP44,$BS44,$BT44,$A44-Inputs!$D$1,1,1))*(8*VLOOKUP($A44,NumberofDaysTable,2))),0))</f>
        <v>#NAME?</v>
      </c>
      <c r="Y44" s="282" t="e">
        <f aca="false">IF($A44="N/A"," ",IF(R44&lt;&gt;0,IF('Pricing Inputs'!$AN$3=2,8*VLOOKUP($A44,NumberofDaysTable,3),(xSPRDOPT(K44,$E44,$BU44,0,$BP44,$BS44,$BT44,$A44-Inputs!$D$1,1,1))*(8*VLOOKUP($A44,NumberofDaysTable,3))),0))</f>
        <v>#NAME?</v>
      </c>
      <c r="Z44" s="282" t="e">
        <f aca="false">IF($A44="N/A"," ",IF(S44&lt;&gt;0,IF('Pricing Inputs'!$AN$3=2,8*VLOOKUP($A44,NumberofDaysTable,3),(xSPRDOPT(L44,$E44,$BU44,0,$BP44,$BS44,$BT44,$A44-Inputs!$D$1,1,1))*(8*VLOOKUP($A44,NumberofDaysTable,3))),0))</f>
        <v>#NAME?</v>
      </c>
      <c r="AA44" s="282" t="e">
        <f aca="false">IF($A44="N/A"," ",IF(T44&lt;&gt;0,IF('Pricing Inputs'!$AN$3=2,8*VLOOKUP($A44,NumberofDaysTable,4),(xSPRDOPT(M44,$E44,$BU44,0,$BP44,$BS44,$BT44,$A44-Inputs!$D$1,1,1))*(8*VLOOKUP($A44,NumberofDaysTable,4))),0))</f>
        <v>#NAME?</v>
      </c>
      <c r="AB44" s="282" t="e">
        <f aca="false">IF($A44="N/A"," ",IF(U44&lt;&gt;0,IF('Pricing Inputs'!$AN$3=2,8*VLOOKUP($A44,NumberofDaysTable,4),(xSPRDOPT(N44,$E44,$BU44,0,$BP44,$BS44,$BT44,$A44-Inputs!$D$1,1,1))*(8*VLOOKUP($A44,NumberofDaysTable,4))),0))</f>
        <v>#NAME?</v>
      </c>
      <c r="AC44" s="282" t="e">
        <f aca="false">IF($A44="N/A"," ",(IF(V44&lt;&gt;0,(8*VLOOKUP($A44,NumberofDaysTable,6)),0)))</f>
        <v>#N/A</v>
      </c>
      <c r="AD44" s="298" t="e">
        <f aca="false">IF($A44="N/A"," ",RANK(P44,$P$40:$V$51))</f>
        <v>#NAME?</v>
      </c>
      <c r="AE44" s="299" t="e">
        <f aca="false">IF($A44="N/A"," ",RANK(Q44,$P$40:$V$51))</f>
        <v>#NAME?</v>
      </c>
      <c r="AF44" s="299" t="e">
        <f aca="false">IF($A44="N/A"," ",RANK(R44,$P$40:$V$51))</f>
        <v>#NAME?</v>
      </c>
      <c r="AG44" s="299" t="e">
        <f aca="false">IF($A44="N/A"," ",RANK(S44,$P$40:$V$51))</f>
        <v>#NAME?</v>
      </c>
      <c r="AH44" s="299" t="e">
        <f aca="false">IF($A44="N/A"," ",RANK(T44,$P$40:$V$51))</f>
        <v>#NAME?</v>
      </c>
      <c r="AI44" s="299" t="e">
        <f aca="false">IF($A44="N/A"," ",RANK(U44,$P$40:$V$51))</f>
        <v>#NAME?</v>
      </c>
      <c r="AJ44" s="300" t="e">
        <f aca="false">IF($A44="N/A"," ",RANK(V44,$P$40:$V$51))</f>
        <v>#NAME?</v>
      </c>
      <c r="AK44" s="286" t="e">
        <f aca="false">IF($A44="N/A"," ",IF(AD44&lt;=$AJ$2,W44,0))</f>
        <v>#NAME?</v>
      </c>
      <c r="AL44" s="301" t="e">
        <f aca="false">IF($A44="N/A"," ",IF(AE44&lt;=$AJ$2,X44,0))</f>
        <v>#NAME?</v>
      </c>
      <c r="AM44" s="301" t="e">
        <f aca="false">IF($A44="N/A"," ",IF(AF44&lt;=$AJ$2,Y44,0))</f>
        <v>#NAME?</v>
      </c>
      <c r="AN44" s="301" t="e">
        <f aca="false">IF($A44="N/A"," ",IF(AG44&lt;=$AJ$2,Z44,0))</f>
        <v>#NAME?</v>
      </c>
      <c r="AO44" s="301" t="e">
        <f aca="false">IF($A44="N/A"," ",IF(AH44&lt;=$AJ$2,AA44,0))</f>
        <v>#NAME?</v>
      </c>
      <c r="AP44" s="301" t="e">
        <f aca="false">IF($A44="N/A"," ",IF(AI44&lt;=$AJ$2,AB44,0))</f>
        <v>#NAME?</v>
      </c>
      <c r="AQ44" s="301" t="e">
        <f aca="false">IF($A44="N/A"," ",IF(AJ44&lt;=$AJ$2,AC44,0))</f>
        <v>#NAME?</v>
      </c>
      <c r="AR44" s="300"/>
      <c r="AS44" s="288" t="e">
        <f aca="false">IF($A44="N/A"," ",IF(AND(AD44=$AJ$2+1,AK44=0),MIN($AR$51,W44),0))</f>
        <v>#NAME?</v>
      </c>
      <c r="AT44" s="302" t="e">
        <f aca="false">IF($A44="N/A"," ",IF(AND(AE44=$AJ$2+1,AL44=0),MIN($AR$51,X44),0))</f>
        <v>#NAME?</v>
      </c>
      <c r="AU44" s="302" t="e">
        <f aca="false">IF($A44="N/A"," ",IF(AND(AF44=$AJ$2+1,AM44=0),MIN($AR$51,Y44),0))</f>
        <v>#NAME?</v>
      </c>
      <c r="AV44" s="302" t="e">
        <f aca="false">IF($A44="N/A"," ",IF(AND(AG44=$AJ$2+1,AN44=0),MIN($AR$51,Z44),0))</f>
        <v>#NAME?</v>
      </c>
      <c r="AW44" s="302" t="e">
        <f aca="false">IF($A44="N/A"," ",IF(AND(AH44=$AJ$2+1,AO44=0),MIN($AR$51,AA44),0))</f>
        <v>#NAME?</v>
      </c>
      <c r="AX44" s="302" t="e">
        <f aca="false">IF($A44="N/A"," ",IF(AND(AI44=$AJ$2+1,AP44=0),MIN($AR$51,AB44),0))</f>
        <v>#NAME?</v>
      </c>
      <c r="AY44" s="302" t="e">
        <f aca="false">IF($A44="N/A"," ",IF(AND(AJ44=$AJ$2+1,AQ44=0),MIN($AR$51,AC44),0))</f>
        <v>#NAME?</v>
      </c>
      <c r="AZ44" s="300"/>
      <c r="BA44" s="291" t="n">
        <f aca="false">IF($A44="N/A"," ",(IF(MONTH(A44)&gt;=4,IF(MONTH(A44)&lt;=10,Inputs!$F$13,Inputs!$F$14),Inputs!$F$14))*$BW44)</f>
        <v>180</v>
      </c>
      <c r="BB44" s="292" t="e">
        <f aca="false">IF($A44="N/A"," ",(IF(AK44&gt;0,($BA44*(8*(VLOOKUP($A44,NumberofDaysTable,2)))*P44),0)+IF(AS44&gt;0,($BA44*((AS44))*P44),0)))</f>
        <v>#NAME?</v>
      </c>
      <c r="BC44" s="292" t="e">
        <f aca="false">IF($A44="N/A"," ",(IF(AL44&gt;0,($BA44*(8*(VLOOKUP($A44,NumberofDaysTable,2)))*Q44),0)+IF(AT44&gt;0,($BA44*((AT44))*Q44),0)))</f>
        <v>#NAME?</v>
      </c>
      <c r="BD44" s="292" t="e">
        <f aca="false">IF($A44="N/A"," ",(IF(AM44&gt;0,($BA44*(8*(VLOOKUP($A44,NumberofDaysTable,3)))*R44),0)+IF(AU44&gt;0,($BA44*((AU44))*R44),0)))</f>
        <v>#NAME?</v>
      </c>
      <c r="BE44" s="292" t="e">
        <f aca="false">IF($A44="N/A"," ",(IF(AN44&gt;0,($BA44*(8*(VLOOKUP($A44,NumberofDaysTable,3)))*S44),0)+IF(AV44&gt;0,($BA44*((AV44))*S44),0)))</f>
        <v>#NAME?</v>
      </c>
      <c r="BF44" s="292" t="e">
        <f aca="false">IF($A44="N/A"," ",(IF(AO44&gt;0,($BA44*(8*(VLOOKUP($A44,NumberofDaysTable,4)+VLOOKUP($A44,NumberofDaysTable,5)))*T44),0)+IF(AW44&gt;0,($BA44*((AW44))*T44),0)))</f>
        <v>#NAME?</v>
      </c>
      <c r="BG44" s="292" t="e">
        <f aca="false">IF($A44="N/A"," ",(IF(AP44&gt;0,($BA44*(8*(VLOOKUP($A44,NumberofDaysTable,4)+VLOOKUP($A44,NumberofDaysTable,5)))*U44),0)+IF(AX44&gt;0,($BA44*((AX44))*U44),0)))</f>
        <v>#NAME?</v>
      </c>
      <c r="BH44" s="292" t="e">
        <f aca="false">IF($A44="N/A"," ",($BA44*AQ44*V44))</f>
        <v>#NAME?</v>
      </c>
      <c r="BI44" s="292" t="e">
        <f aca="false">IF($A44="N/A"," ",SUM(BB44:BH44))</f>
        <v>#NAME?</v>
      </c>
      <c r="BJ44" s="293" t="e">
        <f aca="false">IF($A44="N/A"," ",(H44*(SUM(AK44:AQ44)+SUM(AS44:AY44))*BA44))</f>
        <v>#NAME?</v>
      </c>
      <c r="BK44" s="293" t="e">
        <f aca="false">IF($A44="N/A"," ",((C44*D44)*(SUM($AK44:$AQ44)+SUM($AS44:$AY44))*$BA44))</f>
        <v>#N/A</v>
      </c>
      <c r="BL44" s="293" t="e">
        <f aca="false">IF($A44="N/A"," ",(F44*(SUM($AK44:$AQ44)+SUM($AS44:$AY44))*$BA44))</f>
        <v>#NAME?</v>
      </c>
      <c r="BM44" s="293" t="e">
        <f aca="false">IF($A44="N/A"," ",(G44*(SUM($AK44:$AQ44)+SUM($AS44:$AY44))*$BA44))</f>
        <v>#NAME?</v>
      </c>
      <c r="BN44" s="294" t="n">
        <f aca="false">IF(A44="N/A"," ",(VLOOKUP(A44,PowerVolTable,(IF('Pricing Inputs'!$AT$3=2,7,IF('Pricing Inputs'!$AT$3=1,6,8))),FALSE())))</f>
        <v>0.23496361875</v>
      </c>
      <c r="BO44" s="294" t="n">
        <f aca="false">IF(A44="N/A"," ",(VLOOKUP(A44,IntraPowerVol,(IF('Pricing Inputs'!$AT$3=2,3,IF('Pricing Inputs'!$AT$3=1,2,4))),FALSE())*VLOOKUP(MONTH($A44),Inputs!$A$28:$B$39,2)))</f>
        <v>1.265</v>
      </c>
      <c r="BP44" s="295" t="n">
        <f aca="false">IF($A44="N/A"," ",(IF(DateToday&gt;$A44,$BO44,((($BN44^2)*((($A44-1)-DateToday)/((EOMONTH($A44,0)+1)-DateToday-15)))+((($BO44)^2)*((15)/((EOMONTH($A44,0)+1)-DateToday-15))))^0.5)))</f>
        <v>1.265</v>
      </c>
      <c r="BQ44" s="294" t="e">
        <f aca="false">IF($A44="N/A"," ",(VLOOKUP($A44,GasVolTable,(IF('Pricing Inputs'!$AT$3=2,6,IF('Pricing Inputs'!$AT$3=1,7,5))),FALSE())))</f>
        <v>#N/A</v>
      </c>
      <c r="BR44" s="294" t="e">
        <f aca="false">IF($A44="N/A"," ",(VLOOKUP($A44,OmicronVol,(IF('Pricing Inputs'!$AT$3=2,3,IF('Pricing Inputs'!$AT$3=1,4,2))),FALSE())))</f>
        <v>#N/A</v>
      </c>
      <c r="BS44" s="295" t="e">
        <f aca="false">IF($A44="N/A"," ",IF('Pricing Inputs'!$AN$3=1,(IF(DateToday&gt;$A44,$BR44,((($BQ44^2)*((($A44-1)-DateToday)/((EOMONTH($A44,0)+1)-DateToday-15)))+((($BR44)^2)*((15)/((EOMONTH($A44,0)+1)-DateToday-15))))^0.5)),0.0001))</f>
        <v>#N/A</v>
      </c>
      <c r="BT44" s="294" t="n">
        <f aca="false">IF($A44="N/A"," ",IF('Pricing Inputs'!$AN$3=1,(VLOOKUP($A44,CorrelationTable,2,FALSE())),0))</f>
        <v>0.9</v>
      </c>
      <c r="BU44" s="296" t="e">
        <f aca="false">IF($A44="N/A"," ",F44+G44+(D44*(VLOOKUP($A44,'Gas Curves'!$B$17:$P$310,14,FALSE()))))</f>
        <v>#N/A</v>
      </c>
      <c r="BV44" s="294" t="n">
        <f aca="false">IF($A44="N/A"," ",IF('Pricing Inputs'!$AW$3=1,0,(VLOOKUP($A44,InterestRatesTable,2))))</f>
        <v>0</v>
      </c>
      <c r="BW44" s="297" t="n">
        <f aca="false">IF($A44="N/A"," ",(1+BV44/2)^(-2*((EOMONTH(A44,0)+20)-DateToday)/365.25))</f>
        <v>1</v>
      </c>
    </row>
    <row r="45" customFormat="false" ht="12.75" hidden="false" customHeight="false" outlineLevel="0" collapsed="false">
      <c r="A45" s="272" t="n">
        <f aca="false">IF(A44="N/A","N/A",IF(EDATE(A44,1)&gt;Inputs!$K$3,"N/A",EDATE(A44,1)))</f>
        <v>38139</v>
      </c>
      <c r="B45" s="273" t="n">
        <f aca="false">IF(A45="N/A"," ",YEAR(A45))</f>
        <v>2004</v>
      </c>
      <c r="C45" s="274" t="e">
        <f aca="false">IF(A45="N/A"," ",VLOOKUP(A45,ScaledPrice,10))</f>
        <v>#N/A</v>
      </c>
      <c r="D45" s="275" t="n">
        <f aca="false">IF(A45="N/A"," ",(VLOOKUP(MONTH($A45),Inputs!$A$14:$B$25,2))/1000)</f>
        <v>10.5</v>
      </c>
      <c r="E45" s="276" t="e">
        <f aca="false">IF($A45="N/A"," ",C45*D45)</f>
        <v>#N/A</v>
      </c>
      <c r="F45" s="277" t="n">
        <f aca="false">IF(A45="N/A"," ",Inputs!$F$6)</f>
        <v>2</v>
      </c>
      <c r="G45" s="277" t="n">
        <f aca="false">IF(A45="N/A"," ",Inputs!$F$9/IF(AND('Pricing Inputs'!$AQ$3&gt;=4,'Pricing Inputs'!$AQ$3&lt;=6),16,IF(AND('Pricing Inputs'!$AQ$3&gt;=7,'Pricing Inputs'!$AQ$3&lt;=9),8,24))/(BA45/BW45))</f>
        <v>0</v>
      </c>
      <c r="H45" s="278" t="e">
        <f aca="false">IF(A45="N/A"," ",(C45*D45)+F45+G45)</f>
        <v>#N/A</v>
      </c>
      <c r="I45" s="279" t="n">
        <f aca="false">VLOOKUP(A45,ScaledPrice,(IF(AND('Pricing Inputs'!$AQ$3&gt;=1,'Pricing Inputs'!$AQ$3&lt;=6),2,4)))</f>
        <v>55.5892714842931</v>
      </c>
      <c r="J45" s="279" t="n">
        <f aca="false">IF(A45="N/A"," ",IF(AND('Pricing Inputs'!$AQ$3&gt;=1,'Pricing Inputs'!$AQ$3&lt;=6),I45,(VLOOKUP(A45,ScaledPrice,2))*(2-(VLOOKUP(A45,ScaledPrice,3)))))</f>
        <v>41.9107285157069</v>
      </c>
      <c r="K45" s="279" t="n">
        <f aca="false">IF(A45="N/A"," ",IF(OR('Pricing Inputs'!$AQ$3=2,'Pricing Inputs'!$AQ$3=3,'Pricing Inputs'!$AQ$3=5,'Pricing Inputs'!$AQ$3=6,'Pricing Inputs'!$AQ$3=8,'Pricing Inputs'!$AQ$3=9),VLOOKUP(A45,ScaledPrice,IF(AND('Pricing Inputs'!$AQ$3&gt;=2,'Pricing Inputs'!$AQ$3&lt;=6),5,6)),0))</f>
        <v>29.9426623809319</v>
      </c>
      <c r="L45" s="279" t="n">
        <f aca="false">IF(A45="N/A"," ",IF(OR('Pricing Inputs'!$AQ$3=2,'Pricing Inputs'!$AQ$3=3,'Pricing Inputs'!$AQ$3=5,'Pricing Inputs'!$AQ$3=6,'Pricing Inputs'!$AQ$3=8,'Pricing Inputs'!$AQ$3=9),IF(AND('Pricing Inputs'!$AQ$3&gt;=2,'Pricing Inputs'!$AQ$3&lt;=6),K45,(VLOOKUP(A45,ScaledPrice,5))*(2-(VLOOKUP(A45,ScaledPrice,3)))),0))</f>
        <v>22.5748379242439</v>
      </c>
      <c r="M45" s="279" t="n">
        <f aca="false">IF(A45="N/A"," ",IF(OR('Pricing Inputs'!$AQ$3=3,'Pricing Inputs'!$AQ$3=6,'Pricing Inputs'!$AQ$3=9),(VLOOKUP(A45,ScaledPrice,IF(AND('Pricing Inputs'!$AQ$3&gt;=3,'Pricing Inputs'!$AQ$3&lt;=6),7,8))),0))</f>
        <v>22.5122290632186</v>
      </c>
      <c r="N45" s="279" t="n">
        <f aca="false">IF(A45="N/A"," ",IF(OR('Pricing Inputs'!$AQ$3=3,'Pricing Inputs'!$AQ$3=6,'Pricing Inputs'!$AQ$3=9),IF(AND('Pricing Inputs'!$AQ$3&gt;=3,'Pricing Inputs'!$AQ$3&lt;=6),M45,(VLOOKUP(A45,ScaledPrice,7))*(2-(VLOOKUP(A45,ScaledPrice,3)))),0))</f>
        <v>16.9727700212541</v>
      </c>
      <c r="O45" s="279" t="n">
        <f aca="false">IF(A45="N/A"," ",IF(AND('Pricing Inputs'!$AQ$3&gt;=1,'Pricing Inputs'!$AQ$3&lt;=3),VLOOKUP(A45,ScaledPrice,9),0))</f>
        <v>0</v>
      </c>
      <c r="P45" s="280" t="e">
        <f aca="false">IF($A45="N/A"," ",IF('Pricing Inputs'!$AN$8=2,(I45-H45),IF('Pricing Inputs'!$AN$3=2,IF((I45-$H45)&gt;0,I45-$H45,0),(xSPRDOPT(I45,$E45,$BU45,0,$BP45,$BS45,$BT45,($A45-Inputs!$D$1)+15,1,0)))))</f>
        <v>#NAME?</v>
      </c>
      <c r="Q45" s="280" t="e">
        <f aca="false">IF($A45="N/A"," ",IF('Pricing Inputs'!$AN$8=2,(J45-$H45),IF('Pricing Inputs'!$AN$3=2,IF((J45-$H45)&gt;0,J45-$H45,0),(xSPRDOPT(J45,$E45,$BU45,0,$BP45,$BS45,$BT45,($A45-Inputs!$D$1)+15,1,0)))))</f>
        <v>#NAME?</v>
      </c>
      <c r="R45" s="280" t="e">
        <f aca="false">IF($A45="N/A"," ",IF('Pricing Inputs'!$AN$8=2,(K45-$H45),IF('Pricing Inputs'!$AN$3=2,IF((K45-$H45)&gt;0,K45-$H45,0),(xSPRDOPT(K45,$E45,$BU45,0,$BP45,$BS45,$BT45,($A45-Inputs!$D$1)+15,1,0)))))</f>
        <v>#NAME?</v>
      </c>
      <c r="S45" s="280" t="e">
        <f aca="false">IF($A45="N/A"," ",IF('Pricing Inputs'!$AN$8=2,(L45-$H45),IF('Pricing Inputs'!$AN$3=2,IF((L45-$H45)&gt;0,L45-$H45,0),(xSPRDOPT(L45,$E45,$BU45,0,$BP45,$BS45,$BT45,($A45-Inputs!$D$1)+15,1,0)))))</f>
        <v>#NAME?</v>
      </c>
      <c r="T45" s="280" t="e">
        <f aca="false">IF($A45="N/A"," ",IF('Pricing Inputs'!$AN$8=2,(M45-$H45),IF('Pricing Inputs'!$AN$3=2,IF((M45-$H45)&gt;0,M45-$H45,0),(xSPRDOPT(M45,$E45,$BU45,0,$BP45,$BS45,$BT45,($A45-Inputs!$D$1)+15,1,0)))))</f>
        <v>#NAME?</v>
      </c>
      <c r="U45" s="280" t="e">
        <f aca="false">IF($A45="N/A"," ",IF('Pricing Inputs'!$AN$8=2,(N45-$H45),IF('Pricing Inputs'!$AN$3=2,IF((N45-$H45)&gt;0,N45-$H45,0),(xSPRDOPT(N45,$E45,$BU45,0,$BP45,$BS45,$BT45,($A45-Inputs!$D$1)+15,1,0)))))</f>
        <v>#NAME?</v>
      </c>
      <c r="V45" s="281" t="e">
        <f aca="false">IF($A45="N/A"," ",(IF('Pricing Inputs'!$AN$8=2,(O45-$H45),IF((O45-$H45)&lt;=0,0,(O45-$H45)))))</f>
        <v>#N/A</v>
      </c>
      <c r="W45" s="282" t="e">
        <f aca="false">IF($A45="N/A"," ",IF(0&lt;&gt;P45,IF('Pricing Inputs'!$AN$3=2,8*VLOOKUP($A45,NumberofDaysTable,2),(xSPRDOPT(I45,$E45,$BU45,0,$BP45,$BS45,$BT45,$A45-Inputs!$D$1,1,1))*(8*VLOOKUP($A45,NumberofDaysTable,2))),0))</f>
        <v>#NAME?</v>
      </c>
      <c r="X45" s="282" t="e">
        <f aca="false">IF($A45="N/A"," ",IF(Q45&lt;&gt;0,IF('Pricing Inputs'!$AN$3=2,8*VLOOKUP($A45,NumberofDaysTable,2),(xSPRDOPT(J45,$E45,$BU45,0,$BP45,$BS45,$BT45,$A45-Inputs!$D$1,1,1))*(8*VLOOKUP($A45,NumberofDaysTable,2))),0))</f>
        <v>#NAME?</v>
      </c>
      <c r="Y45" s="282" t="e">
        <f aca="false">IF($A45="N/A"," ",IF(R45&lt;&gt;0,IF('Pricing Inputs'!$AN$3=2,8*VLOOKUP($A45,NumberofDaysTable,3),(xSPRDOPT(K45,$E45,$BU45,0,$BP45,$BS45,$BT45,$A45-Inputs!$D$1,1,1))*(8*VLOOKUP($A45,NumberofDaysTable,3))),0))</f>
        <v>#NAME?</v>
      </c>
      <c r="Z45" s="282" t="e">
        <f aca="false">IF($A45="N/A"," ",IF(S45&lt;&gt;0,IF('Pricing Inputs'!$AN$3=2,8*VLOOKUP($A45,NumberofDaysTable,3),(xSPRDOPT(L45,$E45,$BU45,0,$BP45,$BS45,$BT45,$A45-Inputs!$D$1,1,1))*(8*VLOOKUP($A45,NumberofDaysTable,3))),0))</f>
        <v>#NAME?</v>
      </c>
      <c r="AA45" s="282" t="e">
        <f aca="false">IF($A45="N/A"," ",IF(T45&lt;&gt;0,IF('Pricing Inputs'!$AN$3=2,8*VLOOKUP($A45,NumberofDaysTable,4),(xSPRDOPT(M45,$E45,$BU45,0,$BP45,$BS45,$BT45,$A45-Inputs!$D$1,1,1))*(8*VLOOKUP($A45,NumberofDaysTable,4))),0))</f>
        <v>#NAME?</v>
      </c>
      <c r="AB45" s="282" t="e">
        <f aca="false">IF($A45="N/A"," ",IF(U45&lt;&gt;0,IF('Pricing Inputs'!$AN$3=2,8*VLOOKUP($A45,NumberofDaysTable,4),(xSPRDOPT(N45,$E45,$BU45,0,$BP45,$BS45,$BT45,$A45-Inputs!$D$1,1,1))*(8*VLOOKUP($A45,NumberofDaysTable,4))),0))</f>
        <v>#NAME?</v>
      </c>
      <c r="AC45" s="282" t="e">
        <f aca="false">IF($A45="N/A"," ",(IF(V45&lt;&gt;0,(8*VLOOKUP($A45,NumberofDaysTable,6)),0)))</f>
        <v>#N/A</v>
      </c>
      <c r="AD45" s="298" t="e">
        <f aca="false">IF($A45="N/A"," ",RANK(P45,$P$40:$V$51))</f>
        <v>#NAME?</v>
      </c>
      <c r="AE45" s="299" t="e">
        <f aca="false">IF($A45="N/A"," ",RANK(Q45,$P$40:$V$51))</f>
        <v>#NAME?</v>
      </c>
      <c r="AF45" s="299" t="e">
        <f aca="false">IF($A45="N/A"," ",RANK(R45,$P$40:$V$51))</f>
        <v>#NAME?</v>
      </c>
      <c r="AG45" s="299" t="e">
        <f aca="false">IF($A45="N/A"," ",RANK(S45,$P$40:$V$51))</f>
        <v>#NAME?</v>
      </c>
      <c r="AH45" s="299" t="e">
        <f aca="false">IF($A45="N/A"," ",RANK(T45,$P$40:$V$51))</f>
        <v>#NAME?</v>
      </c>
      <c r="AI45" s="299" t="e">
        <f aca="false">IF($A45="N/A"," ",RANK(U45,$P$40:$V$51))</f>
        <v>#NAME?</v>
      </c>
      <c r="AJ45" s="300" t="e">
        <f aca="false">IF($A45="N/A"," ",RANK(V45,$P$40:$V$51))</f>
        <v>#NAME?</v>
      </c>
      <c r="AK45" s="286" t="e">
        <f aca="false">IF($A45="N/A"," ",IF(AD45&lt;=$AJ$2,W45,0))</f>
        <v>#NAME?</v>
      </c>
      <c r="AL45" s="301" t="e">
        <f aca="false">IF($A45="N/A"," ",IF(AE45&lt;=$AJ$2,X45,0))</f>
        <v>#NAME?</v>
      </c>
      <c r="AM45" s="301" t="e">
        <f aca="false">IF($A45="N/A"," ",IF(AF45&lt;=$AJ$2,Y45,0))</f>
        <v>#NAME?</v>
      </c>
      <c r="AN45" s="301" t="e">
        <f aca="false">IF($A45="N/A"," ",IF(AG45&lt;=$AJ$2,Z45,0))</f>
        <v>#NAME?</v>
      </c>
      <c r="AO45" s="301" t="e">
        <f aca="false">IF($A45="N/A"," ",IF(AH45&lt;=$AJ$2,AA45,0))</f>
        <v>#NAME?</v>
      </c>
      <c r="AP45" s="301" t="e">
        <f aca="false">IF($A45="N/A"," ",IF(AI45&lt;=$AJ$2,AB45,0))</f>
        <v>#NAME?</v>
      </c>
      <c r="AQ45" s="301" t="e">
        <f aca="false">IF($A45="N/A"," ",IF(AJ45&lt;=$AJ$2,AC45,0))</f>
        <v>#NAME?</v>
      </c>
      <c r="AR45" s="300"/>
      <c r="AS45" s="288" t="e">
        <f aca="false">IF($A45="N/A"," ",IF(AND(AD45=$AJ$2+1,AK45=0),MIN($AR$51,W45),0))</f>
        <v>#NAME?</v>
      </c>
      <c r="AT45" s="302" t="e">
        <f aca="false">IF($A45="N/A"," ",IF(AND(AE45=$AJ$2+1,AL45=0),MIN($AR$51,X45),0))</f>
        <v>#NAME?</v>
      </c>
      <c r="AU45" s="302" t="e">
        <f aca="false">IF($A45="N/A"," ",IF(AND(AF45=$AJ$2+1,AM45=0),MIN($AR$51,Y45),0))</f>
        <v>#NAME?</v>
      </c>
      <c r="AV45" s="302" t="e">
        <f aca="false">IF($A45="N/A"," ",IF(AND(AG45=$AJ$2+1,AN45=0),MIN($AR$51,Z45),0))</f>
        <v>#NAME?</v>
      </c>
      <c r="AW45" s="302" t="e">
        <f aca="false">IF($A45="N/A"," ",IF(AND(AH45=$AJ$2+1,AO45=0),MIN($AR$51,AA45),0))</f>
        <v>#NAME?</v>
      </c>
      <c r="AX45" s="302" t="e">
        <f aca="false">IF($A45="N/A"," ",IF(AND(AI45=$AJ$2+1,AP45=0),MIN($AR$51,AB45),0))</f>
        <v>#NAME?</v>
      </c>
      <c r="AY45" s="302" t="e">
        <f aca="false">IF($A45="N/A"," ",IF(AND(AJ45=$AJ$2+1,AQ45=0),MIN($AR$51,AC45),0))</f>
        <v>#NAME?</v>
      </c>
      <c r="AZ45" s="300"/>
      <c r="BA45" s="291" t="n">
        <f aca="false">IF($A45="N/A"," ",(IF(MONTH(A45)&gt;=4,IF(MONTH(A45)&lt;=10,Inputs!$F$13,Inputs!$F$14),Inputs!$F$14))*$BW45)</f>
        <v>180</v>
      </c>
      <c r="BB45" s="292" t="e">
        <f aca="false">IF($A45="N/A"," ",(IF(AK45&gt;0,($BA45*(8*(VLOOKUP($A45,NumberofDaysTable,2)))*P45),0)+IF(AS45&gt;0,($BA45*((AS45))*P45),0)))</f>
        <v>#NAME?</v>
      </c>
      <c r="BC45" s="292" t="e">
        <f aca="false">IF($A45="N/A"," ",(IF(AL45&gt;0,($BA45*(8*(VLOOKUP($A45,NumberofDaysTable,2)))*Q45),0)+IF(AT45&gt;0,($BA45*((AT45))*Q45),0)))</f>
        <v>#NAME?</v>
      </c>
      <c r="BD45" s="292" t="e">
        <f aca="false">IF($A45="N/A"," ",(IF(AM45&gt;0,($BA45*(8*(VLOOKUP($A45,NumberofDaysTable,3)))*R45),0)+IF(AU45&gt;0,($BA45*((AU45))*R45),0)))</f>
        <v>#NAME?</v>
      </c>
      <c r="BE45" s="292" t="e">
        <f aca="false">IF($A45="N/A"," ",(IF(AN45&gt;0,($BA45*(8*(VLOOKUP($A45,NumberofDaysTable,3)))*S45),0)+IF(AV45&gt;0,($BA45*((AV45))*S45),0)))</f>
        <v>#NAME?</v>
      </c>
      <c r="BF45" s="292" t="e">
        <f aca="false">IF($A45="N/A"," ",(IF(AO45&gt;0,($BA45*(8*(VLOOKUP($A45,NumberofDaysTable,4)+VLOOKUP($A45,NumberofDaysTable,5)))*T45),0)+IF(AW45&gt;0,($BA45*((AW45))*T45),0)))</f>
        <v>#NAME?</v>
      </c>
      <c r="BG45" s="292" t="e">
        <f aca="false">IF($A45="N/A"," ",(IF(AP45&gt;0,($BA45*(8*(VLOOKUP($A45,NumberofDaysTable,4)+VLOOKUP($A45,NumberofDaysTable,5)))*U45),0)+IF(AX45&gt;0,($BA45*((AX45))*U45),0)))</f>
        <v>#NAME?</v>
      </c>
      <c r="BH45" s="292" t="e">
        <f aca="false">IF($A45="N/A"," ",($BA45*AQ45*V45))</f>
        <v>#NAME?</v>
      </c>
      <c r="BI45" s="292" t="e">
        <f aca="false">IF($A45="N/A"," ",SUM(BB45:BH45))</f>
        <v>#NAME?</v>
      </c>
      <c r="BJ45" s="293" t="e">
        <f aca="false">IF($A45="N/A"," ",(H45*(SUM(AK45:AQ45)+SUM(AS45:AY45))*BA45))</f>
        <v>#NAME?</v>
      </c>
      <c r="BK45" s="293" t="e">
        <f aca="false">IF($A45="N/A"," ",((C45*D45)*(SUM($AK45:$AQ45)+SUM($AS45:$AY45))*$BA45))</f>
        <v>#N/A</v>
      </c>
      <c r="BL45" s="293" t="e">
        <f aca="false">IF($A45="N/A"," ",(F45*(SUM($AK45:$AQ45)+SUM($AS45:$AY45))*$BA45))</f>
        <v>#NAME?</v>
      </c>
      <c r="BM45" s="293" t="e">
        <f aca="false">IF($A45="N/A"," ",(G45*(SUM($AK45:$AQ45)+SUM($AS45:$AY45))*$BA45))</f>
        <v>#NAME?</v>
      </c>
      <c r="BN45" s="294" t="n">
        <f aca="false">IF(A45="N/A"," ",(VLOOKUP(A45,PowerVolTable,(IF('Pricing Inputs'!$AT$3=2,7,IF('Pricing Inputs'!$AT$3=1,6,8))),FALSE())))</f>
        <v>0.294572615625</v>
      </c>
      <c r="BO45" s="294" t="n">
        <f aca="false">IF(A45="N/A"," ",(VLOOKUP(A45,IntraPowerVol,(IF('Pricing Inputs'!$AT$3=2,3,IF('Pricing Inputs'!$AT$3=1,2,4))),FALSE())*VLOOKUP(MONTH($A45),Inputs!$A$28:$B$39,2)))</f>
        <v>2.3</v>
      </c>
      <c r="BP45" s="295" t="n">
        <f aca="false">IF($A45="N/A"," ",(IF(DateToday&gt;$A45,$BO45,((($BN45^2)*((($A45-1)-DateToday)/((EOMONTH($A45,0)+1)-DateToday-15)))+((($BO45)^2)*((15)/((EOMONTH($A45,0)+1)-DateToday-15))))^0.5)))</f>
        <v>2.3</v>
      </c>
      <c r="BQ45" s="294" t="e">
        <f aca="false">IF($A45="N/A"," ",(VLOOKUP($A45,GasVolTable,(IF('Pricing Inputs'!$AT$3=2,6,IF('Pricing Inputs'!$AT$3=1,7,5))),FALSE())))</f>
        <v>#N/A</v>
      </c>
      <c r="BR45" s="294" t="e">
        <f aca="false">IF($A45="N/A"," ",(VLOOKUP($A45,OmicronVol,(IF('Pricing Inputs'!$AT$3=2,3,IF('Pricing Inputs'!$AT$3=1,4,2))),FALSE())))</f>
        <v>#N/A</v>
      </c>
      <c r="BS45" s="295" t="e">
        <f aca="false">IF($A45="N/A"," ",IF('Pricing Inputs'!$AN$3=1,(IF(DateToday&gt;$A45,$BR45,((($BQ45^2)*((($A45-1)-DateToday)/((EOMONTH($A45,0)+1)-DateToday-15)))+((($BR45)^2)*((15)/((EOMONTH($A45,0)+1)-DateToday-15))))^0.5)),0.0001))</f>
        <v>#N/A</v>
      </c>
      <c r="BT45" s="294" t="n">
        <f aca="false">IF($A45="N/A"," ",IF('Pricing Inputs'!$AN$3=1,(VLOOKUP($A45,CorrelationTable,2,FALSE())),0))</f>
        <v>0.9</v>
      </c>
      <c r="BU45" s="296" t="e">
        <f aca="false">IF($A45="N/A"," ",F45+G45+(D45*(VLOOKUP($A45,'Gas Curves'!$B$17:$P$310,14,FALSE()))))</f>
        <v>#N/A</v>
      </c>
      <c r="BV45" s="294" t="n">
        <f aca="false">IF($A45="N/A"," ",IF('Pricing Inputs'!$AW$3=1,0,(VLOOKUP($A45,InterestRatesTable,2))))</f>
        <v>0</v>
      </c>
      <c r="BW45" s="297" t="n">
        <f aca="false">IF($A45="N/A"," ",(1+BV45/2)^(-2*((EOMONTH(A45,0)+20)-DateToday)/365.25))</f>
        <v>1</v>
      </c>
    </row>
    <row r="46" customFormat="false" ht="12.75" hidden="false" customHeight="false" outlineLevel="0" collapsed="false">
      <c r="A46" s="272" t="n">
        <f aca="false">IF(A45="N/A","N/A",IF(EDATE(A45,1)&gt;Inputs!$K$3,"N/A",EDATE(A45,1)))</f>
        <v>38169</v>
      </c>
      <c r="B46" s="273" t="n">
        <f aca="false">IF(A46="N/A"," ",YEAR(A46))</f>
        <v>2004</v>
      </c>
      <c r="C46" s="274" t="e">
        <f aca="false">IF(A46="N/A"," ",VLOOKUP(A46,ScaledPrice,10))</f>
        <v>#N/A</v>
      </c>
      <c r="D46" s="275" t="n">
        <f aca="false">IF(A46="N/A"," ",(VLOOKUP(MONTH($A46),Inputs!$A$14:$B$25,2))/1000)</f>
        <v>10.5</v>
      </c>
      <c r="E46" s="276" t="e">
        <f aca="false">IF($A46="N/A"," ",C46*D46)</f>
        <v>#N/A</v>
      </c>
      <c r="F46" s="277" t="n">
        <f aca="false">IF(A46="N/A"," ",Inputs!$F$6)</f>
        <v>2</v>
      </c>
      <c r="G46" s="277" t="n">
        <f aca="false">IF(A46="N/A"," ",Inputs!$F$9/IF(AND('Pricing Inputs'!$AQ$3&gt;=4,'Pricing Inputs'!$AQ$3&lt;=6),16,IF(AND('Pricing Inputs'!$AQ$3&gt;=7,'Pricing Inputs'!$AQ$3&lt;=9),8,24))/(BA46/BW46))</f>
        <v>0</v>
      </c>
      <c r="H46" s="278" t="e">
        <f aca="false">IF(A46="N/A"," ",(C46*D46)+F46+G46)</f>
        <v>#N/A</v>
      </c>
      <c r="I46" s="279" t="n">
        <f aca="false">VLOOKUP(A46,ScaledPrice,(IF(AND('Pricing Inputs'!$AQ$3&gt;=1,'Pricing Inputs'!$AQ$3&lt;=6),2,4)))</f>
        <v>82.820711562175</v>
      </c>
      <c r="J46" s="279" t="n">
        <f aca="false">IF(A46="N/A"," ",IF(AND('Pricing Inputs'!$AQ$3&gt;=1,'Pricing Inputs'!$AQ$3&lt;=6),I46,(VLOOKUP(A46,ScaledPrice,2))*(2-(VLOOKUP(A46,ScaledPrice,3)))))</f>
        <v>56.179288437825</v>
      </c>
      <c r="K46" s="279" t="n">
        <f aca="false">IF(A46="N/A"," ",IF(OR('Pricing Inputs'!$AQ$3=2,'Pricing Inputs'!$AQ$3=3,'Pricing Inputs'!$AQ$3=5,'Pricing Inputs'!$AQ$3=6,'Pricing Inputs'!$AQ$3=8,'Pricing Inputs'!$AQ$3=9),VLOOKUP(A46,ScaledPrice,IF(AND('Pricing Inputs'!$AQ$3&gt;=2,'Pricing Inputs'!$AQ$3&lt;=6),5,6)),0))</f>
        <v>47.0245865643247</v>
      </c>
      <c r="L46" s="279" t="n">
        <f aca="false">IF(A46="N/A"," ",IF(OR('Pricing Inputs'!$AQ$3=2,'Pricing Inputs'!$AQ$3=3,'Pricing Inputs'!$AQ$3=5,'Pricing Inputs'!$AQ$3=6,'Pricing Inputs'!$AQ$3=8,'Pricing Inputs'!$AQ$3=9),IF(AND('Pricing Inputs'!$AQ$3&gt;=2,'Pricing Inputs'!$AQ$3&lt;=6),K46,(VLOOKUP(A46,ScaledPrice,5))*(2-(VLOOKUP(A46,ScaledPrice,3)))),0))</f>
        <v>31.897912520148</v>
      </c>
      <c r="M46" s="279" t="n">
        <f aca="false">IF(A46="N/A"," ",IF(OR('Pricing Inputs'!$AQ$3=3,'Pricing Inputs'!$AQ$3=6,'Pricing Inputs'!$AQ$3=9),(VLOOKUP(A46,ScaledPrice,IF(AND('Pricing Inputs'!$AQ$3&gt;=3,'Pricing Inputs'!$AQ$3&lt;=6),7,8))),0))</f>
        <v>34.4957194779141</v>
      </c>
      <c r="N46" s="279" t="n">
        <f aca="false">IF(A46="N/A"," ",IF(OR('Pricing Inputs'!$AQ$3=3,'Pricing Inputs'!$AQ$3=6,'Pricing Inputs'!$AQ$3=9),IF(AND('Pricing Inputs'!$AQ$3&gt;=3,'Pricing Inputs'!$AQ$3&lt;=6),M46,(VLOOKUP(A46,ScaledPrice,7))*(2-(VLOOKUP(A46,ScaledPrice,3)))),0))</f>
        <v>23.3992794539707</v>
      </c>
      <c r="O46" s="279" t="n">
        <f aca="false">IF(A46="N/A"," ",IF(AND('Pricing Inputs'!$AQ$3&gt;=1,'Pricing Inputs'!$AQ$3&lt;=3),VLOOKUP(A46,ScaledPrice,9),0))</f>
        <v>0</v>
      </c>
      <c r="P46" s="280" t="e">
        <f aca="false">IF($A46="N/A"," ",IF('Pricing Inputs'!$AN$8=2,(I46-H46),IF('Pricing Inputs'!$AN$3=2,IF((I46-$H46)&gt;0,I46-$H46,0),(xSPRDOPT(I46,$E46,$BU46,0,$BP46,$BS46,$BT46,($A46-Inputs!$D$1)+15,1,0)))))</f>
        <v>#NAME?</v>
      </c>
      <c r="Q46" s="280" t="e">
        <f aca="false">IF($A46="N/A"," ",IF('Pricing Inputs'!$AN$8=2,(J46-$H46),IF('Pricing Inputs'!$AN$3=2,IF((J46-$H46)&gt;0,J46-$H46,0),(xSPRDOPT(J46,$E46,$BU46,0,$BP46,$BS46,$BT46,($A46-Inputs!$D$1)+15,1,0)))))</f>
        <v>#NAME?</v>
      </c>
      <c r="R46" s="280" t="e">
        <f aca="false">IF($A46="N/A"," ",IF('Pricing Inputs'!$AN$8=2,(K46-$H46),IF('Pricing Inputs'!$AN$3=2,IF((K46-$H46)&gt;0,K46-$H46,0),(xSPRDOPT(K46,$E46,$BU46,0,$BP46,$BS46,$BT46,($A46-Inputs!$D$1)+15,1,0)))))</f>
        <v>#NAME?</v>
      </c>
      <c r="S46" s="280" t="e">
        <f aca="false">IF($A46="N/A"," ",IF('Pricing Inputs'!$AN$8=2,(L46-$H46),IF('Pricing Inputs'!$AN$3=2,IF((L46-$H46)&gt;0,L46-$H46,0),(xSPRDOPT(L46,$E46,$BU46,0,$BP46,$BS46,$BT46,($A46-Inputs!$D$1)+15,1,0)))))</f>
        <v>#NAME?</v>
      </c>
      <c r="T46" s="280" t="e">
        <f aca="false">IF($A46="N/A"," ",IF('Pricing Inputs'!$AN$8=2,(M46-$H46),IF('Pricing Inputs'!$AN$3=2,IF((M46-$H46)&gt;0,M46-$H46,0),(xSPRDOPT(M46,$E46,$BU46,0,$BP46,$BS46,$BT46,($A46-Inputs!$D$1)+15,1,0)))))</f>
        <v>#NAME?</v>
      </c>
      <c r="U46" s="280" t="e">
        <f aca="false">IF($A46="N/A"," ",IF('Pricing Inputs'!$AN$8=2,(N46-$H46),IF('Pricing Inputs'!$AN$3=2,IF((N46-$H46)&gt;0,N46-$H46,0),(xSPRDOPT(N46,$E46,$BU46,0,$BP46,$BS46,$BT46,($A46-Inputs!$D$1)+15,1,0)))))</f>
        <v>#NAME?</v>
      </c>
      <c r="V46" s="281" t="e">
        <f aca="false">IF($A46="N/A"," ",(IF('Pricing Inputs'!$AN$8=2,(O46-$H46),IF((O46-$H46)&lt;=0,0,(O46-$H46)))))</f>
        <v>#N/A</v>
      </c>
      <c r="W46" s="282" t="e">
        <f aca="false">IF($A46="N/A"," ",IF(0&lt;&gt;P46,IF('Pricing Inputs'!$AN$3=2,8*VLOOKUP($A46,NumberofDaysTable,2),(xSPRDOPT(I46,$E46,$BU46,0,$BP46,$BS46,$BT46,$A46-Inputs!$D$1,1,1))*(8*VLOOKUP($A46,NumberofDaysTable,2))),0))</f>
        <v>#NAME?</v>
      </c>
      <c r="X46" s="282" t="e">
        <f aca="false">IF($A46="N/A"," ",IF(Q46&lt;&gt;0,IF('Pricing Inputs'!$AN$3=2,8*VLOOKUP($A46,NumberofDaysTable,2),(xSPRDOPT(J46,$E46,$BU46,0,$BP46,$BS46,$BT46,$A46-Inputs!$D$1,1,1))*(8*VLOOKUP($A46,NumberofDaysTable,2))),0))</f>
        <v>#NAME?</v>
      </c>
      <c r="Y46" s="282" t="e">
        <f aca="false">IF($A46="N/A"," ",IF(R46&lt;&gt;0,IF('Pricing Inputs'!$AN$3=2,8*VLOOKUP($A46,NumberofDaysTable,3),(xSPRDOPT(K46,$E46,$BU46,0,$BP46,$BS46,$BT46,$A46-Inputs!$D$1,1,1))*(8*VLOOKUP($A46,NumberofDaysTable,3))),0))</f>
        <v>#NAME?</v>
      </c>
      <c r="Z46" s="282" t="e">
        <f aca="false">IF($A46="N/A"," ",IF(S46&lt;&gt;0,IF('Pricing Inputs'!$AN$3=2,8*VLOOKUP($A46,NumberofDaysTable,3),(xSPRDOPT(L46,$E46,$BU46,0,$BP46,$BS46,$BT46,$A46-Inputs!$D$1,1,1))*(8*VLOOKUP($A46,NumberofDaysTable,3))),0))</f>
        <v>#NAME?</v>
      </c>
      <c r="AA46" s="282" t="e">
        <f aca="false">IF($A46="N/A"," ",IF(T46&lt;&gt;0,IF('Pricing Inputs'!$AN$3=2,8*VLOOKUP($A46,NumberofDaysTable,4),(xSPRDOPT(M46,$E46,$BU46,0,$BP46,$BS46,$BT46,$A46-Inputs!$D$1,1,1))*(8*VLOOKUP($A46,NumberofDaysTable,4))),0))</f>
        <v>#NAME?</v>
      </c>
      <c r="AB46" s="282" t="e">
        <f aca="false">IF($A46="N/A"," ",IF(U46&lt;&gt;0,IF('Pricing Inputs'!$AN$3=2,8*VLOOKUP($A46,NumberofDaysTable,4),(xSPRDOPT(N46,$E46,$BU46,0,$BP46,$BS46,$BT46,$A46-Inputs!$D$1,1,1))*(8*VLOOKUP($A46,NumberofDaysTable,4))),0))</f>
        <v>#NAME?</v>
      </c>
      <c r="AC46" s="282" t="e">
        <f aca="false">IF($A46="N/A"," ",(IF(V46&lt;&gt;0,(8*VLOOKUP($A46,NumberofDaysTable,6)),0)))</f>
        <v>#N/A</v>
      </c>
      <c r="AD46" s="298" t="e">
        <f aca="false">IF($A46="N/A"," ",RANK(P46,$P$40:$V$51))</f>
        <v>#NAME?</v>
      </c>
      <c r="AE46" s="299" t="e">
        <f aca="false">IF($A46="N/A"," ",RANK(Q46,$P$40:$V$51))</f>
        <v>#NAME?</v>
      </c>
      <c r="AF46" s="299" t="e">
        <f aca="false">IF($A46="N/A"," ",RANK(R46,$P$40:$V$51))</f>
        <v>#NAME?</v>
      </c>
      <c r="AG46" s="299" t="e">
        <f aca="false">IF($A46="N/A"," ",RANK(S46,$P$40:$V$51))</f>
        <v>#NAME?</v>
      </c>
      <c r="AH46" s="299" t="e">
        <f aca="false">IF($A46="N/A"," ",RANK(T46,$P$40:$V$51))</f>
        <v>#NAME?</v>
      </c>
      <c r="AI46" s="299" t="e">
        <f aca="false">IF($A46="N/A"," ",RANK(U46,$P$40:$V$51))</f>
        <v>#NAME?</v>
      </c>
      <c r="AJ46" s="300" t="e">
        <f aca="false">IF($A46="N/A"," ",RANK(V46,$P$40:$V$51))</f>
        <v>#NAME?</v>
      </c>
      <c r="AK46" s="286" t="e">
        <f aca="false">IF($A46="N/A"," ",IF(AD46&lt;=$AJ$2,W46,0))</f>
        <v>#NAME?</v>
      </c>
      <c r="AL46" s="301" t="e">
        <f aca="false">IF($A46="N/A"," ",IF(AE46&lt;=$AJ$2,X46,0))</f>
        <v>#NAME?</v>
      </c>
      <c r="AM46" s="301" t="e">
        <f aca="false">IF($A46="N/A"," ",IF(AF46&lt;=$AJ$2,Y46,0))</f>
        <v>#NAME?</v>
      </c>
      <c r="AN46" s="301" t="e">
        <f aca="false">IF($A46="N/A"," ",IF(AG46&lt;=$AJ$2,Z46,0))</f>
        <v>#NAME?</v>
      </c>
      <c r="AO46" s="301" t="e">
        <f aca="false">IF($A46="N/A"," ",IF(AH46&lt;=$AJ$2,AA46,0))</f>
        <v>#NAME?</v>
      </c>
      <c r="AP46" s="301" t="e">
        <f aca="false">IF($A46="N/A"," ",IF(AI46&lt;=$AJ$2,AB46,0))</f>
        <v>#NAME?</v>
      </c>
      <c r="AQ46" s="301" t="e">
        <f aca="false">IF($A46="N/A"," ",IF(AJ46&lt;=$AJ$2,AC46,0))</f>
        <v>#NAME?</v>
      </c>
      <c r="AR46" s="300"/>
      <c r="AS46" s="288" t="e">
        <f aca="false">IF($A46="N/A"," ",IF(AND(AD46=$AJ$2+1,AK46=0),MIN($AR$51,W46),0))</f>
        <v>#NAME?</v>
      </c>
      <c r="AT46" s="302" t="e">
        <f aca="false">IF($A46="N/A"," ",IF(AND(AE46=$AJ$2+1,AL46=0),MIN($AR$51,X46),0))</f>
        <v>#NAME?</v>
      </c>
      <c r="AU46" s="302" t="e">
        <f aca="false">IF($A46="N/A"," ",IF(AND(AF46=$AJ$2+1,AM46=0),MIN($AR$51,Y46),0))</f>
        <v>#NAME?</v>
      </c>
      <c r="AV46" s="302" t="e">
        <f aca="false">IF($A46="N/A"," ",IF(AND(AG46=$AJ$2+1,AN46=0),MIN($AR$51,Z46),0))</f>
        <v>#NAME?</v>
      </c>
      <c r="AW46" s="302" t="e">
        <f aca="false">IF($A46="N/A"," ",IF(AND(AH46=$AJ$2+1,AO46=0),MIN($AR$51,AA46),0))</f>
        <v>#NAME?</v>
      </c>
      <c r="AX46" s="302" t="e">
        <f aca="false">IF($A46="N/A"," ",IF(AND(AI46=$AJ$2+1,AP46=0),MIN($AR$51,AB46),0))</f>
        <v>#NAME?</v>
      </c>
      <c r="AY46" s="302" t="e">
        <f aca="false">IF($A46="N/A"," ",IF(AND(AJ46=$AJ$2+1,AQ46=0),MIN($AR$51,AC46),0))</f>
        <v>#NAME?</v>
      </c>
      <c r="AZ46" s="300"/>
      <c r="BA46" s="291" t="n">
        <f aca="false">IF($A46="N/A"," ",(IF(MONTH(A46)&gt;=4,IF(MONTH(A46)&lt;=10,Inputs!$F$13,Inputs!$F$14),Inputs!$F$14))*$BW46)</f>
        <v>180</v>
      </c>
      <c r="BB46" s="292" t="e">
        <f aca="false">IF($A46="N/A"," ",(IF(AK46&gt;0,($BA46*(8*(VLOOKUP($A46,NumberofDaysTable,2)))*P46),0)+IF(AS46&gt;0,($BA46*((AS46))*P46),0)))</f>
        <v>#NAME?</v>
      </c>
      <c r="BC46" s="292" t="e">
        <f aca="false">IF($A46="N/A"," ",(IF(AL46&gt;0,($BA46*(8*(VLOOKUP($A46,NumberofDaysTable,2)))*Q46),0)+IF(AT46&gt;0,($BA46*((AT46))*Q46),0)))</f>
        <v>#NAME?</v>
      </c>
      <c r="BD46" s="292" t="e">
        <f aca="false">IF($A46="N/A"," ",(IF(AM46&gt;0,($BA46*(8*(VLOOKUP($A46,NumberofDaysTable,3)))*R46),0)+IF(AU46&gt;0,($BA46*((AU46))*R46),0)))</f>
        <v>#NAME?</v>
      </c>
      <c r="BE46" s="292" t="e">
        <f aca="false">IF($A46="N/A"," ",(IF(AN46&gt;0,($BA46*(8*(VLOOKUP($A46,NumberofDaysTable,3)))*S46),0)+IF(AV46&gt;0,($BA46*((AV46))*S46),0)))</f>
        <v>#NAME?</v>
      </c>
      <c r="BF46" s="292" t="e">
        <f aca="false">IF($A46="N/A"," ",(IF(AO46&gt;0,($BA46*(8*(VLOOKUP($A46,NumberofDaysTable,4)+VLOOKUP($A46,NumberofDaysTable,5)))*T46),0)+IF(AW46&gt;0,($BA46*((AW46))*T46),0)))</f>
        <v>#NAME?</v>
      </c>
      <c r="BG46" s="292" t="e">
        <f aca="false">IF($A46="N/A"," ",(IF(AP46&gt;0,($BA46*(8*(VLOOKUP($A46,NumberofDaysTable,4)+VLOOKUP($A46,NumberofDaysTable,5)))*U46),0)+IF(AX46&gt;0,($BA46*((AX46))*U46),0)))</f>
        <v>#NAME?</v>
      </c>
      <c r="BH46" s="292" t="e">
        <f aca="false">IF($A46="N/A"," ",($BA46*AQ46*V46))</f>
        <v>#NAME?</v>
      </c>
      <c r="BI46" s="292" t="e">
        <f aca="false">IF($A46="N/A"," ",SUM(BB46:BH46))</f>
        <v>#NAME?</v>
      </c>
      <c r="BJ46" s="293" t="e">
        <f aca="false">IF($A46="N/A"," ",(H46*(SUM(AK46:AQ46)+SUM(AS46:AY46))*BA46))</f>
        <v>#NAME?</v>
      </c>
      <c r="BK46" s="293" t="e">
        <f aca="false">IF($A46="N/A"," ",((C46*D46)*(SUM($AK46:$AQ46)+SUM($AS46:$AY46))*$BA46))</f>
        <v>#N/A</v>
      </c>
      <c r="BL46" s="293" t="e">
        <f aca="false">IF($A46="N/A"," ",(F46*(SUM($AK46:$AQ46)+SUM($AS46:$AY46))*$BA46))</f>
        <v>#NAME?</v>
      </c>
      <c r="BM46" s="293" t="e">
        <f aca="false">IF($A46="N/A"," ",(G46*(SUM($AK46:$AQ46)+SUM($AS46:$AY46))*$BA46))</f>
        <v>#NAME?</v>
      </c>
      <c r="BN46" s="294" t="n">
        <f aca="false">IF(A46="N/A"," ",(VLOOKUP(A46,PowerVolTable,(IF('Pricing Inputs'!$AT$3=2,7,IF('Pricing Inputs'!$AT$3=1,6,8))),FALSE())))</f>
        <v>0.348587240625</v>
      </c>
      <c r="BO46" s="294" t="n">
        <f aca="false">IF(A46="N/A"," ",(VLOOKUP(A46,IntraPowerVol,(IF('Pricing Inputs'!$AT$3=2,3,IF('Pricing Inputs'!$AT$3=1,2,4))),FALSE())*VLOOKUP(MONTH($A46),Inputs!$A$28:$B$39,2)))</f>
        <v>3.45</v>
      </c>
      <c r="BP46" s="295" t="n">
        <f aca="false">IF($A46="N/A"," ",(IF(DateToday&gt;$A46,$BO46,((($BN46^2)*((($A46-1)-DateToday)/((EOMONTH($A46,0)+1)-DateToday-15)))+((($BO46)^2)*((15)/((EOMONTH($A46,0)+1)-DateToday-15))))^0.5)))</f>
        <v>3.45</v>
      </c>
      <c r="BQ46" s="294" t="e">
        <f aca="false">IF($A46="N/A"," ",(VLOOKUP($A46,GasVolTable,(IF('Pricing Inputs'!$AT$3=2,6,IF('Pricing Inputs'!$AT$3=1,7,5))),FALSE())))</f>
        <v>#N/A</v>
      </c>
      <c r="BR46" s="294" t="e">
        <f aca="false">IF($A46="N/A"," ",(VLOOKUP($A46,OmicronVol,(IF('Pricing Inputs'!$AT$3=2,3,IF('Pricing Inputs'!$AT$3=1,4,2))),FALSE())))</f>
        <v>#N/A</v>
      </c>
      <c r="BS46" s="295" t="e">
        <f aca="false">IF($A46="N/A"," ",IF('Pricing Inputs'!$AN$3=1,(IF(DateToday&gt;$A46,$BR46,((($BQ46^2)*((($A46-1)-DateToday)/((EOMONTH($A46,0)+1)-DateToday-15)))+((($BR46)^2)*((15)/((EOMONTH($A46,0)+1)-DateToday-15))))^0.5)),0.0001))</f>
        <v>#N/A</v>
      </c>
      <c r="BT46" s="294" t="n">
        <f aca="false">IF($A46="N/A"," ",IF('Pricing Inputs'!$AN$3=1,(VLOOKUP($A46,CorrelationTable,2,FALSE())),0))</f>
        <v>0.9</v>
      </c>
      <c r="BU46" s="296" t="e">
        <f aca="false">IF($A46="N/A"," ",F46+G46+(D46*(VLOOKUP($A46,'Gas Curves'!$B$17:$P$310,14,FALSE()))))</f>
        <v>#N/A</v>
      </c>
      <c r="BV46" s="294" t="n">
        <f aca="false">IF($A46="N/A"," ",IF('Pricing Inputs'!$AW$3=1,0,(VLOOKUP($A46,InterestRatesTable,2))))</f>
        <v>0</v>
      </c>
      <c r="BW46" s="297" t="n">
        <f aca="false">IF($A46="N/A"," ",(1+BV46/2)^(-2*((EOMONTH(A46,0)+20)-DateToday)/365.25))</f>
        <v>1</v>
      </c>
    </row>
    <row r="47" customFormat="false" ht="12.75" hidden="false" customHeight="false" outlineLevel="0" collapsed="false">
      <c r="A47" s="272" t="n">
        <f aca="false">IF(A46="N/A","N/A",IF(EDATE(A46,1)&gt;Inputs!$K$3,"N/A",EDATE(A46,1)))</f>
        <v>38200</v>
      </c>
      <c r="B47" s="273" t="n">
        <f aca="false">IF(A47="N/A"," ",YEAR(A47))</f>
        <v>2004</v>
      </c>
      <c r="C47" s="274" t="e">
        <f aca="false">IF(A47="N/A"," ",VLOOKUP(A47,ScaledPrice,10))</f>
        <v>#N/A</v>
      </c>
      <c r="D47" s="275" t="n">
        <f aca="false">IF(A47="N/A"," ",(VLOOKUP(MONTH($A47),Inputs!$A$14:$B$25,2))/1000)</f>
        <v>10.5</v>
      </c>
      <c r="E47" s="276" t="e">
        <f aca="false">IF($A47="N/A"," ",C47*D47)</f>
        <v>#N/A</v>
      </c>
      <c r="F47" s="277" t="n">
        <f aca="false">IF(A47="N/A"," ",Inputs!$F$6)</f>
        <v>2</v>
      </c>
      <c r="G47" s="277" t="n">
        <f aca="false">IF(A47="N/A"," ",Inputs!$F$9/IF(AND('Pricing Inputs'!$AQ$3&gt;=4,'Pricing Inputs'!$AQ$3&lt;=6),16,IF(AND('Pricing Inputs'!$AQ$3&gt;=7,'Pricing Inputs'!$AQ$3&lt;=9),8,24))/(BA47/BW47))</f>
        <v>0</v>
      </c>
      <c r="H47" s="278" t="e">
        <f aca="false">IF(A47="N/A"," ",(C47*D47)+F47+G47)</f>
        <v>#N/A</v>
      </c>
      <c r="I47" s="279" t="n">
        <f aca="false">VLOOKUP(A47,ScaledPrice,(IF(AND('Pricing Inputs'!$AQ$3&gt;=1,'Pricing Inputs'!$AQ$3&lt;=6),2,4)))</f>
        <v>72.0803816439397</v>
      </c>
      <c r="J47" s="279" t="n">
        <f aca="false">IF(A47="N/A"," ",IF(AND('Pricing Inputs'!$AQ$3&gt;=1,'Pricing Inputs'!$AQ$3&lt;=6),I47,(VLOOKUP(A47,ScaledPrice,2))*(2-(VLOOKUP(A47,ScaledPrice,3)))))</f>
        <v>57.9196183560603</v>
      </c>
      <c r="K47" s="279" t="n">
        <f aca="false">IF(A47="N/A"," ",IF(OR('Pricing Inputs'!$AQ$3=2,'Pricing Inputs'!$AQ$3=3,'Pricing Inputs'!$AQ$3=5,'Pricing Inputs'!$AQ$3=6,'Pricing Inputs'!$AQ$3=8,'Pricing Inputs'!$AQ$3=9),VLOOKUP(A47,ScaledPrice,IF(AND('Pricing Inputs'!$AQ$3&gt;=2,'Pricing Inputs'!$AQ$3&lt;=6),5,6)),0))</f>
        <v>46.2672870330418</v>
      </c>
      <c r="L47" s="279" t="n">
        <f aca="false">IF(A47="N/A"," ",IF(OR('Pricing Inputs'!$AQ$3=2,'Pricing Inputs'!$AQ$3=3,'Pricing Inputs'!$AQ$3=5,'Pricing Inputs'!$AQ$3=6,'Pricing Inputs'!$AQ$3=8,'Pricing Inputs'!$AQ$3=9),IF(AND('Pricing Inputs'!$AQ$3&gt;=2,'Pricing Inputs'!$AQ$3&lt;=6),K47,(VLOOKUP(A47,ScaledPrice,5))*(2-(VLOOKUP(A47,ScaledPrice,3)))),0))</f>
        <v>37.1777111359036</v>
      </c>
      <c r="M47" s="279" t="n">
        <f aca="false">IF(A47="N/A"," ",IF(OR('Pricing Inputs'!$AQ$3=3,'Pricing Inputs'!$AQ$3=6,'Pricing Inputs'!$AQ$3=9),(VLOOKUP(A47,ScaledPrice,IF(AND('Pricing Inputs'!$AQ$3&gt;=3,'Pricing Inputs'!$AQ$3&lt;=6),7,8))),0))</f>
        <v>33.7613427637232</v>
      </c>
      <c r="N47" s="279" t="n">
        <f aca="false">IF(A47="N/A"," ",IF(OR('Pricing Inputs'!$AQ$3=3,'Pricing Inputs'!$AQ$3=6,'Pricing Inputs'!$AQ$3=9),IF(AND('Pricing Inputs'!$AQ$3&gt;=3,'Pricing Inputs'!$AQ$3&lt;=6),M47,(VLOOKUP(A47,ScaledPrice,7))*(2-(VLOOKUP(A47,ScaledPrice,3)))),0))</f>
        <v>27.1286589147436</v>
      </c>
      <c r="O47" s="279" t="n">
        <f aca="false">IF(A47="N/A"," ",IF(AND('Pricing Inputs'!$AQ$3&gt;=1,'Pricing Inputs'!$AQ$3&lt;=3),VLOOKUP(A47,ScaledPrice,9),0))</f>
        <v>0</v>
      </c>
      <c r="P47" s="280" t="e">
        <f aca="false">IF($A47="N/A"," ",IF('Pricing Inputs'!$AN$8=2,(I47-H47),IF('Pricing Inputs'!$AN$3=2,IF((I47-$H47)&gt;0,I47-$H47,0),(xSPRDOPT(I47,$E47,$BU47,0,$BP47,$BS47,$BT47,($A47-Inputs!$D$1)+15,1,0)))))</f>
        <v>#NAME?</v>
      </c>
      <c r="Q47" s="280" t="e">
        <f aca="false">IF($A47="N/A"," ",IF('Pricing Inputs'!$AN$8=2,(J47-$H47),IF('Pricing Inputs'!$AN$3=2,IF((J47-$H47)&gt;0,J47-$H47,0),(xSPRDOPT(J47,$E47,$BU47,0,$BP47,$BS47,$BT47,($A47-Inputs!$D$1)+15,1,0)))))</f>
        <v>#NAME?</v>
      </c>
      <c r="R47" s="280" t="e">
        <f aca="false">IF($A47="N/A"," ",IF('Pricing Inputs'!$AN$8=2,(K47-$H47),IF('Pricing Inputs'!$AN$3=2,IF((K47-$H47)&gt;0,K47-$H47,0),(xSPRDOPT(K47,$E47,$BU47,0,$BP47,$BS47,$BT47,($A47-Inputs!$D$1)+15,1,0)))))</f>
        <v>#NAME?</v>
      </c>
      <c r="S47" s="280" t="e">
        <f aca="false">IF($A47="N/A"," ",IF('Pricing Inputs'!$AN$8=2,(L47-$H47),IF('Pricing Inputs'!$AN$3=2,IF((L47-$H47)&gt;0,L47-$H47,0),(xSPRDOPT(L47,$E47,$BU47,0,$BP47,$BS47,$BT47,($A47-Inputs!$D$1)+15,1,0)))))</f>
        <v>#NAME?</v>
      </c>
      <c r="T47" s="280" t="e">
        <f aca="false">IF($A47="N/A"," ",IF('Pricing Inputs'!$AN$8=2,(M47-$H47),IF('Pricing Inputs'!$AN$3=2,IF((M47-$H47)&gt;0,M47-$H47,0),(xSPRDOPT(M47,$E47,$BU47,0,$BP47,$BS47,$BT47,($A47-Inputs!$D$1)+15,1,0)))))</f>
        <v>#NAME?</v>
      </c>
      <c r="U47" s="280" t="e">
        <f aca="false">IF($A47="N/A"," ",IF('Pricing Inputs'!$AN$8=2,(N47-$H47),IF('Pricing Inputs'!$AN$3=2,IF((N47-$H47)&gt;0,N47-$H47,0),(xSPRDOPT(N47,$E47,$BU47,0,$BP47,$BS47,$BT47,($A47-Inputs!$D$1)+15,1,0)))))</f>
        <v>#NAME?</v>
      </c>
      <c r="V47" s="281" t="e">
        <f aca="false">IF($A47="N/A"," ",(IF('Pricing Inputs'!$AN$8=2,(O47-$H47),IF((O47-$H47)&lt;=0,0,(O47-$H47)))))</f>
        <v>#N/A</v>
      </c>
      <c r="W47" s="282" t="e">
        <f aca="false">IF($A47="N/A"," ",IF(0&lt;&gt;P47,IF('Pricing Inputs'!$AN$3=2,8*VLOOKUP($A47,NumberofDaysTable,2),(xSPRDOPT(I47,$E47,$BU47,0,$BP47,$BS47,$BT47,$A47-Inputs!$D$1,1,1))*(8*VLOOKUP($A47,NumberofDaysTable,2))),0))</f>
        <v>#NAME?</v>
      </c>
      <c r="X47" s="282" t="e">
        <f aca="false">IF($A47="N/A"," ",IF(Q47&lt;&gt;0,IF('Pricing Inputs'!$AN$3=2,8*VLOOKUP($A47,NumberofDaysTable,2),(xSPRDOPT(J47,$E47,$BU47,0,$BP47,$BS47,$BT47,$A47-Inputs!$D$1,1,1))*(8*VLOOKUP($A47,NumberofDaysTable,2))),0))</f>
        <v>#NAME?</v>
      </c>
      <c r="Y47" s="282" t="e">
        <f aca="false">IF($A47="N/A"," ",IF(R47&lt;&gt;0,IF('Pricing Inputs'!$AN$3=2,8*VLOOKUP($A47,NumberofDaysTable,3),(xSPRDOPT(K47,$E47,$BU47,0,$BP47,$BS47,$BT47,$A47-Inputs!$D$1,1,1))*(8*VLOOKUP($A47,NumberofDaysTable,3))),0))</f>
        <v>#NAME?</v>
      </c>
      <c r="Z47" s="282" t="e">
        <f aca="false">IF($A47="N/A"," ",IF(S47&lt;&gt;0,IF('Pricing Inputs'!$AN$3=2,8*VLOOKUP($A47,NumberofDaysTable,3),(xSPRDOPT(L47,$E47,$BU47,0,$BP47,$BS47,$BT47,$A47-Inputs!$D$1,1,1))*(8*VLOOKUP($A47,NumberofDaysTable,3))),0))</f>
        <v>#NAME?</v>
      </c>
      <c r="AA47" s="282" t="e">
        <f aca="false">IF($A47="N/A"," ",IF(T47&lt;&gt;0,IF('Pricing Inputs'!$AN$3=2,8*VLOOKUP($A47,NumberofDaysTable,4),(xSPRDOPT(M47,$E47,$BU47,0,$BP47,$BS47,$BT47,$A47-Inputs!$D$1,1,1))*(8*VLOOKUP($A47,NumberofDaysTable,4))),0))</f>
        <v>#NAME?</v>
      </c>
      <c r="AB47" s="282" t="e">
        <f aca="false">IF($A47="N/A"," ",IF(U47&lt;&gt;0,IF('Pricing Inputs'!$AN$3=2,8*VLOOKUP($A47,NumberofDaysTable,4),(xSPRDOPT(N47,$E47,$BU47,0,$BP47,$BS47,$BT47,$A47-Inputs!$D$1,1,1))*(8*VLOOKUP($A47,NumberofDaysTable,4))),0))</f>
        <v>#NAME?</v>
      </c>
      <c r="AC47" s="282" t="e">
        <f aca="false">IF($A47="N/A"," ",(IF(V47&lt;&gt;0,(8*VLOOKUP($A47,NumberofDaysTable,6)),0)))</f>
        <v>#N/A</v>
      </c>
      <c r="AD47" s="298" t="e">
        <f aca="false">IF($A47="N/A"," ",RANK(P47,$P$40:$V$51))</f>
        <v>#NAME?</v>
      </c>
      <c r="AE47" s="299" t="e">
        <f aca="false">IF($A47="N/A"," ",RANK(Q47,$P$40:$V$51))</f>
        <v>#NAME?</v>
      </c>
      <c r="AF47" s="299" t="e">
        <f aca="false">IF($A47="N/A"," ",RANK(R47,$P$40:$V$51))</f>
        <v>#NAME?</v>
      </c>
      <c r="AG47" s="299" t="e">
        <f aca="false">IF($A47="N/A"," ",RANK(S47,$P$40:$V$51))</f>
        <v>#NAME?</v>
      </c>
      <c r="AH47" s="299" t="e">
        <f aca="false">IF($A47="N/A"," ",RANK(T47,$P$40:$V$51))</f>
        <v>#NAME?</v>
      </c>
      <c r="AI47" s="299" t="e">
        <f aca="false">IF($A47="N/A"," ",RANK(U47,$P$40:$V$51))</f>
        <v>#NAME?</v>
      </c>
      <c r="AJ47" s="300" t="e">
        <f aca="false">IF($A47="N/A"," ",RANK(V47,$P$40:$V$51))</f>
        <v>#NAME?</v>
      </c>
      <c r="AK47" s="286" t="e">
        <f aca="false">IF($A47="N/A"," ",IF(AD47&lt;=$AJ$2,W47,0))</f>
        <v>#NAME?</v>
      </c>
      <c r="AL47" s="301" t="e">
        <f aca="false">IF($A47="N/A"," ",IF(AE47&lt;=$AJ$2,X47,0))</f>
        <v>#NAME?</v>
      </c>
      <c r="AM47" s="301" t="e">
        <f aca="false">IF($A47="N/A"," ",IF(AF47&lt;=$AJ$2,Y47,0))</f>
        <v>#NAME?</v>
      </c>
      <c r="AN47" s="301" t="e">
        <f aca="false">IF($A47="N/A"," ",IF(AG47&lt;=$AJ$2,Z47,0))</f>
        <v>#NAME?</v>
      </c>
      <c r="AO47" s="301" t="e">
        <f aca="false">IF($A47="N/A"," ",IF(AH47&lt;=$AJ$2,AA47,0))</f>
        <v>#NAME?</v>
      </c>
      <c r="AP47" s="301" t="e">
        <f aca="false">IF($A47="N/A"," ",IF(AI47&lt;=$AJ$2,AB47,0))</f>
        <v>#NAME?</v>
      </c>
      <c r="AQ47" s="301" t="e">
        <f aca="false">IF($A47="N/A"," ",IF(AJ47&lt;=$AJ$2,AC47,0))</f>
        <v>#NAME?</v>
      </c>
      <c r="AR47" s="300"/>
      <c r="AS47" s="288" t="e">
        <f aca="false">IF($A47="N/A"," ",IF(AND(AD47=$AJ$2+1,AK47=0),MIN($AR$51,W47),0))</f>
        <v>#NAME?</v>
      </c>
      <c r="AT47" s="302" t="e">
        <f aca="false">IF($A47="N/A"," ",IF(AND(AE47=$AJ$2+1,AL47=0),MIN($AR$51,X47),0))</f>
        <v>#NAME?</v>
      </c>
      <c r="AU47" s="302" t="e">
        <f aca="false">IF($A47="N/A"," ",IF(AND(AF47=$AJ$2+1,AM47=0),MIN($AR$51,Y47),0))</f>
        <v>#NAME?</v>
      </c>
      <c r="AV47" s="302" t="e">
        <f aca="false">IF($A47="N/A"," ",IF(AND(AG47=$AJ$2+1,AN47=0),MIN($AR$51,Z47),0))</f>
        <v>#NAME?</v>
      </c>
      <c r="AW47" s="302" t="e">
        <f aca="false">IF($A47="N/A"," ",IF(AND(AH47=$AJ$2+1,AO47=0),MIN($AR$51,AA47),0))</f>
        <v>#NAME?</v>
      </c>
      <c r="AX47" s="302" t="e">
        <f aca="false">IF($A47="N/A"," ",IF(AND(AI47=$AJ$2+1,AP47=0),MIN($AR$51,AB47),0))</f>
        <v>#NAME?</v>
      </c>
      <c r="AY47" s="302" t="e">
        <f aca="false">IF($A47="N/A"," ",IF(AND(AJ47=$AJ$2+1,AQ47=0),MIN($AR$51,AC47),0))</f>
        <v>#NAME?</v>
      </c>
      <c r="AZ47" s="300"/>
      <c r="BA47" s="291" t="n">
        <f aca="false">IF($A47="N/A"," ",(IF(MONTH(A47)&gt;=4,IF(MONTH(A47)&lt;=10,Inputs!$F$13,Inputs!$F$14),Inputs!$F$14))*$BW47)</f>
        <v>180</v>
      </c>
      <c r="BB47" s="292" t="e">
        <f aca="false">IF($A47="N/A"," ",(IF(AK47&gt;0,($BA47*(8*(VLOOKUP($A47,NumberofDaysTable,2)))*P47),0)+IF(AS47&gt;0,($BA47*((AS47))*P47),0)))</f>
        <v>#NAME?</v>
      </c>
      <c r="BC47" s="292" t="e">
        <f aca="false">IF($A47="N/A"," ",(IF(AL47&gt;0,($BA47*(8*(VLOOKUP($A47,NumberofDaysTable,2)))*Q47),0)+IF(AT47&gt;0,($BA47*((AT47))*Q47),0)))</f>
        <v>#NAME?</v>
      </c>
      <c r="BD47" s="292" t="e">
        <f aca="false">IF($A47="N/A"," ",(IF(AM47&gt;0,($BA47*(8*(VLOOKUP($A47,NumberofDaysTable,3)))*R47),0)+IF(AU47&gt;0,($BA47*((AU47))*R47),0)))</f>
        <v>#NAME?</v>
      </c>
      <c r="BE47" s="292" t="e">
        <f aca="false">IF($A47="N/A"," ",(IF(AN47&gt;0,($BA47*(8*(VLOOKUP($A47,NumberofDaysTable,3)))*S47),0)+IF(AV47&gt;0,($BA47*((AV47))*S47),0)))</f>
        <v>#NAME?</v>
      </c>
      <c r="BF47" s="292" t="e">
        <f aca="false">IF($A47="N/A"," ",(IF(AO47&gt;0,($BA47*(8*(VLOOKUP($A47,NumberofDaysTable,4)+VLOOKUP($A47,NumberofDaysTable,5)))*T47),0)+IF(AW47&gt;0,($BA47*((AW47))*T47),0)))</f>
        <v>#NAME?</v>
      </c>
      <c r="BG47" s="292" t="e">
        <f aca="false">IF($A47="N/A"," ",(IF(AP47&gt;0,($BA47*(8*(VLOOKUP($A47,NumberofDaysTable,4)+VLOOKUP($A47,NumberofDaysTable,5)))*U47),0)+IF(AX47&gt;0,($BA47*((AX47))*U47),0)))</f>
        <v>#NAME?</v>
      </c>
      <c r="BH47" s="292" t="e">
        <f aca="false">IF($A47="N/A"," ",($BA47*AQ47*V47))</f>
        <v>#NAME?</v>
      </c>
      <c r="BI47" s="292" t="e">
        <f aca="false">IF($A47="N/A"," ",SUM(BB47:BH47))</f>
        <v>#NAME?</v>
      </c>
      <c r="BJ47" s="293" t="e">
        <f aca="false">IF($A47="N/A"," ",(H47*(SUM(AK47:AQ47)+SUM(AS47:AY47))*BA47))</f>
        <v>#NAME?</v>
      </c>
      <c r="BK47" s="293" t="e">
        <f aca="false">IF($A47="N/A"," ",((C47*D47)*(SUM($AK47:$AQ47)+SUM($AS47:$AY47))*$BA47))</f>
        <v>#N/A</v>
      </c>
      <c r="BL47" s="293" t="e">
        <f aca="false">IF($A47="N/A"," ",(F47*(SUM($AK47:$AQ47)+SUM($AS47:$AY47))*$BA47))</f>
        <v>#NAME?</v>
      </c>
      <c r="BM47" s="293" t="e">
        <f aca="false">IF($A47="N/A"," ",(G47*(SUM($AK47:$AQ47)+SUM($AS47:$AY47))*$BA47))</f>
        <v>#NAME?</v>
      </c>
      <c r="BN47" s="294" t="n">
        <f aca="false">IF(A47="N/A"," ",(VLOOKUP(A47,PowerVolTable,(IF('Pricing Inputs'!$AT$3=2,7,IF('Pricing Inputs'!$AT$3=1,6,8))),FALSE())))</f>
        <v>0.34299286875</v>
      </c>
      <c r="BO47" s="294" t="n">
        <f aca="false">IF(A47="N/A"," ",(VLOOKUP(A47,IntraPowerVol,(IF('Pricing Inputs'!$AT$3=2,3,IF('Pricing Inputs'!$AT$3=1,2,4))),FALSE())*VLOOKUP(MONTH($A47),Inputs!$A$28:$B$39,2)))</f>
        <v>3.45</v>
      </c>
      <c r="BP47" s="295" t="n">
        <f aca="false">IF($A47="N/A"," ",(IF(DateToday&gt;$A47,$BO47,((($BN47^2)*((($A47-1)-DateToday)/((EOMONTH($A47,0)+1)-DateToday-15)))+((($BO47)^2)*((15)/((EOMONTH($A47,0)+1)-DateToday-15))))^0.5)))</f>
        <v>3.45</v>
      </c>
      <c r="BQ47" s="294" t="e">
        <f aca="false">IF($A47="N/A"," ",(VLOOKUP($A47,GasVolTable,(IF('Pricing Inputs'!$AT$3=2,6,IF('Pricing Inputs'!$AT$3=1,7,5))),FALSE())))</f>
        <v>#N/A</v>
      </c>
      <c r="BR47" s="294" t="e">
        <f aca="false">IF($A47="N/A"," ",(VLOOKUP($A47,OmicronVol,(IF('Pricing Inputs'!$AT$3=2,3,IF('Pricing Inputs'!$AT$3=1,4,2))),FALSE())))</f>
        <v>#N/A</v>
      </c>
      <c r="BS47" s="295" t="e">
        <f aca="false">IF($A47="N/A"," ",IF('Pricing Inputs'!$AN$3=1,(IF(DateToday&gt;$A47,$BR47,((($BQ47^2)*((($A47-1)-DateToday)/((EOMONTH($A47,0)+1)-DateToday-15)))+((($BR47)^2)*((15)/((EOMONTH($A47,0)+1)-DateToday-15))))^0.5)),0.0001))</f>
        <v>#N/A</v>
      </c>
      <c r="BT47" s="294" t="n">
        <f aca="false">IF($A47="N/A"," ",IF('Pricing Inputs'!$AN$3=1,(VLOOKUP($A47,CorrelationTable,2,FALSE())),0))</f>
        <v>0.9</v>
      </c>
      <c r="BU47" s="296" t="e">
        <f aca="false">IF($A47="N/A"," ",F47+G47+(D47*(VLOOKUP($A47,'Gas Curves'!$B$17:$P$310,14,FALSE()))))</f>
        <v>#N/A</v>
      </c>
      <c r="BV47" s="294" t="n">
        <f aca="false">IF($A47="N/A"," ",IF('Pricing Inputs'!$AW$3=1,0,(VLOOKUP($A47,InterestRatesTable,2))))</f>
        <v>0</v>
      </c>
      <c r="BW47" s="297" t="n">
        <f aca="false">IF($A47="N/A"," ",(1+BV47/2)^(-2*((EOMONTH(A47,0)+20)-DateToday)/365.25))</f>
        <v>1</v>
      </c>
    </row>
    <row r="48" customFormat="false" ht="12.75" hidden="false" customHeight="false" outlineLevel="0" collapsed="false">
      <c r="A48" s="272" t="n">
        <f aca="false">IF(A47="N/A","N/A",IF(EDATE(A47,1)&gt;Inputs!$K$3,"N/A",EDATE(A47,1)))</f>
        <v>38231</v>
      </c>
      <c r="B48" s="273" t="n">
        <f aca="false">IF(A48="N/A"," ",YEAR(A48))</f>
        <v>2004</v>
      </c>
      <c r="C48" s="274" t="e">
        <f aca="false">IF(A48="N/A"," ",VLOOKUP(A48,ScaledPrice,10))</f>
        <v>#N/A</v>
      </c>
      <c r="D48" s="275" t="n">
        <f aca="false">IF(A48="N/A"," ",(VLOOKUP(MONTH($A48),Inputs!$A$14:$B$25,2))/1000)</f>
        <v>10.5</v>
      </c>
      <c r="E48" s="276" t="e">
        <f aca="false">IF($A48="N/A"," ",C48*D48)</f>
        <v>#N/A</v>
      </c>
      <c r="F48" s="277" t="n">
        <f aca="false">IF(A48="N/A"," ",Inputs!$F$6)</f>
        <v>2</v>
      </c>
      <c r="G48" s="277" t="n">
        <f aca="false">IF(A48="N/A"," ",Inputs!$F$9/IF(AND('Pricing Inputs'!$AQ$3&gt;=4,'Pricing Inputs'!$AQ$3&lt;=6),16,IF(AND('Pricing Inputs'!$AQ$3&gt;=7,'Pricing Inputs'!$AQ$3&lt;=9),8,24))/(BA48/BW48))</f>
        <v>0</v>
      </c>
      <c r="H48" s="278" t="e">
        <f aca="false">IF(A48="N/A"," ",(C48*D48)+F48+G48)</f>
        <v>#N/A</v>
      </c>
      <c r="I48" s="279" t="n">
        <f aca="false">VLOOKUP(A48,ScaledPrice,(IF(AND('Pricing Inputs'!$AQ$3&gt;=1,'Pricing Inputs'!$AQ$3&lt;=6),2,4)))</f>
        <v>35.8018283192647</v>
      </c>
      <c r="J48" s="279" t="n">
        <f aca="false">IF(A48="N/A"," ",IF(AND('Pricing Inputs'!$AQ$3&gt;=1,'Pricing Inputs'!$AQ$3&lt;=6),I48,(VLOOKUP(A48,ScaledPrice,2))*(2-(VLOOKUP(A48,ScaledPrice,3)))))</f>
        <v>29.4981716807353</v>
      </c>
      <c r="K48" s="279" t="n">
        <f aca="false">IF(A48="N/A"," ",IF(OR('Pricing Inputs'!$AQ$3=2,'Pricing Inputs'!$AQ$3=3,'Pricing Inputs'!$AQ$3=5,'Pricing Inputs'!$AQ$3=6,'Pricing Inputs'!$AQ$3=8,'Pricing Inputs'!$AQ$3=9),VLOOKUP(A48,ScaledPrice,IF(AND('Pricing Inputs'!$AQ$3&gt;=2,'Pricing Inputs'!$AQ$3&lt;=6),5,6)),0))</f>
        <v>25.3354123513176</v>
      </c>
      <c r="L48" s="279" t="n">
        <f aca="false">IF(A48="N/A"," ",IF(OR('Pricing Inputs'!$AQ$3=2,'Pricing Inputs'!$AQ$3=3,'Pricing Inputs'!$AQ$3=5,'Pricing Inputs'!$AQ$3=6,'Pricing Inputs'!$AQ$3=8,'Pricing Inputs'!$AQ$3=9),IF(AND('Pricing Inputs'!$AQ$3&gt;=2,'Pricing Inputs'!$AQ$3&lt;=6),K48,(VLOOKUP(A48,ScaledPrice,5))*(2-(VLOOKUP(A48,ScaledPrice,3)))),0))</f>
        <v>20.8745859702156</v>
      </c>
      <c r="M48" s="279" t="n">
        <f aca="false">IF(A48="N/A"," ",IF(OR('Pricing Inputs'!$AQ$3=3,'Pricing Inputs'!$AQ$3=6,'Pricing Inputs'!$AQ$3=9),(VLOOKUP(A48,ScaledPrice,IF(AND('Pricing Inputs'!$AQ$3&gt;=3,'Pricing Inputs'!$AQ$3&lt;=6),7,8))),0))</f>
        <v>25.8781974987641</v>
      </c>
      <c r="N48" s="279" t="n">
        <f aca="false">IF(A48="N/A"," ",IF(OR('Pricing Inputs'!$AQ$3=3,'Pricing Inputs'!$AQ$3=6,'Pricing Inputs'!$AQ$3=9),IF(AND('Pricing Inputs'!$AQ$3&gt;=3,'Pricing Inputs'!$AQ$3&lt;=6),M48,(VLOOKUP(A48,ScaledPrice,7))*(2-(VLOOKUP(A48,ScaledPrice,3)))),0))</f>
        <v>21.321802501236</v>
      </c>
      <c r="O48" s="279" t="n">
        <f aca="false">IF(A48="N/A"," ",IF(AND('Pricing Inputs'!$AQ$3&gt;=1,'Pricing Inputs'!$AQ$3&lt;=3),VLOOKUP(A48,ScaledPrice,9),0))</f>
        <v>0</v>
      </c>
      <c r="P48" s="280" t="e">
        <f aca="false">IF($A48="N/A"," ",IF('Pricing Inputs'!$AN$8=2,(I48-H48),IF('Pricing Inputs'!$AN$3=2,IF((I48-$H48)&gt;0,I48-$H48,0),(xSPRDOPT(I48,$E48,$BU48,0,$BP48,$BS48,$BT48,($A48-Inputs!$D$1)+15,1,0)))))</f>
        <v>#NAME?</v>
      </c>
      <c r="Q48" s="280" t="e">
        <f aca="false">IF($A48="N/A"," ",IF('Pricing Inputs'!$AN$8=2,(J48-$H48),IF('Pricing Inputs'!$AN$3=2,IF((J48-$H48)&gt;0,J48-$H48,0),(xSPRDOPT(J48,$E48,$BU48,0,$BP48,$BS48,$BT48,($A48-Inputs!$D$1)+15,1,0)))))</f>
        <v>#NAME?</v>
      </c>
      <c r="R48" s="280" t="e">
        <f aca="false">IF($A48="N/A"," ",IF('Pricing Inputs'!$AN$8=2,(K48-$H48),IF('Pricing Inputs'!$AN$3=2,IF((K48-$H48)&gt;0,K48-$H48,0),(xSPRDOPT(K48,$E48,$BU48,0,$BP48,$BS48,$BT48,($A48-Inputs!$D$1)+15,1,0)))))</f>
        <v>#NAME?</v>
      </c>
      <c r="S48" s="280" t="e">
        <f aca="false">IF($A48="N/A"," ",IF('Pricing Inputs'!$AN$8=2,(L48-$H48),IF('Pricing Inputs'!$AN$3=2,IF((L48-$H48)&gt;0,L48-$H48,0),(xSPRDOPT(L48,$E48,$BU48,0,$BP48,$BS48,$BT48,($A48-Inputs!$D$1)+15,1,0)))))</f>
        <v>#NAME?</v>
      </c>
      <c r="T48" s="280" t="e">
        <f aca="false">IF($A48="N/A"," ",IF('Pricing Inputs'!$AN$8=2,(M48-$H48),IF('Pricing Inputs'!$AN$3=2,IF((M48-$H48)&gt;0,M48-$H48,0),(xSPRDOPT(M48,$E48,$BU48,0,$BP48,$BS48,$BT48,($A48-Inputs!$D$1)+15,1,0)))))</f>
        <v>#NAME?</v>
      </c>
      <c r="U48" s="280" t="e">
        <f aca="false">IF($A48="N/A"," ",IF('Pricing Inputs'!$AN$8=2,(N48-$H48),IF('Pricing Inputs'!$AN$3=2,IF((N48-$H48)&gt;0,N48-$H48,0),(xSPRDOPT(N48,$E48,$BU48,0,$BP48,$BS48,$BT48,($A48-Inputs!$D$1)+15,1,0)))))</f>
        <v>#NAME?</v>
      </c>
      <c r="V48" s="281" t="e">
        <f aca="false">IF($A48="N/A"," ",(IF('Pricing Inputs'!$AN$8=2,(O48-$H48),IF((O48-$H48)&lt;=0,0,(O48-$H48)))))</f>
        <v>#N/A</v>
      </c>
      <c r="W48" s="282" t="e">
        <f aca="false">IF($A48="N/A"," ",IF(0&lt;&gt;P48,IF('Pricing Inputs'!$AN$3=2,8*VLOOKUP($A48,NumberofDaysTable,2),(xSPRDOPT(I48,$E48,$BU48,0,$BP48,$BS48,$BT48,$A48-Inputs!$D$1,1,1))*(8*VLOOKUP($A48,NumberofDaysTable,2))),0))</f>
        <v>#NAME?</v>
      </c>
      <c r="X48" s="282" t="e">
        <f aca="false">IF($A48="N/A"," ",IF(Q48&lt;&gt;0,IF('Pricing Inputs'!$AN$3=2,8*VLOOKUP($A48,NumberofDaysTable,2),(xSPRDOPT(J48,$E48,$BU48,0,$BP48,$BS48,$BT48,$A48-Inputs!$D$1,1,1))*(8*VLOOKUP($A48,NumberofDaysTable,2))),0))</f>
        <v>#NAME?</v>
      </c>
      <c r="Y48" s="282" t="e">
        <f aca="false">IF($A48="N/A"," ",IF(R48&lt;&gt;0,IF('Pricing Inputs'!$AN$3=2,8*VLOOKUP($A48,NumberofDaysTable,3),(xSPRDOPT(K48,$E48,$BU48,0,$BP48,$BS48,$BT48,$A48-Inputs!$D$1,1,1))*(8*VLOOKUP($A48,NumberofDaysTable,3))),0))</f>
        <v>#NAME?</v>
      </c>
      <c r="Z48" s="282" t="e">
        <f aca="false">IF($A48="N/A"," ",IF(S48&lt;&gt;0,IF('Pricing Inputs'!$AN$3=2,8*VLOOKUP($A48,NumberofDaysTable,3),(xSPRDOPT(L48,$E48,$BU48,0,$BP48,$BS48,$BT48,$A48-Inputs!$D$1,1,1))*(8*VLOOKUP($A48,NumberofDaysTable,3))),0))</f>
        <v>#NAME?</v>
      </c>
      <c r="AA48" s="282" t="e">
        <f aca="false">IF($A48="N/A"," ",IF(T48&lt;&gt;0,IF('Pricing Inputs'!$AN$3=2,8*VLOOKUP($A48,NumberofDaysTable,4),(xSPRDOPT(M48,$E48,$BU48,0,$BP48,$BS48,$BT48,$A48-Inputs!$D$1,1,1))*(8*VLOOKUP($A48,NumberofDaysTable,4))),0))</f>
        <v>#NAME?</v>
      </c>
      <c r="AB48" s="282" t="e">
        <f aca="false">IF($A48="N/A"," ",IF(U48&lt;&gt;0,IF('Pricing Inputs'!$AN$3=2,8*VLOOKUP($A48,NumberofDaysTable,4),(xSPRDOPT(N48,$E48,$BU48,0,$BP48,$BS48,$BT48,$A48-Inputs!$D$1,1,1))*(8*VLOOKUP($A48,NumberofDaysTable,4))),0))</f>
        <v>#NAME?</v>
      </c>
      <c r="AC48" s="282" t="e">
        <f aca="false">IF($A48="N/A"," ",(IF(V48&lt;&gt;0,(8*VLOOKUP($A48,NumberofDaysTable,6)),0)))</f>
        <v>#N/A</v>
      </c>
      <c r="AD48" s="298" t="e">
        <f aca="false">IF($A48="N/A"," ",RANK(P48,$P$40:$V$51))</f>
        <v>#NAME?</v>
      </c>
      <c r="AE48" s="299" t="e">
        <f aca="false">IF($A48="N/A"," ",RANK(Q48,$P$40:$V$51))</f>
        <v>#NAME?</v>
      </c>
      <c r="AF48" s="299" t="e">
        <f aca="false">IF($A48="N/A"," ",RANK(R48,$P$40:$V$51))</f>
        <v>#NAME?</v>
      </c>
      <c r="AG48" s="299" t="e">
        <f aca="false">IF($A48="N/A"," ",RANK(S48,$P$40:$V$51))</f>
        <v>#NAME?</v>
      </c>
      <c r="AH48" s="299" t="e">
        <f aca="false">IF($A48="N/A"," ",RANK(T48,$P$40:$V$51))</f>
        <v>#NAME?</v>
      </c>
      <c r="AI48" s="299" t="e">
        <f aca="false">IF($A48="N/A"," ",RANK(U48,$P$40:$V$51))</f>
        <v>#NAME?</v>
      </c>
      <c r="AJ48" s="300" t="e">
        <f aca="false">IF($A48="N/A"," ",RANK(V48,$P$40:$V$51))</f>
        <v>#NAME?</v>
      </c>
      <c r="AK48" s="286" t="e">
        <f aca="false">IF($A48="N/A"," ",IF(AD48&lt;=$AJ$2,W48,0))</f>
        <v>#NAME?</v>
      </c>
      <c r="AL48" s="301" t="e">
        <f aca="false">IF($A48="N/A"," ",IF(AE48&lt;=$AJ$2,X48,0))</f>
        <v>#NAME?</v>
      </c>
      <c r="AM48" s="301" t="e">
        <f aca="false">IF($A48="N/A"," ",IF(AF48&lt;=$AJ$2,Y48,0))</f>
        <v>#NAME?</v>
      </c>
      <c r="AN48" s="301" t="e">
        <f aca="false">IF($A48="N/A"," ",IF(AG48&lt;=$AJ$2,Z48,0))</f>
        <v>#NAME?</v>
      </c>
      <c r="AO48" s="301" t="e">
        <f aca="false">IF($A48="N/A"," ",IF(AH48&lt;=$AJ$2,AA48,0))</f>
        <v>#NAME?</v>
      </c>
      <c r="AP48" s="301" t="e">
        <f aca="false">IF($A48="N/A"," ",IF(AI48&lt;=$AJ$2,AB48,0))</f>
        <v>#NAME?</v>
      </c>
      <c r="AQ48" s="301" t="e">
        <f aca="false">IF($A48="N/A"," ",IF(AJ48&lt;=$AJ$2,AC48,0))</f>
        <v>#NAME?</v>
      </c>
      <c r="AR48" s="300"/>
      <c r="AS48" s="288" t="e">
        <f aca="false">IF($A48="N/A"," ",IF(AND(AD48=$AJ$2+1,AK48=0),MIN($AR$51,W48),0))</f>
        <v>#NAME?</v>
      </c>
      <c r="AT48" s="302" t="e">
        <f aca="false">IF($A48="N/A"," ",IF(AND(AE48=$AJ$2+1,AL48=0),MIN($AR$51,X48),0))</f>
        <v>#NAME?</v>
      </c>
      <c r="AU48" s="302" t="e">
        <f aca="false">IF($A48="N/A"," ",IF(AND(AF48=$AJ$2+1,AM48=0),MIN($AR$51,Y48),0))</f>
        <v>#NAME?</v>
      </c>
      <c r="AV48" s="302" t="e">
        <f aca="false">IF($A48="N/A"," ",IF(AND(AG48=$AJ$2+1,AN48=0),MIN($AR$51,Z48),0))</f>
        <v>#NAME?</v>
      </c>
      <c r="AW48" s="302" t="e">
        <f aca="false">IF($A48="N/A"," ",IF(AND(AH48=$AJ$2+1,AO48=0),MIN($AR$51,AA48),0))</f>
        <v>#NAME?</v>
      </c>
      <c r="AX48" s="302" t="e">
        <f aca="false">IF($A48="N/A"," ",IF(AND(AI48=$AJ$2+1,AP48=0),MIN($AR$51,AB48),0))</f>
        <v>#NAME?</v>
      </c>
      <c r="AY48" s="302" t="e">
        <f aca="false">IF($A48="N/A"," ",IF(AND(AJ48=$AJ$2+1,AQ48=0),MIN($AR$51,AC48),0))</f>
        <v>#NAME?</v>
      </c>
      <c r="AZ48" s="300"/>
      <c r="BA48" s="291" t="n">
        <f aca="false">IF($A48="N/A"," ",(IF(MONTH(A48)&gt;=4,IF(MONTH(A48)&lt;=10,Inputs!$F$13,Inputs!$F$14),Inputs!$F$14))*$BW48)</f>
        <v>180</v>
      </c>
      <c r="BB48" s="292" t="e">
        <f aca="false">IF($A48="N/A"," ",(IF(AK48&gt;0,($BA48*(8*(VLOOKUP($A48,NumberofDaysTable,2)))*P48),0)+IF(AS48&gt;0,($BA48*((AS48))*P48),0)))</f>
        <v>#NAME?</v>
      </c>
      <c r="BC48" s="292" t="e">
        <f aca="false">IF($A48="N/A"," ",(IF(AL48&gt;0,($BA48*(8*(VLOOKUP($A48,NumberofDaysTable,2)))*Q48),0)+IF(AT48&gt;0,($BA48*((AT48))*Q48),0)))</f>
        <v>#NAME?</v>
      </c>
      <c r="BD48" s="292" t="e">
        <f aca="false">IF($A48="N/A"," ",(IF(AM48&gt;0,($BA48*(8*(VLOOKUP($A48,NumberofDaysTable,3)))*R48),0)+IF(AU48&gt;0,($BA48*((AU48))*R48),0)))</f>
        <v>#NAME?</v>
      </c>
      <c r="BE48" s="292" t="e">
        <f aca="false">IF($A48="N/A"," ",(IF(AN48&gt;0,($BA48*(8*(VLOOKUP($A48,NumberofDaysTable,3)))*S48),0)+IF(AV48&gt;0,($BA48*((AV48))*S48),0)))</f>
        <v>#NAME?</v>
      </c>
      <c r="BF48" s="292" t="e">
        <f aca="false">IF($A48="N/A"," ",(IF(AO48&gt;0,($BA48*(8*(VLOOKUP($A48,NumberofDaysTable,4)+VLOOKUP($A48,NumberofDaysTable,5)))*T48),0)+IF(AW48&gt;0,($BA48*((AW48))*T48),0)))</f>
        <v>#NAME?</v>
      </c>
      <c r="BG48" s="292" t="e">
        <f aca="false">IF($A48="N/A"," ",(IF(AP48&gt;0,($BA48*(8*(VLOOKUP($A48,NumberofDaysTable,4)+VLOOKUP($A48,NumberofDaysTable,5)))*U48),0)+IF(AX48&gt;0,($BA48*((AX48))*U48),0)))</f>
        <v>#NAME?</v>
      </c>
      <c r="BH48" s="292" t="e">
        <f aca="false">IF($A48="N/A"," ",($BA48*AQ48*V48))</f>
        <v>#NAME?</v>
      </c>
      <c r="BI48" s="292" t="e">
        <f aca="false">IF($A48="N/A"," ",SUM(BB48:BH48))</f>
        <v>#NAME?</v>
      </c>
      <c r="BJ48" s="293" t="e">
        <f aca="false">IF($A48="N/A"," ",(H48*(SUM(AK48:AQ48)+SUM(AS48:AY48))*BA48))</f>
        <v>#NAME?</v>
      </c>
      <c r="BK48" s="293" t="e">
        <f aca="false">IF($A48="N/A"," ",((C48*D48)*(SUM($AK48:$AQ48)+SUM($AS48:$AY48))*$BA48))</f>
        <v>#N/A</v>
      </c>
      <c r="BL48" s="293" t="e">
        <f aca="false">IF($A48="N/A"," ",(F48*(SUM($AK48:$AQ48)+SUM($AS48:$AY48))*$BA48))</f>
        <v>#NAME?</v>
      </c>
      <c r="BM48" s="293" t="e">
        <f aca="false">IF($A48="N/A"," ",(G48*(SUM($AK48:$AQ48)+SUM($AS48:$AY48))*$BA48))</f>
        <v>#NAME?</v>
      </c>
      <c r="BN48" s="294" t="n">
        <f aca="false">IF(A48="N/A"," ",(VLOOKUP(A48,PowerVolTable,(IF('Pricing Inputs'!$AT$3=2,7,IF('Pricing Inputs'!$AT$3=1,6,8))),FALSE())))</f>
        <v>0.22724724375</v>
      </c>
      <c r="BO48" s="294" t="n">
        <f aca="false">IF(A48="N/A"," ",(VLOOKUP(A48,IntraPowerVol,(IF('Pricing Inputs'!$AT$3=2,3,IF('Pricing Inputs'!$AT$3=1,2,4))),FALSE())*VLOOKUP(MONTH($A48),Inputs!$A$28:$B$39,2)))</f>
        <v>1.725</v>
      </c>
      <c r="BP48" s="295" t="n">
        <f aca="false">IF($A48="N/A"," ",(IF(DateToday&gt;$A48,$BO48,((($BN48^2)*((($A48-1)-DateToday)/((EOMONTH($A48,0)+1)-DateToday-15)))+((($BO48)^2)*((15)/((EOMONTH($A48,0)+1)-DateToday-15))))^0.5)))</f>
        <v>1.725</v>
      </c>
      <c r="BQ48" s="294" t="e">
        <f aca="false">IF($A48="N/A"," ",(VLOOKUP($A48,GasVolTable,(IF('Pricing Inputs'!$AT$3=2,6,IF('Pricing Inputs'!$AT$3=1,7,5))),FALSE())))</f>
        <v>#N/A</v>
      </c>
      <c r="BR48" s="294" t="e">
        <f aca="false">IF($A48="N/A"," ",(VLOOKUP($A48,OmicronVol,(IF('Pricing Inputs'!$AT$3=2,3,IF('Pricing Inputs'!$AT$3=1,4,2))),FALSE())))</f>
        <v>#N/A</v>
      </c>
      <c r="BS48" s="295" t="e">
        <f aca="false">IF($A48="N/A"," ",IF('Pricing Inputs'!$AN$3=1,(IF(DateToday&gt;$A48,$BR48,((($BQ48^2)*((($A48-1)-DateToday)/((EOMONTH($A48,0)+1)-DateToday-15)))+((($BR48)^2)*((15)/((EOMONTH($A48,0)+1)-DateToday-15))))^0.5)),0.0001))</f>
        <v>#N/A</v>
      </c>
      <c r="BT48" s="294" t="n">
        <f aca="false">IF($A48="N/A"," ",IF('Pricing Inputs'!$AN$3=1,(VLOOKUP($A48,CorrelationTable,2,FALSE())),0))</f>
        <v>0.9</v>
      </c>
      <c r="BU48" s="296" t="e">
        <f aca="false">IF($A48="N/A"," ",F48+G48+(D48*(VLOOKUP($A48,'Gas Curves'!$B$17:$P$310,14,FALSE()))))</f>
        <v>#N/A</v>
      </c>
      <c r="BV48" s="294" t="n">
        <f aca="false">IF($A48="N/A"," ",IF('Pricing Inputs'!$AW$3=1,0,(VLOOKUP($A48,InterestRatesTable,2))))</f>
        <v>0</v>
      </c>
      <c r="BW48" s="297" t="n">
        <f aca="false">IF($A48="N/A"," ",(1+BV48/2)^(-2*((EOMONTH(A48,0)+20)-DateToday)/365.25))</f>
        <v>1</v>
      </c>
    </row>
    <row r="49" customFormat="false" ht="12.75" hidden="false" customHeight="false" outlineLevel="0" collapsed="false">
      <c r="A49" s="272" t="n">
        <f aca="false">IF(A48="N/A","N/A",IF(EDATE(A48,1)&gt;Inputs!$K$3,"N/A",EDATE(A48,1)))</f>
        <v>38261</v>
      </c>
      <c r="B49" s="273" t="n">
        <f aca="false">IF(A49="N/A"," ",YEAR(A49))</f>
        <v>2004</v>
      </c>
      <c r="C49" s="274" t="e">
        <f aca="false">IF(A49="N/A"," ",VLOOKUP(A49,ScaledPrice,10))</f>
        <v>#N/A</v>
      </c>
      <c r="D49" s="275" t="n">
        <f aca="false">IF(A49="N/A"," ",(VLOOKUP(MONTH($A49),Inputs!$A$14:$B$25,2))/1000)</f>
        <v>10.5</v>
      </c>
      <c r="E49" s="276" t="e">
        <f aca="false">IF($A49="N/A"," ",C49*D49)</f>
        <v>#N/A</v>
      </c>
      <c r="F49" s="277" t="n">
        <f aca="false">IF(A49="N/A"," ",Inputs!$F$6)</f>
        <v>2</v>
      </c>
      <c r="G49" s="277" t="n">
        <f aca="false">IF(A49="N/A"," ",Inputs!$F$9/IF(AND('Pricing Inputs'!$AQ$3&gt;=4,'Pricing Inputs'!$AQ$3&lt;=6),16,IF(AND('Pricing Inputs'!$AQ$3&gt;=7,'Pricing Inputs'!$AQ$3&lt;=9),8,24))/(BA49/BW49))</f>
        <v>0</v>
      </c>
      <c r="H49" s="278" t="e">
        <f aca="false">IF(A49="N/A"," ",(C49*D49)+F49+G49)</f>
        <v>#N/A</v>
      </c>
      <c r="I49" s="279" t="n">
        <f aca="false">VLOOKUP(A49,ScaledPrice,(IF(AND('Pricing Inputs'!$AQ$3&gt;=1,'Pricing Inputs'!$AQ$3&lt;=6),2,4)))</f>
        <v>30.00252</v>
      </c>
      <c r="J49" s="279" t="n">
        <f aca="false">IF(A49="N/A"," ",IF(AND('Pricing Inputs'!$AQ$3&gt;=1,'Pricing Inputs'!$AQ$3&lt;=6),I49,(VLOOKUP(A49,ScaledPrice,2))*(2-(VLOOKUP(A49,ScaledPrice,3)))))</f>
        <v>30.79748</v>
      </c>
      <c r="K49" s="279" t="n">
        <f aca="false">IF(A49="N/A"," ",IF(OR('Pricing Inputs'!$AQ$3=2,'Pricing Inputs'!$AQ$3=3,'Pricing Inputs'!$AQ$3=5,'Pricing Inputs'!$AQ$3=6,'Pricing Inputs'!$AQ$3=8,'Pricing Inputs'!$AQ$3=9),VLOOKUP(A49,ScaledPrice,IF(AND('Pricing Inputs'!$AQ$3&gt;=2,'Pricing Inputs'!$AQ$3&lt;=6),5,6)),0))</f>
        <v>22.897153567915</v>
      </c>
      <c r="L49" s="279" t="n">
        <f aca="false">IF(A49="N/A"," ",IF(OR('Pricing Inputs'!$AQ$3=2,'Pricing Inputs'!$AQ$3=3,'Pricing Inputs'!$AQ$3=5,'Pricing Inputs'!$AQ$3=6,'Pricing Inputs'!$AQ$3=8,'Pricing Inputs'!$AQ$3=9),IF(AND('Pricing Inputs'!$AQ$3&gt;=2,'Pricing Inputs'!$AQ$3&lt;=6),K49,(VLOOKUP(A49,ScaledPrice,5))*(2-(VLOOKUP(A49,ScaledPrice,3)))),0))</f>
        <v>23.5038466457081</v>
      </c>
      <c r="M49" s="279" t="n">
        <f aca="false">IF(A49="N/A"," ",IF(OR('Pricing Inputs'!$AQ$3=3,'Pricing Inputs'!$AQ$3=6,'Pricing Inputs'!$AQ$3=9),(VLOOKUP(A49,ScaledPrice,IF(AND('Pricing Inputs'!$AQ$3&gt;=3,'Pricing Inputs'!$AQ$3&lt;=6),7,8))),0))</f>
        <v>20.9237967593479</v>
      </c>
      <c r="N49" s="279" t="n">
        <f aca="false">IF(A49="N/A"," ",IF(OR('Pricing Inputs'!$AQ$3=3,'Pricing Inputs'!$AQ$3=6,'Pricing Inputs'!$AQ$3=9),IF(AND('Pricing Inputs'!$AQ$3&gt;=3,'Pricing Inputs'!$AQ$3&lt;=6),M49,(VLOOKUP(A49,ScaledPrice,7))*(2-(VLOOKUP(A49,ScaledPrice,3)))),0))</f>
        <v>21.4782029049587</v>
      </c>
      <c r="O49" s="279" t="n">
        <f aca="false">IF(A49="N/A"," ",IF(AND('Pricing Inputs'!$AQ$3&gt;=1,'Pricing Inputs'!$AQ$3&lt;=3),VLOOKUP(A49,ScaledPrice,9),0))</f>
        <v>0</v>
      </c>
      <c r="P49" s="280" t="e">
        <f aca="false">IF($A49="N/A"," ",IF('Pricing Inputs'!$AN$8=2,(I49-H49),IF('Pricing Inputs'!$AN$3=2,IF((I49-$H49)&gt;0,I49-$H49,0),(xSPRDOPT(I49,$E49,$BU49,0,$BP49,$BS49,$BT49,($A49-Inputs!$D$1)+15,1,0)))))</f>
        <v>#NAME?</v>
      </c>
      <c r="Q49" s="280" t="e">
        <f aca="false">IF($A49="N/A"," ",IF('Pricing Inputs'!$AN$8=2,(J49-$H49),IF('Pricing Inputs'!$AN$3=2,IF((J49-$H49)&gt;0,J49-$H49,0),(xSPRDOPT(J49,$E49,$BU49,0,$BP49,$BS49,$BT49,($A49-Inputs!$D$1)+15,1,0)))))</f>
        <v>#NAME?</v>
      </c>
      <c r="R49" s="280" t="e">
        <f aca="false">IF($A49="N/A"," ",IF('Pricing Inputs'!$AN$8=2,(K49-$H49),IF('Pricing Inputs'!$AN$3=2,IF((K49-$H49)&gt;0,K49-$H49,0),(xSPRDOPT(K49,$E49,$BU49,0,$BP49,$BS49,$BT49,($A49-Inputs!$D$1)+15,1,0)))))</f>
        <v>#NAME?</v>
      </c>
      <c r="S49" s="280" t="e">
        <f aca="false">IF($A49="N/A"," ",IF('Pricing Inputs'!$AN$8=2,(L49-$H49),IF('Pricing Inputs'!$AN$3=2,IF((L49-$H49)&gt;0,L49-$H49,0),(xSPRDOPT(L49,$E49,$BU49,0,$BP49,$BS49,$BT49,($A49-Inputs!$D$1)+15,1,0)))))</f>
        <v>#NAME?</v>
      </c>
      <c r="T49" s="280" t="e">
        <f aca="false">IF($A49="N/A"," ",IF('Pricing Inputs'!$AN$8=2,(M49-$H49),IF('Pricing Inputs'!$AN$3=2,IF((M49-$H49)&gt;0,M49-$H49,0),(xSPRDOPT(M49,$E49,$BU49,0,$BP49,$BS49,$BT49,($A49-Inputs!$D$1)+15,1,0)))))</f>
        <v>#NAME?</v>
      </c>
      <c r="U49" s="280" t="e">
        <f aca="false">IF($A49="N/A"," ",IF('Pricing Inputs'!$AN$8=2,(N49-$H49),IF('Pricing Inputs'!$AN$3=2,IF((N49-$H49)&gt;0,N49-$H49,0),(xSPRDOPT(N49,$E49,$BU49,0,$BP49,$BS49,$BT49,($A49-Inputs!$D$1)+15,1,0)))))</f>
        <v>#NAME?</v>
      </c>
      <c r="V49" s="281" t="e">
        <f aca="false">IF($A49="N/A"," ",(IF('Pricing Inputs'!$AN$8=2,(O49-$H49),IF((O49-$H49)&lt;=0,0,(O49-$H49)))))</f>
        <v>#N/A</v>
      </c>
      <c r="W49" s="282" t="e">
        <f aca="false">IF($A49="N/A"," ",IF(0&lt;&gt;P49,IF('Pricing Inputs'!$AN$3=2,8*VLOOKUP($A49,NumberofDaysTable,2),(xSPRDOPT(I49,$E49,$BU49,0,$BP49,$BS49,$BT49,$A49-Inputs!$D$1,1,1))*(8*VLOOKUP($A49,NumberofDaysTable,2))),0))</f>
        <v>#NAME?</v>
      </c>
      <c r="X49" s="282" t="e">
        <f aca="false">IF($A49="N/A"," ",IF(Q49&lt;&gt;0,IF('Pricing Inputs'!$AN$3=2,8*VLOOKUP($A49,NumberofDaysTable,2),(xSPRDOPT(J49,$E49,$BU49,0,$BP49,$BS49,$BT49,$A49-Inputs!$D$1,1,1))*(8*VLOOKUP($A49,NumberofDaysTable,2))),0))</f>
        <v>#NAME?</v>
      </c>
      <c r="Y49" s="282" t="e">
        <f aca="false">IF($A49="N/A"," ",IF(R49&lt;&gt;0,IF('Pricing Inputs'!$AN$3=2,8*VLOOKUP($A49,NumberofDaysTable,3),(xSPRDOPT(K49,$E49,$BU49,0,$BP49,$BS49,$BT49,$A49-Inputs!$D$1,1,1))*(8*VLOOKUP($A49,NumberofDaysTable,3))),0))</f>
        <v>#NAME?</v>
      </c>
      <c r="Z49" s="282" t="e">
        <f aca="false">IF($A49="N/A"," ",IF(S49&lt;&gt;0,IF('Pricing Inputs'!$AN$3=2,8*VLOOKUP($A49,NumberofDaysTable,3),(xSPRDOPT(L49,$E49,$BU49,0,$BP49,$BS49,$BT49,$A49-Inputs!$D$1,1,1))*(8*VLOOKUP($A49,NumberofDaysTable,3))),0))</f>
        <v>#NAME?</v>
      </c>
      <c r="AA49" s="282" t="e">
        <f aca="false">IF($A49="N/A"," ",IF(T49&lt;&gt;0,IF('Pricing Inputs'!$AN$3=2,8*VLOOKUP($A49,NumberofDaysTable,4),(xSPRDOPT(M49,$E49,$BU49,0,$BP49,$BS49,$BT49,$A49-Inputs!$D$1,1,1))*(8*VLOOKUP($A49,NumberofDaysTable,4))),0))</f>
        <v>#NAME?</v>
      </c>
      <c r="AB49" s="282" t="e">
        <f aca="false">IF($A49="N/A"," ",IF(U49&lt;&gt;0,IF('Pricing Inputs'!$AN$3=2,8*VLOOKUP($A49,NumberofDaysTable,4),(xSPRDOPT(N49,$E49,$BU49,0,$BP49,$BS49,$BT49,$A49-Inputs!$D$1,1,1))*(8*VLOOKUP($A49,NumberofDaysTable,4))),0))</f>
        <v>#NAME?</v>
      </c>
      <c r="AC49" s="282" t="e">
        <f aca="false">IF($A49="N/A"," ",(IF(V49&lt;&gt;0,(8*VLOOKUP($A49,NumberofDaysTable,6)),0)))</f>
        <v>#N/A</v>
      </c>
      <c r="AD49" s="298" t="e">
        <f aca="false">IF($A49="N/A"," ",RANK(P49,$P$40:$V$51))</f>
        <v>#NAME?</v>
      </c>
      <c r="AE49" s="299" t="e">
        <f aca="false">IF($A49="N/A"," ",RANK(Q49,$P$40:$V$51))</f>
        <v>#NAME?</v>
      </c>
      <c r="AF49" s="299" t="e">
        <f aca="false">IF($A49="N/A"," ",RANK(R49,$P$40:$V$51))</f>
        <v>#NAME?</v>
      </c>
      <c r="AG49" s="299" t="e">
        <f aca="false">IF($A49="N/A"," ",RANK(S49,$P$40:$V$51))</f>
        <v>#NAME?</v>
      </c>
      <c r="AH49" s="299" t="e">
        <f aca="false">IF($A49="N/A"," ",RANK(T49,$P$40:$V$51))</f>
        <v>#NAME?</v>
      </c>
      <c r="AI49" s="299" t="e">
        <f aca="false">IF($A49="N/A"," ",RANK(U49,$P$40:$V$51))</f>
        <v>#NAME?</v>
      </c>
      <c r="AJ49" s="300" t="e">
        <f aca="false">IF($A49="N/A"," ",RANK(V49,$P$40:$V$51))</f>
        <v>#NAME?</v>
      </c>
      <c r="AK49" s="286" t="e">
        <f aca="false">IF($A49="N/A"," ",IF(AD49&lt;=$AJ$2,W49,0))</f>
        <v>#NAME?</v>
      </c>
      <c r="AL49" s="301" t="e">
        <f aca="false">IF($A49="N/A"," ",IF(AE49&lt;=$AJ$2,X49,0))</f>
        <v>#NAME?</v>
      </c>
      <c r="AM49" s="301" t="e">
        <f aca="false">IF($A49="N/A"," ",IF(AF49&lt;=$AJ$2,Y49,0))</f>
        <v>#NAME?</v>
      </c>
      <c r="AN49" s="301" t="e">
        <f aca="false">IF($A49="N/A"," ",IF(AG49&lt;=$AJ$2,Z49,0))</f>
        <v>#NAME?</v>
      </c>
      <c r="AO49" s="301" t="e">
        <f aca="false">IF($A49="N/A"," ",IF(AH49&lt;=$AJ$2,AA49,0))</f>
        <v>#NAME?</v>
      </c>
      <c r="AP49" s="301" t="e">
        <f aca="false">IF($A49="N/A"," ",IF(AI49&lt;=$AJ$2,AB49,0))</f>
        <v>#NAME?</v>
      </c>
      <c r="AQ49" s="301" t="e">
        <f aca="false">IF($A49="N/A"," ",IF(AJ49&lt;=$AJ$2,AC49,0))</f>
        <v>#NAME?</v>
      </c>
      <c r="AR49" s="304" t="s">
        <v>1301</v>
      </c>
      <c r="AS49" s="288" t="e">
        <f aca="false">IF($A49="N/A"," ",IF(AND(AD49=$AJ$2+1,AK49=0),MIN($AR$51,W49),0))</f>
        <v>#NAME?</v>
      </c>
      <c r="AT49" s="302" t="e">
        <f aca="false">IF($A49="N/A"," ",IF(AND(AE49=$AJ$2+1,AL49=0),MIN($AR$51,X49),0))</f>
        <v>#NAME?</v>
      </c>
      <c r="AU49" s="302" t="e">
        <f aca="false">IF($A49="N/A"," ",IF(AND(AF49=$AJ$2+1,AM49=0),MIN($AR$51,Y49),0))</f>
        <v>#NAME?</v>
      </c>
      <c r="AV49" s="302" t="e">
        <f aca="false">IF($A49="N/A"," ",IF(AND(AG49=$AJ$2+1,AN49=0),MIN($AR$51,Z49),0))</f>
        <v>#NAME?</v>
      </c>
      <c r="AW49" s="302" t="e">
        <f aca="false">IF($A49="N/A"," ",IF(AND(AH49=$AJ$2+1,AO49=0),MIN($AR$51,AA49),0))</f>
        <v>#NAME?</v>
      </c>
      <c r="AX49" s="302" t="e">
        <f aca="false">IF($A49="N/A"," ",IF(AND(AI49=$AJ$2+1,AP49=0),MIN($AR$51,AB49),0))</f>
        <v>#NAME?</v>
      </c>
      <c r="AY49" s="302" t="e">
        <f aca="false">IF($A49="N/A"," ",IF(AND(AJ49=$AJ$2+1,AQ49=0),MIN($AR$51,AC49),0))</f>
        <v>#NAME?</v>
      </c>
      <c r="AZ49" s="303" t="s">
        <v>1328</v>
      </c>
      <c r="BA49" s="291" t="n">
        <f aca="false">IF($A49="N/A"," ",(IF(MONTH(A49)&gt;=4,IF(MONTH(A49)&lt;=10,Inputs!$F$13,Inputs!$F$14),Inputs!$F$14))*$BW49)</f>
        <v>180</v>
      </c>
      <c r="BB49" s="292" t="e">
        <f aca="false">IF($A49="N/A"," ",(IF(AK49&gt;0,($BA49*(8*(VLOOKUP($A49,NumberofDaysTable,2)))*P49),0)+IF(AS49&gt;0,($BA49*((AS49))*P49),0)))</f>
        <v>#NAME?</v>
      </c>
      <c r="BC49" s="292" t="e">
        <f aca="false">IF($A49="N/A"," ",(IF(AL49&gt;0,($BA49*(8*(VLOOKUP($A49,NumberofDaysTable,2)))*Q49),0)+IF(AT49&gt;0,($BA49*((AT49))*Q49),0)))</f>
        <v>#NAME?</v>
      </c>
      <c r="BD49" s="292" t="e">
        <f aca="false">IF($A49="N/A"," ",(IF(AM49&gt;0,($BA49*(8*(VLOOKUP($A49,NumberofDaysTable,3)))*R49),0)+IF(AU49&gt;0,($BA49*((AU49))*R49),0)))</f>
        <v>#NAME?</v>
      </c>
      <c r="BE49" s="292" t="e">
        <f aca="false">IF($A49="N/A"," ",(IF(AN49&gt;0,($BA49*(8*(VLOOKUP($A49,NumberofDaysTable,3)))*S49),0)+IF(AV49&gt;0,($BA49*((AV49))*S49),0)))</f>
        <v>#NAME?</v>
      </c>
      <c r="BF49" s="292" t="e">
        <f aca="false">IF($A49="N/A"," ",(IF(AO49&gt;0,($BA49*(8*(VLOOKUP($A49,NumberofDaysTable,4)+VLOOKUP($A49,NumberofDaysTable,5)))*T49),0)+IF(AW49&gt;0,($BA49*((AW49))*T49),0)))</f>
        <v>#NAME?</v>
      </c>
      <c r="BG49" s="292" t="e">
        <f aca="false">IF($A49="N/A"," ",(IF(AP49&gt;0,($BA49*(8*(VLOOKUP($A49,NumberofDaysTable,4)+VLOOKUP($A49,NumberofDaysTable,5)))*U49),0)+IF(AX49&gt;0,($BA49*((AX49))*U49),0)))</f>
        <v>#NAME?</v>
      </c>
      <c r="BH49" s="292" t="e">
        <f aca="false">IF($A49="N/A"," ",($BA49*AQ49*V49))</f>
        <v>#NAME?</v>
      </c>
      <c r="BI49" s="292" t="e">
        <f aca="false">IF($A49="N/A"," ",SUM(BB49:BH49))</f>
        <v>#NAME?</v>
      </c>
      <c r="BJ49" s="293" t="e">
        <f aca="false">IF($A49="N/A"," ",(H49*(SUM(AK49:AQ49)+SUM(AS49:AY49))*BA49))</f>
        <v>#NAME?</v>
      </c>
      <c r="BK49" s="293" t="e">
        <f aca="false">IF($A49="N/A"," ",((C49*D49)*(SUM($AK49:$AQ49)+SUM($AS49:$AY49))*$BA49))</f>
        <v>#N/A</v>
      </c>
      <c r="BL49" s="293" t="e">
        <f aca="false">IF($A49="N/A"," ",(F49*(SUM($AK49:$AQ49)+SUM($AS49:$AY49))*$BA49))</f>
        <v>#NAME?</v>
      </c>
      <c r="BM49" s="293" t="e">
        <f aca="false">IF($A49="N/A"," ",(G49*(SUM($AK49:$AQ49)+SUM($AS49:$AY49))*$BA49))</f>
        <v>#NAME?</v>
      </c>
      <c r="BN49" s="294" t="n">
        <f aca="false">IF(A49="N/A"," ",(VLOOKUP(A49,PowerVolTable,(IF('Pricing Inputs'!$AT$3=2,7,IF('Pricing Inputs'!$AT$3=1,6,8))),FALSE())))</f>
        <v>0.2075704875</v>
      </c>
      <c r="BO49" s="294" t="n">
        <f aca="false">IF(A49="N/A"," ",(VLOOKUP(A49,IntraPowerVol,(IF('Pricing Inputs'!$AT$3=2,3,IF('Pricing Inputs'!$AT$3=1,2,4))),FALSE())*VLOOKUP(MONTH($A49),Inputs!$A$28:$B$39,2)))</f>
        <v>1.265</v>
      </c>
      <c r="BP49" s="295" t="n">
        <f aca="false">IF($A49="N/A"," ",(IF(DateToday&gt;$A49,$BO49,((($BN49^2)*((($A49-1)-DateToday)/((EOMONTH($A49,0)+1)-DateToday-15)))+((($BO49)^2)*((15)/((EOMONTH($A49,0)+1)-DateToday-15))))^0.5)))</f>
        <v>1.265</v>
      </c>
      <c r="BQ49" s="294" t="e">
        <f aca="false">IF($A49="N/A"," ",(VLOOKUP($A49,GasVolTable,(IF('Pricing Inputs'!$AT$3=2,6,IF('Pricing Inputs'!$AT$3=1,7,5))),FALSE())))</f>
        <v>#N/A</v>
      </c>
      <c r="BR49" s="294" t="e">
        <f aca="false">IF($A49="N/A"," ",(VLOOKUP($A49,OmicronVol,(IF('Pricing Inputs'!$AT$3=2,3,IF('Pricing Inputs'!$AT$3=1,4,2))),FALSE())))</f>
        <v>#N/A</v>
      </c>
      <c r="BS49" s="295" t="e">
        <f aca="false">IF($A49="N/A"," ",IF('Pricing Inputs'!$AN$3=1,(IF(DateToday&gt;$A49,$BR49,((($BQ49^2)*((($A49-1)-DateToday)/((EOMONTH($A49,0)+1)-DateToday-15)))+((($BR49)^2)*((15)/((EOMONTH($A49,0)+1)-DateToday-15))))^0.5)),0.0001))</f>
        <v>#N/A</v>
      </c>
      <c r="BT49" s="294" t="n">
        <f aca="false">IF($A49="N/A"," ",IF('Pricing Inputs'!$AN$3=1,(VLOOKUP($A49,CorrelationTable,2,FALSE())),0))</f>
        <v>0.9</v>
      </c>
      <c r="BU49" s="296" t="e">
        <f aca="false">IF($A49="N/A"," ",F49+G49+(D49*(VLOOKUP($A49,'Gas Curves'!$B$17:$P$310,14,FALSE()))))</f>
        <v>#N/A</v>
      </c>
      <c r="BV49" s="294" t="n">
        <f aca="false">IF($A49="N/A"," ",IF('Pricing Inputs'!$AW$3=1,0,(VLOOKUP($A49,InterestRatesTable,2))))</f>
        <v>0</v>
      </c>
      <c r="BW49" s="297" t="n">
        <f aca="false">IF($A49="N/A"," ",(1+BV49/2)^(-2*((EOMONTH(A49,0)+20)-DateToday)/365.25))</f>
        <v>1</v>
      </c>
    </row>
    <row r="50" customFormat="false" ht="12.75" hidden="false" customHeight="false" outlineLevel="0" collapsed="false">
      <c r="A50" s="272" t="n">
        <f aca="false">IF(A49="N/A","N/A",IF(EDATE(A49,1)&gt;Inputs!$K$3,"N/A",EDATE(A49,1)))</f>
        <v>38292</v>
      </c>
      <c r="B50" s="273" t="n">
        <f aca="false">IF(A50="N/A"," ",YEAR(A50))</f>
        <v>2004</v>
      </c>
      <c r="C50" s="274" t="e">
        <f aca="false">IF(A50="N/A"," ",VLOOKUP(A50,ScaledPrice,10))</f>
        <v>#N/A</v>
      </c>
      <c r="D50" s="275" t="n">
        <f aca="false">IF(A50="N/A"," ",(VLOOKUP(MONTH($A50),Inputs!$A$14:$B$25,2))/1000)</f>
        <v>10.5</v>
      </c>
      <c r="E50" s="276" t="e">
        <f aca="false">IF($A50="N/A"," ",C50*D50)</f>
        <v>#N/A</v>
      </c>
      <c r="F50" s="277" t="n">
        <f aca="false">IF(A50="N/A"," ",Inputs!$F$6)</f>
        <v>2</v>
      </c>
      <c r="G50" s="277" t="n">
        <f aca="false">IF(A50="N/A"," ",Inputs!$F$9/IF(AND('Pricing Inputs'!$AQ$3&gt;=4,'Pricing Inputs'!$AQ$3&lt;=6),16,IF(AND('Pricing Inputs'!$AQ$3&gt;=7,'Pricing Inputs'!$AQ$3&lt;=9),8,24))/(BA50/BW50))</f>
        <v>0</v>
      </c>
      <c r="H50" s="278" t="e">
        <f aca="false">IF(A50="N/A"," ",(C50*D50)+F50+G50)</f>
        <v>#N/A</v>
      </c>
      <c r="I50" s="279" t="n">
        <f aca="false">VLOOKUP(A50,ScaledPrice,(IF(AND('Pricing Inputs'!$AQ$3&gt;=1,'Pricing Inputs'!$AQ$3&lt;=6),2,4)))</f>
        <v>30.443399375</v>
      </c>
      <c r="J50" s="279" t="n">
        <f aca="false">IF(A50="N/A"," ",IF(AND('Pricing Inputs'!$AQ$3&gt;=1,'Pricing Inputs'!$AQ$3&lt;=6),I50,(VLOOKUP(A50,ScaledPrice,2))*(2-(VLOOKUP(A50,ScaledPrice,3)))))</f>
        <v>31.106600625</v>
      </c>
      <c r="K50" s="279" t="n">
        <f aca="false">IF(A50="N/A"," ",IF(OR('Pricing Inputs'!$AQ$3=2,'Pricing Inputs'!$AQ$3=3,'Pricing Inputs'!$AQ$3=5,'Pricing Inputs'!$AQ$3=6,'Pricing Inputs'!$AQ$3=8,'Pricing Inputs'!$AQ$3=9),VLOOKUP(A50,ScaledPrice,IF(AND('Pricing Inputs'!$AQ$3&gt;=2,'Pricing Inputs'!$AQ$3&lt;=6),5,6)),0))</f>
        <v>23.9439453885651</v>
      </c>
      <c r="L50" s="279" t="n">
        <f aca="false">IF(A50="N/A"," ",IF(OR('Pricing Inputs'!$AQ$3=2,'Pricing Inputs'!$AQ$3=3,'Pricing Inputs'!$AQ$3=5,'Pricing Inputs'!$AQ$3=6,'Pricing Inputs'!$AQ$3=8,'Pricing Inputs'!$AQ$3=9),IF(AND('Pricing Inputs'!$AQ$3&gt;=2,'Pricing Inputs'!$AQ$3&lt;=6),K50,(VLOOKUP(A50,ScaledPrice,5))*(2-(VLOOKUP(A50,ScaledPrice,3)))),0))</f>
        <v>24.4655577852631</v>
      </c>
      <c r="M50" s="279" t="n">
        <f aca="false">IF(A50="N/A"," ",IF(OR('Pricing Inputs'!$AQ$3=3,'Pricing Inputs'!$AQ$3=6,'Pricing Inputs'!$AQ$3=9),(VLOOKUP(A50,ScaledPrice,IF(AND('Pricing Inputs'!$AQ$3&gt;=3,'Pricing Inputs'!$AQ$3&lt;=6),7,8))),0))</f>
        <v>21.9652463313675</v>
      </c>
      <c r="N50" s="279" t="n">
        <f aca="false">IF(A50="N/A"," ",IF(OR('Pricing Inputs'!$AQ$3=3,'Pricing Inputs'!$AQ$3=6,'Pricing Inputs'!$AQ$3=9),IF(AND('Pricing Inputs'!$AQ$3&gt;=3,'Pricing Inputs'!$AQ$3&lt;=6),M50,(VLOOKUP(A50,ScaledPrice,7))*(2-(VLOOKUP(A50,ScaledPrice,3)))),0))</f>
        <v>22.4437533024216</v>
      </c>
      <c r="O50" s="279" t="n">
        <f aca="false">IF(A50="N/A"," ",IF(AND('Pricing Inputs'!$AQ$3&gt;=1,'Pricing Inputs'!$AQ$3&lt;=3),VLOOKUP(A50,ScaledPrice,9),0))</f>
        <v>0</v>
      </c>
      <c r="P50" s="280" t="e">
        <f aca="false">IF($A50="N/A"," ",IF('Pricing Inputs'!$AN$8=2,(I50-H50),IF('Pricing Inputs'!$AN$3=2,IF((I50-$H50)&gt;0,I50-$H50,0),(xSPRDOPT(I50,$E50,$BU50,0,$BP50,$BS50,$BT50,($A50-Inputs!$D$1)+15,1,0)))))</f>
        <v>#NAME?</v>
      </c>
      <c r="Q50" s="280" t="e">
        <f aca="false">IF($A50="N/A"," ",IF('Pricing Inputs'!$AN$8=2,(J50-$H50),IF('Pricing Inputs'!$AN$3=2,IF((J50-$H50)&gt;0,J50-$H50,0),(xSPRDOPT(J50,$E50,$BU50,0,$BP50,$BS50,$BT50,($A50-Inputs!$D$1)+15,1,0)))))</f>
        <v>#NAME?</v>
      </c>
      <c r="R50" s="280" t="e">
        <f aca="false">IF($A50="N/A"," ",IF('Pricing Inputs'!$AN$8=2,(K50-$H50),IF('Pricing Inputs'!$AN$3=2,IF((K50-$H50)&gt;0,K50-$H50,0),(xSPRDOPT(K50,$E50,$BU50,0,$BP50,$BS50,$BT50,($A50-Inputs!$D$1)+15,1,0)))))</f>
        <v>#NAME?</v>
      </c>
      <c r="S50" s="280" t="e">
        <f aca="false">IF($A50="N/A"," ",IF('Pricing Inputs'!$AN$8=2,(L50-$H50),IF('Pricing Inputs'!$AN$3=2,IF((L50-$H50)&gt;0,L50-$H50,0),(xSPRDOPT(L50,$E50,$BU50,0,$BP50,$BS50,$BT50,($A50-Inputs!$D$1)+15,1,0)))))</f>
        <v>#NAME?</v>
      </c>
      <c r="T50" s="280" t="e">
        <f aca="false">IF($A50="N/A"," ",IF('Pricing Inputs'!$AN$8=2,(M50-$H50),IF('Pricing Inputs'!$AN$3=2,IF((M50-$H50)&gt;0,M50-$H50,0),(xSPRDOPT(M50,$E50,$BU50,0,$BP50,$BS50,$BT50,($A50-Inputs!$D$1)+15,1,0)))))</f>
        <v>#NAME?</v>
      </c>
      <c r="U50" s="280" t="e">
        <f aca="false">IF($A50="N/A"," ",IF('Pricing Inputs'!$AN$8=2,(N50-$H50),IF('Pricing Inputs'!$AN$3=2,IF((N50-$H50)&gt;0,N50-$H50,0),(xSPRDOPT(N50,$E50,$BU50,0,$BP50,$BS50,$BT50,($A50-Inputs!$D$1)+15,1,0)))))</f>
        <v>#NAME?</v>
      </c>
      <c r="V50" s="281" t="e">
        <f aca="false">IF($A50="N/A"," ",(IF('Pricing Inputs'!$AN$8=2,(O50-$H50),IF((O50-$H50)&lt;=0,0,(O50-$H50)))))</f>
        <v>#N/A</v>
      </c>
      <c r="W50" s="282" t="e">
        <f aca="false">IF($A50="N/A"," ",IF(0&lt;&gt;P50,IF('Pricing Inputs'!$AN$3=2,8*VLOOKUP($A50,NumberofDaysTable,2),(xSPRDOPT(I50,$E50,$BU50,0,$BP50,$BS50,$BT50,$A50-Inputs!$D$1,1,1))*(8*VLOOKUP($A50,NumberofDaysTable,2))),0))</f>
        <v>#NAME?</v>
      </c>
      <c r="X50" s="282" t="e">
        <f aca="false">IF($A50="N/A"," ",IF(Q50&lt;&gt;0,IF('Pricing Inputs'!$AN$3=2,8*VLOOKUP($A50,NumberofDaysTable,2),(xSPRDOPT(J50,$E50,$BU50,0,$BP50,$BS50,$BT50,$A50-Inputs!$D$1,1,1))*(8*VLOOKUP($A50,NumberofDaysTable,2))),0))</f>
        <v>#NAME?</v>
      </c>
      <c r="Y50" s="282" t="e">
        <f aca="false">IF($A50="N/A"," ",IF(R50&lt;&gt;0,IF('Pricing Inputs'!$AN$3=2,8*VLOOKUP($A50,NumberofDaysTable,3),(xSPRDOPT(K50,$E50,$BU50,0,$BP50,$BS50,$BT50,$A50-Inputs!$D$1,1,1))*(8*VLOOKUP($A50,NumberofDaysTable,3))),0))</f>
        <v>#NAME?</v>
      </c>
      <c r="Z50" s="282" t="e">
        <f aca="false">IF($A50="N/A"," ",IF(S50&lt;&gt;0,IF('Pricing Inputs'!$AN$3=2,8*VLOOKUP($A50,NumberofDaysTable,3),(xSPRDOPT(L50,$E50,$BU50,0,$BP50,$BS50,$BT50,$A50-Inputs!$D$1,1,1))*(8*VLOOKUP($A50,NumberofDaysTable,3))),0))</f>
        <v>#NAME?</v>
      </c>
      <c r="AA50" s="282" t="e">
        <f aca="false">IF($A50="N/A"," ",IF(T50&lt;&gt;0,IF('Pricing Inputs'!$AN$3=2,8*VLOOKUP($A50,NumberofDaysTable,4),(xSPRDOPT(M50,$E50,$BU50,0,$BP50,$BS50,$BT50,$A50-Inputs!$D$1,1,1))*(8*VLOOKUP($A50,NumberofDaysTable,4))),0))</f>
        <v>#NAME?</v>
      </c>
      <c r="AB50" s="282" t="e">
        <f aca="false">IF($A50="N/A"," ",IF(U50&lt;&gt;0,IF('Pricing Inputs'!$AN$3=2,8*VLOOKUP($A50,NumberofDaysTable,4),(xSPRDOPT(N50,$E50,$BU50,0,$BP50,$BS50,$BT50,$A50-Inputs!$D$1,1,1))*(8*VLOOKUP($A50,NumberofDaysTable,4))),0))</f>
        <v>#NAME?</v>
      </c>
      <c r="AC50" s="282" t="e">
        <f aca="false">IF($A50="N/A"," ",(IF(V50&lt;&gt;0,(8*VLOOKUP($A50,NumberofDaysTable,6)),0)))</f>
        <v>#N/A</v>
      </c>
      <c r="AD50" s="298" t="e">
        <f aca="false">IF($A50="N/A"," ",RANK(P50,$P$40:$V$51))</f>
        <v>#NAME?</v>
      </c>
      <c r="AE50" s="299" t="e">
        <f aca="false">IF($A50="N/A"," ",RANK(Q50,$P$40:$V$51))</f>
        <v>#NAME?</v>
      </c>
      <c r="AF50" s="299" t="e">
        <f aca="false">IF($A50="N/A"," ",RANK(R50,$P$40:$V$51))</f>
        <v>#NAME?</v>
      </c>
      <c r="AG50" s="299" t="e">
        <f aca="false">IF($A50="N/A"," ",RANK(S50,$P$40:$V$51))</f>
        <v>#NAME?</v>
      </c>
      <c r="AH50" s="299" t="e">
        <f aca="false">IF($A50="N/A"," ",RANK(T50,$P$40:$V$51))</f>
        <v>#NAME?</v>
      </c>
      <c r="AI50" s="299" t="e">
        <f aca="false">IF($A50="N/A"," ",RANK(U50,$P$40:$V$51))</f>
        <v>#NAME?</v>
      </c>
      <c r="AJ50" s="300" t="e">
        <f aca="false">IF($A50="N/A"," ",RANK(V50,$P$40:$V$51))</f>
        <v>#NAME?</v>
      </c>
      <c r="AK50" s="286" t="e">
        <f aca="false">IF($A50="N/A"," ",IF(AD50&lt;=$AJ$2,W50,0))</f>
        <v>#NAME?</v>
      </c>
      <c r="AL50" s="301" t="e">
        <f aca="false">IF($A50="N/A"," ",IF(AE50&lt;=$AJ$2,X50,0))</f>
        <v>#NAME?</v>
      </c>
      <c r="AM50" s="301" t="e">
        <f aca="false">IF($A50="N/A"," ",IF(AF50&lt;=$AJ$2,Y50,0))</f>
        <v>#NAME?</v>
      </c>
      <c r="AN50" s="301" t="e">
        <f aca="false">IF($A50="N/A"," ",IF(AG50&lt;=$AJ$2,Z50,0))</f>
        <v>#NAME?</v>
      </c>
      <c r="AO50" s="301" t="e">
        <f aca="false">IF($A50="N/A"," ",IF(AH50&lt;=$AJ$2,AA50,0))</f>
        <v>#NAME?</v>
      </c>
      <c r="AP50" s="301" t="e">
        <f aca="false">IF($A50="N/A"," ",IF(AI50&lt;=$AJ$2,AB50,0))</f>
        <v>#NAME?</v>
      </c>
      <c r="AQ50" s="301" t="e">
        <f aca="false">IF($A50="N/A"," ",IF(AJ50&lt;=$AJ$2,AC50,0))</f>
        <v>#NAME?</v>
      </c>
      <c r="AR50" s="300" t="e">
        <f aca="false">SUM(AK40:AQ51)</f>
        <v>#NAME?</v>
      </c>
      <c r="AS50" s="288" t="e">
        <f aca="false">IF($A50="N/A"," ",IF(AND(AD50=$AJ$2+1,AK50=0),MIN($AR$51,W50),0))</f>
        <v>#NAME?</v>
      </c>
      <c r="AT50" s="302" t="e">
        <f aca="false">IF($A50="N/A"," ",IF(AND(AE50=$AJ$2+1,AL50=0),MIN($AR$51,X50),0))</f>
        <v>#NAME?</v>
      </c>
      <c r="AU50" s="302" t="e">
        <f aca="false">IF($A50="N/A"," ",IF(AND(AF50=$AJ$2+1,AM50=0),MIN($AR$51,Y50),0))</f>
        <v>#NAME?</v>
      </c>
      <c r="AV50" s="302" t="e">
        <f aca="false">IF($A50="N/A"," ",IF(AND(AG50=$AJ$2+1,AN50=0),MIN($AR$51,Z50),0))</f>
        <v>#NAME?</v>
      </c>
      <c r="AW50" s="302" t="e">
        <f aca="false">IF($A50="N/A"," ",IF(AND(AH50=$AJ$2+1,AO50=0),MIN($AR$51,AA50),0))</f>
        <v>#NAME?</v>
      </c>
      <c r="AX50" s="302" t="e">
        <f aca="false">IF($A50="N/A"," ",IF(AND(AI50=$AJ$2+1,AP50=0),MIN($AR$51,AB50),0))</f>
        <v>#NAME?</v>
      </c>
      <c r="AY50" s="302" t="e">
        <f aca="false">IF($A50="N/A"," ",IF(AND(AJ50=$AJ$2+1,AQ50=0),MIN($AR$51,AC50),0))</f>
        <v>#NAME?</v>
      </c>
      <c r="AZ50" s="300" t="e">
        <f aca="false">SUM(AS40:AY51)</f>
        <v>#NAME?</v>
      </c>
      <c r="BA50" s="291" t="n">
        <f aca="false">IF($A50="N/A"," ",(IF(MONTH(A50)&gt;=4,IF(MONTH(A50)&lt;=10,Inputs!$F$13,Inputs!$F$14),Inputs!$F$14))*$BW50)</f>
        <v>180</v>
      </c>
      <c r="BB50" s="292" t="e">
        <f aca="false">IF($A50="N/A"," ",(IF(AK50&gt;0,($BA50*(8*(VLOOKUP($A50,NumberofDaysTable,2)))*P50),0)+IF(AS50&gt;0,($BA50*((AS50))*P50),0)))</f>
        <v>#NAME?</v>
      </c>
      <c r="BC50" s="292" t="e">
        <f aca="false">IF($A50="N/A"," ",(IF(AL50&gt;0,($BA50*(8*(VLOOKUP($A50,NumberofDaysTable,2)))*Q50),0)+IF(AT50&gt;0,($BA50*((AT50))*Q50),0)))</f>
        <v>#NAME?</v>
      </c>
      <c r="BD50" s="292" t="e">
        <f aca="false">IF($A50="N/A"," ",(IF(AM50&gt;0,($BA50*(8*(VLOOKUP($A50,NumberofDaysTable,3)))*R50),0)+IF(AU50&gt;0,($BA50*((AU50))*R50),0)))</f>
        <v>#NAME?</v>
      </c>
      <c r="BE50" s="292" t="e">
        <f aca="false">IF($A50="N/A"," ",(IF(AN50&gt;0,($BA50*(8*(VLOOKUP($A50,NumberofDaysTable,3)))*S50),0)+IF(AV50&gt;0,($BA50*((AV50))*S50),0)))</f>
        <v>#NAME?</v>
      </c>
      <c r="BF50" s="292" t="e">
        <f aca="false">IF($A50="N/A"," ",(IF(AO50&gt;0,($BA50*(8*(VLOOKUP($A50,NumberofDaysTable,4)+VLOOKUP($A50,NumberofDaysTable,5)))*T50),0)+IF(AW50&gt;0,($BA50*((AW50))*T50),0)))</f>
        <v>#NAME?</v>
      </c>
      <c r="BG50" s="292" t="e">
        <f aca="false">IF($A50="N/A"," ",(IF(AP50&gt;0,($BA50*(8*(VLOOKUP($A50,NumberofDaysTable,4)+VLOOKUP($A50,NumberofDaysTable,5)))*U50),0)+IF(AX50&gt;0,($BA50*((AX50))*U50),0)))</f>
        <v>#NAME?</v>
      </c>
      <c r="BH50" s="292" t="e">
        <f aca="false">IF($A50="N/A"," ",($BA50*AQ50*V50))</f>
        <v>#NAME?</v>
      </c>
      <c r="BI50" s="292" t="e">
        <f aca="false">IF($A50="N/A"," ",SUM(BB50:BH50))</f>
        <v>#NAME?</v>
      </c>
      <c r="BJ50" s="293" t="e">
        <f aca="false">IF($A50="N/A"," ",(H50*(SUM(AK50:AQ50)+SUM(AS50:AY50))*BA50))</f>
        <v>#NAME?</v>
      </c>
      <c r="BK50" s="293" t="e">
        <f aca="false">IF($A50="N/A"," ",((C50*D50)*(SUM($AK50:$AQ50)+SUM($AS50:$AY50))*$BA50))</f>
        <v>#N/A</v>
      </c>
      <c r="BL50" s="293" t="e">
        <f aca="false">IF($A50="N/A"," ",(F50*(SUM($AK50:$AQ50)+SUM($AS50:$AY50))*$BA50))</f>
        <v>#NAME?</v>
      </c>
      <c r="BM50" s="293" t="e">
        <f aca="false">IF($A50="N/A"," ",(G50*(SUM($AK50:$AQ50)+SUM($AS50:$AY50))*$BA50))</f>
        <v>#NAME?</v>
      </c>
      <c r="BN50" s="294" t="n">
        <f aca="false">IF(A50="N/A"," ",(VLOOKUP(A50,PowerVolTable,(IF('Pricing Inputs'!$AT$3=2,7,IF('Pricing Inputs'!$AT$3=1,6,8))),FALSE())))</f>
        <v>0.2075704875</v>
      </c>
      <c r="BO50" s="294" t="n">
        <f aca="false">IF(A50="N/A"," ",(VLOOKUP(A50,IntraPowerVol,(IF('Pricing Inputs'!$AT$3=2,3,IF('Pricing Inputs'!$AT$3=1,2,4))),FALSE())*VLOOKUP(MONTH($A50),Inputs!$A$28:$B$39,2)))</f>
        <v>1.4375</v>
      </c>
      <c r="BP50" s="295" t="n">
        <f aca="false">IF($A50="N/A"," ",(IF(DateToday&gt;$A50,$BO50,((($BN50^2)*((($A50-1)-DateToday)/((EOMONTH($A50,0)+1)-DateToday-15)))+((($BO50)^2)*((15)/((EOMONTH($A50,0)+1)-DateToday-15))))^0.5)))</f>
        <v>1.4375</v>
      </c>
      <c r="BQ50" s="294" t="e">
        <f aca="false">IF($A50="N/A"," ",(VLOOKUP($A50,GasVolTable,(IF('Pricing Inputs'!$AT$3=2,6,IF('Pricing Inputs'!$AT$3=1,7,5))),FALSE())))</f>
        <v>#N/A</v>
      </c>
      <c r="BR50" s="294" t="e">
        <f aca="false">IF($A50="N/A"," ",(VLOOKUP($A50,OmicronVol,(IF('Pricing Inputs'!$AT$3=2,3,IF('Pricing Inputs'!$AT$3=1,4,2))),FALSE())))</f>
        <v>#N/A</v>
      </c>
      <c r="BS50" s="295" t="e">
        <f aca="false">IF($A50="N/A"," ",IF('Pricing Inputs'!$AN$3=1,(IF(DateToday&gt;$A50,$BR50,((($BQ50^2)*((($A50-1)-DateToday)/((EOMONTH($A50,0)+1)-DateToday-15)))+((($BR50)^2)*((15)/((EOMONTH($A50,0)+1)-DateToday-15))))^0.5)),0.0001))</f>
        <v>#N/A</v>
      </c>
      <c r="BT50" s="294" t="n">
        <f aca="false">IF($A50="N/A"," ",IF('Pricing Inputs'!$AN$3=1,(VLOOKUP($A50,CorrelationTable,2,FALSE())),0))</f>
        <v>0.9</v>
      </c>
      <c r="BU50" s="296" t="e">
        <f aca="false">IF($A50="N/A"," ",F50+G50+(D50*(VLOOKUP($A50,'Gas Curves'!$B$17:$P$310,14,FALSE()))))</f>
        <v>#N/A</v>
      </c>
      <c r="BV50" s="294" t="n">
        <f aca="false">IF($A50="N/A"," ",IF('Pricing Inputs'!$AW$3=1,0,(VLOOKUP($A50,InterestRatesTable,2))))</f>
        <v>0</v>
      </c>
      <c r="BW50" s="297" t="n">
        <f aca="false">IF($A50="N/A"," ",(1+BV50/2)^(-2*((EOMONTH(A50,0)+20)-DateToday)/365.25))</f>
        <v>1</v>
      </c>
    </row>
    <row r="51" customFormat="false" ht="12.75" hidden="false" customHeight="false" outlineLevel="0" collapsed="false">
      <c r="A51" s="272" t="n">
        <f aca="false">IF(A50="N/A","N/A",IF(EDATE(A50,1)&gt;Inputs!$K$3,"N/A",EDATE(A50,1)))</f>
        <v>38322</v>
      </c>
      <c r="B51" s="273" t="n">
        <f aca="false">IF(A51="N/A"," ",YEAR(A51))</f>
        <v>2004</v>
      </c>
      <c r="C51" s="274" t="e">
        <f aca="false">IF(A51="N/A"," ",VLOOKUP(A51,ScaledPrice,10))</f>
        <v>#N/A</v>
      </c>
      <c r="D51" s="275" t="n">
        <f aca="false">IF(A51="N/A"," ",(VLOOKUP(MONTH($A51),Inputs!$A$14:$B$25,2))/1000)</f>
        <v>10.5</v>
      </c>
      <c r="E51" s="276" t="e">
        <f aca="false">IF($A51="N/A"," ",C51*D51)</f>
        <v>#N/A</v>
      </c>
      <c r="F51" s="277" t="n">
        <f aca="false">IF(A51="N/A"," ",Inputs!$F$6)</f>
        <v>2</v>
      </c>
      <c r="G51" s="277" t="n">
        <f aca="false">IF(A51="N/A"," ",Inputs!$F$9/IF(AND('Pricing Inputs'!$AQ$3&gt;=4,'Pricing Inputs'!$AQ$3&lt;=6),16,IF(AND('Pricing Inputs'!$AQ$3&gt;=7,'Pricing Inputs'!$AQ$3&lt;=9),8,24))/(BA51/BW51))</f>
        <v>0</v>
      </c>
      <c r="H51" s="278" t="e">
        <f aca="false">IF(A51="N/A"," ",(C51*D51)+F51+G51)</f>
        <v>#N/A</v>
      </c>
      <c r="I51" s="279" t="n">
        <f aca="false">VLOOKUP(A51,ScaledPrice,(IF(AND('Pricing Inputs'!$AQ$3&gt;=1,'Pricing Inputs'!$AQ$3&lt;=6),2,4)))</f>
        <v>29.9916209937621</v>
      </c>
      <c r="J51" s="279" t="n">
        <f aca="false">IF(A51="N/A"," ",IF(AND('Pricing Inputs'!$AQ$3&gt;=1,'Pricing Inputs'!$AQ$3&lt;=6),I51,(VLOOKUP(A51,ScaledPrice,2))*(2-(VLOOKUP(A51,ScaledPrice,3)))))</f>
        <v>31.3083790062379</v>
      </c>
      <c r="K51" s="279" t="n">
        <f aca="false">IF(A51="N/A"," ",IF(OR('Pricing Inputs'!$AQ$3=2,'Pricing Inputs'!$AQ$3=3,'Pricing Inputs'!$AQ$3=5,'Pricing Inputs'!$AQ$3=6,'Pricing Inputs'!$AQ$3=8,'Pricing Inputs'!$AQ$3=9),VLOOKUP(A51,ScaledPrice,IF(AND('Pricing Inputs'!$AQ$3&gt;=2,'Pricing Inputs'!$AQ$3&lt;=6),5,6)),0))</f>
        <v>25.1039147974945</v>
      </c>
      <c r="L51" s="279" t="n">
        <f aca="false">IF(A51="N/A"," ",IF(OR('Pricing Inputs'!$AQ$3=2,'Pricing Inputs'!$AQ$3=3,'Pricing Inputs'!$AQ$3=5,'Pricing Inputs'!$AQ$3=6,'Pricing Inputs'!$AQ$3=8,'Pricing Inputs'!$AQ$3=9),IF(AND('Pricing Inputs'!$AQ$3&gt;=2,'Pricing Inputs'!$AQ$3&lt;=6),K51,(VLOOKUP(A51,ScaledPrice,5))*(2-(VLOOKUP(A51,ScaledPrice,3)))),0))</f>
        <v>26.2060819981598</v>
      </c>
      <c r="M51" s="279" t="n">
        <f aca="false">IF(A51="N/A"," ",IF(OR('Pricing Inputs'!$AQ$3=3,'Pricing Inputs'!$AQ$3=6,'Pricing Inputs'!$AQ$3=9),(VLOOKUP(A51,ScaledPrice,IF(AND('Pricing Inputs'!$AQ$3&gt;=3,'Pricing Inputs'!$AQ$3&lt;=6),7,8))),0))</f>
        <v>21.6742049634597</v>
      </c>
      <c r="N51" s="279" t="n">
        <f aca="false">IF(A51="N/A"," ",IF(OR('Pricing Inputs'!$AQ$3=3,'Pricing Inputs'!$AQ$3=6,'Pricing Inputs'!$AQ$3=9),IF(AND('Pricing Inputs'!$AQ$3&gt;=3,'Pricing Inputs'!$AQ$3&lt;=6),M51,(VLOOKUP(A51,ScaledPrice,7))*(2-(VLOOKUP(A51,ScaledPrice,3)))),0))</f>
        <v>22.6257935106614</v>
      </c>
      <c r="O51" s="279" t="n">
        <f aca="false">IF(A51="N/A"," ",IF(AND('Pricing Inputs'!$AQ$3&gt;=1,'Pricing Inputs'!$AQ$3&lt;=3),VLOOKUP(A51,ScaledPrice,9),0))</f>
        <v>0</v>
      </c>
      <c r="P51" s="280" t="e">
        <f aca="false">IF($A51="N/A"," ",IF('Pricing Inputs'!$AN$8=2,(I51-H51),IF('Pricing Inputs'!$AN$3=2,IF((I51-$H51)&gt;0,I51-$H51,0),(xSPRDOPT(I51,$E51,$BU51,0,$BP51,$BS51,$BT51,($A51-Inputs!$D$1)+15,1,0)))))</f>
        <v>#NAME?</v>
      </c>
      <c r="Q51" s="280" t="e">
        <f aca="false">IF($A51="N/A"," ",IF('Pricing Inputs'!$AN$8=2,(J51-$H51),IF('Pricing Inputs'!$AN$3=2,IF((J51-$H51)&gt;0,J51-$H51,0),(xSPRDOPT(J51,$E51,$BU51,0,$BP51,$BS51,$BT51,($A51-Inputs!$D$1)+15,1,0)))))</f>
        <v>#NAME?</v>
      </c>
      <c r="R51" s="280" t="e">
        <f aca="false">IF($A51="N/A"," ",IF('Pricing Inputs'!$AN$8=2,(K51-$H51),IF('Pricing Inputs'!$AN$3=2,IF((K51-$H51)&gt;0,K51-$H51,0),(xSPRDOPT(K51,$E51,$BU51,0,$BP51,$BS51,$BT51,($A51-Inputs!$D$1)+15,1,0)))))</f>
        <v>#NAME?</v>
      </c>
      <c r="S51" s="280" t="e">
        <f aca="false">IF($A51="N/A"," ",IF('Pricing Inputs'!$AN$8=2,(L51-$H51),IF('Pricing Inputs'!$AN$3=2,IF((L51-$H51)&gt;0,L51-$H51,0),(xSPRDOPT(L51,$E51,$BU51,0,$BP51,$BS51,$BT51,($A51-Inputs!$D$1)+15,1,0)))))</f>
        <v>#NAME?</v>
      </c>
      <c r="T51" s="280" t="e">
        <f aca="false">IF($A51="N/A"," ",IF('Pricing Inputs'!$AN$8=2,(M51-$H51),IF('Pricing Inputs'!$AN$3=2,IF((M51-$H51)&gt;0,M51-$H51,0),(xSPRDOPT(M51,$E51,$BU51,0,$BP51,$BS51,$BT51,($A51-Inputs!$D$1)+15,1,0)))))</f>
        <v>#NAME?</v>
      </c>
      <c r="U51" s="280" t="e">
        <f aca="false">IF($A51="N/A"," ",IF('Pricing Inputs'!$AN$8=2,(N51-$H51),IF('Pricing Inputs'!$AN$3=2,IF((N51-$H51)&gt;0,N51-$H51,0),(xSPRDOPT(N51,$E51,$BU51,0,$BP51,$BS51,$BT51,($A51-Inputs!$D$1)+15,1,0)))))</f>
        <v>#NAME?</v>
      </c>
      <c r="V51" s="281" t="e">
        <f aca="false">IF($A51="N/A"," ",(IF('Pricing Inputs'!$AN$8=2,(O51-$H51),IF((O51-$H51)&lt;=0,0,(O51-$H51)))))</f>
        <v>#N/A</v>
      </c>
      <c r="W51" s="282" t="e">
        <f aca="false">IF($A51="N/A"," ",IF(0&lt;&gt;P51,IF('Pricing Inputs'!$AN$3=2,8*VLOOKUP($A51,NumberofDaysTable,2),(xSPRDOPT(I51,$E51,$BU51,0,$BP51,$BS51,$BT51,$A51-Inputs!$D$1,1,1))*(8*VLOOKUP($A51,NumberofDaysTable,2))),0))</f>
        <v>#NAME?</v>
      </c>
      <c r="X51" s="282" t="e">
        <f aca="false">IF($A51="N/A"," ",IF(Q51&lt;&gt;0,IF('Pricing Inputs'!$AN$3=2,8*VLOOKUP($A51,NumberofDaysTable,2),(xSPRDOPT(J51,$E51,$BU51,0,$BP51,$BS51,$BT51,$A51-Inputs!$D$1,1,1))*(8*VLOOKUP($A51,NumberofDaysTable,2))),0))</f>
        <v>#NAME?</v>
      </c>
      <c r="Y51" s="282" t="e">
        <f aca="false">IF($A51="N/A"," ",IF(R51&lt;&gt;0,IF('Pricing Inputs'!$AN$3=2,8*VLOOKUP($A51,NumberofDaysTable,3),(xSPRDOPT(K51,$E51,$BU51,0,$BP51,$BS51,$BT51,$A51-Inputs!$D$1,1,1))*(8*VLOOKUP($A51,NumberofDaysTable,3))),0))</f>
        <v>#NAME?</v>
      </c>
      <c r="Z51" s="282" t="e">
        <f aca="false">IF($A51="N/A"," ",IF(S51&lt;&gt;0,IF('Pricing Inputs'!$AN$3=2,8*VLOOKUP($A51,NumberofDaysTable,3),(xSPRDOPT(L51,$E51,$BU51,0,$BP51,$BS51,$BT51,$A51-Inputs!$D$1,1,1))*(8*VLOOKUP($A51,NumberofDaysTable,3))),0))</f>
        <v>#NAME?</v>
      </c>
      <c r="AA51" s="282" t="e">
        <f aca="false">IF($A51="N/A"," ",IF(T51&lt;&gt;0,IF('Pricing Inputs'!$AN$3=2,8*VLOOKUP($A51,NumberofDaysTable,4),(xSPRDOPT(M51,$E51,$BU51,0,$BP51,$BS51,$BT51,$A51-Inputs!$D$1,1,1))*(8*VLOOKUP($A51,NumberofDaysTable,4))),0))</f>
        <v>#NAME?</v>
      </c>
      <c r="AB51" s="282" t="e">
        <f aca="false">IF($A51="N/A"," ",IF(U51&lt;&gt;0,IF('Pricing Inputs'!$AN$3=2,8*VLOOKUP($A51,NumberofDaysTable,4),(xSPRDOPT(N51,$E51,$BU51,0,$BP51,$BS51,$BT51,$A51-Inputs!$D$1,1,1))*(8*VLOOKUP($A51,NumberofDaysTable,4))),0))</f>
        <v>#NAME?</v>
      </c>
      <c r="AC51" s="282" t="e">
        <f aca="false">IF($A51="N/A"," ",(IF(V51&lt;&gt;0,(8*VLOOKUP($A51,NumberofDaysTable,6)),0)))</f>
        <v>#N/A</v>
      </c>
      <c r="AD51" s="305" t="e">
        <f aca="false">IF($A51="N/A"," ",RANK(P51,$P$40:$V$51))</f>
        <v>#NAME?</v>
      </c>
      <c r="AE51" s="306" t="e">
        <f aca="false">IF($A51="N/A"," ",RANK(Q51,$P$40:$V$51))</f>
        <v>#NAME?</v>
      </c>
      <c r="AF51" s="306" t="e">
        <f aca="false">IF($A51="N/A"," ",RANK(R51,$P$40:$V$51))</f>
        <v>#NAME?</v>
      </c>
      <c r="AG51" s="306" t="e">
        <f aca="false">IF($A51="N/A"," ",RANK(S51,$P$40:$V$51))</f>
        <v>#NAME?</v>
      </c>
      <c r="AH51" s="306" t="e">
        <f aca="false">IF($A51="N/A"," ",RANK(T51,$P$40:$V$51))</f>
        <v>#NAME?</v>
      </c>
      <c r="AI51" s="306" t="e">
        <f aca="false">IF($A51="N/A"," ",RANK(U51,$P$40:$V$51))</f>
        <v>#NAME?</v>
      </c>
      <c r="AJ51" s="307" t="e">
        <f aca="false">IF($A51="N/A"," ",RANK(V51,$P$40:$V$51))</f>
        <v>#NAME?</v>
      </c>
      <c r="AK51" s="308" t="e">
        <f aca="false">IF($A51="N/A"," ",IF(AD51&lt;=$AJ$2,W51,0))</f>
        <v>#NAME?</v>
      </c>
      <c r="AL51" s="309" t="e">
        <f aca="false">IF($A51="N/A"," ",IF(AE51&lt;=$AJ$2,X51,0))</f>
        <v>#NAME?</v>
      </c>
      <c r="AM51" s="309" t="e">
        <f aca="false">IF($A51="N/A"," ",IF(AF51&lt;=$AJ$2,Y51,0))</f>
        <v>#NAME?</v>
      </c>
      <c r="AN51" s="309" t="e">
        <f aca="false">IF($A51="N/A"," ",IF(AG51&lt;=$AJ$2,Z51,0))</f>
        <v>#NAME?</v>
      </c>
      <c r="AO51" s="309" t="e">
        <f aca="false">IF($A51="N/A"," ",IF(AH51&lt;=$AJ$2,AA51,0))</f>
        <v>#NAME?</v>
      </c>
      <c r="AP51" s="309" t="e">
        <f aca="false">IF($A51="N/A"," ",IF(AI51&lt;=$AJ$2,AB51,0))</f>
        <v>#NAME?</v>
      </c>
      <c r="AQ51" s="309" t="e">
        <f aca="false">IF($A51="N/A"," ",IF(AJ51&lt;=$AJ$2,AC51,0))</f>
        <v>#NAME?</v>
      </c>
      <c r="AR51" s="307" t="e">
        <f aca="false">IF(($AP$2-AR50)&gt;=0,$AP$2-AR50,0)</f>
        <v>#NAME?</v>
      </c>
      <c r="AS51" s="310" t="e">
        <f aca="false">IF($A51="N/A"," ",IF(AND(AD51=$AJ$2+1,AK51=0),MIN($AR$51,W51),0))</f>
        <v>#NAME?</v>
      </c>
      <c r="AT51" s="311" t="e">
        <f aca="false">IF($A51="N/A"," ",IF(AND(AE51=$AJ$2+1,AL51=0),MIN($AR$51,X51),0))</f>
        <v>#NAME?</v>
      </c>
      <c r="AU51" s="311" t="e">
        <f aca="false">IF($A51="N/A"," ",IF(AND(AF51=$AJ$2+1,AM51=0),MIN($AR$51,Y51),0))</f>
        <v>#NAME?</v>
      </c>
      <c r="AV51" s="311" t="e">
        <f aca="false">IF($A51="N/A"," ",IF(AND(AG51=$AJ$2+1,AN51=0),MIN($AR$51,Z51),0))</f>
        <v>#NAME?</v>
      </c>
      <c r="AW51" s="311" t="e">
        <f aca="false">IF($A51="N/A"," ",IF(AND(AH51=$AJ$2+1,AO51=0),MIN($AR$51,AA51),0))</f>
        <v>#NAME?</v>
      </c>
      <c r="AX51" s="311" t="e">
        <f aca="false">IF($A51="N/A"," ",IF(AND(AI51=$AJ$2+1,AP51=0),MIN($AR$51,AB51),0))</f>
        <v>#NAME?</v>
      </c>
      <c r="AY51" s="311" t="e">
        <f aca="false">IF($A51="N/A"," ",IF(AND(AJ51=$AJ$2+1,AQ51=0),MIN($AR$51,AC51),0))</f>
        <v>#NAME?</v>
      </c>
      <c r="AZ51" s="312" t="e">
        <f aca="false">AR50+AZ50</f>
        <v>#NAME?</v>
      </c>
      <c r="BA51" s="291" t="n">
        <f aca="false">IF($A51="N/A"," ",(IF(MONTH(A51)&gt;=4,IF(MONTH(A51)&lt;=10,Inputs!$F$13,Inputs!$F$14),Inputs!$F$14))*$BW51)</f>
        <v>180</v>
      </c>
      <c r="BB51" s="292" t="e">
        <f aca="false">IF($A51="N/A"," ",(IF(AK51&gt;0,($BA51*(8*(VLOOKUP($A51,NumberofDaysTable,2)))*P51),0)+IF(AS51&gt;0,($BA51*((AS51))*P51),0)))</f>
        <v>#NAME?</v>
      </c>
      <c r="BC51" s="292" t="e">
        <f aca="false">IF($A51="N/A"," ",(IF(AL51&gt;0,($BA51*(8*(VLOOKUP($A51,NumberofDaysTable,2)))*Q51),0)+IF(AT51&gt;0,($BA51*((AT51))*Q51),0)))</f>
        <v>#NAME?</v>
      </c>
      <c r="BD51" s="292" t="e">
        <f aca="false">IF($A51="N/A"," ",(IF(AM51&gt;0,($BA51*(8*(VLOOKUP($A51,NumberofDaysTable,3)))*R51),0)+IF(AU51&gt;0,($BA51*((AU51))*R51),0)))</f>
        <v>#NAME?</v>
      </c>
      <c r="BE51" s="292" t="e">
        <f aca="false">IF($A51="N/A"," ",(IF(AN51&gt;0,($BA51*(8*(VLOOKUP($A51,NumberofDaysTable,3)))*S51),0)+IF(AV51&gt;0,($BA51*((AV51))*S51),0)))</f>
        <v>#NAME?</v>
      </c>
      <c r="BF51" s="292" t="e">
        <f aca="false">IF($A51="N/A"," ",(IF(AO51&gt;0,($BA51*(8*(VLOOKUP($A51,NumberofDaysTable,4)+VLOOKUP($A51,NumberofDaysTable,5)))*T51),0)+IF(AW51&gt;0,($BA51*((AW51))*T51),0)))</f>
        <v>#NAME?</v>
      </c>
      <c r="BG51" s="292" t="e">
        <f aca="false">IF($A51="N/A"," ",(IF(AP51&gt;0,($BA51*(8*(VLOOKUP($A51,NumberofDaysTable,4)+VLOOKUP($A51,NumberofDaysTable,5)))*U51),0)+IF(AX51&gt;0,($BA51*((AX51))*U51),0)))</f>
        <v>#NAME?</v>
      </c>
      <c r="BH51" s="292" t="e">
        <f aca="false">IF($A51="N/A"," ",($BA51*AQ51*V51))</f>
        <v>#NAME?</v>
      </c>
      <c r="BI51" s="292" t="e">
        <f aca="false">IF($A51="N/A"," ",SUM(BB51:BH51))</f>
        <v>#NAME?</v>
      </c>
      <c r="BJ51" s="293" t="e">
        <f aca="false">IF($A51="N/A"," ",(H51*(SUM(AK51:AQ51)+SUM(AS51:AY51))*BA51))</f>
        <v>#NAME?</v>
      </c>
      <c r="BK51" s="293" t="e">
        <f aca="false">IF($A51="N/A"," ",((C51*D51)*(SUM($AK51:$AQ51)+SUM($AS51:$AY51))*$BA51))</f>
        <v>#N/A</v>
      </c>
      <c r="BL51" s="293" t="e">
        <f aca="false">IF($A51="N/A"," ",(F51*(SUM($AK51:$AQ51)+SUM($AS51:$AY51))*$BA51))</f>
        <v>#NAME?</v>
      </c>
      <c r="BM51" s="293" t="e">
        <f aca="false">IF($A51="N/A"," ",(G51*(SUM($AK51:$AQ51)+SUM($AS51:$AY51))*$BA51))</f>
        <v>#NAME?</v>
      </c>
      <c r="BN51" s="294" t="n">
        <f aca="false">IF(A51="N/A"," ",(VLOOKUP(A51,PowerVolTable,(IF('Pricing Inputs'!$AT$3=2,7,IF('Pricing Inputs'!$AT$3=1,6,8))),FALSE())))</f>
        <v>0.2149782075</v>
      </c>
      <c r="BO51" s="294" t="n">
        <f aca="false">IF(A51="N/A"," ",(VLOOKUP(A51,IntraPowerVol,(IF('Pricing Inputs'!$AT$3=2,3,IF('Pricing Inputs'!$AT$3=1,2,4))),FALSE())*VLOOKUP(MONTH($A51),Inputs!$A$28:$B$39,2)))</f>
        <v>1.4375</v>
      </c>
      <c r="BP51" s="295" t="n">
        <f aca="false">IF($A51="N/A"," ",(IF(DateToday&gt;$A51,$BO51,((($BN51^2)*((($A51-1)-DateToday)/((EOMONTH($A51,0)+1)-DateToday-15)))+((($BO51)^2)*((15)/((EOMONTH($A51,0)+1)-DateToday-15))))^0.5)))</f>
        <v>1.4375</v>
      </c>
      <c r="BQ51" s="294" t="e">
        <f aca="false">IF($A51="N/A"," ",(VLOOKUP($A51,GasVolTable,(IF('Pricing Inputs'!$AT$3=2,6,IF('Pricing Inputs'!$AT$3=1,7,5))),FALSE())))</f>
        <v>#N/A</v>
      </c>
      <c r="BR51" s="294" t="e">
        <f aca="false">IF($A51="N/A"," ",(VLOOKUP($A51,OmicronVol,(IF('Pricing Inputs'!$AT$3=2,3,IF('Pricing Inputs'!$AT$3=1,4,2))),FALSE())))</f>
        <v>#N/A</v>
      </c>
      <c r="BS51" s="295" t="e">
        <f aca="false">IF($A51="N/A"," ",IF('Pricing Inputs'!$AN$3=1,(IF(DateToday&gt;$A51,$BR51,((($BQ51^2)*((($A51-1)-DateToday)/((EOMONTH($A51,0)+1)-DateToday-15)))+((($BR51)^2)*((15)/((EOMONTH($A51,0)+1)-DateToday-15))))^0.5)),0.0001))</f>
        <v>#N/A</v>
      </c>
      <c r="BT51" s="294" t="n">
        <f aca="false">IF($A51="N/A"," ",IF('Pricing Inputs'!$AN$3=1,(VLOOKUP($A51,CorrelationTable,2,FALSE())),0))</f>
        <v>0.9</v>
      </c>
      <c r="BU51" s="296" t="e">
        <f aca="false">IF($A51="N/A"," ",F51+G51+(D51*(VLOOKUP($A51,'Gas Curves'!$B$17:$P$310,14,FALSE()))))</f>
        <v>#N/A</v>
      </c>
      <c r="BV51" s="294" t="n">
        <f aca="false">IF($A51="N/A"," ",IF('Pricing Inputs'!$AW$3=1,0,(VLOOKUP($A51,InterestRatesTable,2))))</f>
        <v>0</v>
      </c>
      <c r="BW51" s="297" t="n">
        <f aca="false">IF($A51="N/A"," ",(1+BV51/2)^(-2*((EOMONTH(A51,0)+20)-DateToday)/365.25))</f>
        <v>1</v>
      </c>
    </row>
    <row r="52" customFormat="false" ht="12.75" hidden="false" customHeight="false" outlineLevel="0" collapsed="false">
      <c r="A52" s="272" t="n">
        <f aca="false">IF(A51="N/A","N/A",IF(EDATE(A51,1)&gt;Inputs!$K$3,"N/A",EDATE(A51,1)))</f>
        <v>38353</v>
      </c>
      <c r="B52" s="273" t="n">
        <f aca="false">IF(A52="N/A"," ",YEAR(A52))</f>
        <v>2005</v>
      </c>
      <c r="C52" s="274" t="e">
        <f aca="false">IF(A52="N/A"," ",VLOOKUP(A52,ScaledPrice,10))</f>
        <v>#N/A</v>
      </c>
      <c r="D52" s="275" t="n">
        <f aca="false">IF(A52="N/A"," ",(VLOOKUP(MONTH($A52),Inputs!$A$14:$B$25,2))/1000)</f>
        <v>10.5</v>
      </c>
      <c r="E52" s="276" t="e">
        <f aca="false">IF($A52="N/A"," ",C52*D52)</f>
        <v>#N/A</v>
      </c>
      <c r="F52" s="277" t="n">
        <f aca="false">IF(A52="N/A"," ",Inputs!$F$6)</f>
        <v>2</v>
      </c>
      <c r="G52" s="277" t="n">
        <f aca="false">IF(A52="N/A"," ",Inputs!$F$9/IF(AND('Pricing Inputs'!$AQ$3&gt;=4,'Pricing Inputs'!$AQ$3&lt;=6),16,IF(AND('Pricing Inputs'!$AQ$3&gt;=7,'Pricing Inputs'!$AQ$3&lt;=9),8,24))/(BA52/BW52))</f>
        <v>0</v>
      </c>
      <c r="H52" s="278" t="e">
        <f aca="false">IF(A52="N/A"," ",(C52*D52)+F52+G52)</f>
        <v>#N/A</v>
      </c>
      <c r="I52" s="279" t="n">
        <f aca="false">VLOOKUP(A52,ScaledPrice,(IF(AND('Pricing Inputs'!$AQ$3&gt;=1,'Pricing Inputs'!$AQ$3&lt;=6),2,4)))</f>
        <v>35.6161070155804</v>
      </c>
      <c r="J52" s="279" t="n">
        <f aca="false">IF(A52="N/A"," ",IF(AND('Pricing Inputs'!$AQ$3&gt;=1,'Pricing Inputs'!$AQ$3&lt;=6),I52,(VLOOKUP(A52,ScaledPrice,2))*(2-(VLOOKUP(A52,ScaledPrice,3)))))</f>
        <v>37.8838929844196</v>
      </c>
      <c r="K52" s="279" t="n">
        <f aca="false">IF(A52="N/A"," ",IF(OR('Pricing Inputs'!$AQ$3=2,'Pricing Inputs'!$AQ$3=3,'Pricing Inputs'!$AQ$3=5,'Pricing Inputs'!$AQ$3=6,'Pricing Inputs'!$AQ$3=8,'Pricing Inputs'!$AQ$3=9),VLOOKUP(A52,ScaledPrice,IF(AND('Pricing Inputs'!$AQ$3&gt;=2,'Pricing Inputs'!$AQ$3&lt;=6),5,6)),0))</f>
        <v>28.1524716083179</v>
      </c>
      <c r="L52" s="279" t="n">
        <f aca="false">IF(A52="N/A"," ",IF(OR('Pricing Inputs'!$AQ$3=2,'Pricing Inputs'!$AQ$3=3,'Pricing Inputs'!$AQ$3=5,'Pricing Inputs'!$AQ$3=6,'Pricing Inputs'!$AQ$3=8,'Pricing Inputs'!$AQ$3=9),IF(AND('Pricing Inputs'!$AQ$3&gt;=2,'Pricing Inputs'!$AQ$3&lt;=6),K52,(VLOOKUP(A52,ScaledPrice,5))*(2-(VLOOKUP(A52,ScaledPrice,3)))),0))</f>
        <v>29.9450251873364</v>
      </c>
      <c r="M52" s="279" t="n">
        <f aca="false">IF(A52="N/A"," ",IF(OR('Pricing Inputs'!$AQ$3=3,'Pricing Inputs'!$AQ$3=6,'Pricing Inputs'!$AQ$3=9),(VLOOKUP(A52,ScaledPrice,IF(AND('Pricing Inputs'!$AQ$3&gt;=3,'Pricing Inputs'!$AQ$3&lt;=6),7,8))),0))</f>
        <v>26.7023889518739</v>
      </c>
      <c r="N52" s="279" t="n">
        <f aca="false">IF(A52="N/A"," ",IF(OR('Pricing Inputs'!$AQ$3=3,'Pricing Inputs'!$AQ$3=6,'Pricing Inputs'!$AQ$3=9),IF(AND('Pricing Inputs'!$AQ$3&gt;=3,'Pricing Inputs'!$AQ$3&lt;=6),M52,(VLOOKUP(A52,ScaledPrice,7))*(2-(VLOOKUP(A52,ScaledPrice,3)))),0))</f>
        <v>28.4026113533019</v>
      </c>
      <c r="O52" s="279" t="n">
        <f aca="false">IF(A52="N/A"," ",IF(AND('Pricing Inputs'!$AQ$3&gt;=1,'Pricing Inputs'!$AQ$3&lt;=3),VLOOKUP(A52,ScaledPrice,9),0))</f>
        <v>0</v>
      </c>
      <c r="P52" s="280" t="e">
        <f aca="false">IF($A52="N/A"," ",IF('Pricing Inputs'!$AN$8=2,(I52-H52),IF('Pricing Inputs'!$AN$3=2,IF((I52-$H52)&gt;0,I52-$H52,0),(xSPRDOPT(I52,$E52,$BU52,0,$BP52,$BS52,$BT52,($A52-Inputs!$D$1)+15,1,0)))))</f>
        <v>#NAME?</v>
      </c>
      <c r="Q52" s="280" t="e">
        <f aca="false">IF($A52="N/A"," ",IF('Pricing Inputs'!$AN$8=2,(J52-$H52),IF('Pricing Inputs'!$AN$3=2,IF((J52-$H52)&gt;0,J52-$H52,0),(xSPRDOPT(J52,$E52,$BU52,0,$BP52,$BS52,$BT52,($A52-Inputs!$D$1)+15,1,0)))))</f>
        <v>#NAME?</v>
      </c>
      <c r="R52" s="280" t="e">
        <f aca="false">IF($A52="N/A"," ",IF('Pricing Inputs'!$AN$8=2,(K52-$H52),IF('Pricing Inputs'!$AN$3=2,IF((K52-$H52)&gt;0,K52-$H52,0),(xSPRDOPT(K52,$E52,$BU52,0,$BP52,$BS52,$BT52,($A52-Inputs!$D$1)+15,1,0)))))</f>
        <v>#NAME?</v>
      </c>
      <c r="S52" s="280" t="e">
        <f aca="false">IF($A52="N/A"," ",IF('Pricing Inputs'!$AN$8=2,(L52-$H52),IF('Pricing Inputs'!$AN$3=2,IF((L52-$H52)&gt;0,L52-$H52,0),(xSPRDOPT(L52,$E52,$BU52,0,$BP52,$BS52,$BT52,($A52-Inputs!$D$1)+15,1,0)))))</f>
        <v>#NAME?</v>
      </c>
      <c r="T52" s="280" t="e">
        <f aca="false">IF($A52="N/A"," ",IF('Pricing Inputs'!$AN$8=2,(M52-$H52),IF('Pricing Inputs'!$AN$3=2,IF((M52-$H52)&gt;0,M52-$H52,0),(xSPRDOPT(M52,$E52,$BU52,0,$BP52,$BS52,$BT52,($A52-Inputs!$D$1)+15,1,0)))))</f>
        <v>#NAME?</v>
      </c>
      <c r="U52" s="280" t="e">
        <f aca="false">IF($A52="N/A"," ",IF('Pricing Inputs'!$AN$8=2,(N52-$H52),IF('Pricing Inputs'!$AN$3=2,IF((N52-$H52)&gt;0,N52-$H52,0),(xSPRDOPT(N52,$E52,$BU52,0,$BP52,$BS52,$BT52,($A52-Inputs!$D$1)+15,1,0)))))</f>
        <v>#NAME?</v>
      </c>
      <c r="V52" s="281" t="e">
        <f aca="false">IF($A52="N/A"," ",(IF('Pricing Inputs'!$AN$8=2,(O52-$H52),IF((O52-$H52)&lt;=0,0,(O52-$H52)))))</f>
        <v>#N/A</v>
      </c>
      <c r="W52" s="282" t="e">
        <f aca="false">IF($A52="N/A"," ",IF(0&lt;&gt;P52,IF('Pricing Inputs'!$AN$3=2,8*VLOOKUP($A52,NumberofDaysTable,2),(xSPRDOPT(I52,$E52,$BU52,0,$BP52,$BS52,$BT52,$A52-Inputs!$D$1,1,1))*(8*VLOOKUP($A52,NumberofDaysTable,2))),0))</f>
        <v>#NAME?</v>
      </c>
      <c r="X52" s="282" t="e">
        <f aca="false">IF($A52="N/A"," ",IF(Q52&lt;&gt;0,IF('Pricing Inputs'!$AN$3=2,8*VLOOKUP($A52,NumberofDaysTable,2),(xSPRDOPT(J52,$E52,$BU52,0,$BP52,$BS52,$BT52,$A52-Inputs!$D$1,1,1))*(8*VLOOKUP($A52,NumberofDaysTable,2))),0))</f>
        <v>#NAME?</v>
      </c>
      <c r="Y52" s="282" t="e">
        <f aca="false">IF($A52="N/A"," ",IF(R52&lt;&gt;0,IF('Pricing Inputs'!$AN$3=2,8*VLOOKUP($A52,NumberofDaysTable,3),(xSPRDOPT(K52,$E52,$BU52,0,$BP52,$BS52,$BT52,$A52-Inputs!$D$1,1,1))*(8*VLOOKUP($A52,NumberofDaysTable,3))),0))</f>
        <v>#NAME?</v>
      </c>
      <c r="Z52" s="282" t="e">
        <f aca="false">IF($A52="N/A"," ",IF(S52&lt;&gt;0,IF('Pricing Inputs'!$AN$3=2,8*VLOOKUP($A52,NumberofDaysTable,3),(xSPRDOPT(L52,$E52,$BU52,0,$BP52,$BS52,$BT52,$A52-Inputs!$D$1,1,1))*(8*VLOOKUP($A52,NumberofDaysTable,3))),0))</f>
        <v>#NAME?</v>
      </c>
      <c r="AA52" s="282" t="e">
        <f aca="false">IF($A52="N/A"," ",IF(T52&lt;&gt;0,IF('Pricing Inputs'!$AN$3=2,8*VLOOKUP($A52,NumberofDaysTable,4),(xSPRDOPT(M52,$E52,$BU52,0,$BP52,$BS52,$BT52,$A52-Inputs!$D$1,1,1))*(8*VLOOKUP($A52,NumberofDaysTable,4))),0))</f>
        <v>#NAME?</v>
      </c>
      <c r="AB52" s="282" t="e">
        <f aca="false">IF($A52="N/A"," ",IF(U52&lt;&gt;0,IF('Pricing Inputs'!$AN$3=2,8*VLOOKUP($A52,NumberofDaysTable,4),(xSPRDOPT(N52,$E52,$BU52,0,$BP52,$BS52,$BT52,$A52-Inputs!$D$1,1,1))*(8*VLOOKUP($A52,NumberofDaysTable,4))),0))</f>
        <v>#NAME?</v>
      </c>
      <c r="AC52" s="282" t="e">
        <f aca="false">IF($A52="N/A"," ",(IF(V52&lt;&gt;0,(8*VLOOKUP($A52,NumberofDaysTable,6)),0)))</f>
        <v>#N/A</v>
      </c>
      <c r="AD52" s="283" t="e">
        <f aca="false">IF($A52="N/A"," ",RANK(P52,$P$52:$V$63))</f>
        <v>#NAME?</v>
      </c>
      <c r="AE52" s="284" t="e">
        <f aca="false">IF($A52="N/A"," ",RANK(Q52,$P$52:$V$63))</f>
        <v>#NAME?</v>
      </c>
      <c r="AF52" s="284" t="e">
        <f aca="false">IF($A52="N/A"," ",RANK(R52,$P$52:$V$63))</f>
        <v>#NAME?</v>
      </c>
      <c r="AG52" s="284" t="e">
        <f aca="false">IF($A52="N/A"," ",RANK(S52,$P$52:$V$63))</f>
        <v>#NAME?</v>
      </c>
      <c r="AH52" s="284" t="e">
        <f aca="false">IF($A52="N/A"," ",RANK(T52,$P$52:$V$63))</f>
        <v>#NAME?</v>
      </c>
      <c r="AI52" s="284" t="e">
        <f aca="false">IF($A52="N/A"," ",RANK(U52,$P$52:$V$63))</f>
        <v>#NAME?</v>
      </c>
      <c r="AJ52" s="285" t="e">
        <f aca="false">IF($A52="N/A"," ",RANK(V52,$P$52:$V$63))</f>
        <v>#NAME?</v>
      </c>
      <c r="AK52" s="313" t="e">
        <f aca="false">IF($A52="N/A"," ",IF(AD52&lt;=$AJ$2,W52,0))</f>
        <v>#NAME?</v>
      </c>
      <c r="AL52" s="287" t="e">
        <f aca="false">IF($A52="N/A"," ",IF(AE52&lt;=$AJ$2,X52,0))</f>
        <v>#NAME?</v>
      </c>
      <c r="AM52" s="287" t="e">
        <f aca="false">IF($A52="N/A"," ",IF(AF52&lt;=$AJ$2,Y52,0))</f>
        <v>#NAME?</v>
      </c>
      <c r="AN52" s="287" t="e">
        <f aca="false">IF($A52="N/A"," ",IF(AG52&lt;=$AJ$2,Z52,0))</f>
        <v>#NAME?</v>
      </c>
      <c r="AO52" s="287" t="e">
        <f aca="false">IF($A52="N/A"," ",IF(AH52&lt;=$AJ$2,AA52,0))</f>
        <v>#NAME?</v>
      </c>
      <c r="AP52" s="287" t="e">
        <f aca="false">IF($A52="N/A"," ",IF(AI52&lt;=$AJ$2,AB52,0))</f>
        <v>#NAME?</v>
      </c>
      <c r="AQ52" s="287" t="e">
        <f aca="false">IF($A52="N/A"," ",IF(AJ52&lt;=$AJ$2,AC52,0))</f>
        <v>#NAME?</v>
      </c>
      <c r="AR52" s="285"/>
      <c r="AS52" s="314" t="e">
        <f aca="false">IF($A52="N/A"," ",IF(AND(AD52=$AJ$2+1,AK52=0),MIN($AR$63,W52),0))</f>
        <v>#NAME?</v>
      </c>
      <c r="AT52" s="289" t="e">
        <f aca="false">IF($A52="N/A"," ",IF(AND(AE52=$AJ$2+1,AL52=0),MIN($AR$63,X52),0))</f>
        <v>#NAME?</v>
      </c>
      <c r="AU52" s="289" t="e">
        <f aca="false">IF($A52="N/A"," ",IF(AND(AF52=$AJ$2+1,AM52=0),MIN($AR$63,Y52),0))</f>
        <v>#NAME?</v>
      </c>
      <c r="AV52" s="289" t="e">
        <f aca="false">IF($A52="N/A"," ",IF(AND(AG52=$AJ$2+1,AN52=0),MIN($AR$63,Z52),0))</f>
        <v>#NAME?</v>
      </c>
      <c r="AW52" s="289" t="e">
        <f aca="false">IF($A52="N/A"," ",IF(AND(AH52=$AJ$2+1,AO52=0),MIN($AR$63,AA52),0))</f>
        <v>#NAME?</v>
      </c>
      <c r="AX52" s="289" t="e">
        <f aca="false">IF($A52="N/A"," ",IF(AND(AI52=$AJ$2+1,AP52=0),MIN($AR$63,AB52),0))</f>
        <v>#NAME?</v>
      </c>
      <c r="AY52" s="289" t="e">
        <f aca="false">IF($A52="N/A"," ",IF(AND(AJ52=$AJ$2+1,AQ52=0),MIN($AR$63,AC52),0))</f>
        <v>#NAME?</v>
      </c>
      <c r="AZ52" s="285"/>
      <c r="BA52" s="291" t="n">
        <f aca="false">IF($A52="N/A"," ",(IF(MONTH(A52)&gt;=4,IF(MONTH(A52)&lt;=10,Inputs!$F$13,Inputs!$F$14),Inputs!$F$14))*$BW52)</f>
        <v>180</v>
      </c>
      <c r="BB52" s="292" t="e">
        <f aca="false">IF($A52="N/A"," ",(IF(AK52&gt;0,($BA52*(8*(VLOOKUP($A52,NumberofDaysTable,2)))*P52),0)+IF(AS52&gt;0,($BA52*((AS52))*P52),0)))</f>
        <v>#NAME?</v>
      </c>
      <c r="BC52" s="292" t="e">
        <f aca="false">IF($A52="N/A"," ",(IF(AL52&gt;0,($BA52*(8*(VLOOKUP($A52,NumberofDaysTable,2)))*Q52),0)+IF(AT52&gt;0,($BA52*((AT52))*Q52),0)))</f>
        <v>#NAME?</v>
      </c>
      <c r="BD52" s="292" t="e">
        <f aca="false">IF($A52="N/A"," ",(IF(AM52&gt;0,($BA52*(8*(VLOOKUP($A52,NumberofDaysTable,3)))*R52),0)+IF(AU52&gt;0,($BA52*((AU52))*R52),0)))</f>
        <v>#NAME?</v>
      </c>
      <c r="BE52" s="292" t="e">
        <f aca="false">IF($A52="N/A"," ",(IF(AN52&gt;0,($BA52*(8*(VLOOKUP($A52,NumberofDaysTable,3)))*S52),0)+IF(AV52&gt;0,($BA52*((AV52))*S52),0)))</f>
        <v>#NAME?</v>
      </c>
      <c r="BF52" s="292" t="e">
        <f aca="false">IF($A52="N/A"," ",(IF(AO52&gt;0,($BA52*(8*(VLOOKUP($A52,NumberofDaysTable,4)+VLOOKUP($A52,NumberofDaysTable,5)))*T52),0)+IF(AW52&gt;0,($BA52*((AW52))*T52),0)))</f>
        <v>#NAME?</v>
      </c>
      <c r="BG52" s="292" t="e">
        <f aca="false">IF($A52="N/A"," ",(IF(AP52&gt;0,($BA52*(8*(VLOOKUP($A52,NumberofDaysTable,4)+VLOOKUP($A52,NumberofDaysTable,5)))*U52),0)+IF(AX52&gt;0,($BA52*((AX52))*U52),0)))</f>
        <v>#NAME?</v>
      </c>
      <c r="BH52" s="292" t="e">
        <f aca="false">IF($A52="N/A"," ",($BA52*AQ52*V52))</f>
        <v>#NAME?</v>
      </c>
      <c r="BI52" s="292" t="e">
        <f aca="false">IF($A52="N/A"," ",SUM(BB52:BH52))</f>
        <v>#NAME?</v>
      </c>
      <c r="BJ52" s="293" t="e">
        <f aca="false">IF($A52="N/A"," ",(H52*(SUM(AK52:AQ52)+SUM(AS52:AY52))*BA52))</f>
        <v>#NAME?</v>
      </c>
      <c r="BK52" s="293" t="e">
        <f aca="false">IF($A52="N/A"," ",((C52*D52)*(SUM($AK52:$AQ52)+SUM($AS52:$AY52))*$BA52))</f>
        <v>#N/A</v>
      </c>
      <c r="BL52" s="293" t="e">
        <f aca="false">IF($A52="N/A"," ",(F52*(SUM($AK52:$AQ52)+SUM($AS52:$AY52))*$BA52))</f>
        <v>#NAME?</v>
      </c>
      <c r="BM52" s="293" t="e">
        <f aca="false">IF($A52="N/A"," ",(G52*(SUM($AK52:$AQ52)+SUM($AS52:$AY52))*$BA52))</f>
        <v>#NAME?</v>
      </c>
      <c r="BN52" s="294" t="n">
        <f aca="false">IF(A52="N/A"," ",(VLOOKUP(A52,PowerVolTable,(IF('Pricing Inputs'!$AT$3=2,7,IF('Pricing Inputs'!$AT$3=1,6,8))),FALSE())))</f>
        <v>0.231319775</v>
      </c>
      <c r="BO52" s="294" t="n">
        <f aca="false">IF(A52="N/A"," ",(VLOOKUP(A52,IntraPowerVol,(IF('Pricing Inputs'!$AT$3=2,3,IF('Pricing Inputs'!$AT$3=1,2,4))),FALSE())*VLOOKUP(MONTH($A52),Inputs!$A$28:$B$39,2)))</f>
        <v>2.3</v>
      </c>
      <c r="BP52" s="295" t="n">
        <f aca="false">IF($A52="N/A"," ",(IF(DateToday&gt;$A52,$BO52,((($BN52^2)*((($A52-1)-DateToday)/((EOMONTH($A52,0)+1)-DateToday-15)))+((($BO52)^2)*((15)/((EOMONTH($A52,0)+1)-DateToday-15))))^0.5)))</f>
        <v>2.3</v>
      </c>
      <c r="BQ52" s="294" t="e">
        <f aca="false">IF($A52="N/A"," ",(VLOOKUP($A52,GasVolTable,(IF('Pricing Inputs'!$AT$3=2,6,IF('Pricing Inputs'!$AT$3=1,7,5))),FALSE())))</f>
        <v>#N/A</v>
      </c>
      <c r="BR52" s="294" t="e">
        <f aca="false">IF($A52="N/A"," ",(VLOOKUP($A52,OmicronVol,(IF('Pricing Inputs'!$AT$3=2,3,IF('Pricing Inputs'!$AT$3=1,4,2))),FALSE())))</f>
        <v>#N/A</v>
      </c>
      <c r="BS52" s="295" t="e">
        <f aca="false">IF($A52="N/A"," ",IF('Pricing Inputs'!$AN$3=1,(IF(DateToday&gt;$A52,$BR52,((($BQ52^2)*((($A52-1)-DateToday)/((EOMONTH($A52,0)+1)-DateToday-15)))+((($BR52)^2)*((15)/((EOMONTH($A52,0)+1)-DateToday-15))))^0.5)),0.0001))</f>
        <v>#N/A</v>
      </c>
      <c r="BT52" s="294" t="n">
        <f aca="false">IF($A52="N/A"," ",IF('Pricing Inputs'!$AN$3=1,(VLOOKUP($A52,CorrelationTable,2,FALSE())),0))</f>
        <v>0.9</v>
      </c>
      <c r="BU52" s="296" t="e">
        <f aca="false">IF($A52="N/A"," ",F52+G52+(D52*(VLOOKUP($A52,'Gas Curves'!$B$17:$P$310,14,FALSE()))))</f>
        <v>#N/A</v>
      </c>
      <c r="BV52" s="294" t="n">
        <f aca="false">IF($A52="N/A"," ",IF('Pricing Inputs'!$AW$3=1,0,(VLOOKUP($A52,InterestRatesTable,2))))</f>
        <v>0</v>
      </c>
      <c r="BW52" s="297" t="n">
        <f aca="false">IF($A52="N/A"," ",(1+BV52/2)^(-2*((EOMONTH(A52,0)+20)-DateToday)/365.25))</f>
        <v>1</v>
      </c>
    </row>
    <row r="53" customFormat="false" ht="12.75" hidden="false" customHeight="false" outlineLevel="0" collapsed="false">
      <c r="A53" s="272" t="n">
        <f aca="false">IF(A52="N/A","N/A",IF(EDATE(A52,1)&gt;Inputs!$K$3,"N/A",EDATE(A52,1)))</f>
        <v>38384</v>
      </c>
      <c r="B53" s="273" t="n">
        <f aca="false">IF(A53="N/A"," ",YEAR(A53))</f>
        <v>2005</v>
      </c>
      <c r="C53" s="274" t="e">
        <f aca="false">IF(A53="N/A"," ",VLOOKUP(A53,ScaledPrice,10))</f>
        <v>#N/A</v>
      </c>
      <c r="D53" s="275" t="n">
        <f aca="false">IF(A53="N/A"," ",(VLOOKUP(MONTH($A53),Inputs!$A$14:$B$25,2))/1000)</f>
        <v>10.5</v>
      </c>
      <c r="E53" s="276" t="e">
        <f aca="false">IF($A53="N/A"," ",C53*D53)</f>
        <v>#N/A</v>
      </c>
      <c r="F53" s="277" t="n">
        <f aca="false">IF(A53="N/A"," ",Inputs!$F$6)</f>
        <v>2</v>
      </c>
      <c r="G53" s="277" t="n">
        <f aca="false">IF(A53="N/A"," ",Inputs!$F$9/IF(AND('Pricing Inputs'!$AQ$3&gt;=4,'Pricing Inputs'!$AQ$3&lt;=6),16,IF(AND('Pricing Inputs'!$AQ$3&gt;=7,'Pricing Inputs'!$AQ$3&lt;=9),8,24))/(BA53/BW53))</f>
        <v>0</v>
      </c>
      <c r="H53" s="278" t="e">
        <f aca="false">IF(A53="N/A"," ",(C53*D53)+F53+G53)</f>
        <v>#N/A</v>
      </c>
      <c r="I53" s="279" t="n">
        <f aca="false">VLOOKUP(A53,ScaledPrice,(IF(AND('Pricing Inputs'!$AQ$3&gt;=1,'Pricing Inputs'!$AQ$3&lt;=6),2,4)))</f>
        <v>35.6161070155804</v>
      </c>
      <c r="J53" s="279" t="n">
        <f aca="false">IF(A53="N/A"," ",IF(AND('Pricing Inputs'!$AQ$3&gt;=1,'Pricing Inputs'!$AQ$3&lt;=6),I53,(VLOOKUP(A53,ScaledPrice,2))*(2-(VLOOKUP(A53,ScaledPrice,3)))))</f>
        <v>37.8838929844196</v>
      </c>
      <c r="K53" s="279" t="n">
        <f aca="false">IF(A53="N/A"," ",IF(OR('Pricing Inputs'!$AQ$3=2,'Pricing Inputs'!$AQ$3=3,'Pricing Inputs'!$AQ$3=5,'Pricing Inputs'!$AQ$3=6,'Pricing Inputs'!$AQ$3=8,'Pricing Inputs'!$AQ$3=9),VLOOKUP(A53,ScaledPrice,IF(AND('Pricing Inputs'!$AQ$3&gt;=2,'Pricing Inputs'!$AQ$3&lt;=6),5,6)),0))</f>
        <v>27.1809046753825</v>
      </c>
      <c r="L53" s="279" t="n">
        <f aca="false">IF(A53="N/A"," ",IF(OR('Pricing Inputs'!$AQ$3=2,'Pricing Inputs'!$AQ$3=3,'Pricing Inputs'!$AQ$3=5,'Pricing Inputs'!$AQ$3=6,'Pricing Inputs'!$AQ$3=8,'Pricing Inputs'!$AQ$3=9),IF(AND('Pricing Inputs'!$AQ$3&gt;=2,'Pricing Inputs'!$AQ$3&lt;=6),K53,(VLOOKUP(A53,ScaledPrice,5))*(2-(VLOOKUP(A53,ScaledPrice,3)))),0))</f>
        <v>28.9115956297932</v>
      </c>
      <c r="M53" s="279" t="n">
        <f aca="false">IF(A53="N/A"," ",IF(OR('Pricing Inputs'!$AQ$3=3,'Pricing Inputs'!$AQ$3=6,'Pricing Inputs'!$AQ$3=9),(VLOOKUP(A53,ScaledPrice,IF(AND('Pricing Inputs'!$AQ$3&gt;=3,'Pricing Inputs'!$AQ$3&lt;=6),7,8))),0))</f>
        <v>24.7592510193058</v>
      </c>
      <c r="N53" s="279" t="n">
        <f aca="false">IF(A53="N/A"," ",IF(OR('Pricing Inputs'!$AQ$3=3,'Pricing Inputs'!$AQ$3=6,'Pricing Inputs'!$AQ$3=9),IF(AND('Pricing Inputs'!$AQ$3&gt;=3,'Pricing Inputs'!$AQ$3&lt;=6),M53,(VLOOKUP(A53,ScaledPrice,7))*(2-(VLOOKUP(A53,ScaledPrice,3)))),0))</f>
        <v>26.335747912579</v>
      </c>
      <c r="O53" s="279" t="n">
        <f aca="false">IF(A53="N/A"," ",IF(AND('Pricing Inputs'!$AQ$3&gt;=1,'Pricing Inputs'!$AQ$3&lt;=3),VLOOKUP(A53,ScaledPrice,9),0))</f>
        <v>0</v>
      </c>
      <c r="P53" s="280" t="e">
        <f aca="false">IF($A53="N/A"," ",IF('Pricing Inputs'!$AN$8=2,(I53-H53),IF('Pricing Inputs'!$AN$3=2,IF((I53-$H53)&gt;0,I53-$H53,0),(xSPRDOPT(I53,$E53,$BU53,0,$BP53,$BS53,$BT53,($A53-Inputs!$D$1)+15,1,0)))))</f>
        <v>#NAME?</v>
      </c>
      <c r="Q53" s="280" t="e">
        <f aca="false">IF($A53="N/A"," ",IF('Pricing Inputs'!$AN$8=2,(J53-$H53),IF('Pricing Inputs'!$AN$3=2,IF((J53-$H53)&gt;0,J53-$H53,0),(xSPRDOPT(J53,$E53,$BU53,0,$BP53,$BS53,$BT53,($A53-Inputs!$D$1)+15,1,0)))))</f>
        <v>#NAME?</v>
      </c>
      <c r="R53" s="280" t="e">
        <f aca="false">IF($A53="N/A"," ",IF('Pricing Inputs'!$AN$8=2,(K53-$H53),IF('Pricing Inputs'!$AN$3=2,IF((K53-$H53)&gt;0,K53-$H53,0),(xSPRDOPT(K53,$E53,$BU53,0,$BP53,$BS53,$BT53,($A53-Inputs!$D$1)+15,1,0)))))</f>
        <v>#NAME?</v>
      </c>
      <c r="S53" s="280" t="e">
        <f aca="false">IF($A53="N/A"," ",IF('Pricing Inputs'!$AN$8=2,(L53-$H53),IF('Pricing Inputs'!$AN$3=2,IF((L53-$H53)&gt;0,L53-$H53,0),(xSPRDOPT(L53,$E53,$BU53,0,$BP53,$BS53,$BT53,($A53-Inputs!$D$1)+15,1,0)))))</f>
        <v>#NAME?</v>
      </c>
      <c r="T53" s="280" t="e">
        <f aca="false">IF($A53="N/A"," ",IF('Pricing Inputs'!$AN$8=2,(M53-$H53),IF('Pricing Inputs'!$AN$3=2,IF((M53-$H53)&gt;0,M53-$H53,0),(xSPRDOPT(M53,$E53,$BU53,0,$BP53,$BS53,$BT53,($A53-Inputs!$D$1)+15,1,0)))))</f>
        <v>#NAME?</v>
      </c>
      <c r="U53" s="280" t="e">
        <f aca="false">IF($A53="N/A"," ",IF('Pricing Inputs'!$AN$8=2,(N53-$H53),IF('Pricing Inputs'!$AN$3=2,IF((N53-$H53)&gt;0,N53-$H53,0),(xSPRDOPT(N53,$E53,$BU53,0,$BP53,$BS53,$BT53,($A53-Inputs!$D$1)+15,1,0)))))</f>
        <v>#NAME?</v>
      </c>
      <c r="V53" s="281" t="e">
        <f aca="false">IF($A53="N/A"," ",(IF('Pricing Inputs'!$AN$8=2,(O53-$H53),IF((O53-$H53)&lt;=0,0,(O53-$H53)))))</f>
        <v>#N/A</v>
      </c>
      <c r="W53" s="282" t="e">
        <f aca="false">IF($A53="N/A"," ",IF(0&lt;&gt;P53,IF('Pricing Inputs'!$AN$3=2,8*VLOOKUP($A53,NumberofDaysTable,2),(xSPRDOPT(I53,$E53,$BU53,0,$BP53,$BS53,$BT53,$A53-Inputs!$D$1,1,1))*(8*VLOOKUP($A53,NumberofDaysTable,2))),0))</f>
        <v>#NAME?</v>
      </c>
      <c r="X53" s="282" t="e">
        <f aca="false">IF($A53="N/A"," ",IF(Q53&lt;&gt;0,IF('Pricing Inputs'!$AN$3=2,8*VLOOKUP($A53,NumberofDaysTable,2),(xSPRDOPT(J53,$E53,$BU53,0,$BP53,$BS53,$BT53,$A53-Inputs!$D$1,1,1))*(8*VLOOKUP($A53,NumberofDaysTable,2))),0))</f>
        <v>#NAME?</v>
      </c>
      <c r="Y53" s="282" t="e">
        <f aca="false">IF($A53="N/A"," ",IF(R53&lt;&gt;0,IF('Pricing Inputs'!$AN$3=2,8*VLOOKUP($A53,NumberofDaysTable,3),(xSPRDOPT(K53,$E53,$BU53,0,$BP53,$BS53,$BT53,$A53-Inputs!$D$1,1,1))*(8*VLOOKUP($A53,NumberofDaysTable,3))),0))</f>
        <v>#NAME?</v>
      </c>
      <c r="Z53" s="282" t="e">
        <f aca="false">IF($A53="N/A"," ",IF(S53&lt;&gt;0,IF('Pricing Inputs'!$AN$3=2,8*VLOOKUP($A53,NumberofDaysTable,3),(xSPRDOPT(L53,$E53,$BU53,0,$BP53,$BS53,$BT53,$A53-Inputs!$D$1,1,1))*(8*VLOOKUP($A53,NumberofDaysTable,3))),0))</f>
        <v>#NAME?</v>
      </c>
      <c r="AA53" s="282" t="e">
        <f aca="false">IF($A53="N/A"," ",IF(T53&lt;&gt;0,IF('Pricing Inputs'!$AN$3=2,8*VLOOKUP($A53,NumberofDaysTable,4),(xSPRDOPT(M53,$E53,$BU53,0,$BP53,$BS53,$BT53,$A53-Inputs!$D$1,1,1))*(8*VLOOKUP($A53,NumberofDaysTable,4))),0))</f>
        <v>#NAME?</v>
      </c>
      <c r="AB53" s="282" t="e">
        <f aca="false">IF($A53="N/A"," ",IF(U53&lt;&gt;0,IF('Pricing Inputs'!$AN$3=2,8*VLOOKUP($A53,NumberofDaysTable,4),(xSPRDOPT(N53,$E53,$BU53,0,$BP53,$BS53,$BT53,$A53-Inputs!$D$1,1,1))*(8*VLOOKUP($A53,NumberofDaysTable,4))),0))</f>
        <v>#NAME?</v>
      </c>
      <c r="AC53" s="282" t="e">
        <f aca="false">IF($A53="N/A"," ",(IF(V53&lt;&gt;0,(8*VLOOKUP($A53,NumberofDaysTable,6)),0)))</f>
        <v>#N/A</v>
      </c>
      <c r="AD53" s="298" t="e">
        <f aca="false">IF($A53="N/A"," ",RANK(P53,$P$52:$V$63))</f>
        <v>#NAME?</v>
      </c>
      <c r="AE53" s="299" t="e">
        <f aca="false">IF($A53="N/A"," ",RANK(Q53,$P$52:$V$63))</f>
        <v>#NAME?</v>
      </c>
      <c r="AF53" s="299" t="e">
        <f aca="false">IF($A53="N/A"," ",RANK(R53,$P$52:$V$63))</f>
        <v>#NAME?</v>
      </c>
      <c r="AG53" s="299" t="e">
        <f aca="false">IF($A53="N/A"," ",RANK(S53,$P$52:$V$63))</f>
        <v>#NAME?</v>
      </c>
      <c r="AH53" s="299" t="e">
        <f aca="false">IF($A53="N/A"," ",RANK(T53,$P$52:$V$63))</f>
        <v>#NAME?</v>
      </c>
      <c r="AI53" s="299" t="e">
        <f aca="false">IF($A53="N/A"," ",RANK(U53,$P$52:$V$63))</f>
        <v>#NAME?</v>
      </c>
      <c r="AJ53" s="300" t="e">
        <f aca="false">IF($A53="N/A"," ",RANK(V53,$P$52:$V$63))</f>
        <v>#NAME?</v>
      </c>
      <c r="AK53" s="286" t="e">
        <f aca="false">IF($A53="N/A"," ",IF(AD53&lt;=$AJ$2,W53,0))</f>
        <v>#NAME?</v>
      </c>
      <c r="AL53" s="301" t="e">
        <f aca="false">IF($A53="N/A"," ",IF(AE53&lt;=$AJ$2,X53,0))</f>
        <v>#NAME?</v>
      </c>
      <c r="AM53" s="301" t="e">
        <f aca="false">IF($A53="N/A"," ",IF(AF53&lt;=$AJ$2,Y53,0))</f>
        <v>#NAME?</v>
      </c>
      <c r="AN53" s="301" t="e">
        <f aca="false">IF($A53="N/A"," ",IF(AG53&lt;=$AJ$2,Z53,0))</f>
        <v>#NAME?</v>
      </c>
      <c r="AO53" s="301" t="e">
        <f aca="false">IF($A53="N/A"," ",IF(AH53&lt;=$AJ$2,AA53,0))</f>
        <v>#NAME?</v>
      </c>
      <c r="AP53" s="301" t="e">
        <f aca="false">IF($A53="N/A"," ",IF(AI53&lt;=$AJ$2,AB53,0))</f>
        <v>#NAME?</v>
      </c>
      <c r="AQ53" s="301" t="e">
        <f aca="false">IF($A53="N/A"," ",IF(AJ53&lt;=$AJ$2,AC53,0))</f>
        <v>#NAME?</v>
      </c>
      <c r="AR53" s="300"/>
      <c r="AS53" s="288" t="e">
        <f aca="false">IF($A53="N/A"," ",IF(AND(AD53=$AJ$2+1,AK53=0),MIN($AR$63,W53),0))</f>
        <v>#NAME?</v>
      </c>
      <c r="AT53" s="302" t="e">
        <f aca="false">IF($A53="N/A"," ",IF(AND(AE53=$AJ$2+1,AL53=0),MIN($AR$63,X53),0))</f>
        <v>#NAME?</v>
      </c>
      <c r="AU53" s="302" t="e">
        <f aca="false">IF($A53="N/A"," ",IF(AND(AF53=$AJ$2+1,AM53=0),MIN($AR$63,Y53),0))</f>
        <v>#NAME?</v>
      </c>
      <c r="AV53" s="302" t="e">
        <f aca="false">IF($A53="N/A"," ",IF(AND(AG53=$AJ$2+1,AN53=0),MIN($AR$63,Z53),0))</f>
        <v>#NAME?</v>
      </c>
      <c r="AW53" s="302" t="e">
        <f aca="false">IF($A53="N/A"," ",IF(AND(AH53=$AJ$2+1,AO53=0),MIN($AR$63,AA53),0))</f>
        <v>#NAME?</v>
      </c>
      <c r="AX53" s="302" t="e">
        <f aca="false">IF($A53="N/A"," ",IF(AND(AI53=$AJ$2+1,AP53=0),MIN($AR$63,AB53),0))</f>
        <v>#NAME?</v>
      </c>
      <c r="AY53" s="302" t="e">
        <f aca="false">IF($A53="N/A"," ",IF(AND(AJ53=$AJ$2+1,AQ53=0),MIN($AR$63,AC53),0))</f>
        <v>#NAME?</v>
      </c>
      <c r="AZ53" s="300"/>
      <c r="BA53" s="291" t="n">
        <f aca="false">IF($A53="N/A"," ",(IF(MONTH(A53)&gt;=4,IF(MONTH(A53)&lt;=10,Inputs!$F$13,Inputs!$F$14),Inputs!$F$14))*$BW53)</f>
        <v>180</v>
      </c>
      <c r="BB53" s="292" t="e">
        <f aca="false">IF($A53="N/A"," ",(IF(AK53&gt;0,($BA53*(8*(VLOOKUP($A53,NumberofDaysTable,2)))*P53),0)+IF(AS53&gt;0,($BA53*((AS53))*P53),0)))</f>
        <v>#NAME?</v>
      </c>
      <c r="BC53" s="292" t="e">
        <f aca="false">IF($A53="N/A"," ",(IF(AL53&gt;0,($BA53*(8*(VLOOKUP($A53,NumberofDaysTable,2)))*Q53),0)+IF(AT53&gt;0,($BA53*((AT53))*Q53),0)))</f>
        <v>#NAME?</v>
      </c>
      <c r="BD53" s="292" t="e">
        <f aca="false">IF($A53="N/A"," ",(IF(AM53&gt;0,($BA53*(8*(VLOOKUP($A53,NumberofDaysTable,3)))*R53),0)+IF(AU53&gt;0,($BA53*((AU53))*R53),0)))</f>
        <v>#NAME?</v>
      </c>
      <c r="BE53" s="292" t="e">
        <f aca="false">IF($A53="N/A"," ",(IF(AN53&gt;0,($BA53*(8*(VLOOKUP($A53,NumberofDaysTable,3)))*S53),0)+IF(AV53&gt;0,($BA53*((AV53))*S53),0)))</f>
        <v>#NAME?</v>
      </c>
      <c r="BF53" s="292" t="e">
        <f aca="false">IF($A53="N/A"," ",(IF(AO53&gt;0,($BA53*(8*(VLOOKUP($A53,NumberofDaysTable,4)+VLOOKUP($A53,NumberofDaysTable,5)))*T53),0)+IF(AW53&gt;0,($BA53*((AW53))*T53),0)))</f>
        <v>#NAME?</v>
      </c>
      <c r="BG53" s="292" t="e">
        <f aca="false">IF($A53="N/A"," ",(IF(AP53&gt;0,($BA53*(8*(VLOOKUP($A53,NumberofDaysTable,4)+VLOOKUP($A53,NumberofDaysTable,5)))*U53),0)+IF(AX53&gt;0,($BA53*((AX53))*U53),0)))</f>
        <v>#NAME?</v>
      </c>
      <c r="BH53" s="292" t="e">
        <f aca="false">IF($A53="N/A"," ",($BA53*AQ53*V53))</f>
        <v>#NAME?</v>
      </c>
      <c r="BI53" s="292" t="e">
        <f aca="false">IF($A53="N/A"," ",SUM(BB53:BH53))</f>
        <v>#NAME?</v>
      </c>
      <c r="BJ53" s="293" t="e">
        <f aca="false">IF($A53="N/A"," ",(H53*(SUM(AK53:AQ53)+SUM(AS53:AY53))*BA53))</f>
        <v>#NAME?</v>
      </c>
      <c r="BK53" s="293" t="e">
        <f aca="false">IF($A53="N/A"," ",((C53*D53)*(SUM($AK53:$AQ53)+SUM($AS53:$AY53))*$BA53))</f>
        <v>#N/A</v>
      </c>
      <c r="BL53" s="293" t="e">
        <f aca="false">IF($A53="N/A"," ",(F53*(SUM($AK53:$AQ53)+SUM($AS53:$AY53))*$BA53))</f>
        <v>#NAME?</v>
      </c>
      <c r="BM53" s="293" t="e">
        <f aca="false">IF($A53="N/A"," ",(G53*(SUM($AK53:$AQ53)+SUM($AS53:$AY53))*$BA53))</f>
        <v>#NAME?</v>
      </c>
      <c r="BN53" s="294" t="n">
        <f aca="false">IF(A53="N/A"," ",(VLOOKUP(A53,PowerVolTable,(IF('Pricing Inputs'!$AT$3=2,7,IF('Pricing Inputs'!$AT$3=1,6,8))),FALSE())))</f>
        <v>0.2231747125</v>
      </c>
      <c r="BO53" s="294" t="n">
        <f aca="false">IF(A53="N/A"," ",(VLOOKUP(A53,IntraPowerVol,(IF('Pricing Inputs'!$AT$3=2,3,IF('Pricing Inputs'!$AT$3=1,2,4))),FALSE())*VLOOKUP(MONTH($A53),Inputs!$A$28:$B$39,2)))</f>
        <v>2.3</v>
      </c>
      <c r="BP53" s="295" t="n">
        <f aca="false">IF($A53="N/A"," ",(IF(DateToday&gt;$A53,$BO53,((($BN53^2)*((($A53-1)-DateToday)/((EOMONTH($A53,0)+1)-DateToday-15)))+((($BO53)^2)*((15)/((EOMONTH($A53,0)+1)-DateToday-15))))^0.5)))</f>
        <v>2.3</v>
      </c>
      <c r="BQ53" s="294" t="e">
        <f aca="false">IF($A53="N/A"," ",(VLOOKUP($A53,GasVolTable,(IF('Pricing Inputs'!$AT$3=2,6,IF('Pricing Inputs'!$AT$3=1,7,5))),FALSE())))</f>
        <v>#N/A</v>
      </c>
      <c r="BR53" s="294" t="e">
        <f aca="false">IF($A53="N/A"," ",(VLOOKUP($A53,OmicronVol,(IF('Pricing Inputs'!$AT$3=2,3,IF('Pricing Inputs'!$AT$3=1,4,2))),FALSE())))</f>
        <v>#N/A</v>
      </c>
      <c r="BS53" s="295" t="e">
        <f aca="false">IF($A53="N/A"," ",IF('Pricing Inputs'!$AN$3=1,(IF(DateToday&gt;$A53,$BR53,((($BQ53^2)*((($A53-1)-DateToday)/((EOMONTH($A53,0)+1)-DateToday-15)))+((($BR53)^2)*((15)/((EOMONTH($A53,0)+1)-DateToday-15))))^0.5)),0.0001))</f>
        <v>#N/A</v>
      </c>
      <c r="BT53" s="294" t="n">
        <f aca="false">IF($A53="N/A"," ",IF('Pricing Inputs'!$AN$3=1,(VLOOKUP($A53,CorrelationTable,2,FALSE())),0))</f>
        <v>0.9</v>
      </c>
      <c r="BU53" s="296" t="e">
        <f aca="false">IF($A53="N/A"," ",F53+G53+(D53*(VLOOKUP($A53,'Gas Curves'!$B$17:$P$310,14,FALSE()))))</f>
        <v>#N/A</v>
      </c>
      <c r="BV53" s="294" t="n">
        <f aca="false">IF($A53="N/A"," ",IF('Pricing Inputs'!$AW$3=1,0,(VLOOKUP($A53,InterestRatesTable,2))))</f>
        <v>0</v>
      </c>
      <c r="BW53" s="297" t="n">
        <f aca="false">IF($A53="N/A"," ",(1+BV53/2)^(-2*((EOMONTH(A53,0)+20)-DateToday)/365.25))</f>
        <v>1</v>
      </c>
    </row>
    <row r="54" customFormat="false" ht="12.75" hidden="false" customHeight="false" outlineLevel="0" collapsed="false">
      <c r="A54" s="272" t="n">
        <f aca="false">IF(A53="N/A","N/A",IF(EDATE(A53,1)&gt;Inputs!$K$3,"N/A",EDATE(A53,1)))</f>
        <v>38412</v>
      </c>
      <c r="B54" s="273" t="n">
        <f aca="false">IF(A54="N/A"," ",YEAR(A54))</f>
        <v>2005</v>
      </c>
      <c r="C54" s="274" t="e">
        <f aca="false">IF(A54="N/A"," ",VLOOKUP(A54,ScaledPrice,10))</f>
        <v>#N/A</v>
      </c>
      <c r="D54" s="275" t="n">
        <f aca="false">IF(A54="N/A"," ",(VLOOKUP(MONTH($A54),Inputs!$A$14:$B$25,2))/1000)</f>
        <v>10.5</v>
      </c>
      <c r="E54" s="276" t="e">
        <f aca="false">IF($A54="N/A"," ",C54*D54)</f>
        <v>#N/A</v>
      </c>
      <c r="F54" s="277" t="n">
        <f aca="false">IF(A54="N/A"," ",Inputs!$F$6)</f>
        <v>2</v>
      </c>
      <c r="G54" s="277" t="n">
        <f aca="false">IF(A54="N/A"," ",Inputs!$F$9/IF(AND('Pricing Inputs'!$AQ$3&gt;=4,'Pricing Inputs'!$AQ$3&lt;=6),16,IF(AND('Pricing Inputs'!$AQ$3&gt;=7,'Pricing Inputs'!$AQ$3&lt;=9),8,24))/(BA54/BW54))</f>
        <v>0</v>
      </c>
      <c r="H54" s="278" t="e">
        <f aca="false">IF(A54="N/A"," ",(C54*D54)+F54+G54)</f>
        <v>#N/A</v>
      </c>
      <c r="I54" s="279" t="n">
        <f aca="false">VLOOKUP(A54,ScaledPrice,(IF(AND('Pricing Inputs'!$AQ$3&gt;=1,'Pricing Inputs'!$AQ$3&lt;=6),2,4)))</f>
        <v>32.06445</v>
      </c>
      <c r="J54" s="279" t="n">
        <f aca="false">IF(A54="N/A"," ",IF(AND('Pricing Inputs'!$AQ$3&gt;=1,'Pricing Inputs'!$AQ$3&lt;=6),I54,(VLOOKUP(A54,ScaledPrice,2))*(2-(VLOOKUP(A54,ScaledPrice,3)))))</f>
        <v>33.93555</v>
      </c>
      <c r="K54" s="279" t="n">
        <f aca="false">IF(A54="N/A"," ",IF(OR('Pricing Inputs'!$AQ$3=2,'Pricing Inputs'!$AQ$3=3,'Pricing Inputs'!$AQ$3=5,'Pricing Inputs'!$AQ$3=6,'Pricing Inputs'!$AQ$3=8,'Pricing Inputs'!$AQ$3=9),VLOOKUP(A54,ScaledPrice,IF(AND('Pricing Inputs'!$AQ$3&gt;=2,'Pricing Inputs'!$AQ$3&lt;=6),5,6)),0))</f>
        <v>20.6327444520187</v>
      </c>
      <c r="L54" s="279" t="n">
        <f aca="false">IF(A54="N/A"," ",IF(OR('Pricing Inputs'!$AQ$3=2,'Pricing Inputs'!$AQ$3=3,'Pricing Inputs'!$AQ$3=5,'Pricing Inputs'!$AQ$3=6,'Pricing Inputs'!$AQ$3=8,'Pricing Inputs'!$AQ$3=9),IF(AND('Pricing Inputs'!$AQ$3&gt;=2,'Pricing Inputs'!$AQ$3&lt;=6),K54,(VLOOKUP(A54,ScaledPrice,5))*(2-(VLOOKUP(A54,ScaledPrice,3)))),0))</f>
        <v>21.8367547545242</v>
      </c>
      <c r="M54" s="279" t="n">
        <f aca="false">IF(A54="N/A"," ",IF(OR('Pricing Inputs'!$AQ$3=3,'Pricing Inputs'!$AQ$3=6,'Pricing Inputs'!$AQ$3=9),(VLOOKUP(A54,ScaledPrice,IF(AND('Pricing Inputs'!$AQ$3&gt;=3,'Pricing Inputs'!$AQ$3&lt;=6),7,8))),0))</f>
        <v>20.2729903575134</v>
      </c>
      <c r="N54" s="279" t="n">
        <f aca="false">IF(A54="N/A"," ",IF(OR('Pricing Inputs'!$AQ$3=3,'Pricing Inputs'!$AQ$3=6,'Pricing Inputs'!$AQ$3=9),IF(AND('Pricing Inputs'!$AQ$3&gt;=3,'Pricing Inputs'!$AQ$3&lt;=6),M54,(VLOOKUP(A54,ScaledPrice,7))*(2-(VLOOKUP(A54,ScaledPrice,3)))),0))</f>
        <v>21.4560074452209</v>
      </c>
      <c r="O54" s="279" t="n">
        <f aca="false">IF(A54="N/A"," ",IF(AND('Pricing Inputs'!$AQ$3&gt;=1,'Pricing Inputs'!$AQ$3&lt;=3),VLOOKUP(A54,ScaledPrice,9),0))</f>
        <v>0</v>
      </c>
      <c r="P54" s="280" t="e">
        <f aca="false">IF($A54="N/A"," ",IF('Pricing Inputs'!$AN$8=2,(I54-H54),IF('Pricing Inputs'!$AN$3=2,IF((I54-$H54)&gt;0,I54-$H54,0),(xSPRDOPT(I54,$E54,$BU54,0,$BP54,$BS54,$BT54,($A54-Inputs!$D$1)+15,1,0)))))</f>
        <v>#NAME?</v>
      </c>
      <c r="Q54" s="280" t="e">
        <f aca="false">IF($A54="N/A"," ",IF('Pricing Inputs'!$AN$8=2,(J54-$H54),IF('Pricing Inputs'!$AN$3=2,IF((J54-$H54)&gt;0,J54-$H54,0),(xSPRDOPT(J54,$E54,$BU54,0,$BP54,$BS54,$BT54,($A54-Inputs!$D$1)+15,1,0)))))</f>
        <v>#NAME?</v>
      </c>
      <c r="R54" s="280" t="e">
        <f aca="false">IF($A54="N/A"," ",IF('Pricing Inputs'!$AN$8=2,(K54-$H54),IF('Pricing Inputs'!$AN$3=2,IF((K54-$H54)&gt;0,K54-$H54,0),(xSPRDOPT(K54,$E54,$BU54,0,$BP54,$BS54,$BT54,($A54-Inputs!$D$1)+15,1,0)))))</f>
        <v>#NAME?</v>
      </c>
      <c r="S54" s="280" t="e">
        <f aca="false">IF($A54="N/A"," ",IF('Pricing Inputs'!$AN$8=2,(L54-$H54),IF('Pricing Inputs'!$AN$3=2,IF((L54-$H54)&gt;0,L54-$H54,0),(xSPRDOPT(L54,$E54,$BU54,0,$BP54,$BS54,$BT54,($A54-Inputs!$D$1)+15,1,0)))))</f>
        <v>#NAME?</v>
      </c>
      <c r="T54" s="280" t="e">
        <f aca="false">IF($A54="N/A"," ",IF('Pricing Inputs'!$AN$8=2,(M54-$H54),IF('Pricing Inputs'!$AN$3=2,IF((M54-$H54)&gt;0,M54-$H54,0),(xSPRDOPT(M54,$E54,$BU54,0,$BP54,$BS54,$BT54,($A54-Inputs!$D$1)+15,1,0)))))</f>
        <v>#NAME?</v>
      </c>
      <c r="U54" s="280" t="e">
        <f aca="false">IF($A54="N/A"," ",IF('Pricing Inputs'!$AN$8=2,(N54-$H54),IF('Pricing Inputs'!$AN$3=2,IF((N54-$H54)&gt;0,N54-$H54,0),(xSPRDOPT(N54,$E54,$BU54,0,$BP54,$BS54,$BT54,($A54-Inputs!$D$1)+15,1,0)))))</f>
        <v>#NAME?</v>
      </c>
      <c r="V54" s="281" t="e">
        <f aca="false">IF($A54="N/A"," ",(IF('Pricing Inputs'!$AN$8=2,(O54-$H54),IF((O54-$H54)&lt;=0,0,(O54-$H54)))))</f>
        <v>#N/A</v>
      </c>
      <c r="W54" s="282" t="e">
        <f aca="false">IF($A54="N/A"," ",IF(0&lt;&gt;P54,IF('Pricing Inputs'!$AN$3=2,8*VLOOKUP($A54,NumberofDaysTable,2),(xSPRDOPT(I54,$E54,$BU54,0,$BP54,$BS54,$BT54,$A54-Inputs!$D$1,1,1))*(8*VLOOKUP($A54,NumberofDaysTable,2))),0))</f>
        <v>#NAME?</v>
      </c>
      <c r="X54" s="282" t="e">
        <f aca="false">IF($A54="N/A"," ",IF(Q54&lt;&gt;0,IF('Pricing Inputs'!$AN$3=2,8*VLOOKUP($A54,NumberofDaysTable,2),(xSPRDOPT(J54,$E54,$BU54,0,$BP54,$BS54,$BT54,$A54-Inputs!$D$1,1,1))*(8*VLOOKUP($A54,NumberofDaysTable,2))),0))</f>
        <v>#NAME?</v>
      </c>
      <c r="Y54" s="282" t="e">
        <f aca="false">IF($A54="N/A"," ",IF(R54&lt;&gt;0,IF('Pricing Inputs'!$AN$3=2,8*VLOOKUP($A54,NumberofDaysTable,3),(xSPRDOPT(K54,$E54,$BU54,0,$BP54,$BS54,$BT54,$A54-Inputs!$D$1,1,1))*(8*VLOOKUP($A54,NumberofDaysTable,3))),0))</f>
        <v>#NAME?</v>
      </c>
      <c r="Z54" s="282" t="e">
        <f aca="false">IF($A54="N/A"," ",IF(S54&lt;&gt;0,IF('Pricing Inputs'!$AN$3=2,8*VLOOKUP($A54,NumberofDaysTable,3),(xSPRDOPT(L54,$E54,$BU54,0,$BP54,$BS54,$BT54,$A54-Inputs!$D$1,1,1))*(8*VLOOKUP($A54,NumberofDaysTable,3))),0))</f>
        <v>#NAME?</v>
      </c>
      <c r="AA54" s="282" t="e">
        <f aca="false">IF($A54="N/A"," ",IF(T54&lt;&gt;0,IF('Pricing Inputs'!$AN$3=2,8*VLOOKUP($A54,NumberofDaysTable,4),(xSPRDOPT(M54,$E54,$BU54,0,$BP54,$BS54,$BT54,$A54-Inputs!$D$1,1,1))*(8*VLOOKUP($A54,NumberofDaysTable,4))),0))</f>
        <v>#NAME?</v>
      </c>
      <c r="AB54" s="282" t="e">
        <f aca="false">IF($A54="N/A"," ",IF(U54&lt;&gt;0,IF('Pricing Inputs'!$AN$3=2,8*VLOOKUP($A54,NumberofDaysTable,4),(xSPRDOPT(N54,$E54,$BU54,0,$BP54,$BS54,$BT54,$A54-Inputs!$D$1,1,1))*(8*VLOOKUP($A54,NumberofDaysTable,4))),0))</f>
        <v>#NAME?</v>
      </c>
      <c r="AC54" s="282" t="e">
        <f aca="false">IF($A54="N/A"," ",(IF(V54&lt;&gt;0,(8*VLOOKUP($A54,NumberofDaysTable,6)),0)))</f>
        <v>#N/A</v>
      </c>
      <c r="AD54" s="298" t="e">
        <f aca="false">IF($A54="N/A"," ",RANK(P54,$P$52:$V$63))</f>
        <v>#NAME?</v>
      </c>
      <c r="AE54" s="299" t="e">
        <f aca="false">IF($A54="N/A"," ",RANK(Q54,$P$52:$V$63))</f>
        <v>#NAME?</v>
      </c>
      <c r="AF54" s="299" t="e">
        <f aca="false">IF($A54="N/A"," ",RANK(R54,$P$52:$V$63))</f>
        <v>#NAME?</v>
      </c>
      <c r="AG54" s="299" t="e">
        <f aca="false">IF($A54="N/A"," ",RANK(S54,$P$52:$V$63))</f>
        <v>#NAME?</v>
      </c>
      <c r="AH54" s="299" t="e">
        <f aca="false">IF($A54="N/A"," ",RANK(T54,$P$52:$V$63))</f>
        <v>#NAME?</v>
      </c>
      <c r="AI54" s="299" t="e">
        <f aca="false">IF($A54="N/A"," ",RANK(U54,$P$52:$V$63))</f>
        <v>#NAME?</v>
      </c>
      <c r="AJ54" s="300" t="e">
        <f aca="false">IF($A54="N/A"," ",RANK(V54,$P$52:$V$63))</f>
        <v>#NAME?</v>
      </c>
      <c r="AK54" s="286" t="e">
        <f aca="false">IF($A54="N/A"," ",IF(AD54&lt;=$AJ$2,W54,0))</f>
        <v>#NAME?</v>
      </c>
      <c r="AL54" s="301" t="e">
        <f aca="false">IF($A54="N/A"," ",IF(AE54&lt;=$AJ$2,X54,0))</f>
        <v>#NAME?</v>
      </c>
      <c r="AM54" s="301" t="e">
        <f aca="false">IF($A54="N/A"," ",IF(AF54&lt;=$AJ$2,Y54,0))</f>
        <v>#NAME?</v>
      </c>
      <c r="AN54" s="301" t="e">
        <f aca="false">IF($A54="N/A"," ",IF(AG54&lt;=$AJ$2,Z54,0))</f>
        <v>#NAME?</v>
      </c>
      <c r="AO54" s="301" t="e">
        <f aca="false">IF($A54="N/A"," ",IF(AH54&lt;=$AJ$2,AA54,0))</f>
        <v>#NAME?</v>
      </c>
      <c r="AP54" s="301" t="e">
        <f aca="false">IF($A54="N/A"," ",IF(AI54&lt;=$AJ$2,AB54,0))</f>
        <v>#NAME?</v>
      </c>
      <c r="AQ54" s="301" t="e">
        <f aca="false">IF($A54="N/A"," ",IF(AJ54&lt;=$AJ$2,AC54,0))</f>
        <v>#NAME?</v>
      </c>
      <c r="AR54" s="300"/>
      <c r="AS54" s="288" t="e">
        <f aca="false">IF($A54="N/A"," ",IF(AND(AD54=$AJ$2+1,AK54=0),MIN($AR$63,W54),0))</f>
        <v>#NAME?</v>
      </c>
      <c r="AT54" s="302" t="e">
        <f aca="false">IF($A54="N/A"," ",IF(AND(AE54=$AJ$2+1,AL54=0),MIN($AR$63,X54),0))</f>
        <v>#NAME?</v>
      </c>
      <c r="AU54" s="302" t="e">
        <f aca="false">IF($A54="N/A"," ",IF(AND(AF54=$AJ$2+1,AM54=0),MIN($AR$63,Y54),0))</f>
        <v>#NAME?</v>
      </c>
      <c r="AV54" s="302" t="e">
        <f aca="false">IF($A54="N/A"," ",IF(AND(AG54=$AJ$2+1,AN54=0),MIN($AR$63,Z54),0))</f>
        <v>#NAME?</v>
      </c>
      <c r="AW54" s="302" t="e">
        <f aca="false">IF($A54="N/A"," ",IF(AND(AH54=$AJ$2+1,AO54=0),MIN($AR$63,AA54),0))</f>
        <v>#NAME?</v>
      </c>
      <c r="AX54" s="302" t="e">
        <f aca="false">IF($A54="N/A"," ",IF(AND(AI54=$AJ$2+1,AP54=0),MIN($AR$63,AB54),0))</f>
        <v>#NAME?</v>
      </c>
      <c r="AY54" s="302" t="e">
        <f aca="false">IF($A54="N/A"," ",IF(AND(AJ54=$AJ$2+1,AQ54=0),MIN($AR$63,AC54),0))</f>
        <v>#NAME?</v>
      </c>
      <c r="AZ54" s="300"/>
      <c r="BA54" s="291" t="n">
        <f aca="false">IF($A54="N/A"," ",(IF(MONTH(A54)&gt;=4,IF(MONTH(A54)&lt;=10,Inputs!$F$13,Inputs!$F$14),Inputs!$F$14))*$BW54)</f>
        <v>180</v>
      </c>
      <c r="BB54" s="292" t="e">
        <f aca="false">IF($A54="N/A"," ",(IF(AK54&gt;0,($BA54*(8*(VLOOKUP($A54,NumberofDaysTable,2)))*P54),0)+IF(AS54&gt;0,($BA54*((AS54))*P54),0)))</f>
        <v>#NAME?</v>
      </c>
      <c r="BC54" s="292" t="e">
        <f aca="false">IF($A54="N/A"," ",(IF(AL54&gt;0,($BA54*(8*(VLOOKUP($A54,NumberofDaysTable,2)))*Q54),0)+IF(AT54&gt;0,($BA54*((AT54))*Q54),0)))</f>
        <v>#NAME?</v>
      </c>
      <c r="BD54" s="292" t="e">
        <f aca="false">IF($A54="N/A"," ",(IF(AM54&gt;0,($BA54*(8*(VLOOKUP($A54,NumberofDaysTable,3)))*R54),0)+IF(AU54&gt;0,($BA54*((AU54))*R54),0)))</f>
        <v>#NAME?</v>
      </c>
      <c r="BE54" s="292" t="e">
        <f aca="false">IF($A54="N/A"," ",(IF(AN54&gt;0,($BA54*(8*(VLOOKUP($A54,NumberofDaysTable,3)))*S54),0)+IF(AV54&gt;0,($BA54*((AV54))*S54),0)))</f>
        <v>#NAME?</v>
      </c>
      <c r="BF54" s="292" t="e">
        <f aca="false">IF($A54="N/A"," ",(IF(AO54&gt;0,($BA54*(8*(VLOOKUP($A54,NumberofDaysTable,4)+VLOOKUP($A54,NumberofDaysTable,5)))*T54),0)+IF(AW54&gt;0,($BA54*((AW54))*T54),0)))</f>
        <v>#NAME?</v>
      </c>
      <c r="BG54" s="292" t="e">
        <f aca="false">IF($A54="N/A"," ",(IF(AP54&gt;0,($BA54*(8*(VLOOKUP($A54,NumberofDaysTable,4)+VLOOKUP($A54,NumberofDaysTable,5)))*U54),0)+IF(AX54&gt;0,($BA54*((AX54))*U54),0)))</f>
        <v>#NAME?</v>
      </c>
      <c r="BH54" s="292" t="e">
        <f aca="false">IF($A54="N/A"," ",($BA54*AQ54*V54))</f>
        <v>#NAME?</v>
      </c>
      <c r="BI54" s="292" t="e">
        <f aca="false">IF($A54="N/A"," ",SUM(BB54:BH54))</f>
        <v>#NAME?</v>
      </c>
      <c r="BJ54" s="293" t="e">
        <f aca="false">IF($A54="N/A"," ",(H54*(SUM(AK54:AQ54)+SUM(AS54:AY54))*BA54))</f>
        <v>#NAME?</v>
      </c>
      <c r="BK54" s="293" t="e">
        <f aca="false">IF($A54="N/A"," ",((C54*D54)*(SUM($AK54:$AQ54)+SUM($AS54:$AY54))*$BA54))</f>
        <v>#N/A</v>
      </c>
      <c r="BL54" s="293" t="e">
        <f aca="false">IF($A54="N/A"," ",(F54*(SUM($AK54:$AQ54)+SUM($AS54:$AY54))*$BA54))</f>
        <v>#NAME?</v>
      </c>
      <c r="BM54" s="293" t="e">
        <f aca="false">IF($A54="N/A"," ",(G54*(SUM($AK54:$AQ54)+SUM($AS54:$AY54))*$BA54))</f>
        <v>#NAME?</v>
      </c>
      <c r="BN54" s="294" t="n">
        <f aca="false">IF(A54="N/A"," ",(VLOOKUP(A54,PowerVolTable,(IF('Pricing Inputs'!$AT$3=2,7,IF('Pricing Inputs'!$AT$3=1,6,8))),FALSE())))</f>
        <v>0.21753425671875</v>
      </c>
      <c r="BO54" s="294" t="n">
        <f aca="false">IF(A54="N/A"," ",(VLOOKUP(A54,IntraPowerVol,(IF('Pricing Inputs'!$AT$3=2,3,IF('Pricing Inputs'!$AT$3=1,2,4))),FALSE())*VLOOKUP(MONTH($A54),Inputs!$A$28:$B$39,2)))</f>
        <v>1.495</v>
      </c>
      <c r="BP54" s="295" t="n">
        <f aca="false">IF($A54="N/A"," ",(IF(DateToday&gt;$A54,$BO54,((($BN54^2)*((($A54-1)-DateToday)/((EOMONTH($A54,0)+1)-DateToday-15)))+((($BO54)^2)*((15)/((EOMONTH($A54,0)+1)-DateToday-15))))^0.5)))</f>
        <v>1.495</v>
      </c>
      <c r="BQ54" s="294" t="e">
        <f aca="false">IF($A54="N/A"," ",(VLOOKUP($A54,GasVolTable,(IF('Pricing Inputs'!$AT$3=2,6,IF('Pricing Inputs'!$AT$3=1,7,5))),FALSE())))</f>
        <v>#N/A</v>
      </c>
      <c r="BR54" s="294" t="e">
        <f aca="false">IF($A54="N/A"," ",(VLOOKUP($A54,OmicronVol,(IF('Pricing Inputs'!$AT$3=2,3,IF('Pricing Inputs'!$AT$3=1,4,2))),FALSE())))</f>
        <v>#N/A</v>
      </c>
      <c r="BS54" s="295" t="e">
        <f aca="false">IF($A54="N/A"," ",IF('Pricing Inputs'!$AN$3=1,(IF(DateToday&gt;$A54,$BR54,((($BQ54^2)*((($A54-1)-DateToday)/((EOMONTH($A54,0)+1)-DateToday-15)))+((($BR54)^2)*((15)/((EOMONTH($A54,0)+1)-DateToday-15))))^0.5)),0.0001))</f>
        <v>#N/A</v>
      </c>
      <c r="BT54" s="294" t="n">
        <f aca="false">IF($A54="N/A"," ",IF('Pricing Inputs'!$AN$3=1,(VLOOKUP($A54,CorrelationTable,2,FALSE())),0))</f>
        <v>0.9</v>
      </c>
      <c r="BU54" s="296" t="e">
        <f aca="false">IF($A54="N/A"," ",F54+G54+(D54*(VLOOKUP($A54,'Gas Curves'!$B$17:$P$310,14,FALSE()))))</f>
        <v>#N/A</v>
      </c>
      <c r="BV54" s="294" t="n">
        <f aca="false">IF($A54="N/A"," ",IF('Pricing Inputs'!$AW$3=1,0,(VLOOKUP($A54,InterestRatesTable,2))))</f>
        <v>0</v>
      </c>
      <c r="BW54" s="297" t="n">
        <f aca="false">IF($A54="N/A"," ",(1+BV54/2)^(-2*((EOMONTH(A54,0)+20)-DateToday)/365.25))</f>
        <v>1</v>
      </c>
    </row>
    <row r="55" customFormat="false" ht="12.75" hidden="false" customHeight="false" outlineLevel="0" collapsed="false">
      <c r="A55" s="272" t="n">
        <f aca="false">IF(A54="N/A","N/A",IF(EDATE(A54,1)&gt;Inputs!$K$3,"N/A",EDATE(A54,1)))</f>
        <v>38443</v>
      </c>
      <c r="B55" s="273" t="n">
        <f aca="false">IF(A55="N/A"," ",YEAR(A55))</f>
        <v>2005</v>
      </c>
      <c r="C55" s="274" t="e">
        <f aca="false">IF(A55="N/A"," ",VLOOKUP(A55,ScaledPrice,10))</f>
        <v>#N/A</v>
      </c>
      <c r="D55" s="275" t="n">
        <f aca="false">IF(A55="N/A"," ",(VLOOKUP(MONTH($A55),Inputs!$A$14:$B$25,2))/1000)</f>
        <v>10.5</v>
      </c>
      <c r="E55" s="276" t="e">
        <f aca="false">IF($A55="N/A"," ",C55*D55)</f>
        <v>#N/A</v>
      </c>
      <c r="F55" s="277" t="n">
        <f aca="false">IF(A55="N/A"," ",Inputs!$F$6)</f>
        <v>2</v>
      </c>
      <c r="G55" s="277" t="n">
        <f aca="false">IF(A55="N/A"," ",Inputs!$F$9/IF(AND('Pricing Inputs'!$AQ$3&gt;=4,'Pricing Inputs'!$AQ$3&lt;=6),16,IF(AND('Pricing Inputs'!$AQ$3&gt;=7,'Pricing Inputs'!$AQ$3&lt;=9),8,24))/(BA55/BW55))</f>
        <v>0</v>
      </c>
      <c r="H55" s="278" t="e">
        <f aca="false">IF(A55="N/A"," ",(C55*D55)+F55+G55)</f>
        <v>#N/A</v>
      </c>
      <c r="I55" s="279" t="n">
        <f aca="false">VLOOKUP(A55,ScaledPrice,(IF(AND('Pricing Inputs'!$AQ$3&gt;=1,'Pricing Inputs'!$AQ$3&lt;=6),2,4)))</f>
        <v>29.3684010659091</v>
      </c>
      <c r="J55" s="279" t="n">
        <f aca="false">IF(A55="N/A"," ",IF(AND('Pricing Inputs'!$AQ$3&gt;=1,'Pricing Inputs'!$AQ$3&lt;=6),I55,(VLOOKUP(A55,ScaledPrice,2))*(2-(VLOOKUP(A55,ScaledPrice,3)))))</f>
        <v>34.1315989340909</v>
      </c>
      <c r="K55" s="279" t="n">
        <f aca="false">IF(A55="N/A"," ",IF(OR('Pricing Inputs'!$AQ$3=2,'Pricing Inputs'!$AQ$3=3,'Pricing Inputs'!$AQ$3=5,'Pricing Inputs'!$AQ$3=6,'Pricing Inputs'!$AQ$3=8,'Pricing Inputs'!$AQ$3=9),VLOOKUP(A55,ScaledPrice,IF(AND('Pricing Inputs'!$AQ$3&gt;=2,'Pricing Inputs'!$AQ$3&lt;=6),5,6)),0))</f>
        <v>20.273446907861</v>
      </c>
      <c r="L55" s="279" t="n">
        <f aca="false">IF(A55="N/A"," ",IF(OR('Pricing Inputs'!$AQ$3=2,'Pricing Inputs'!$AQ$3=3,'Pricing Inputs'!$AQ$3=5,'Pricing Inputs'!$AQ$3=6,'Pricing Inputs'!$AQ$3=8,'Pricing Inputs'!$AQ$3=9),IF(AND('Pricing Inputs'!$AQ$3&gt;=2,'Pricing Inputs'!$AQ$3&lt;=6),K55,(VLOOKUP(A55,ScaledPrice,5))*(2-(VLOOKUP(A55,ScaledPrice,3)))),0))</f>
        <v>23.5615537024905</v>
      </c>
      <c r="M55" s="279" t="n">
        <f aca="false">IF(A55="N/A"," ",IF(OR('Pricing Inputs'!$AQ$3=3,'Pricing Inputs'!$AQ$3=6,'Pricing Inputs'!$AQ$3=9),(VLOOKUP(A55,ScaledPrice,IF(AND('Pricing Inputs'!$AQ$3&gt;=3,'Pricing Inputs'!$AQ$3&lt;=6),7,8))),0))</f>
        <v>19.0871473734633</v>
      </c>
      <c r="N55" s="279" t="n">
        <f aca="false">IF(A55="N/A"," ",IF(OR('Pricing Inputs'!$AQ$3=3,'Pricing Inputs'!$AQ$3=6,'Pricing Inputs'!$AQ$3=9),IF(AND('Pricing Inputs'!$AQ$3&gt;=3,'Pricing Inputs'!$AQ$3&lt;=6),M55,(VLOOKUP(A55,ScaledPrice,7))*(2-(VLOOKUP(A55,ScaledPrice,3)))),0))</f>
        <v>22.182850795482</v>
      </c>
      <c r="O55" s="279" t="n">
        <f aca="false">IF(A55="N/A"," ",IF(AND('Pricing Inputs'!$AQ$3&gt;=1,'Pricing Inputs'!$AQ$3&lt;=3),VLOOKUP(A55,ScaledPrice,9),0))</f>
        <v>0</v>
      </c>
      <c r="P55" s="280" t="e">
        <f aca="false">IF($A55="N/A"," ",IF('Pricing Inputs'!$AN$8=2,(I55-H55),IF('Pricing Inputs'!$AN$3=2,IF((I55-$H55)&gt;0,I55-$H55,0),(xSPRDOPT(I55,$E55,$BU55,0,$BP55,$BS55,$BT55,($A55-Inputs!$D$1)+15,1,0)))))</f>
        <v>#NAME?</v>
      </c>
      <c r="Q55" s="280" t="e">
        <f aca="false">IF($A55="N/A"," ",IF('Pricing Inputs'!$AN$8=2,(J55-$H55),IF('Pricing Inputs'!$AN$3=2,IF((J55-$H55)&gt;0,J55-$H55,0),(xSPRDOPT(J55,$E55,$BU55,0,$BP55,$BS55,$BT55,($A55-Inputs!$D$1)+15,1,0)))))</f>
        <v>#NAME?</v>
      </c>
      <c r="R55" s="280" t="e">
        <f aca="false">IF($A55="N/A"," ",IF('Pricing Inputs'!$AN$8=2,(K55-$H55),IF('Pricing Inputs'!$AN$3=2,IF((K55-$H55)&gt;0,K55-$H55,0),(xSPRDOPT(K55,$E55,$BU55,0,$BP55,$BS55,$BT55,($A55-Inputs!$D$1)+15,1,0)))))</f>
        <v>#NAME?</v>
      </c>
      <c r="S55" s="280" t="e">
        <f aca="false">IF($A55="N/A"," ",IF('Pricing Inputs'!$AN$8=2,(L55-$H55),IF('Pricing Inputs'!$AN$3=2,IF((L55-$H55)&gt;0,L55-$H55,0),(xSPRDOPT(L55,$E55,$BU55,0,$BP55,$BS55,$BT55,($A55-Inputs!$D$1)+15,1,0)))))</f>
        <v>#NAME?</v>
      </c>
      <c r="T55" s="280" t="e">
        <f aca="false">IF($A55="N/A"," ",IF('Pricing Inputs'!$AN$8=2,(M55-$H55),IF('Pricing Inputs'!$AN$3=2,IF((M55-$H55)&gt;0,M55-$H55,0),(xSPRDOPT(M55,$E55,$BU55,0,$BP55,$BS55,$BT55,($A55-Inputs!$D$1)+15,1,0)))))</f>
        <v>#NAME?</v>
      </c>
      <c r="U55" s="280" t="e">
        <f aca="false">IF($A55="N/A"," ",IF('Pricing Inputs'!$AN$8=2,(N55-$H55),IF('Pricing Inputs'!$AN$3=2,IF((N55-$H55)&gt;0,N55-$H55,0),(xSPRDOPT(N55,$E55,$BU55,0,$BP55,$BS55,$BT55,($A55-Inputs!$D$1)+15,1,0)))))</f>
        <v>#NAME?</v>
      </c>
      <c r="V55" s="281" t="e">
        <f aca="false">IF($A55="N/A"," ",(IF('Pricing Inputs'!$AN$8=2,(O55-$H55),IF((O55-$H55)&lt;=0,0,(O55-$H55)))))</f>
        <v>#N/A</v>
      </c>
      <c r="W55" s="282" t="e">
        <f aca="false">IF($A55="N/A"," ",IF(0&lt;&gt;P55,IF('Pricing Inputs'!$AN$3=2,8*VLOOKUP($A55,NumberofDaysTable,2),(xSPRDOPT(I55,$E55,$BU55,0,$BP55,$BS55,$BT55,$A55-Inputs!$D$1,1,1))*(8*VLOOKUP($A55,NumberofDaysTable,2))),0))</f>
        <v>#NAME?</v>
      </c>
      <c r="X55" s="282" t="e">
        <f aca="false">IF($A55="N/A"," ",IF(Q55&lt;&gt;0,IF('Pricing Inputs'!$AN$3=2,8*VLOOKUP($A55,NumberofDaysTable,2),(xSPRDOPT(J55,$E55,$BU55,0,$BP55,$BS55,$BT55,$A55-Inputs!$D$1,1,1))*(8*VLOOKUP($A55,NumberofDaysTable,2))),0))</f>
        <v>#NAME?</v>
      </c>
      <c r="Y55" s="282" t="e">
        <f aca="false">IF($A55="N/A"," ",IF(R55&lt;&gt;0,IF('Pricing Inputs'!$AN$3=2,8*VLOOKUP($A55,NumberofDaysTable,3),(xSPRDOPT(K55,$E55,$BU55,0,$BP55,$BS55,$BT55,$A55-Inputs!$D$1,1,1))*(8*VLOOKUP($A55,NumberofDaysTable,3))),0))</f>
        <v>#NAME?</v>
      </c>
      <c r="Z55" s="282" t="e">
        <f aca="false">IF($A55="N/A"," ",IF(S55&lt;&gt;0,IF('Pricing Inputs'!$AN$3=2,8*VLOOKUP($A55,NumberofDaysTable,3),(xSPRDOPT(L55,$E55,$BU55,0,$BP55,$BS55,$BT55,$A55-Inputs!$D$1,1,1))*(8*VLOOKUP($A55,NumberofDaysTable,3))),0))</f>
        <v>#NAME?</v>
      </c>
      <c r="AA55" s="282" t="e">
        <f aca="false">IF($A55="N/A"," ",IF(T55&lt;&gt;0,IF('Pricing Inputs'!$AN$3=2,8*VLOOKUP($A55,NumberofDaysTable,4),(xSPRDOPT(M55,$E55,$BU55,0,$BP55,$BS55,$BT55,$A55-Inputs!$D$1,1,1))*(8*VLOOKUP($A55,NumberofDaysTable,4))),0))</f>
        <v>#NAME?</v>
      </c>
      <c r="AB55" s="282" t="e">
        <f aca="false">IF($A55="N/A"," ",IF(U55&lt;&gt;0,IF('Pricing Inputs'!$AN$3=2,8*VLOOKUP($A55,NumberofDaysTable,4),(xSPRDOPT(N55,$E55,$BU55,0,$BP55,$BS55,$BT55,$A55-Inputs!$D$1,1,1))*(8*VLOOKUP($A55,NumberofDaysTable,4))),0))</f>
        <v>#NAME?</v>
      </c>
      <c r="AC55" s="282" t="e">
        <f aca="false">IF($A55="N/A"," ",(IF(V55&lt;&gt;0,(8*VLOOKUP($A55,NumberofDaysTable,6)),0)))</f>
        <v>#N/A</v>
      </c>
      <c r="AD55" s="298" t="e">
        <f aca="false">IF($A55="N/A"," ",RANK(P55,$P$52:$V$63))</f>
        <v>#NAME?</v>
      </c>
      <c r="AE55" s="299" t="e">
        <f aca="false">IF($A55="N/A"," ",RANK(Q55,$P$52:$V$63))</f>
        <v>#NAME?</v>
      </c>
      <c r="AF55" s="299" t="e">
        <f aca="false">IF($A55="N/A"," ",RANK(R55,$P$52:$V$63))</f>
        <v>#NAME?</v>
      </c>
      <c r="AG55" s="299" t="e">
        <f aca="false">IF($A55="N/A"," ",RANK(S55,$P$52:$V$63))</f>
        <v>#NAME?</v>
      </c>
      <c r="AH55" s="299" t="e">
        <f aca="false">IF($A55="N/A"," ",RANK(T55,$P$52:$V$63))</f>
        <v>#NAME?</v>
      </c>
      <c r="AI55" s="299" t="e">
        <f aca="false">IF($A55="N/A"," ",RANK(U55,$P$52:$V$63))</f>
        <v>#NAME?</v>
      </c>
      <c r="AJ55" s="300" t="e">
        <f aca="false">IF($A55="N/A"," ",RANK(V55,$P$52:$V$63))</f>
        <v>#NAME?</v>
      </c>
      <c r="AK55" s="286" t="e">
        <f aca="false">IF($A55="N/A"," ",IF(AD55&lt;=$AJ$2,W55,0))</f>
        <v>#NAME?</v>
      </c>
      <c r="AL55" s="301" t="e">
        <f aca="false">IF($A55="N/A"," ",IF(AE55&lt;=$AJ$2,X55,0))</f>
        <v>#NAME?</v>
      </c>
      <c r="AM55" s="301" t="e">
        <f aca="false">IF($A55="N/A"," ",IF(AF55&lt;=$AJ$2,Y55,0))</f>
        <v>#NAME?</v>
      </c>
      <c r="AN55" s="301" t="e">
        <f aca="false">IF($A55="N/A"," ",IF(AG55&lt;=$AJ$2,Z55,0))</f>
        <v>#NAME?</v>
      </c>
      <c r="AO55" s="301" t="e">
        <f aca="false">IF($A55="N/A"," ",IF(AH55&lt;=$AJ$2,AA55,0))</f>
        <v>#NAME?</v>
      </c>
      <c r="AP55" s="301" t="e">
        <f aca="false">IF($A55="N/A"," ",IF(AI55&lt;=$AJ$2,AB55,0))</f>
        <v>#NAME?</v>
      </c>
      <c r="AQ55" s="301" t="e">
        <f aca="false">IF($A55="N/A"," ",IF(AJ55&lt;=$AJ$2,AC55,0))</f>
        <v>#NAME?</v>
      </c>
      <c r="AR55" s="300"/>
      <c r="AS55" s="288" t="e">
        <f aca="false">IF($A55="N/A"," ",IF(AND(AD55=$AJ$2+1,AK55=0),MIN($AR$63,W55),0))</f>
        <v>#NAME?</v>
      </c>
      <c r="AT55" s="302" t="e">
        <f aca="false">IF($A55="N/A"," ",IF(AND(AE55=$AJ$2+1,AL55=0),MIN($AR$63,X55),0))</f>
        <v>#NAME?</v>
      </c>
      <c r="AU55" s="302" t="e">
        <f aca="false">IF($A55="N/A"," ",IF(AND(AF55=$AJ$2+1,AM55=0),MIN($AR$63,Y55),0))</f>
        <v>#NAME?</v>
      </c>
      <c r="AV55" s="302" t="e">
        <f aca="false">IF($A55="N/A"," ",IF(AND(AG55=$AJ$2+1,AN55=0),MIN($AR$63,Z55),0))</f>
        <v>#NAME?</v>
      </c>
      <c r="AW55" s="302" t="e">
        <f aca="false">IF($A55="N/A"," ",IF(AND(AH55=$AJ$2+1,AO55=0),MIN($AR$63,AA55),0))</f>
        <v>#NAME?</v>
      </c>
      <c r="AX55" s="302" t="e">
        <f aca="false">IF($A55="N/A"," ",IF(AND(AI55=$AJ$2+1,AP55=0),MIN($AR$63,AB55),0))</f>
        <v>#NAME?</v>
      </c>
      <c r="AY55" s="302" t="e">
        <f aca="false">IF($A55="N/A"," ",IF(AND(AJ55=$AJ$2+1,AQ55=0),MIN($AR$63,AC55),0))</f>
        <v>#NAME?</v>
      </c>
      <c r="AZ55" s="300"/>
      <c r="BA55" s="291" t="n">
        <f aca="false">IF($A55="N/A"," ",(IF(MONTH(A55)&gt;=4,IF(MONTH(A55)&lt;=10,Inputs!$F$13,Inputs!$F$14),Inputs!$F$14))*$BW55)</f>
        <v>180</v>
      </c>
      <c r="BB55" s="292" t="e">
        <f aca="false">IF($A55="N/A"," ",(IF(AK55&gt;0,($BA55*(8*(VLOOKUP($A55,NumberofDaysTable,2)))*P55),0)+IF(AS55&gt;0,($BA55*((AS55))*P55),0)))</f>
        <v>#NAME?</v>
      </c>
      <c r="BC55" s="292" t="e">
        <f aca="false">IF($A55="N/A"," ",(IF(AL55&gt;0,($BA55*(8*(VLOOKUP($A55,NumberofDaysTable,2)))*Q55),0)+IF(AT55&gt;0,($BA55*((AT55))*Q55),0)))</f>
        <v>#NAME?</v>
      </c>
      <c r="BD55" s="292" t="e">
        <f aca="false">IF($A55="N/A"," ",(IF(AM55&gt;0,($BA55*(8*(VLOOKUP($A55,NumberofDaysTable,3)))*R55),0)+IF(AU55&gt;0,($BA55*((AU55))*R55),0)))</f>
        <v>#NAME?</v>
      </c>
      <c r="BE55" s="292" t="e">
        <f aca="false">IF($A55="N/A"," ",(IF(AN55&gt;0,($BA55*(8*(VLOOKUP($A55,NumberofDaysTable,3)))*S55),0)+IF(AV55&gt;0,($BA55*((AV55))*S55),0)))</f>
        <v>#NAME?</v>
      </c>
      <c r="BF55" s="292" t="e">
        <f aca="false">IF($A55="N/A"," ",(IF(AO55&gt;0,($BA55*(8*(VLOOKUP($A55,NumberofDaysTable,4)+VLOOKUP($A55,NumberofDaysTable,5)))*T55),0)+IF(AW55&gt;0,($BA55*((AW55))*T55),0)))</f>
        <v>#NAME?</v>
      </c>
      <c r="BG55" s="292" t="e">
        <f aca="false">IF($A55="N/A"," ",(IF(AP55&gt;0,($BA55*(8*(VLOOKUP($A55,NumberofDaysTable,4)+VLOOKUP($A55,NumberofDaysTable,5)))*U55),0)+IF(AX55&gt;0,($BA55*((AX55))*U55),0)))</f>
        <v>#NAME?</v>
      </c>
      <c r="BH55" s="292" t="e">
        <f aca="false">IF($A55="N/A"," ",($BA55*AQ55*V55))</f>
        <v>#NAME?</v>
      </c>
      <c r="BI55" s="292" t="e">
        <f aca="false">IF($A55="N/A"," ",SUM(BB55:BH55))</f>
        <v>#NAME?</v>
      </c>
      <c r="BJ55" s="293" t="e">
        <f aca="false">IF($A55="N/A"," ",(H55*(SUM(AK55:AQ55)+SUM(AS55:AY55))*BA55))</f>
        <v>#NAME?</v>
      </c>
      <c r="BK55" s="293" t="e">
        <f aca="false">IF($A55="N/A"," ",((C55*D55)*(SUM($AK55:$AQ55)+SUM($AS55:$AY55))*$BA55))</f>
        <v>#N/A</v>
      </c>
      <c r="BL55" s="293" t="e">
        <f aca="false">IF($A55="N/A"," ",(F55*(SUM($AK55:$AQ55)+SUM($AS55:$AY55))*$BA55))</f>
        <v>#NAME?</v>
      </c>
      <c r="BM55" s="293" t="e">
        <f aca="false">IF($A55="N/A"," ",(G55*(SUM($AK55:$AQ55)+SUM($AS55:$AY55))*$BA55))</f>
        <v>#NAME?</v>
      </c>
      <c r="BN55" s="294" t="n">
        <f aca="false">IF(A55="N/A"," ",(VLOOKUP(A55,PowerVolTable,(IF('Pricing Inputs'!$AT$3=2,7,IF('Pricing Inputs'!$AT$3=1,6,8))),FALSE())))</f>
        <v>0.1938932128125</v>
      </c>
      <c r="BO55" s="294" t="n">
        <f aca="false">IF(A55="N/A"," ",(VLOOKUP(A55,IntraPowerVol,(IF('Pricing Inputs'!$AT$3=2,3,IF('Pricing Inputs'!$AT$3=1,2,4))),FALSE())*VLOOKUP(MONTH($A55),Inputs!$A$28:$B$39,2)))</f>
        <v>1.265</v>
      </c>
      <c r="BP55" s="295" t="n">
        <f aca="false">IF($A55="N/A"," ",(IF(DateToday&gt;$A55,$BO55,((($BN55^2)*((($A55-1)-DateToday)/((EOMONTH($A55,0)+1)-DateToday-15)))+((($BO55)^2)*((15)/((EOMONTH($A55,0)+1)-DateToday-15))))^0.5)))</f>
        <v>1.265</v>
      </c>
      <c r="BQ55" s="294" t="e">
        <f aca="false">IF($A55="N/A"," ",(VLOOKUP($A55,GasVolTable,(IF('Pricing Inputs'!$AT$3=2,6,IF('Pricing Inputs'!$AT$3=1,7,5))),FALSE())))</f>
        <v>#N/A</v>
      </c>
      <c r="BR55" s="294" t="e">
        <f aca="false">IF($A55="N/A"," ",(VLOOKUP($A55,OmicronVol,(IF('Pricing Inputs'!$AT$3=2,3,IF('Pricing Inputs'!$AT$3=1,4,2))),FALSE())))</f>
        <v>#N/A</v>
      </c>
      <c r="BS55" s="295" t="e">
        <f aca="false">IF($A55="N/A"," ",IF('Pricing Inputs'!$AN$3=1,(IF(DateToday&gt;$A55,$BR55,((($BQ55^2)*((($A55-1)-DateToday)/((EOMONTH($A55,0)+1)-DateToday-15)))+((($BR55)^2)*((15)/((EOMONTH($A55,0)+1)-DateToday-15))))^0.5)),0.0001))</f>
        <v>#N/A</v>
      </c>
      <c r="BT55" s="294" t="n">
        <f aca="false">IF($A55="N/A"," ",IF('Pricing Inputs'!$AN$3=1,(VLOOKUP($A55,CorrelationTable,2,FALSE())),0))</f>
        <v>0.9</v>
      </c>
      <c r="BU55" s="296" t="e">
        <f aca="false">IF($A55="N/A"," ",F55+G55+(D55*(VLOOKUP($A55,'Gas Curves'!$B$17:$P$310,14,FALSE()))))</f>
        <v>#N/A</v>
      </c>
      <c r="BV55" s="294" t="n">
        <f aca="false">IF($A55="N/A"," ",IF('Pricing Inputs'!$AW$3=1,0,(VLOOKUP($A55,InterestRatesTable,2))))</f>
        <v>0</v>
      </c>
      <c r="BW55" s="297" t="n">
        <f aca="false">IF($A55="N/A"," ",(1+BV55/2)^(-2*((EOMONTH(A55,0)+20)-DateToday)/365.25))</f>
        <v>1</v>
      </c>
    </row>
    <row r="56" customFormat="false" ht="12.75" hidden="false" customHeight="false" outlineLevel="0" collapsed="false">
      <c r="A56" s="272" t="n">
        <f aca="false">IF(A55="N/A","N/A",IF(EDATE(A55,1)&gt;Inputs!$K$3,"N/A",EDATE(A55,1)))</f>
        <v>38473</v>
      </c>
      <c r="B56" s="273" t="n">
        <f aca="false">IF(A56="N/A"," ",YEAR(A56))</f>
        <v>2005</v>
      </c>
      <c r="C56" s="274" t="e">
        <f aca="false">IF(A56="N/A"," ",VLOOKUP(A56,ScaledPrice,10))</f>
        <v>#N/A</v>
      </c>
      <c r="D56" s="275" t="n">
        <f aca="false">IF(A56="N/A"," ",(VLOOKUP(MONTH($A56),Inputs!$A$14:$B$25,2))/1000)</f>
        <v>10.5</v>
      </c>
      <c r="E56" s="276" t="e">
        <f aca="false">IF($A56="N/A"," ",C56*D56)</f>
        <v>#N/A</v>
      </c>
      <c r="F56" s="277" t="n">
        <f aca="false">IF(A56="N/A"," ",Inputs!$F$6)</f>
        <v>2</v>
      </c>
      <c r="G56" s="277" t="n">
        <f aca="false">IF(A56="N/A"," ",Inputs!$F$9/IF(AND('Pricing Inputs'!$AQ$3&gt;=4,'Pricing Inputs'!$AQ$3&lt;=6),16,IF(AND('Pricing Inputs'!$AQ$3&gt;=7,'Pricing Inputs'!$AQ$3&lt;=9),8,24))/(BA56/BW56))</f>
        <v>0</v>
      </c>
      <c r="H56" s="278" t="e">
        <f aca="false">IF(A56="N/A"," ",(C56*D56)+F56+G56)</f>
        <v>#N/A</v>
      </c>
      <c r="I56" s="279" t="n">
        <f aca="false">VLOOKUP(A56,ScaledPrice,(IF(AND('Pricing Inputs'!$AQ$3&gt;=1,'Pricing Inputs'!$AQ$3&lt;=6),2,4)))</f>
        <v>32.8169968397476</v>
      </c>
      <c r="J56" s="279" t="n">
        <f aca="false">IF(A56="N/A"," ",IF(AND('Pricing Inputs'!$AQ$3&gt;=1,'Pricing Inputs'!$AQ$3&lt;=6),I56,(VLOOKUP(A56,ScaledPrice,2))*(2-(VLOOKUP(A56,ScaledPrice,3)))))</f>
        <v>34.6830031602524</v>
      </c>
      <c r="K56" s="279" t="n">
        <f aca="false">IF(A56="N/A"," ",IF(OR('Pricing Inputs'!$AQ$3=2,'Pricing Inputs'!$AQ$3=3,'Pricing Inputs'!$AQ$3=5,'Pricing Inputs'!$AQ$3=6,'Pricing Inputs'!$AQ$3=8,'Pricing Inputs'!$AQ$3=9),VLOOKUP(A56,ScaledPrice,IF(AND('Pricing Inputs'!$AQ$3&gt;=2,'Pricing Inputs'!$AQ$3&lt;=6),5,6)),0))</f>
        <v>21.423421788903</v>
      </c>
      <c r="L56" s="279" t="n">
        <f aca="false">IF(A56="N/A"," ",IF(OR('Pricing Inputs'!$AQ$3=2,'Pricing Inputs'!$AQ$3=3,'Pricing Inputs'!$AQ$3=5,'Pricing Inputs'!$AQ$3=6,'Pricing Inputs'!$AQ$3=8,'Pricing Inputs'!$AQ$3=9),IF(AND('Pricing Inputs'!$AQ$3&gt;=2,'Pricing Inputs'!$AQ$3&lt;=6),K56,(VLOOKUP(A56,ScaledPrice,5))*(2-(VLOOKUP(A56,ScaledPrice,3)))),0))</f>
        <v>22.6415783636849</v>
      </c>
      <c r="M56" s="279" t="n">
        <f aca="false">IF(A56="N/A"," ",IF(OR('Pricing Inputs'!$AQ$3=3,'Pricing Inputs'!$AQ$3=6,'Pricing Inputs'!$AQ$3=9),(VLOOKUP(A56,ScaledPrice,IF(AND('Pricing Inputs'!$AQ$3&gt;=3,'Pricing Inputs'!$AQ$3&lt;=6),7,8))),0))</f>
        <v>20.5799031289494</v>
      </c>
      <c r="N56" s="279" t="n">
        <f aca="false">IF(A56="N/A"," ",IF(OR('Pricing Inputs'!$AQ$3=3,'Pricing Inputs'!$AQ$3=6,'Pricing Inputs'!$AQ$3=9),IF(AND('Pricing Inputs'!$AQ$3&gt;=3,'Pricing Inputs'!$AQ$3&lt;=6),M56,(VLOOKUP(A56,ScaledPrice,7))*(2-(VLOOKUP(A56,ScaledPrice,3)))),0))</f>
        <v>21.7500964132869</v>
      </c>
      <c r="O56" s="279" t="n">
        <f aca="false">IF(A56="N/A"," ",IF(AND('Pricing Inputs'!$AQ$3&gt;=1,'Pricing Inputs'!$AQ$3&lt;=3),VLOOKUP(A56,ScaledPrice,9),0))</f>
        <v>0</v>
      </c>
      <c r="P56" s="280" t="e">
        <f aca="false">IF($A56="N/A"," ",IF('Pricing Inputs'!$AN$8=2,(I56-H56),IF('Pricing Inputs'!$AN$3=2,IF((I56-$H56)&gt;0,I56-$H56,0),(xSPRDOPT(I56,$E56,$BU56,0,$BP56,$BS56,$BT56,($A56-Inputs!$D$1)+15,1,0)))))</f>
        <v>#NAME?</v>
      </c>
      <c r="Q56" s="280" t="e">
        <f aca="false">IF($A56="N/A"," ",IF('Pricing Inputs'!$AN$8=2,(J56-$H56),IF('Pricing Inputs'!$AN$3=2,IF((J56-$H56)&gt;0,J56-$H56,0),(xSPRDOPT(J56,$E56,$BU56,0,$BP56,$BS56,$BT56,($A56-Inputs!$D$1)+15,1,0)))))</f>
        <v>#NAME?</v>
      </c>
      <c r="R56" s="280" t="e">
        <f aca="false">IF($A56="N/A"," ",IF('Pricing Inputs'!$AN$8=2,(K56-$H56),IF('Pricing Inputs'!$AN$3=2,IF((K56-$H56)&gt;0,K56-$H56,0),(xSPRDOPT(K56,$E56,$BU56,0,$BP56,$BS56,$BT56,($A56-Inputs!$D$1)+15,1,0)))))</f>
        <v>#NAME?</v>
      </c>
      <c r="S56" s="280" t="e">
        <f aca="false">IF($A56="N/A"," ",IF('Pricing Inputs'!$AN$8=2,(L56-$H56),IF('Pricing Inputs'!$AN$3=2,IF((L56-$H56)&gt;0,L56-$H56,0),(xSPRDOPT(L56,$E56,$BU56,0,$BP56,$BS56,$BT56,($A56-Inputs!$D$1)+15,1,0)))))</f>
        <v>#NAME?</v>
      </c>
      <c r="T56" s="280" t="e">
        <f aca="false">IF($A56="N/A"," ",IF('Pricing Inputs'!$AN$8=2,(M56-$H56),IF('Pricing Inputs'!$AN$3=2,IF((M56-$H56)&gt;0,M56-$H56,0),(xSPRDOPT(M56,$E56,$BU56,0,$BP56,$BS56,$BT56,($A56-Inputs!$D$1)+15,1,0)))))</f>
        <v>#NAME?</v>
      </c>
      <c r="U56" s="280" t="e">
        <f aca="false">IF($A56="N/A"," ",IF('Pricing Inputs'!$AN$8=2,(N56-$H56),IF('Pricing Inputs'!$AN$3=2,IF((N56-$H56)&gt;0,N56-$H56,0),(xSPRDOPT(N56,$E56,$BU56,0,$BP56,$BS56,$BT56,($A56-Inputs!$D$1)+15,1,0)))))</f>
        <v>#NAME?</v>
      </c>
      <c r="V56" s="281" t="e">
        <f aca="false">IF($A56="N/A"," ",(IF('Pricing Inputs'!$AN$8=2,(O56-$H56),IF((O56-$H56)&lt;=0,0,(O56-$H56)))))</f>
        <v>#N/A</v>
      </c>
      <c r="W56" s="282" t="e">
        <f aca="false">IF($A56="N/A"," ",IF(0&lt;&gt;P56,IF('Pricing Inputs'!$AN$3=2,8*VLOOKUP($A56,NumberofDaysTable,2),(xSPRDOPT(I56,$E56,$BU56,0,$BP56,$BS56,$BT56,$A56-Inputs!$D$1,1,1))*(8*VLOOKUP($A56,NumberofDaysTable,2))),0))</f>
        <v>#NAME?</v>
      </c>
      <c r="X56" s="282" t="e">
        <f aca="false">IF($A56="N/A"," ",IF(Q56&lt;&gt;0,IF('Pricing Inputs'!$AN$3=2,8*VLOOKUP($A56,NumberofDaysTable,2),(xSPRDOPT(J56,$E56,$BU56,0,$BP56,$BS56,$BT56,$A56-Inputs!$D$1,1,1))*(8*VLOOKUP($A56,NumberofDaysTable,2))),0))</f>
        <v>#NAME?</v>
      </c>
      <c r="Y56" s="282" t="e">
        <f aca="false">IF($A56="N/A"," ",IF(R56&lt;&gt;0,IF('Pricing Inputs'!$AN$3=2,8*VLOOKUP($A56,NumberofDaysTable,3),(xSPRDOPT(K56,$E56,$BU56,0,$BP56,$BS56,$BT56,$A56-Inputs!$D$1,1,1))*(8*VLOOKUP($A56,NumberofDaysTable,3))),0))</f>
        <v>#NAME?</v>
      </c>
      <c r="Z56" s="282" t="e">
        <f aca="false">IF($A56="N/A"," ",IF(S56&lt;&gt;0,IF('Pricing Inputs'!$AN$3=2,8*VLOOKUP($A56,NumberofDaysTable,3),(xSPRDOPT(L56,$E56,$BU56,0,$BP56,$BS56,$BT56,$A56-Inputs!$D$1,1,1))*(8*VLOOKUP($A56,NumberofDaysTable,3))),0))</f>
        <v>#NAME?</v>
      </c>
      <c r="AA56" s="282" t="e">
        <f aca="false">IF($A56="N/A"," ",IF(T56&lt;&gt;0,IF('Pricing Inputs'!$AN$3=2,8*VLOOKUP($A56,NumberofDaysTable,4),(xSPRDOPT(M56,$E56,$BU56,0,$BP56,$BS56,$BT56,$A56-Inputs!$D$1,1,1))*(8*VLOOKUP($A56,NumberofDaysTable,4))),0))</f>
        <v>#NAME?</v>
      </c>
      <c r="AB56" s="282" t="e">
        <f aca="false">IF($A56="N/A"," ",IF(U56&lt;&gt;0,IF('Pricing Inputs'!$AN$3=2,8*VLOOKUP($A56,NumberofDaysTable,4),(xSPRDOPT(N56,$E56,$BU56,0,$BP56,$BS56,$BT56,$A56-Inputs!$D$1,1,1))*(8*VLOOKUP($A56,NumberofDaysTable,4))),0))</f>
        <v>#NAME?</v>
      </c>
      <c r="AC56" s="282" t="e">
        <f aca="false">IF($A56="N/A"," ",(IF(V56&lt;&gt;0,(8*VLOOKUP($A56,NumberofDaysTable,6)),0)))</f>
        <v>#N/A</v>
      </c>
      <c r="AD56" s="298" t="e">
        <f aca="false">IF($A56="N/A"," ",RANK(P56,$P$52:$V$63))</f>
        <v>#NAME?</v>
      </c>
      <c r="AE56" s="299" t="e">
        <f aca="false">IF($A56="N/A"," ",RANK(Q56,$P$52:$V$63))</f>
        <v>#NAME?</v>
      </c>
      <c r="AF56" s="299" t="e">
        <f aca="false">IF($A56="N/A"," ",RANK(R56,$P$52:$V$63))</f>
        <v>#NAME?</v>
      </c>
      <c r="AG56" s="299" t="e">
        <f aca="false">IF($A56="N/A"," ",RANK(S56,$P$52:$V$63))</f>
        <v>#NAME?</v>
      </c>
      <c r="AH56" s="299" t="e">
        <f aca="false">IF($A56="N/A"," ",RANK(T56,$P$52:$V$63))</f>
        <v>#NAME?</v>
      </c>
      <c r="AI56" s="299" t="e">
        <f aca="false">IF($A56="N/A"," ",RANK(U56,$P$52:$V$63))</f>
        <v>#NAME?</v>
      </c>
      <c r="AJ56" s="300" t="e">
        <f aca="false">IF($A56="N/A"," ",RANK(V56,$P$52:$V$63))</f>
        <v>#NAME?</v>
      </c>
      <c r="AK56" s="286" t="e">
        <f aca="false">IF($A56="N/A"," ",IF(AD56&lt;=$AJ$2,W56,0))</f>
        <v>#NAME?</v>
      </c>
      <c r="AL56" s="301" t="e">
        <f aca="false">IF($A56="N/A"," ",IF(AE56&lt;=$AJ$2,X56,0))</f>
        <v>#NAME?</v>
      </c>
      <c r="AM56" s="301" t="e">
        <f aca="false">IF($A56="N/A"," ",IF(AF56&lt;=$AJ$2,Y56,0))</f>
        <v>#NAME?</v>
      </c>
      <c r="AN56" s="301" t="e">
        <f aca="false">IF($A56="N/A"," ",IF(AG56&lt;=$AJ$2,Z56,0))</f>
        <v>#NAME?</v>
      </c>
      <c r="AO56" s="301" t="e">
        <f aca="false">IF($A56="N/A"," ",IF(AH56&lt;=$AJ$2,AA56,0))</f>
        <v>#NAME?</v>
      </c>
      <c r="AP56" s="301" t="e">
        <f aca="false">IF($A56="N/A"," ",IF(AI56&lt;=$AJ$2,AB56,0))</f>
        <v>#NAME?</v>
      </c>
      <c r="AQ56" s="301" t="e">
        <f aca="false">IF($A56="N/A"," ",IF(AJ56&lt;=$AJ$2,AC56,0))</f>
        <v>#NAME?</v>
      </c>
      <c r="AR56" s="300"/>
      <c r="AS56" s="288" t="e">
        <f aca="false">IF($A56="N/A"," ",IF(AND(AD56=$AJ$2+1,AK56=0),MIN($AR$63,W56),0))</f>
        <v>#NAME?</v>
      </c>
      <c r="AT56" s="302" t="e">
        <f aca="false">IF($A56="N/A"," ",IF(AND(AE56=$AJ$2+1,AL56=0),MIN($AR$63,X56),0))</f>
        <v>#NAME?</v>
      </c>
      <c r="AU56" s="302" t="e">
        <f aca="false">IF($A56="N/A"," ",IF(AND(AF56=$AJ$2+1,AM56=0),MIN($AR$63,Y56),0))</f>
        <v>#NAME?</v>
      </c>
      <c r="AV56" s="302" t="e">
        <f aca="false">IF($A56="N/A"," ",IF(AND(AG56=$AJ$2+1,AN56=0),MIN($AR$63,Z56),0))</f>
        <v>#NAME?</v>
      </c>
      <c r="AW56" s="302" t="e">
        <f aca="false">IF($A56="N/A"," ",IF(AND(AH56=$AJ$2+1,AO56=0),MIN($AR$63,AA56),0))</f>
        <v>#NAME?</v>
      </c>
      <c r="AX56" s="302" t="e">
        <f aca="false">IF($A56="N/A"," ",IF(AND(AI56=$AJ$2+1,AP56=0),MIN($AR$63,AB56),0))</f>
        <v>#NAME?</v>
      </c>
      <c r="AY56" s="302" t="e">
        <f aca="false">IF($A56="N/A"," ",IF(AND(AJ56=$AJ$2+1,AQ56=0),MIN($AR$63,AC56),0))</f>
        <v>#NAME?</v>
      </c>
      <c r="AZ56" s="300"/>
      <c r="BA56" s="291" t="n">
        <f aca="false">IF($A56="N/A"," ",(IF(MONTH(A56)&gt;=4,IF(MONTH(A56)&lt;=10,Inputs!$F$13,Inputs!$F$14),Inputs!$F$14))*$BW56)</f>
        <v>180</v>
      </c>
      <c r="BB56" s="292" t="e">
        <f aca="false">IF($A56="N/A"," ",(IF(AK56&gt;0,($BA56*(8*(VLOOKUP($A56,NumberofDaysTable,2)))*P56),0)+IF(AS56&gt;0,($BA56*((AS56))*P56),0)))</f>
        <v>#NAME?</v>
      </c>
      <c r="BC56" s="292" t="e">
        <f aca="false">IF($A56="N/A"," ",(IF(AL56&gt;0,($BA56*(8*(VLOOKUP($A56,NumberofDaysTable,2)))*Q56),0)+IF(AT56&gt;0,($BA56*((AT56))*Q56),0)))</f>
        <v>#NAME?</v>
      </c>
      <c r="BD56" s="292" t="e">
        <f aca="false">IF($A56="N/A"," ",(IF(AM56&gt;0,($BA56*(8*(VLOOKUP($A56,NumberofDaysTable,3)))*R56),0)+IF(AU56&gt;0,($BA56*((AU56))*R56),0)))</f>
        <v>#NAME?</v>
      </c>
      <c r="BE56" s="292" t="e">
        <f aca="false">IF($A56="N/A"," ",(IF(AN56&gt;0,($BA56*(8*(VLOOKUP($A56,NumberofDaysTable,3)))*S56),0)+IF(AV56&gt;0,($BA56*((AV56))*S56),0)))</f>
        <v>#NAME?</v>
      </c>
      <c r="BF56" s="292" t="e">
        <f aca="false">IF($A56="N/A"," ",(IF(AO56&gt;0,($BA56*(8*(VLOOKUP($A56,NumberofDaysTable,4)+VLOOKUP($A56,NumberofDaysTable,5)))*T56),0)+IF(AW56&gt;0,($BA56*((AW56))*T56),0)))</f>
        <v>#NAME?</v>
      </c>
      <c r="BG56" s="292" t="e">
        <f aca="false">IF($A56="N/A"," ",(IF(AP56&gt;0,($BA56*(8*(VLOOKUP($A56,NumberofDaysTable,4)+VLOOKUP($A56,NumberofDaysTable,5)))*U56),0)+IF(AX56&gt;0,($BA56*((AX56))*U56),0)))</f>
        <v>#NAME?</v>
      </c>
      <c r="BH56" s="292" t="e">
        <f aca="false">IF($A56="N/A"," ",($BA56*AQ56*V56))</f>
        <v>#NAME?</v>
      </c>
      <c r="BI56" s="292" t="e">
        <f aca="false">IF($A56="N/A"," ",SUM(BB56:BH56))</f>
        <v>#NAME?</v>
      </c>
      <c r="BJ56" s="293" t="e">
        <f aca="false">IF($A56="N/A"," ",(H56*(SUM(AK56:AQ56)+SUM(AS56:AY56))*BA56))</f>
        <v>#NAME?</v>
      </c>
      <c r="BK56" s="293" t="e">
        <f aca="false">IF($A56="N/A"," ",((C56*D56)*(SUM($AK56:$AQ56)+SUM($AS56:$AY56))*$BA56))</f>
        <v>#N/A</v>
      </c>
      <c r="BL56" s="293" t="e">
        <f aca="false">IF($A56="N/A"," ",(F56*(SUM($AK56:$AQ56)+SUM($AS56:$AY56))*$BA56))</f>
        <v>#NAME?</v>
      </c>
      <c r="BM56" s="293" t="e">
        <f aca="false">IF($A56="N/A"," ",(G56*(SUM($AK56:$AQ56)+SUM($AS56:$AY56))*$BA56))</f>
        <v>#NAME?</v>
      </c>
      <c r="BN56" s="294" t="n">
        <f aca="false">IF(A56="N/A"," ",(VLOOKUP(A56,PowerVolTable,(IF('Pricing Inputs'!$AT$3=2,7,IF('Pricing Inputs'!$AT$3=1,6,8))),FALSE())))</f>
        <v>0.2232154378125</v>
      </c>
      <c r="BO56" s="294" t="n">
        <f aca="false">IF(A56="N/A"," ",(VLOOKUP(A56,IntraPowerVol,(IF('Pricing Inputs'!$AT$3=2,3,IF('Pricing Inputs'!$AT$3=1,2,4))),FALSE())*VLOOKUP(MONTH($A56),Inputs!$A$28:$B$39,2)))</f>
        <v>1.265</v>
      </c>
      <c r="BP56" s="295" t="n">
        <f aca="false">IF($A56="N/A"," ",(IF(DateToday&gt;$A56,$BO56,((($BN56^2)*((($A56-1)-DateToday)/((EOMONTH($A56,0)+1)-DateToday-15)))+((($BO56)^2)*((15)/((EOMONTH($A56,0)+1)-DateToday-15))))^0.5)))</f>
        <v>1.265</v>
      </c>
      <c r="BQ56" s="294" t="e">
        <f aca="false">IF($A56="N/A"," ",(VLOOKUP($A56,GasVolTable,(IF('Pricing Inputs'!$AT$3=2,6,IF('Pricing Inputs'!$AT$3=1,7,5))),FALSE())))</f>
        <v>#N/A</v>
      </c>
      <c r="BR56" s="294" t="e">
        <f aca="false">IF($A56="N/A"," ",(VLOOKUP($A56,OmicronVol,(IF('Pricing Inputs'!$AT$3=2,3,IF('Pricing Inputs'!$AT$3=1,4,2))),FALSE())))</f>
        <v>#N/A</v>
      </c>
      <c r="BS56" s="295" t="e">
        <f aca="false">IF($A56="N/A"," ",IF('Pricing Inputs'!$AN$3=1,(IF(DateToday&gt;$A56,$BR56,((($BQ56^2)*((($A56-1)-DateToday)/((EOMONTH($A56,0)+1)-DateToday-15)))+((($BR56)^2)*((15)/((EOMONTH($A56,0)+1)-DateToday-15))))^0.5)),0.0001))</f>
        <v>#N/A</v>
      </c>
      <c r="BT56" s="294" t="n">
        <f aca="false">IF($A56="N/A"," ",IF('Pricing Inputs'!$AN$3=1,(VLOOKUP($A56,CorrelationTable,2,FALSE())),0))</f>
        <v>0.9</v>
      </c>
      <c r="BU56" s="296" t="e">
        <f aca="false">IF($A56="N/A"," ",F56+G56+(D56*(VLOOKUP($A56,'Gas Curves'!$B$17:$P$310,14,FALSE()))))</f>
        <v>#N/A</v>
      </c>
      <c r="BV56" s="294" t="n">
        <f aca="false">IF($A56="N/A"," ",IF('Pricing Inputs'!$AW$3=1,0,(VLOOKUP($A56,InterestRatesTable,2))))</f>
        <v>0</v>
      </c>
      <c r="BW56" s="297" t="n">
        <f aca="false">IF($A56="N/A"," ",(1+BV56/2)^(-2*((EOMONTH(A56,0)+20)-DateToday)/365.25))</f>
        <v>1</v>
      </c>
    </row>
    <row r="57" customFormat="false" ht="12.75" hidden="false" customHeight="false" outlineLevel="0" collapsed="false">
      <c r="A57" s="272" t="n">
        <f aca="false">IF(A56="N/A","N/A",IF(EDATE(A56,1)&gt;Inputs!$K$3,"N/A",EDATE(A56,1)))</f>
        <v>38504</v>
      </c>
      <c r="B57" s="273" t="n">
        <f aca="false">IF(A57="N/A"," ",YEAR(A57))</f>
        <v>2005</v>
      </c>
      <c r="C57" s="274" t="e">
        <f aca="false">IF(A57="N/A"," ",VLOOKUP(A57,ScaledPrice,10))</f>
        <v>#N/A</v>
      </c>
      <c r="D57" s="275" t="n">
        <f aca="false">IF(A57="N/A"," ",(VLOOKUP(MONTH($A57),Inputs!$A$14:$B$25,2))/1000)</f>
        <v>10.5</v>
      </c>
      <c r="E57" s="276" t="e">
        <f aca="false">IF($A57="N/A"," ",C57*D57)</f>
        <v>#N/A</v>
      </c>
      <c r="F57" s="277" t="n">
        <f aca="false">IF(A57="N/A"," ",Inputs!$F$6)</f>
        <v>2</v>
      </c>
      <c r="G57" s="277" t="n">
        <f aca="false">IF(A57="N/A"," ",Inputs!$F$9/IF(AND('Pricing Inputs'!$AQ$3&gt;=4,'Pricing Inputs'!$AQ$3&lt;=6),16,IF(AND('Pricing Inputs'!$AQ$3&gt;=7,'Pricing Inputs'!$AQ$3&lt;=9),8,24))/(BA57/BW57))</f>
        <v>0</v>
      </c>
      <c r="H57" s="278" t="e">
        <f aca="false">IF(A57="N/A"," ",(C57*D57)+F57+G57)</f>
        <v>#N/A</v>
      </c>
      <c r="I57" s="279" t="n">
        <f aca="false">VLOOKUP(A57,ScaledPrice,(IF(AND('Pricing Inputs'!$AQ$3&gt;=1,'Pricing Inputs'!$AQ$3&lt;=6),2,4)))</f>
        <v>55.5892714842931</v>
      </c>
      <c r="J57" s="279" t="n">
        <f aca="false">IF(A57="N/A"," ",IF(AND('Pricing Inputs'!$AQ$3&gt;=1,'Pricing Inputs'!$AQ$3&lt;=6),I57,(VLOOKUP(A57,ScaledPrice,2))*(2-(VLOOKUP(A57,ScaledPrice,3)))))</f>
        <v>41.9107285157069</v>
      </c>
      <c r="K57" s="279" t="n">
        <f aca="false">IF(A57="N/A"," ",IF(OR('Pricing Inputs'!$AQ$3=2,'Pricing Inputs'!$AQ$3=3,'Pricing Inputs'!$AQ$3=5,'Pricing Inputs'!$AQ$3=6,'Pricing Inputs'!$AQ$3=8,'Pricing Inputs'!$AQ$3=9),VLOOKUP(A57,ScaledPrice,IF(AND('Pricing Inputs'!$AQ$3&gt;=2,'Pricing Inputs'!$AQ$3&lt;=6),5,6)),0))</f>
        <v>30.1707209306111</v>
      </c>
      <c r="L57" s="279" t="n">
        <f aca="false">IF(A57="N/A"," ",IF(OR('Pricing Inputs'!$AQ$3=2,'Pricing Inputs'!$AQ$3=3,'Pricing Inputs'!$AQ$3=5,'Pricing Inputs'!$AQ$3=6,'Pricing Inputs'!$AQ$3=8,'Pricing Inputs'!$AQ$3=9),IF(AND('Pricing Inputs'!$AQ$3&gt;=2,'Pricing Inputs'!$AQ$3&lt;=6),K57,(VLOOKUP(A57,ScaledPrice,5))*(2-(VLOOKUP(A57,ScaledPrice,3)))),0))</f>
        <v>22.7467793745647</v>
      </c>
      <c r="M57" s="279" t="n">
        <f aca="false">IF(A57="N/A"," ",IF(OR('Pricing Inputs'!$AQ$3=3,'Pricing Inputs'!$AQ$3=6,'Pricing Inputs'!$AQ$3=9),(VLOOKUP(A57,ScaledPrice,IF(AND('Pricing Inputs'!$AQ$3&gt;=3,'Pricing Inputs'!$AQ$3&lt;=6),7,8))),0))</f>
        <v>22.7402876128978</v>
      </c>
      <c r="N57" s="279" t="n">
        <f aca="false">IF(A57="N/A"," ",IF(OR('Pricing Inputs'!$AQ$3=3,'Pricing Inputs'!$AQ$3=6,'Pricing Inputs'!$AQ$3=9),IF(AND('Pricing Inputs'!$AQ$3&gt;=3,'Pricing Inputs'!$AQ$3&lt;=6),M57,(VLOOKUP(A57,ScaledPrice,7))*(2-(VLOOKUP(A57,ScaledPrice,3)))),0))</f>
        <v>17.1447114715749</v>
      </c>
      <c r="O57" s="279" t="n">
        <f aca="false">IF(A57="N/A"," ",IF(AND('Pricing Inputs'!$AQ$3&gt;=1,'Pricing Inputs'!$AQ$3&lt;=3),VLOOKUP(A57,ScaledPrice,9),0))</f>
        <v>0</v>
      </c>
      <c r="P57" s="280" t="e">
        <f aca="false">IF($A57="N/A"," ",IF('Pricing Inputs'!$AN$8=2,(I57-H57),IF('Pricing Inputs'!$AN$3=2,IF((I57-$H57)&gt;0,I57-$H57,0),(xSPRDOPT(I57,$E57,$BU57,0,$BP57,$BS57,$BT57,($A57-Inputs!$D$1)+15,1,0)))))</f>
        <v>#NAME?</v>
      </c>
      <c r="Q57" s="280" t="e">
        <f aca="false">IF($A57="N/A"," ",IF('Pricing Inputs'!$AN$8=2,(J57-$H57),IF('Pricing Inputs'!$AN$3=2,IF((J57-$H57)&gt;0,J57-$H57,0),(xSPRDOPT(J57,$E57,$BU57,0,$BP57,$BS57,$BT57,($A57-Inputs!$D$1)+15,1,0)))))</f>
        <v>#NAME?</v>
      </c>
      <c r="R57" s="280" t="e">
        <f aca="false">IF($A57="N/A"," ",IF('Pricing Inputs'!$AN$8=2,(K57-$H57),IF('Pricing Inputs'!$AN$3=2,IF((K57-$H57)&gt;0,K57-$H57,0),(xSPRDOPT(K57,$E57,$BU57,0,$BP57,$BS57,$BT57,($A57-Inputs!$D$1)+15,1,0)))))</f>
        <v>#NAME?</v>
      </c>
      <c r="S57" s="280" t="e">
        <f aca="false">IF($A57="N/A"," ",IF('Pricing Inputs'!$AN$8=2,(L57-$H57),IF('Pricing Inputs'!$AN$3=2,IF((L57-$H57)&gt;0,L57-$H57,0),(xSPRDOPT(L57,$E57,$BU57,0,$BP57,$BS57,$BT57,($A57-Inputs!$D$1)+15,1,0)))))</f>
        <v>#NAME?</v>
      </c>
      <c r="T57" s="280" t="e">
        <f aca="false">IF($A57="N/A"," ",IF('Pricing Inputs'!$AN$8=2,(M57-$H57),IF('Pricing Inputs'!$AN$3=2,IF((M57-$H57)&gt;0,M57-$H57,0),(xSPRDOPT(M57,$E57,$BU57,0,$BP57,$BS57,$BT57,($A57-Inputs!$D$1)+15,1,0)))))</f>
        <v>#NAME?</v>
      </c>
      <c r="U57" s="280" t="e">
        <f aca="false">IF($A57="N/A"," ",IF('Pricing Inputs'!$AN$8=2,(N57-$H57),IF('Pricing Inputs'!$AN$3=2,IF((N57-$H57)&gt;0,N57-$H57,0),(xSPRDOPT(N57,$E57,$BU57,0,$BP57,$BS57,$BT57,($A57-Inputs!$D$1)+15,1,0)))))</f>
        <v>#NAME?</v>
      </c>
      <c r="V57" s="281" t="e">
        <f aca="false">IF($A57="N/A"," ",(IF('Pricing Inputs'!$AN$8=2,(O57-$H57),IF((O57-$H57)&lt;=0,0,(O57-$H57)))))</f>
        <v>#N/A</v>
      </c>
      <c r="W57" s="282" t="e">
        <f aca="false">IF($A57="N/A"," ",IF(0&lt;&gt;P57,IF('Pricing Inputs'!$AN$3=2,8*VLOOKUP($A57,NumberofDaysTable,2),(xSPRDOPT(I57,$E57,$BU57,0,$BP57,$BS57,$BT57,$A57-Inputs!$D$1,1,1))*(8*VLOOKUP($A57,NumberofDaysTable,2))),0))</f>
        <v>#NAME?</v>
      </c>
      <c r="X57" s="282" t="e">
        <f aca="false">IF($A57="N/A"," ",IF(Q57&lt;&gt;0,IF('Pricing Inputs'!$AN$3=2,8*VLOOKUP($A57,NumberofDaysTable,2),(xSPRDOPT(J57,$E57,$BU57,0,$BP57,$BS57,$BT57,$A57-Inputs!$D$1,1,1))*(8*VLOOKUP($A57,NumberofDaysTable,2))),0))</f>
        <v>#NAME?</v>
      </c>
      <c r="Y57" s="282" t="e">
        <f aca="false">IF($A57="N/A"," ",IF(R57&lt;&gt;0,IF('Pricing Inputs'!$AN$3=2,8*VLOOKUP($A57,NumberofDaysTable,3),(xSPRDOPT(K57,$E57,$BU57,0,$BP57,$BS57,$BT57,$A57-Inputs!$D$1,1,1))*(8*VLOOKUP($A57,NumberofDaysTable,3))),0))</f>
        <v>#NAME?</v>
      </c>
      <c r="Z57" s="282" t="e">
        <f aca="false">IF($A57="N/A"," ",IF(S57&lt;&gt;0,IF('Pricing Inputs'!$AN$3=2,8*VLOOKUP($A57,NumberofDaysTable,3),(xSPRDOPT(L57,$E57,$BU57,0,$BP57,$BS57,$BT57,$A57-Inputs!$D$1,1,1))*(8*VLOOKUP($A57,NumberofDaysTable,3))),0))</f>
        <v>#NAME?</v>
      </c>
      <c r="AA57" s="282" t="e">
        <f aca="false">IF($A57="N/A"," ",IF(T57&lt;&gt;0,IF('Pricing Inputs'!$AN$3=2,8*VLOOKUP($A57,NumberofDaysTable,4),(xSPRDOPT(M57,$E57,$BU57,0,$BP57,$BS57,$BT57,$A57-Inputs!$D$1,1,1))*(8*VLOOKUP($A57,NumberofDaysTable,4))),0))</f>
        <v>#NAME?</v>
      </c>
      <c r="AB57" s="282" t="e">
        <f aca="false">IF($A57="N/A"," ",IF(U57&lt;&gt;0,IF('Pricing Inputs'!$AN$3=2,8*VLOOKUP($A57,NumberofDaysTable,4),(xSPRDOPT(N57,$E57,$BU57,0,$BP57,$BS57,$BT57,$A57-Inputs!$D$1,1,1))*(8*VLOOKUP($A57,NumberofDaysTable,4))),0))</f>
        <v>#NAME?</v>
      </c>
      <c r="AC57" s="282" t="e">
        <f aca="false">IF($A57="N/A"," ",(IF(V57&lt;&gt;0,(8*VLOOKUP($A57,NumberofDaysTable,6)),0)))</f>
        <v>#N/A</v>
      </c>
      <c r="AD57" s="298" t="e">
        <f aca="false">IF($A57="N/A"," ",RANK(P57,$P$52:$V$63))</f>
        <v>#NAME?</v>
      </c>
      <c r="AE57" s="299" t="e">
        <f aca="false">IF($A57="N/A"," ",RANK(Q57,$P$52:$V$63))</f>
        <v>#NAME?</v>
      </c>
      <c r="AF57" s="299" t="e">
        <f aca="false">IF($A57="N/A"," ",RANK(R57,$P$52:$V$63))</f>
        <v>#NAME?</v>
      </c>
      <c r="AG57" s="299" t="e">
        <f aca="false">IF($A57="N/A"," ",RANK(S57,$P$52:$V$63))</f>
        <v>#NAME?</v>
      </c>
      <c r="AH57" s="299" t="e">
        <f aca="false">IF($A57="N/A"," ",RANK(T57,$P$52:$V$63))</f>
        <v>#NAME?</v>
      </c>
      <c r="AI57" s="299" t="e">
        <f aca="false">IF($A57="N/A"," ",RANK(U57,$P$52:$V$63))</f>
        <v>#NAME?</v>
      </c>
      <c r="AJ57" s="300" t="e">
        <f aca="false">IF($A57="N/A"," ",RANK(V57,$P$52:$V$63))</f>
        <v>#NAME?</v>
      </c>
      <c r="AK57" s="286" t="e">
        <f aca="false">IF($A57="N/A"," ",IF(AD57&lt;=$AJ$2,W57,0))</f>
        <v>#NAME?</v>
      </c>
      <c r="AL57" s="301" t="e">
        <f aca="false">IF($A57="N/A"," ",IF(AE57&lt;=$AJ$2,X57,0))</f>
        <v>#NAME?</v>
      </c>
      <c r="AM57" s="301" t="e">
        <f aca="false">IF($A57="N/A"," ",IF(AF57&lt;=$AJ$2,Y57,0))</f>
        <v>#NAME?</v>
      </c>
      <c r="AN57" s="301" t="e">
        <f aca="false">IF($A57="N/A"," ",IF(AG57&lt;=$AJ$2,Z57,0))</f>
        <v>#NAME?</v>
      </c>
      <c r="AO57" s="301" t="e">
        <f aca="false">IF($A57="N/A"," ",IF(AH57&lt;=$AJ$2,AA57,0))</f>
        <v>#NAME?</v>
      </c>
      <c r="AP57" s="301" t="e">
        <f aca="false">IF($A57="N/A"," ",IF(AI57&lt;=$AJ$2,AB57,0))</f>
        <v>#NAME?</v>
      </c>
      <c r="AQ57" s="301" t="e">
        <f aca="false">IF($A57="N/A"," ",IF(AJ57&lt;=$AJ$2,AC57,0))</f>
        <v>#NAME?</v>
      </c>
      <c r="AR57" s="300"/>
      <c r="AS57" s="288" t="e">
        <f aca="false">IF($A57="N/A"," ",IF(AND(AD57=$AJ$2+1,AK57=0),MIN($AR$63,W57),0))</f>
        <v>#NAME?</v>
      </c>
      <c r="AT57" s="302" t="e">
        <f aca="false">IF($A57="N/A"," ",IF(AND(AE57=$AJ$2+1,AL57=0),MIN($AR$63,X57),0))</f>
        <v>#NAME?</v>
      </c>
      <c r="AU57" s="302" t="e">
        <f aca="false">IF($A57="N/A"," ",IF(AND(AF57=$AJ$2+1,AM57=0),MIN($AR$63,Y57),0))</f>
        <v>#NAME?</v>
      </c>
      <c r="AV57" s="302" t="e">
        <f aca="false">IF($A57="N/A"," ",IF(AND(AG57=$AJ$2+1,AN57=0),MIN($AR$63,Z57),0))</f>
        <v>#NAME?</v>
      </c>
      <c r="AW57" s="302" t="e">
        <f aca="false">IF($A57="N/A"," ",IF(AND(AH57=$AJ$2+1,AO57=0),MIN($AR$63,AA57),0))</f>
        <v>#NAME?</v>
      </c>
      <c r="AX57" s="302" t="e">
        <f aca="false">IF($A57="N/A"," ",IF(AND(AI57=$AJ$2+1,AP57=0),MIN($AR$63,AB57),0))</f>
        <v>#NAME?</v>
      </c>
      <c r="AY57" s="302" t="e">
        <f aca="false">IF($A57="N/A"," ",IF(AND(AJ57=$AJ$2+1,AQ57=0),MIN($AR$63,AC57),0))</f>
        <v>#NAME?</v>
      </c>
      <c r="AZ57" s="300"/>
      <c r="BA57" s="291" t="n">
        <f aca="false">IF($A57="N/A"," ",(IF(MONTH(A57)&gt;=4,IF(MONTH(A57)&lt;=10,Inputs!$F$13,Inputs!$F$14),Inputs!$F$14))*$BW57)</f>
        <v>180</v>
      </c>
      <c r="BB57" s="292" t="e">
        <f aca="false">IF($A57="N/A"," ",(IF(AK57&gt;0,($BA57*(8*(VLOOKUP($A57,NumberofDaysTable,2)))*P57),0)+IF(AS57&gt;0,($BA57*((AS57))*P57),0)))</f>
        <v>#NAME?</v>
      </c>
      <c r="BC57" s="292" t="e">
        <f aca="false">IF($A57="N/A"," ",(IF(AL57&gt;0,($BA57*(8*(VLOOKUP($A57,NumberofDaysTable,2)))*Q57),0)+IF(AT57&gt;0,($BA57*((AT57))*Q57),0)))</f>
        <v>#NAME?</v>
      </c>
      <c r="BD57" s="292" t="e">
        <f aca="false">IF($A57="N/A"," ",(IF(AM57&gt;0,($BA57*(8*(VLOOKUP($A57,NumberofDaysTable,3)))*R57),0)+IF(AU57&gt;0,($BA57*((AU57))*R57),0)))</f>
        <v>#NAME?</v>
      </c>
      <c r="BE57" s="292" t="e">
        <f aca="false">IF($A57="N/A"," ",(IF(AN57&gt;0,($BA57*(8*(VLOOKUP($A57,NumberofDaysTable,3)))*S57),0)+IF(AV57&gt;0,($BA57*((AV57))*S57),0)))</f>
        <v>#NAME?</v>
      </c>
      <c r="BF57" s="292" t="e">
        <f aca="false">IF($A57="N/A"," ",(IF(AO57&gt;0,($BA57*(8*(VLOOKUP($A57,NumberofDaysTable,4)+VLOOKUP($A57,NumberofDaysTable,5)))*T57),0)+IF(AW57&gt;0,($BA57*((AW57))*T57),0)))</f>
        <v>#NAME?</v>
      </c>
      <c r="BG57" s="292" t="e">
        <f aca="false">IF($A57="N/A"," ",(IF(AP57&gt;0,($BA57*(8*(VLOOKUP($A57,NumberofDaysTable,4)+VLOOKUP($A57,NumberofDaysTable,5)))*U57),0)+IF(AX57&gt;0,($BA57*((AX57))*U57),0)))</f>
        <v>#NAME?</v>
      </c>
      <c r="BH57" s="292" t="e">
        <f aca="false">IF($A57="N/A"," ",($BA57*AQ57*V57))</f>
        <v>#NAME?</v>
      </c>
      <c r="BI57" s="292" t="e">
        <f aca="false">IF($A57="N/A"," ",SUM(BB57:BH57))</f>
        <v>#NAME?</v>
      </c>
      <c r="BJ57" s="293" t="e">
        <f aca="false">IF($A57="N/A"," ",(H57*(SUM(AK57:AQ57)+SUM(AS57:AY57))*BA57))</f>
        <v>#NAME?</v>
      </c>
      <c r="BK57" s="293" t="e">
        <f aca="false">IF($A57="N/A"," ",((C57*D57)*(SUM($AK57:$AQ57)+SUM($AS57:$AY57))*$BA57))</f>
        <v>#N/A</v>
      </c>
      <c r="BL57" s="293" t="e">
        <f aca="false">IF($A57="N/A"," ",(F57*(SUM($AK57:$AQ57)+SUM($AS57:$AY57))*$BA57))</f>
        <v>#NAME?</v>
      </c>
      <c r="BM57" s="293" t="e">
        <f aca="false">IF($A57="N/A"," ",(G57*(SUM($AK57:$AQ57)+SUM($AS57:$AY57))*$BA57))</f>
        <v>#NAME?</v>
      </c>
      <c r="BN57" s="294" t="n">
        <f aca="false">IF(A57="N/A"," ",(VLOOKUP(A57,PowerVolTable,(IF('Pricing Inputs'!$AT$3=2,7,IF('Pricing Inputs'!$AT$3=1,6,8))),FALSE())))</f>
        <v>0.27984398484375</v>
      </c>
      <c r="BO57" s="294" t="n">
        <f aca="false">IF(A57="N/A"," ",(VLOOKUP(A57,IntraPowerVol,(IF('Pricing Inputs'!$AT$3=2,3,IF('Pricing Inputs'!$AT$3=1,2,4))),FALSE())*VLOOKUP(MONTH($A57),Inputs!$A$28:$B$39,2)))</f>
        <v>2.3</v>
      </c>
      <c r="BP57" s="295" t="n">
        <f aca="false">IF($A57="N/A"," ",(IF(DateToday&gt;$A57,$BO57,((($BN57^2)*((($A57-1)-DateToday)/((EOMONTH($A57,0)+1)-DateToday-15)))+((($BO57)^2)*((15)/((EOMONTH($A57,0)+1)-DateToday-15))))^0.5)))</f>
        <v>2.3</v>
      </c>
      <c r="BQ57" s="294" t="e">
        <f aca="false">IF($A57="N/A"," ",(VLOOKUP($A57,GasVolTable,(IF('Pricing Inputs'!$AT$3=2,6,IF('Pricing Inputs'!$AT$3=1,7,5))),FALSE())))</f>
        <v>#N/A</v>
      </c>
      <c r="BR57" s="294" t="e">
        <f aca="false">IF($A57="N/A"," ",(VLOOKUP($A57,OmicronVol,(IF('Pricing Inputs'!$AT$3=2,3,IF('Pricing Inputs'!$AT$3=1,4,2))),FALSE())))</f>
        <v>#N/A</v>
      </c>
      <c r="BS57" s="295" t="e">
        <f aca="false">IF($A57="N/A"," ",IF('Pricing Inputs'!$AN$3=1,(IF(DateToday&gt;$A57,$BR57,((($BQ57^2)*((($A57-1)-DateToday)/((EOMONTH($A57,0)+1)-DateToday-15)))+((($BR57)^2)*((15)/((EOMONTH($A57,0)+1)-DateToday-15))))^0.5)),0.0001))</f>
        <v>#N/A</v>
      </c>
      <c r="BT57" s="294" t="n">
        <f aca="false">IF($A57="N/A"," ",IF('Pricing Inputs'!$AN$3=1,(VLOOKUP($A57,CorrelationTable,2,FALSE())),0))</f>
        <v>0.9</v>
      </c>
      <c r="BU57" s="296" t="e">
        <f aca="false">IF($A57="N/A"," ",F57+G57+(D57*(VLOOKUP($A57,'Gas Curves'!$B$17:$P$310,14,FALSE()))))</f>
        <v>#N/A</v>
      </c>
      <c r="BV57" s="294" t="n">
        <f aca="false">IF($A57="N/A"," ",IF('Pricing Inputs'!$AW$3=1,0,(VLOOKUP($A57,InterestRatesTable,2))))</f>
        <v>0</v>
      </c>
      <c r="BW57" s="297" t="n">
        <f aca="false">IF($A57="N/A"," ",(1+BV57/2)^(-2*((EOMONTH(A57,0)+20)-DateToday)/365.25))</f>
        <v>1</v>
      </c>
    </row>
    <row r="58" customFormat="false" ht="12.75" hidden="false" customHeight="false" outlineLevel="0" collapsed="false">
      <c r="A58" s="272" t="n">
        <f aca="false">IF(A57="N/A","N/A",IF(EDATE(A57,1)&gt;Inputs!$K$3,"N/A",EDATE(A57,1)))</f>
        <v>38534</v>
      </c>
      <c r="B58" s="273" t="n">
        <f aca="false">IF(A58="N/A"," ",YEAR(A58))</f>
        <v>2005</v>
      </c>
      <c r="C58" s="274" t="e">
        <f aca="false">IF(A58="N/A"," ",VLOOKUP(A58,ScaledPrice,10))</f>
        <v>#N/A</v>
      </c>
      <c r="D58" s="275" t="n">
        <f aca="false">IF(A58="N/A"," ",(VLOOKUP(MONTH($A58),Inputs!$A$14:$B$25,2))/1000)</f>
        <v>10.5</v>
      </c>
      <c r="E58" s="276" t="e">
        <f aca="false">IF($A58="N/A"," ",C58*D58)</f>
        <v>#N/A</v>
      </c>
      <c r="F58" s="277" t="n">
        <f aca="false">IF(A58="N/A"," ",Inputs!$F$6)</f>
        <v>2</v>
      </c>
      <c r="G58" s="277" t="n">
        <f aca="false">IF(A58="N/A"," ",Inputs!$F$9/IF(AND('Pricing Inputs'!$AQ$3&gt;=4,'Pricing Inputs'!$AQ$3&lt;=6),16,IF(AND('Pricing Inputs'!$AQ$3&gt;=7,'Pricing Inputs'!$AQ$3&lt;=9),8,24))/(BA58/BW58))</f>
        <v>0</v>
      </c>
      <c r="H58" s="278" t="e">
        <f aca="false">IF(A58="N/A"," ",(C58*D58)+F58+G58)</f>
        <v>#N/A</v>
      </c>
      <c r="I58" s="279" t="n">
        <f aca="false">VLOOKUP(A58,ScaledPrice,(IF(AND('Pricing Inputs'!$AQ$3&gt;=1,'Pricing Inputs'!$AQ$3&lt;=6),2,4)))</f>
        <v>82.820711562175</v>
      </c>
      <c r="J58" s="279" t="n">
        <f aca="false">IF(A58="N/A"," ",IF(AND('Pricing Inputs'!$AQ$3&gt;=1,'Pricing Inputs'!$AQ$3&lt;=6),I58,(VLOOKUP(A58,ScaledPrice,2))*(2-(VLOOKUP(A58,ScaledPrice,3)))))</f>
        <v>56.179288437825</v>
      </c>
      <c r="K58" s="279" t="n">
        <f aca="false">IF(A58="N/A"," ",IF(OR('Pricing Inputs'!$AQ$3=2,'Pricing Inputs'!$AQ$3=3,'Pricing Inputs'!$AQ$3=5,'Pricing Inputs'!$AQ$3=6,'Pricing Inputs'!$AQ$3=8,'Pricing Inputs'!$AQ$3=9),VLOOKUP(A58,ScaledPrice,IF(AND('Pricing Inputs'!$AQ$3&gt;=2,'Pricing Inputs'!$AQ$3&lt;=6),5,6)),0))</f>
        <v>47.2629195472374</v>
      </c>
      <c r="L58" s="279" t="n">
        <f aca="false">IF(A58="N/A"," ",IF(OR('Pricing Inputs'!$AQ$3=2,'Pricing Inputs'!$AQ$3=3,'Pricing Inputs'!$AQ$3=5,'Pricing Inputs'!$AQ$3=6,'Pricing Inputs'!$AQ$3=8,'Pricing Inputs'!$AQ$3=9),IF(AND('Pricing Inputs'!$AQ$3&gt;=2,'Pricing Inputs'!$AQ$3&lt;=6),K58,(VLOOKUP(A58,ScaledPrice,5))*(2-(VLOOKUP(A58,ScaledPrice,3)))),0))</f>
        <v>32.0595795372353</v>
      </c>
      <c r="M58" s="279" t="n">
        <f aca="false">IF(A58="N/A"," ",IF(OR('Pricing Inputs'!$AQ$3=3,'Pricing Inputs'!$AQ$3=6,'Pricing Inputs'!$AQ$3=9),(VLOOKUP(A58,ScaledPrice,IF(AND('Pricing Inputs'!$AQ$3&gt;=3,'Pricing Inputs'!$AQ$3&lt;=6),7,8))),0))</f>
        <v>34.7340524608268</v>
      </c>
      <c r="N58" s="279" t="n">
        <f aca="false">IF(A58="N/A"," ",IF(OR('Pricing Inputs'!$AQ$3=3,'Pricing Inputs'!$AQ$3=6,'Pricing Inputs'!$AQ$3=9),IF(AND('Pricing Inputs'!$AQ$3&gt;=3,'Pricing Inputs'!$AQ$3&lt;=6),M58,(VLOOKUP(A58,ScaledPrice,7))*(2-(VLOOKUP(A58,ScaledPrice,3)))),0))</f>
        <v>23.560946471058</v>
      </c>
      <c r="O58" s="279" t="n">
        <f aca="false">IF(A58="N/A"," ",IF(AND('Pricing Inputs'!$AQ$3&gt;=1,'Pricing Inputs'!$AQ$3&lt;=3),VLOOKUP(A58,ScaledPrice,9),0))</f>
        <v>0</v>
      </c>
      <c r="P58" s="280" t="e">
        <f aca="false">IF($A58="N/A"," ",IF('Pricing Inputs'!$AN$8=2,(I58-H58),IF('Pricing Inputs'!$AN$3=2,IF((I58-$H58)&gt;0,I58-$H58,0),(xSPRDOPT(I58,$E58,$BU58,0,$BP58,$BS58,$BT58,($A58-Inputs!$D$1)+15,1,0)))))</f>
        <v>#NAME?</v>
      </c>
      <c r="Q58" s="280" t="e">
        <f aca="false">IF($A58="N/A"," ",IF('Pricing Inputs'!$AN$8=2,(J58-$H58),IF('Pricing Inputs'!$AN$3=2,IF((J58-$H58)&gt;0,J58-$H58,0),(xSPRDOPT(J58,$E58,$BU58,0,$BP58,$BS58,$BT58,($A58-Inputs!$D$1)+15,1,0)))))</f>
        <v>#NAME?</v>
      </c>
      <c r="R58" s="280" t="e">
        <f aca="false">IF($A58="N/A"," ",IF('Pricing Inputs'!$AN$8=2,(K58-$H58),IF('Pricing Inputs'!$AN$3=2,IF((K58-$H58)&gt;0,K58-$H58,0),(xSPRDOPT(K58,$E58,$BU58,0,$BP58,$BS58,$BT58,($A58-Inputs!$D$1)+15,1,0)))))</f>
        <v>#NAME?</v>
      </c>
      <c r="S58" s="280" t="e">
        <f aca="false">IF($A58="N/A"," ",IF('Pricing Inputs'!$AN$8=2,(L58-$H58),IF('Pricing Inputs'!$AN$3=2,IF((L58-$H58)&gt;0,L58-$H58,0),(xSPRDOPT(L58,$E58,$BU58,0,$BP58,$BS58,$BT58,($A58-Inputs!$D$1)+15,1,0)))))</f>
        <v>#NAME?</v>
      </c>
      <c r="T58" s="280" t="e">
        <f aca="false">IF($A58="N/A"," ",IF('Pricing Inputs'!$AN$8=2,(M58-$H58),IF('Pricing Inputs'!$AN$3=2,IF((M58-$H58)&gt;0,M58-$H58,0),(xSPRDOPT(M58,$E58,$BU58,0,$BP58,$BS58,$BT58,($A58-Inputs!$D$1)+15,1,0)))))</f>
        <v>#NAME?</v>
      </c>
      <c r="U58" s="280" t="e">
        <f aca="false">IF($A58="N/A"," ",IF('Pricing Inputs'!$AN$8=2,(N58-$H58),IF('Pricing Inputs'!$AN$3=2,IF((N58-$H58)&gt;0,N58-$H58,0),(xSPRDOPT(N58,$E58,$BU58,0,$BP58,$BS58,$BT58,($A58-Inputs!$D$1)+15,1,0)))))</f>
        <v>#NAME?</v>
      </c>
      <c r="V58" s="281" t="e">
        <f aca="false">IF($A58="N/A"," ",(IF('Pricing Inputs'!$AN$8=2,(O58-$H58),IF((O58-$H58)&lt;=0,0,(O58-$H58)))))</f>
        <v>#N/A</v>
      </c>
      <c r="W58" s="282" t="e">
        <f aca="false">IF($A58="N/A"," ",IF(0&lt;&gt;P58,IF('Pricing Inputs'!$AN$3=2,8*VLOOKUP($A58,NumberofDaysTable,2),(xSPRDOPT(I58,$E58,$BU58,0,$BP58,$BS58,$BT58,$A58-Inputs!$D$1,1,1))*(8*VLOOKUP($A58,NumberofDaysTable,2))),0))</f>
        <v>#NAME?</v>
      </c>
      <c r="X58" s="282" t="e">
        <f aca="false">IF($A58="N/A"," ",IF(Q58&lt;&gt;0,IF('Pricing Inputs'!$AN$3=2,8*VLOOKUP($A58,NumberofDaysTable,2),(xSPRDOPT(J58,$E58,$BU58,0,$BP58,$BS58,$BT58,$A58-Inputs!$D$1,1,1))*(8*VLOOKUP($A58,NumberofDaysTable,2))),0))</f>
        <v>#NAME?</v>
      </c>
      <c r="Y58" s="282" t="e">
        <f aca="false">IF($A58="N/A"," ",IF(R58&lt;&gt;0,IF('Pricing Inputs'!$AN$3=2,8*VLOOKUP($A58,NumberofDaysTable,3),(xSPRDOPT(K58,$E58,$BU58,0,$BP58,$BS58,$BT58,$A58-Inputs!$D$1,1,1))*(8*VLOOKUP($A58,NumberofDaysTable,3))),0))</f>
        <v>#NAME?</v>
      </c>
      <c r="Z58" s="282" t="e">
        <f aca="false">IF($A58="N/A"," ",IF(S58&lt;&gt;0,IF('Pricing Inputs'!$AN$3=2,8*VLOOKUP($A58,NumberofDaysTable,3),(xSPRDOPT(L58,$E58,$BU58,0,$BP58,$BS58,$BT58,$A58-Inputs!$D$1,1,1))*(8*VLOOKUP($A58,NumberofDaysTable,3))),0))</f>
        <v>#NAME?</v>
      </c>
      <c r="AA58" s="282" t="e">
        <f aca="false">IF($A58="N/A"," ",IF(T58&lt;&gt;0,IF('Pricing Inputs'!$AN$3=2,8*VLOOKUP($A58,NumberofDaysTable,4),(xSPRDOPT(M58,$E58,$BU58,0,$BP58,$BS58,$BT58,$A58-Inputs!$D$1,1,1))*(8*VLOOKUP($A58,NumberofDaysTable,4))),0))</f>
        <v>#NAME?</v>
      </c>
      <c r="AB58" s="282" t="e">
        <f aca="false">IF($A58="N/A"," ",IF(U58&lt;&gt;0,IF('Pricing Inputs'!$AN$3=2,8*VLOOKUP($A58,NumberofDaysTable,4),(xSPRDOPT(N58,$E58,$BU58,0,$BP58,$BS58,$BT58,$A58-Inputs!$D$1,1,1))*(8*VLOOKUP($A58,NumberofDaysTable,4))),0))</f>
        <v>#NAME?</v>
      </c>
      <c r="AC58" s="282" t="e">
        <f aca="false">IF($A58="N/A"," ",(IF(V58&lt;&gt;0,(8*VLOOKUP($A58,NumberofDaysTable,6)),0)))</f>
        <v>#N/A</v>
      </c>
      <c r="AD58" s="298" t="e">
        <f aca="false">IF($A58="N/A"," ",RANK(P58,$P$52:$V$63))</f>
        <v>#NAME?</v>
      </c>
      <c r="AE58" s="299" t="e">
        <f aca="false">IF($A58="N/A"," ",RANK(Q58,$P$52:$V$63))</f>
        <v>#NAME?</v>
      </c>
      <c r="AF58" s="299" t="e">
        <f aca="false">IF($A58="N/A"," ",RANK(R58,$P$52:$V$63))</f>
        <v>#NAME?</v>
      </c>
      <c r="AG58" s="299" t="e">
        <f aca="false">IF($A58="N/A"," ",RANK(S58,$P$52:$V$63))</f>
        <v>#NAME?</v>
      </c>
      <c r="AH58" s="299" t="e">
        <f aca="false">IF($A58="N/A"," ",RANK(T58,$P$52:$V$63))</f>
        <v>#NAME?</v>
      </c>
      <c r="AI58" s="299" t="e">
        <f aca="false">IF($A58="N/A"," ",RANK(U58,$P$52:$V$63))</f>
        <v>#NAME?</v>
      </c>
      <c r="AJ58" s="300" t="e">
        <f aca="false">IF($A58="N/A"," ",RANK(V58,$P$52:$V$63))</f>
        <v>#NAME?</v>
      </c>
      <c r="AK58" s="286" t="e">
        <f aca="false">IF($A58="N/A"," ",IF(AD58&lt;=$AJ$2,W58,0))</f>
        <v>#NAME?</v>
      </c>
      <c r="AL58" s="301" t="e">
        <f aca="false">IF($A58="N/A"," ",IF(AE58&lt;=$AJ$2,X58,0))</f>
        <v>#NAME?</v>
      </c>
      <c r="AM58" s="301" t="e">
        <f aca="false">IF($A58="N/A"," ",IF(AF58&lt;=$AJ$2,Y58,0))</f>
        <v>#NAME?</v>
      </c>
      <c r="AN58" s="301" t="e">
        <f aca="false">IF($A58="N/A"," ",IF(AG58&lt;=$AJ$2,Z58,0))</f>
        <v>#NAME?</v>
      </c>
      <c r="AO58" s="301" t="e">
        <f aca="false">IF($A58="N/A"," ",IF(AH58&lt;=$AJ$2,AA58,0))</f>
        <v>#NAME?</v>
      </c>
      <c r="AP58" s="301" t="e">
        <f aca="false">IF($A58="N/A"," ",IF(AI58&lt;=$AJ$2,AB58,0))</f>
        <v>#NAME?</v>
      </c>
      <c r="AQ58" s="301" t="e">
        <f aca="false">IF($A58="N/A"," ",IF(AJ58&lt;=$AJ$2,AC58,0))</f>
        <v>#NAME?</v>
      </c>
      <c r="AR58" s="300"/>
      <c r="AS58" s="288" t="e">
        <f aca="false">IF($A58="N/A"," ",IF(AND(AD58=$AJ$2+1,AK58=0),MIN($AR$63,W58),0))</f>
        <v>#NAME?</v>
      </c>
      <c r="AT58" s="302" t="e">
        <f aca="false">IF($A58="N/A"," ",IF(AND(AE58=$AJ$2+1,AL58=0),MIN($AR$63,X58),0))</f>
        <v>#NAME?</v>
      </c>
      <c r="AU58" s="302" t="e">
        <f aca="false">IF($A58="N/A"," ",IF(AND(AF58=$AJ$2+1,AM58=0),MIN($AR$63,Y58),0))</f>
        <v>#NAME?</v>
      </c>
      <c r="AV58" s="302" t="e">
        <f aca="false">IF($A58="N/A"," ",IF(AND(AG58=$AJ$2+1,AN58=0),MIN($AR$63,Z58),0))</f>
        <v>#NAME?</v>
      </c>
      <c r="AW58" s="302" t="e">
        <f aca="false">IF($A58="N/A"," ",IF(AND(AH58=$AJ$2+1,AO58=0),MIN($AR$63,AA58),0))</f>
        <v>#NAME?</v>
      </c>
      <c r="AX58" s="302" t="e">
        <f aca="false">IF($A58="N/A"," ",IF(AND(AI58=$AJ$2+1,AP58=0),MIN($AR$63,AB58),0))</f>
        <v>#NAME?</v>
      </c>
      <c r="AY58" s="302" t="e">
        <f aca="false">IF($A58="N/A"," ",IF(AND(AJ58=$AJ$2+1,AQ58=0),MIN($AR$63,AC58),0))</f>
        <v>#NAME?</v>
      </c>
      <c r="AZ58" s="300"/>
      <c r="BA58" s="291" t="n">
        <f aca="false">IF($A58="N/A"," ",(IF(MONTH(A58)&gt;=4,IF(MONTH(A58)&lt;=10,Inputs!$F$13,Inputs!$F$14),Inputs!$F$14))*$BW58)</f>
        <v>180</v>
      </c>
      <c r="BB58" s="292" t="e">
        <f aca="false">IF($A58="N/A"," ",(IF(AK58&gt;0,($BA58*(8*(VLOOKUP($A58,NumberofDaysTable,2)))*P58),0)+IF(AS58&gt;0,($BA58*((AS58))*P58),0)))</f>
        <v>#NAME?</v>
      </c>
      <c r="BC58" s="292" t="e">
        <f aca="false">IF($A58="N/A"," ",(IF(AL58&gt;0,($BA58*(8*(VLOOKUP($A58,NumberofDaysTable,2)))*Q58),0)+IF(AT58&gt;0,($BA58*((AT58))*Q58),0)))</f>
        <v>#NAME?</v>
      </c>
      <c r="BD58" s="292" t="e">
        <f aca="false">IF($A58="N/A"," ",(IF(AM58&gt;0,($BA58*(8*(VLOOKUP($A58,NumberofDaysTable,3)))*R58),0)+IF(AU58&gt;0,($BA58*((AU58))*R58),0)))</f>
        <v>#NAME?</v>
      </c>
      <c r="BE58" s="292" t="e">
        <f aca="false">IF($A58="N/A"," ",(IF(AN58&gt;0,($BA58*(8*(VLOOKUP($A58,NumberofDaysTable,3)))*S58),0)+IF(AV58&gt;0,($BA58*((AV58))*S58),0)))</f>
        <v>#NAME?</v>
      </c>
      <c r="BF58" s="292" t="e">
        <f aca="false">IF($A58="N/A"," ",(IF(AO58&gt;0,($BA58*(8*(VLOOKUP($A58,NumberofDaysTable,4)+VLOOKUP($A58,NumberofDaysTable,5)))*T58),0)+IF(AW58&gt;0,($BA58*((AW58))*T58),0)))</f>
        <v>#NAME?</v>
      </c>
      <c r="BG58" s="292" t="e">
        <f aca="false">IF($A58="N/A"," ",(IF(AP58&gt;0,($BA58*(8*(VLOOKUP($A58,NumberofDaysTable,4)+VLOOKUP($A58,NumberofDaysTable,5)))*U58),0)+IF(AX58&gt;0,($BA58*((AX58))*U58),0)))</f>
        <v>#NAME?</v>
      </c>
      <c r="BH58" s="292" t="e">
        <f aca="false">IF($A58="N/A"," ",($BA58*AQ58*V58))</f>
        <v>#NAME?</v>
      </c>
      <c r="BI58" s="292" t="e">
        <f aca="false">IF($A58="N/A"," ",SUM(BB58:BH58))</f>
        <v>#NAME?</v>
      </c>
      <c r="BJ58" s="293" t="e">
        <f aca="false">IF($A58="N/A"," ",(H58*(SUM(AK58:AQ58)+SUM(AS58:AY58))*BA58))</f>
        <v>#NAME?</v>
      </c>
      <c r="BK58" s="293" t="e">
        <f aca="false">IF($A58="N/A"," ",((C58*D58)*(SUM($AK58:$AQ58)+SUM($AS58:$AY58))*$BA58))</f>
        <v>#N/A</v>
      </c>
      <c r="BL58" s="293" t="e">
        <f aca="false">IF($A58="N/A"," ",(F58*(SUM($AK58:$AQ58)+SUM($AS58:$AY58))*$BA58))</f>
        <v>#NAME?</v>
      </c>
      <c r="BM58" s="293" t="e">
        <f aca="false">IF($A58="N/A"," ",(G58*(SUM($AK58:$AQ58)+SUM($AS58:$AY58))*$BA58))</f>
        <v>#NAME?</v>
      </c>
      <c r="BN58" s="294" t="n">
        <f aca="false">IF(A58="N/A"," ",(VLOOKUP(A58,PowerVolTable,(IF('Pricing Inputs'!$AT$3=2,7,IF('Pricing Inputs'!$AT$3=1,6,8))),FALSE())))</f>
        <v>0.33115787859375</v>
      </c>
      <c r="BO58" s="294" t="n">
        <f aca="false">IF(A58="N/A"," ",(VLOOKUP(A58,IntraPowerVol,(IF('Pricing Inputs'!$AT$3=2,3,IF('Pricing Inputs'!$AT$3=1,2,4))),FALSE())*VLOOKUP(MONTH($A58),Inputs!$A$28:$B$39,2)))</f>
        <v>3.45</v>
      </c>
      <c r="BP58" s="295" t="n">
        <f aca="false">IF($A58="N/A"," ",(IF(DateToday&gt;$A58,$BO58,((($BN58^2)*((($A58-1)-DateToday)/((EOMONTH($A58,0)+1)-DateToday-15)))+((($BO58)^2)*((15)/((EOMONTH($A58,0)+1)-DateToday-15))))^0.5)))</f>
        <v>3.45</v>
      </c>
      <c r="BQ58" s="294" t="e">
        <f aca="false">IF($A58="N/A"," ",(VLOOKUP($A58,GasVolTable,(IF('Pricing Inputs'!$AT$3=2,6,IF('Pricing Inputs'!$AT$3=1,7,5))),FALSE())))</f>
        <v>#N/A</v>
      </c>
      <c r="BR58" s="294" t="e">
        <f aca="false">IF($A58="N/A"," ",(VLOOKUP($A58,OmicronVol,(IF('Pricing Inputs'!$AT$3=2,3,IF('Pricing Inputs'!$AT$3=1,4,2))),FALSE())))</f>
        <v>#N/A</v>
      </c>
      <c r="BS58" s="295" t="e">
        <f aca="false">IF($A58="N/A"," ",IF('Pricing Inputs'!$AN$3=1,(IF(DateToday&gt;$A58,$BR58,((($BQ58^2)*((($A58-1)-DateToday)/((EOMONTH($A58,0)+1)-DateToday-15)))+((($BR58)^2)*((15)/((EOMONTH($A58,0)+1)-DateToday-15))))^0.5)),0.0001))</f>
        <v>#N/A</v>
      </c>
      <c r="BT58" s="294" t="n">
        <f aca="false">IF($A58="N/A"," ",IF('Pricing Inputs'!$AN$3=1,(VLOOKUP($A58,CorrelationTable,2,FALSE())),0))</f>
        <v>0.9</v>
      </c>
      <c r="BU58" s="296" t="e">
        <f aca="false">IF($A58="N/A"," ",F58+G58+(D58*(VLOOKUP($A58,'Gas Curves'!$B$17:$P$310,14,FALSE()))))</f>
        <v>#N/A</v>
      </c>
      <c r="BV58" s="294" t="n">
        <f aca="false">IF($A58="N/A"," ",IF('Pricing Inputs'!$AW$3=1,0,(VLOOKUP($A58,InterestRatesTable,2))))</f>
        <v>0</v>
      </c>
      <c r="BW58" s="297" t="n">
        <f aca="false">IF($A58="N/A"," ",(1+BV58/2)^(-2*((EOMONTH(A58,0)+20)-DateToday)/365.25))</f>
        <v>1</v>
      </c>
    </row>
    <row r="59" customFormat="false" ht="12.75" hidden="false" customHeight="false" outlineLevel="0" collapsed="false">
      <c r="A59" s="272" t="n">
        <f aca="false">IF(A58="N/A","N/A",IF(EDATE(A58,1)&gt;Inputs!$K$3,"N/A",EDATE(A58,1)))</f>
        <v>38565</v>
      </c>
      <c r="B59" s="273" t="n">
        <f aca="false">IF(A59="N/A"," ",YEAR(A59))</f>
        <v>2005</v>
      </c>
      <c r="C59" s="274" t="e">
        <f aca="false">IF(A59="N/A"," ",VLOOKUP(A59,ScaledPrice,10))</f>
        <v>#N/A</v>
      </c>
      <c r="D59" s="275" t="n">
        <f aca="false">IF(A59="N/A"," ",(VLOOKUP(MONTH($A59),Inputs!$A$14:$B$25,2))/1000)</f>
        <v>10.5</v>
      </c>
      <c r="E59" s="276" t="e">
        <f aca="false">IF($A59="N/A"," ",C59*D59)</f>
        <v>#N/A</v>
      </c>
      <c r="F59" s="277" t="n">
        <f aca="false">IF(A59="N/A"," ",Inputs!$F$6)</f>
        <v>2</v>
      </c>
      <c r="G59" s="277" t="n">
        <f aca="false">IF(A59="N/A"," ",Inputs!$F$9/IF(AND('Pricing Inputs'!$AQ$3&gt;=4,'Pricing Inputs'!$AQ$3&lt;=6),16,IF(AND('Pricing Inputs'!$AQ$3&gt;=7,'Pricing Inputs'!$AQ$3&lt;=9),8,24))/(BA59/BW59))</f>
        <v>0</v>
      </c>
      <c r="H59" s="278" t="e">
        <f aca="false">IF(A59="N/A"," ",(C59*D59)+F59+G59)</f>
        <v>#N/A</v>
      </c>
      <c r="I59" s="279" t="n">
        <f aca="false">VLOOKUP(A59,ScaledPrice,(IF(AND('Pricing Inputs'!$AQ$3&gt;=1,'Pricing Inputs'!$AQ$3&lt;=6),2,4)))</f>
        <v>72.0803816439397</v>
      </c>
      <c r="J59" s="279" t="n">
        <f aca="false">IF(A59="N/A"," ",IF(AND('Pricing Inputs'!$AQ$3&gt;=1,'Pricing Inputs'!$AQ$3&lt;=6),I59,(VLOOKUP(A59,ScaledPrice,2))*(2-(VLOOKUP(A59,ScaledPrice,3)))))</f>
        <v>57.9196183560603</v>
      </c>
      <c r="K59" s="279" t="n">
        <f aca="false">IF(A59="N/A"," ",IF(OR('Pricing Inputs'!$AQ$3=2,'Pricing Inputs'!$AQ$3=3,'Pricing Inputs'!$AQ$3=5,'Pricing Inputs'!$AQ$3=6,'Pricing Inputs'!$AQ$3=8,'Pricing Inputs'!$AQ$3=9),VLOOKUP(A59,ScaledPrice,IF(AND('Pricing Inputs'!$AQ$3&gt;=2,'Pricing Inputs'!$AQ$3&lt;=6),5,6)),0))</f>
        <v>46.4890728227154</v>
      </c>
      <c r="L59" s="279" t="n">
        <f aca="false">IF(A59="N/A"," ",IF(OR('Pricing Inputs'!$AQ$3=2,'Pricing Inputs'!$AQ$3=3,'Pricing Inputs'!$AQ$3=5,'Pricing Inputs'!$AQ$3=6,'Pricing Inputs'!$AQ$3=8,'Pricing Inputs'!$AQ$3=9),IF(AND('Pricing Inputs'!$AQ$3&gt;=2,'Pricing Inputs'!$AQ$3&lt;=6),K59,(VLOOKUP(A59,ScaledPrice,5))*(2-(VLOOKUP(A59,ScaledPrice,3)))),0))</f>
        <v>37.3559253462299</v>
      </c>
      <c r="M59" s="279" t="n">
        <f aca="false">IF(A59="N/A"," ",IF(OR('Pricing Inputs'!$AQ$3=3,'Pricing Inputs'!$AQ$3=6,'Pricing Inputs'!$AQ$3=9),(VLOOKUP(A59,ScaledPrice,IF(AND('Pricing Inputs'!$AQ$3&gt;=3,'Pricing Inputs'!$AQ$3&lt;=6),7,8))),0))</f>
        <v>33.9831285533969</v>
      </c>
      <c r="N59" s="279" t="n">
        <f aca="false">IF(A59="N/A"," ",IF(OR('Pricing Inputs'!$AQ$3=3,'Pricing Inputs'!$AQ$3=6,'Pricing Inputs'!$AQ$3=9),IF(AND('Pricing Inputs'!$AQ$3&gt;=3,'Pricing Inputs'!$AQ$3&lt;=6),M59,(VLOOKUP(A59,ScaledPrice,7))*(2-(VLOOKUP(A59,ScaledPrice,3)))),0))</f>
        <v>27.3068731250699</v>
      </c>
      <c r="O59" s="279" t="n">
        <f aca="false">IF(A59="N/A"," ",IF(AND('Pricing Inputs'!$AQ$3&gt;=1,'Pricing Inputs'!$AQ$3&lt;=3),VLOOKUP(A59,ScaledPrice,9),0))</f>
        <v>0</v>
      </c>
      <c r="P59" s="280" t="e">
        <f aca="false">IF($A59="N/A"," ",IF('Pricing Inputs'!$AN$8=2,(I59-H59),IF('Pricing Inputs'!$AN$3=2,IF((I59-$H59)&gt;0,I59-$H59,0),(xSPRDOPT(I59,$E59,$BU59,0,$BP59,$BS59,$BT59,($A59-Inputs!$D$1)+15,1,0)))))</f>
        <v>#NAME?</v>
      </c>
      <c r="Q59" s="280" t="e">
        <f aca="false">IF($A59="N/A"," ",IF('Pricing Inputs'!$AN$8=2,(J59-$H59),IF('Pricing Inputs'!$AN$3=2,IF((J59-$H59)&gt;0,J59-$H59,0),(xSPRDOPT(J59,$E59,$BU59,0,$BP59,$BS59,$BT59,($A59-Inputs!$D$1)+15,1,0)))))</f>
        <v>#NAME?</v>
      </c>
      <c r="R59" s="280" t="e">
        <f aca="false">IF($A59="N/A"," ",IF('Pricing Inputs'!$AN$8=2,(K59-$H59),IF('Pricing Inputs'!$AN$3=2,IF((K59-$H59)&gt;0,K59-$H59,0),(xSPRDOPT(K59,$E59,$BU59,0,$BP59,$BS59,$BT59,($A59-Inputs!$D$1)+15,1,0)))))</f>
        <v>#NAME?</v>
      </c>
      <c r="S59" s="280" t="e">
        <f aca="false">IF($A59="N/A"," ",IF('Pricing Inputs'!$AN$8=2,(L59-$H59),IF('Pricing Inputs'!$AN$3=2,IF((L59-$H59)&gt;0,L59-$H59,0),(xSPRDOPT(L59,$E59,$BU59,0,$BP59,$BS59,$BT59,($A59-Inputs!$D$1)+15,1,0)))))</f>
        <v>#NAME?</v>
      </c>
      <c r="T59" s="280" t="e">
        <f aca="false">IF($A59="N/A"," ",IF('Pricing Inputs'!$AN$8=2,(M59-$H59),IF('Pricing Inputs'!$AN$3=2,IF((M59-$H59)&gt;0,M59-$H59,0),(xSPRDOPT(M59,$E59,$BU59,0,$BP59,$BS59,$BT59,($A59-Inputs!$D$1)+15,1,0)))))</f>
        <v>#NAME?</v>
      </c>
      <c r="U59" s="280" t="e">
        <f aca="false">IF($A59="N/A"," ",IF('Pricing Inputs'!$AN$8=2,(N59-$H59),IF('Pricing Inputs'!$AN$3=2,IF((N59-$H59)&gt;0,N59-$H59,0),(xSPRDOPT(N59,$E59,$BU59,0,$BP59,$BS59,$BT59,($A59-Inputs!$D$1)+15,1,0)))))</f>
        <v>#NAME?</v>
      </c>
      <c r="V59" s="281" t="e">
        <f aca="false">IF($A59="N/A"," ",(IF('Pricing Inputs'!$AN$8=2,(O59-$H59),IF((O59-$H59)&lt;=0,0,(O59-$H59)))))</f>
        <v>#N/A</v>
      </c>
      <c r="W59" s="282" t="e">
        <f aca="false">IF($A59="N/A"," ",IF(0&lt;&gt;P59,IF('Pricing Inputs'!$AN$3=2,8*VLOOKUP($A59,NumberofDaysTable,2),(xSPRDOPT(I59,$E59,$BU59,0,$BP59,$BS59,$BT59,$A59-Inputs!$D$1,1,1))*(8*VLOOKUP($A59,NumberofDaysTable,2))),0))</f>
        <v>#NAME?</v>
      </c>
      <c r="X59" s="282" t="e">
        <f aca="false">IF($A59="N/A"," ",IF(Q59&lt;&gt;0,IF('Pricing Inputs'!$AN$3=2,8*VLOOKUP($A59,NumberofDaysTable,2),(xSPRDOPT(J59,$E59,$BU59,0,$BP59,$BS59,$BT59,$A59-Inputs!$D$1,1,1))*(8*VLOOKUP($A59,NumberofDaysTable,2))),0))</f>
        <v>#NAME?</v>
      </c>
      <c r="Y59" s="282" t="e">
        <f aca="false">IF($A59="N/A"," ",IF(R59&lt;&gt;0,IF('Pricing Inputs'!$AN$3=2,8*VLOOKUP($A59,NumberofDaysTable,3),(xSPRDOPT(K59,$E59,$BU59,0,$BP59,$BS59,$BT59,$A59-Inputs!$D$1,1,1))*(8*VLOOKUP($A59,NumberofDaysTable,3))),0))</f>
        <v>#NAME?</v>
      </c>
      <c r="Z59" s="282" t="e">
        <f aca="false">IF($A59="N/A"," ",IF(S59&lt;&gt;0,IF('Pricing Inputs'!$AN$3=2,8*VLOOKUP($A59,NumberofDaysTable,3),(xSPRDOPT(L59,$E59,$BU59,0,$BP59,$BS59,$BT59,$A59-Inputs!$D$1,1,1))*(8*VLOOKUP($A59,NumberofDaysTable,3))),0))</f>
        <v>#NAME?</v>
      </c>
      <c r="AA59" s="282" t="e">
        <f aca="false">IF($A59="N/A"," ",IF(T59&lt;&gt;0,IF('Pricing Inputs'!$AN$3=2,8*VLOOKUP($A59,NumberofDaysTable,4),(xSPRDOPT(M59,$E59,$BU59,0,$BP59,$BS59,$BT59,$A59-Inputs!$D$1,1,1))*(8*VLOOKUP($A59,NumberofDaysTable,4))),0))</f>
        <v>#NAME?</v>
      </c>
      <c r="AB59" s="282" t="e">
        <f aca="false">IF($A59="N/A"," ",IF(U59&lt;&gt;0,IF('Pricing Inputs'!$AN$3=2,8*VLOOKUP($A59,NumberofDaysTable,4),(xSPRDOPT(N59,$E59,$BU59,0,$BP59,$BS59,$BT59,$A59-Inputs!$D$1,1,1))*(8*VLOOKUP($A59,NumberofDaysTable,4))),0))</f>
        <v>#NAME?</v>
      </c>
      <c r="AC59" s="282" t="e">
        <f aca="false">IF($A59="N/A"," ",(IF(V59&lt;&gt;0,(8*VLOOKUP($A59,NumberofDaysTable,6)),0)))</f>
        <v>#N/A</v>
      </c>
      <c r="AD59" s="298" t="e">
        <f aca="false">IF($A59="N/A"," ",RANK(P59,$P$52:$V$63))</f>
        <v>#NAME?</v>
      </c>
      <c r="AE59" s="299" t="e">
        <f aca="false">IF($A59="N/A"," ",RANK(Q59,$P$52:$V$63))</f>
        <v>#NAME?</v>
      </c>
      <c r="AF59" s="299" t="e">
        <f aca="false">IF($A59="N/A"," ",RANK(R59,$P$52:$V$63))</f>
        <v>#NAME?</v>
      </c>
      <c r="AG59" s="299" t="e">
        <f aca="false">IF($A59="N/A"," ",RANK(S59,$P$52:$V$63))</f>
        <v>#NAME?</v>
      </c>
      <c r="AH59" s="299" t="e">
        <f aca="false">IF($A59="N/A"," ",RANK(T59,$P$52:$V$63))</f>
        <v>#NAME?</v>
      </c>
      <c r="AI59" s="299" t="e">
        <f aca="false">IF($A59="N/A"," ",RANK(U59,$P$52:$V$63))</f>
        <v>#NAME?</v>
      </c>
      <c r="AJ59" s="300" t="e">
        <f aca="false">IF($A59="N/A"," ",RANK(V59,$P$52:$V$63))</f>
        <v>#NAME?</v>
      </c>
      <c r="AK59" s="286" t="e">
        <f aca="false">IF($A59="N/A"," ",IF(AD59&lt;=$AJ$2,W59,0))</f>
        <v>#NAME?</v>
      </c>
      <c r="AL59" s="301" t="e">
        <f aca="false">IF($A59="N/A"," ",IF(AE59&lt;=$AJ$2,X59,0))</f>
        <v>#NAME?</v>
      </c>
      <c r="AM59" s="301" t="e">
        <f aca="false">IF($A59="N/A"," ",IF(AF59&lt;=$AJ$2,Y59,0))</f>
        <v>#NAME?</v>
      </c>
      <c r="AN59" s="301" t="e">
        <f aca="false">IF($A59="N/A"," ",IF(AG59&lt;=$AJ$2,Z59,0))</f>
        <v>#NAME?</v>
      </c>
      <c r="AO59" s="301" t="e">
        <f aca="false">IF($A59="N/A"," ",IF(AH59&lt;=$AJ$2,AA59,0))</f>
        <v>#NAME?</v>
      </c>
      <c r="AP59" s="301" t="e">
        <f aca="false">IF($A59="N/A"," ",IF(AI59&lt;=$AJ$2,AB59,0))</f>
        <v>#NAME?</v>
      </c>
      <c r="AQ59" s="301" t="e">
        <f aca="false">IF($A59="N/A"," ",IF(AJ59&lt;=$AJ$2,AC59,0))</f>
        <v>#NAME?</v>
      </c>
      <c r="AR59" s="300"/>
      <c r="AS59" s="288" t="e">
        <f aca="false">IF($A59="N/A"," ",IF(AND(AD59=$AJ$2+1,AK59=0),MIN($AR$63,W59),0))</f>
        <v>#NAME?</v>
      </c>
      <c r="AT59" s="302" t="e">
        <f aca="false">IF($A59="N/A"," ",IF(AND(AE59=$AJ$2+1,AL59=0),MIN($AR$63,X59),0))</f>
        <v>#NAME?</v>
      </c>
      <c r="AU59" s="302" t="e">
        <f aca="false">IF($A59="N/A"," ",IF(AND(AF59=$AJ$2+1,AM59=0),MIN($AR$63,Y59),0))</f>
        <v>#NAME?</v>
      </c>
      <c r="AV59" s="302" t="e">
        <f aca="false">IF($A59="N/A"," ",IF(AND(AG59=$AJ$2+1,AN59=0),MIN($AR$63,Z59),0))</f>
        <v>#NAME?</v>
      </c>
      <c r="AW59" s="302" t="e">
        <f aca="false">IF($A59="N/A"," ",IF(AND(AH59=$AJ$2+1,AO59=0),MIN($AR$63,AA59),0))</f>
        <v>#NAME?</v>
      </c>
      <c r="AX59" s="302" t="e">
        <f aca="false">IF($A59="N/A"," ",IF(AND(AI59=$AJ$2+1,AP59=0),MIN($AR$63,AB59),0))</f>
        <v>#NAME?</v>
      </c>
      <c r="AY59" s="302" t="e">
        <f aca="false">IF($A59="N/A"," ",IF(AND(AJ59=$AJ$2+1,AQ59=0),MIN($AR$63,AC59),0))</f>
        <v>#NAME?</v>
      </c>
      <c r="AZ59" s="300"/>
      <c r="BA59" s="291" t="n">
        <f aca="false">IF($A59="N/A"," ",(IF(MONTH(A59)&gt;=4,IF(MONTH(A59)&lt;=10,Inputs!$F$13,Inputs!$F$14),Inputs!$F$14))*$BW59)</f>
        <v>180</v>
      </c>
      <c r="BB59" s="292" t="e">
        <f aca="false">IF($A59="N/A"," ",(IF(AK59&gt;0,($BA59*(8*(VLOOKUP($A59,NumberofDaysTable,2)))*P59),0)+IF(AS59&gt;0,($BA59*((AS59))*P59),0)))</f>
        <v>#NAME?</v>
      </c>
      <c r="BC59" s="292" t="e">
        <f aca="false">IF($A59="N/A"," ",(IF(AL59&gt;0,($BA59*(8*(VLOOKUP($A59,NumberofDaysTable,2)))*Q59),0)+IF(AT59&gt;0,($BA59*((AT59))*Q59),0)))</f>
        <v>#NAME?</v>
      </c>
      <c r="BD59" s="292" t="e">
        <f aca="false">IF($A59="N/A"," ",(IF(AM59&gt;0,($BA59*(8*(VLOOKUP($A59,NumberofDaysTable,3)))*R59),0)+IF(AU59&gt;0,($BA59*((AU59))*R59),0)))</f>
        <v>#NAME?</v>
      </c>
      <c r="BE59" s="292" t="e">
        <f aca="false">IF($A59="N/A"," ",(IF(AN59&gt;0,($BA59*(8*(VLOOKUP($A59,NumberofDaysTable,3)))*S59),0)+IF(AV59&gt;0,($BA59*((AV59))*S59),0)))</f>
        <v>#NAME?</v>
      </c>
      <c r="BF59" s="292" t="e">
        <f aca="false">IF($A59="N/A"," ",(IF(AO59&gt;0,($BA59*(8*(VLOOKUP($A59,NumberofDaysTable,4)+VLOOKUP($A59,NumberofDaysTable,5)))*T59),0)+IF(AW59&gt;0,($BA59*((AW59))*T59),0)))</f>
        <v>#NAME?</v>
      </c>
      <c r="BG59" s="292" t="e">
        <f aca="false">IF($A59="N/A"," ",(IF(AP59&gt;0,($BA59*(8*(VLOOKUP($A59,NumberofDaysTable,4)+VLOOKUP($A59,NumberofDaysTable,5)))*U59),0)+IF(AX59&gt;0,($BA59*((AX59))*U59),0)))</f>
        <v>#NAME?</v>
      </c>
      <c r="BH59" s="292" t="e">
        <f aca="false">IF($A59="N/A"," ",($BA59*AQ59*V59))</f>
        <v>#NAME?</v>
      </c>
      <c r="BI59" s="292" t="e">
        <f aca="false">IF($A59="N/A"," ",SUM(BB59:BH59))</f>
        <v>#NAME?</v>
      </c>
      <c r="BJ59" s="293" t="e">
        <f aca="false">IF($A59="N/A"," ",(H59*(SUM(AK59:AQ59)+SUM(AS59:AY59))*BA59))</f>
        <v>#NAME?</v>
      </c>
      <c r="BK59" s="293" t="e">
        <f aca="false">IF($A59="N/A"," ",((C59*D59)*(SUM($AK59:$AQ59)+SUM($AS59:$AY59))*$BA59))</f>
        <v>#N/A</v>
      </c>
      <c r="BL59" s="293" t="e">
        <f aca="false">IF($A59="N/A"," ",(F59*(SUM($AK59:$AQ59)+SUM($AS59:$AY59))*$BA59))</f>
        <v>#NAME?</v>
      </c>
      <c r="BM59" s="293" t="e">
        <f aca="false">IF($A59="N/A"," ",(G59*(SUM($AK59:$AQ59)+SUM($AS59:$AY59))*$BA59))</f>
        <v>#NAME?</v>
      </c>
      <c r="BN59" s="294" t="n">
        <f aca="false">IF(A59="N/A"," ",(VLOOKUP(A59,PowerVolTable,(IF('Pricing Inputs'!$AT$3=2,7,IF('Pricing Inputs'!$AT$3=1,6,8))),FALSE())))</f>
        <v>0.3258432253125</v>
      </c>
      <c r="BO59" s="294" t="n">
        <f aca="false">IF(A59="N/A"," ",(VLOOKUP(A59,IntraPowerVol,(IF('Pricing Inputs'!$AT$3=2,3,IF('Pricing Inputs'!$AT$3=1,2,4))),FALSE())*VLOOKUP(MONTH($A59),Inputs!$A$28:$B$39,2)))</f>
        <v>3.45</v>
      </c>
      <c r="BP59" s="295" t="n">
        <f aca="false">IF($A59="N/A"," ",(IF(DateToday&gt;$A59,$BO59,((($BN59^2)*((($A59-1)-DateToday)/((EOMONTH($A59,0)+1)-DateToday-15)))+((($BO59)^2)*((15)/((EOMONTH($A59,0)+1)-DateToday-15))))^0.5)))</f>
        <v>3.45</v>
      </c>
      <c r="BQ59" s="294" t="e">
        <f aca="false">IF($A59="N/A"," ",(VLOOKUP($A59,GasVolTable,(IF('Pricing Inputs'!$AT$3=2,6,IF('Pricing Inputs'!$AT$3=1,7,5))),FALSE())))</f>
        <v>#N/A</v>
      </c>
      <c r="BR59" s="294" t="e">
        <f aca="false">IF($A59="N/A"," ",(VLOOKUP($A59,OmicronVol,(IF('Pricing Inputs'!$AT$3=2,3,IF('Pricing Inputs'!$AT$3=1,4,2))),FALSE())))</f>
        <v>#N/A</v>
      </c>
      <c r="BS59" s="295" t="e">
        <f aca="false">IF($A59="N/A"," ",IF('Pricing Inputs'!$AN$3=1,(IF(DateToday&gt;$A59,$BR59,((($BQ59^2)*((($A59-1)-DateToday)/((EOMONTH($A59,0)+1)-DateToday-15)))+((($BR59)^2)*((15)/((EOMONTH($A59,0)+1)-DateToday-15))))^0.5)),0.0001))</f>
        <v>#N/A</v>
      </c>
      <c r="BT59" s="294" t="n">
        <f aca="false">IF($A59="N/A"," ",IF('Pricing Inputs'!$AN$3=1,(VLOOKUP($A59,CorrelationTable,2,FALSE())),0))</f>
        <v>0.9</v>
      </c>
      <c r="BU59" s="296" t="e">
        <f aca="false">IF($A59="N/A"," ",F59+G59+(D59*(VLOOKUP($A59,'Gas Curves'!$B$17:$P$310,14,FALSE()))))</f>
        <v>#N/A</v>
      </c>
      <c r="BV59" s="294" t="n">
        <f aca="false">IF($A59="N/A"," ",IF('Pricing Inputs'!$AW$3=1,0,(VLOOKUP($A59,InterestRatesTable,2))))</f>
        <v>0</v>
      </c>
      <c r="BW59" s="297" t="n">
        <f aca="false">IF($A59="N/A"," ",(1+BV59/2)^(-2*((EOMONTH(A59,0)+20)-DateToday)/365.25))</f>
        <v>1</v>
      </c>
    </row>
    <row r="60" customFormat="false" ht="12.75" hidden="false" customHeight="false" outlineLevel="0" collapsed="false">
      <c r="A60" s="272" t="n">
        <f aca="false">IF(A59="N/A","N/A",IF(EDATE(A59,1)&gt;Inputs!$K$3,"N/A",EDATE(A59,1)))</f>
        <v>38596</v>
      </c>
      <c r="B60" s="273" t="n">
        <f aca="false">IF(A60="N/A"," ",YEAR(A60))</f>
        <v>2005</v>
      </c>
      <c r="C60" s="274" t="e">
        <f aca="false">IF(A60="N/A"," ",VLOOKUP(A60,ScaledPrice,10))</f>
        <v>#N/A</v>
      </c>
      <c r="D60" s="275" t="n">
        <f aca="false">IF(A60="N/A"," ",(VLOOKUP(MONTH($A60),Inputs!$A$14:$B$25,2))/1000)</f>
        <v>10.5</v>
      </c>
      <c r="E60" s="276" t="e">
        <f aca="false">IF($A60="N/A"," ",C60*D60)</f>
        <v>#N/A</v>
      </c>
      <c r="F60" s="277" t="n">
        <f aca="false">IF(A60="N/A"," ",Inputs!$F$6)</f>
        <v>2</v>
      </c>
      <c r="G60" s="277" t="n">
        <f aca="false">IF(A60="N/A"," ",Inputs!$F$9/IF(AND('Pricing Inputs'!$AQ$3&gt;=4,'Pricing Inputs'!$AQ$3&lt;=6),16,IF(AND('Pricing Inputs'!$AQ$3&gt;=7,'Pricing Inputs'!$AQ$3&lt;=9),8,24))/(BA60/BW60))</f>
        <v>0</v>
      </c>
      <c r="H60" s="278" t="e">
        <f aca="false">IF(A60="N/A"," ",(C60*D60)+F60+G60)</f>
        <v>#N/A</v>
      </c>
      <c r="I60" s="279" t="n">
        <f aca="false">VLOOKUP(A60,ScaledPrice,(IF(AND('Pricing Inputs'!$AQ$3&gt;=1,'Pricing Inputs'!$AQ$3&lt;=6),2,4)))</f>
        <v>35.9114816984967</v>
      </c>
      <c r="J60" s="279" t="n">
        <f aca="false">IF(A60="N/A"," ",IF(AND('Pricing Inputs'!$AQ$3&gt;=1,'Pricing Inputs'!$AQ$3&lt;=6),I60,(VLOOKUP(A60,ScaledPrice,2))*(2-(VLOOKUP(A60,ScaledPrice,3)))))</f>
        <v>29.5885183015033</v>
      </c>
      <c r="K60" s="279" t="n">
        <f aca="false">IF(A60="N/A"," ",IF(OR('Pricing Inputs'!$AQ$3=2,'Pricing Inputs'!$AQ$3=3,'Pricing Inputs'!$AQ$3=5,'Pricing Inputs'!$AQ$3=6,'Pricing Inputs'!$AQ$3=8,'Pricing Inputs'!$AQ$3=9),VLOOKUP(A60,ScaledPrice,IF(AND('Pricing Inputs'!$AQ$3&gt;=2,'Pricing Inputs'!$AQ$3&lt;=6),5,6)),0))</f>
        <v>25.5547191097817</v>
      </c>
      <c r="L60" s="279" t="n">
        <f aca="false">IF(A60="N/A"," ",IF(OR('Pricing Inputs'!$AQ$3=2,'Pricing Inputs'!$AQ$3=3,'Pricing Inputs'!$AQ$3=5,'Pricing Inputs'!$AQ$3=6,'Pricing Inputs'!$AQ$3=8,'Pricing Inputs'!$AQ$3=9),IF(AND('Pricing Inputs'!$AQ$3&gt;=2,'Pricing Inputs'!$AQ$3&lt;=6),K60,(VLOOKUP(A60,ScaledPrice,5))*(2-(VLOOKUP(A60,ScaledPrice,3)))),0))</f>
        <v>21.0552792117515</v>
      </c>
      <c r="M60" s="279" t="n">
        <f aca="false">IF(A60="N/A"," ",IF(OR('Pricing Inputs'!$AQ$3=3,'Pricing Inputs'!$AQ$3=6,'Pricing Inputs'!$AQ$3=9),(VLOOKUP(A60,ScaledPrice,IF(AND('Pricing Inputs'!$AQ$3&gt;=3,'Pricing Inputs'!$AQ$3&lt;=6),7,8))),0))</f>
        <v>26.0975042572282</v>
      </c>
      <c r="N60" s="279" t="n">
        <f aca="false">IF(A60="N/A"," ",IF(OR('Pricing Inputs'!$AQ$3=3,'Pricing Inputs'!$AQ$3=6,'Pricing Inputs'!$AQ$3=9),IF(AND('Pricing Inputs'!$AQ$3&gt;=3,'Pricing Inputs'!$AQ$3&lt;=6),M60,(VLOOKUP(A60,ScaledPrice,7))*(2-(VLOOKUP(A60,ScaledPrice,3)))),0))</f>
        <v>21.5024957427719</v>
      </c>
      <c r="O60" s="279" t="n">
        <f aca="false">IF(A60="N/A"," ",IF(AND('Pricing Inputs'!$AQ$3&gt;=1,'Pricing Inputs'!$AQ$3&lt;=3),VLOOKUP(A60,ScaledPrice,9),0))</f>
        <v>0</v>
      </c>
      <c r="P60" s="280" t="e">
        <f aca="false">IF($A60="N/A"," ",IF('Pricing Inputs'!$AN$8=2,(I60-H60),IF('Pricing Inputs'!$AN$3=2,IF((I60-$H60)&gt;0,I60-$H60,0),(xSPRDOPT(I60,$E60,$BU60,0,$BP60,$BS60,$BT60,($A60-Inputs!$D$1)+15,1,0)))))</f>
        <v>#NAME?</v>
      </c>
      <c r="Q60" s="280" t="e">
        <f aca="false">IF($A60="N/A"," ",IF('Pricing Inputs'!$AN$8=2,(J60-$H60),IF('Pricing Inputs'!$AN$3=2,IF((J60-$H60)&gt;0,J60-$H60,0),(xSPRDOPT(J60,$E60,$BU60,0,$BP60,$BS60,$BT60,($A60-Inputs!$D$1)+15,1,0)))))</f>
        <v>#NAME?</v>
      </c>
      <c r="R60" s="280" t="e">
        <f aca="false">IF($A60="N/A"," ",IF('Pricing Inputs'!$AN$8=2,(K60-$H60),IF('Pricing Inputs'!$AN$3=2,IF((K60-$H60)&gt;0,K60-$H60,0),(xSPRDOPT(K60,$E60,$BU60,0,$BP60,$BS60,$BT60,($A60-Inputs!$D$1)+15,1,0)))))</f>
        <v>#NAME?</v>
      </c>
      <c r="S60" s="280" t="e">
        <f aca="false">IF($A60="N/A"," ",IF('Pricing Inputs'!$AN$8=2,(L60-$H60),IF('Pricing Inputs'!$AN$3=2,IF((L60-$H60)&gt;0,L60-$H60,0),(xSPRDOPT(L60,$E60,$BU60,0,$BP60,$BS60,$BT60,($A60-Inputs!$D$1)+15,1,0)))))</f>
        <v>#NAME?</v>
      </c>
      <c r="T60" s="280" t="e">
        <f aca="false">IF($A60="N/A"," ",IF('Pricing Inputs'!$AN$8=2,(M60-$H60),IF('Pricing Inputs'!$AN$3=2,IF((M60-$H60)&gt;0,M60-$H60,0),(xSPRDOPT(M60,$E60,$BU60,0,$BP60,$BS60,$BT60,($A60-Inputs!$D$1)+15,1,0)))))</f>
        <v>#NAME?</v>
      </c>
      <c r="U60" s="280" t="e">
        <f aca="false">IF($A60="N/A"," ",IF('Pricing Inputs'!$AN$8=2,(N60-$H60),IF('Pricing Inputs'!$AN$3=2,IF((N60-$H60)&gt;0,N60-$H60,0),(xSPRDOPT(N60,$E60,$BU60,0,$BP60,$BS60,$BT60,($A60-Inputs!$D$1)+15,1,0)))))</f>
        <v>#NAME?</v>
      </c>
      <c r="V60" s="281" t="e">
        <f aca="false">IF($A60="N/A"," ",(IF('Pricing Inputs'!$AN$8=2,(O60-$H60),IF((O60-$H60)&lt;=0,0,(O60-$H60)))))</f>
        <v>#N/A</v>
      </c>
      <c r="W60" s="282" t="e">
        <f aca="false">IF($A60="N/A"," ",IF(0&lt;&gt;P60,IF('Pricing Inputs'!$AN$3=2,8*VLOOKUP($A60,NumberofDaysTable,2),(xSPRDOPT(I60,$E60,$BU60,0,$BP60,$BS60,$BT60,$A60-Inputs!$D$1,1,1))*(8*VLOOKUP($A60,NumberofDaysTable,2))),0))</f>
        <v>#NAME?</v>
      </c>
      <c r="X60" s="282" t="e">
        <f aca="false">IF($A60="N/A"," ",IF(Q60&lt;&gt;0,IF('Pricing Inputs'!$AN$3=2,8*VLOOKUP($A60,NumberofDaysTable,2),(xSPRDOPT(J60,$E60,$BU60,0,$BP60,$BS60,$BT60,$A60-Inputs!$D$1,1,1))*(8*VLOOKUP($A60,NumberofDaysTable,2))),0))</f>
        <v>#NAME?</v>
      </c>
      <c r="Y60" s="282" t="e">
        <f aca="false">IF($A60="N/A"," ",IF(R60&lt;&gt;0,IF('Pricing Inputs'!$AN$3=2,8*VLOOKUP($A60,NumberofDaysTable,3),(xSPRDOPT(K60,$E60,$BU60,0,$BP60,$BS60,$BT60,$A60-Inputs!$D$1,1,1))*(8*VLOOKUP($A60,NumberofDaysTable,3))),0))</f>
        <v>#NAME?</v>
      </c>
      <c r="Z60" s="282" t="e">
        <f aca="false">IF($A60="N/A"," ",IF(S60&lt;&gt;0,IF('Pricing Inputs'!$AN$3=2,8*VLOOKUP($A60,NumberofDaysTable,3),(xSPRDOPT(L60,$E60,$BU60,0,$BP60,$BS60,$BT60,$A60-Inputs!$D$1,1,1))*(8*VLOOKUP($A60,NumberofDaysTable,3))),0))</f>
        <v>#NAME?</v>
      </c>
      <c r="AA60" s="282" t="e">
        <f aca="false">IF($A60="N/A"," ",IF(T60&lt;&gt;0,IF('Pricing Inputs'!$AN$3=2,8*VLOOKUP($A60,NumberofDaysTable,4),(xSPRDOPT(M60,$E60,$BU60,0,$BP60,$BS60,$BT60,$A60-Inputs!$D$1,1,1))*(8*VLOOKUP($A60,NumberofDaysTable,4))),0))</f>
        <v>#NAME?</v>
      </c>
      <c r="AB60" s="282" t="e">
        <f aca="false">IF($A60="N/A"," ",IF(U60&lt;&gt;0,IF('Pricing Inputs'!$AN$3=2,8*VLOOKUP($A60,NumberofDaysTable,4),(xSPRDOPT(N60,$E60,$BU60,0,$BP60,$BS60,$BT60,$A60-Inputs!$D$1,1,1))*(8*VLOOKUP($A60,NumberofDaysTable,4))),0))</f>
        <v>#NAME?</v>
      </c>
      <c r="AC60" s="282" t="e">
        <f aca="false">IF($A60="N/A"," ",(IF(V60&lt;&gt;0,(8*VLOOKUP($A60,NumberofDaysTable,6)),0)))</f>
        <v>#N/A</v>
      </c>
      <c r="AD60" s="298" t="e">
        <f aca="false">IF($A60="N/A"," ",RANK(P60,$P$52:$V$63))</f>
        <v>#NAME?</v>
      </c>
      <c r="AE60" s="299" t="e">
        <f aca="false">IF($A60="N/A"," ",RANK(Q60,$P$52:$V$63))</f>
        <v>#NAME?</v>
      </c>
      <c r="AF60" s="299" t="e">
        <f aca="false">IF($A60="N/A"," ",RANK(R60,$P$52:$V$63))</f>
        <v>#NAME?</v>
      </c>
      <c r="AG60" s="299" t="e">
        <f aca="false">IF($A60="N/A"," ",RANK(S60,$P$52:$V$63))</f>
        <v>#NAME?</v>
      </c>
      <c r="AH60" s="299" t="e">
        <f aca="false">IF($A60="N/A"," ",RANK(T60,$P$52:$V$63))</f>
        <v>#NAME?</v>
      </c>
      <c r="AI60" s="299" t="e">
        <f aca="false">IF($A60="N/A"," ",RANK(U60,$P$52:$V$63))</f>
        <v>#NAME?</v>
      </c>
      <c r="AJ60" s="300" t="e">
        <f aca="false">IF($A60="N/A"," ",RANK(V60,$P$52:$V$63))</f>
        <v>#NAME?</v>
      </c>
      <c r="AK60" s="286" t="e">
        <f aca="false">IF($A60="N/A"," ",IF(AD60&lt;=$AJ$2,W60,0))</f>
        <v>#NAME?</v>
      </c>
      <c r="AL60" s="301" t="e">
        <f aca="false">IF($A60="N/A"," ",IF(AE60&lt;=$AJ$2,X60,0))</f>
        <v>#NAME?</v>
      </c>
      <c r="AM60" s="301" t="e">
        <f aca="false">IF($A60="N/A"," ",IF(AF60&lt;=$AJ$2,Y60,0))</f>
        <v>#NAME?</v>
      </c>
      <c r="AN60" s="301" t="e">
        <f aca="false">IF($A60="N/A"," ",IF(AG60&lt;=$AJ$2,Z60,0))</f>
        <v>#NAME?</v>
      </c>
      <c r="AO60" s="301" t="e">
        <f aca="false">IF($A60="N/A"," ",IF(AH60&lt;=$AJ$2,AA60,0))</f>
        <v>#NAME?</v>
      </c>
      <c r="AP60" s="301" t="e">
        <f aca="false">IF($A60="N/A"," ",IF(AI60&lt;=$AJ$2,AB60,0))</f>
        <v>#NAME?</v>
      </c>
      <c r="AQ60" s="301" t="e">
        <f aca="false">IF($A60="N/A"," ",IF(AJ60&lt;=$AJ$2,AC60,0))</f>
        <v>#NAME?</v>
      </c>
      <c r="AR60" s="300"/>
      <c r="AS60" s="288" t="e">
        <f aca="false">IF($A60="N/A"," ",IF(AND(AD60=$AJ$2+1,AK60=0),MIN($AR$63,W60),0))</f>
        <v>#NAME?</v>
      </c>
      <c r="AT60" s="302" t="e">
        <f aca="false">IF($A60="N/A"," ",IF(AND(AE60=$AJ$2+1,AL60=0),MIN($AR$63,X60),0))</f>
        <v>#NAME?</v>
      </c>
      <c r="AU60" s="302" t="e">
        <f aca="false">IF($A60="N/A"," ",IF(AND(AF60=$AJ$2+1,AM60=0),MIN($AR$63,Y60),0))</f>
        <v>#NAME?</v>
      </c>
      <c r="AV60" s="302" t="e">
        <f aca="false">IF($A60="N/A"," ",IF(AND(AG60=$AJ$2+1,AN60=0),MIN($AR$63,Z60),0))</f>
        <v>#NAME?</v>
      </c>
      <c r="AW60" s="302" t="e">
        <f aca="false">IF($A60="N/A"," ",IF(AND(AH60=$AJ$2+1,AO60=0),MIN($AR$63,AA60),0))</f>
        <v>#NAME?</v>
      </c>
      <c r="AX60" s="302" t="e">
        <f aca="false">IF($A60="N/A"," ",IF(AND(AI60=$AJ$2+1,AP60=0),MIN($AR$63,AB60),0))</f>
        <v>#NAME?</v>
      </c>
      <c r="AY60" s="302" t="e">
        <f aca="false">IF($A60="N/A"," ",IF(AND(AJ60=$AJ$2+1,AQ60=0),MIN($AR$63,AC60),0))</f>
        <v>#NAME?</v>
      </c>
      <c r="AZ60" s="300"/>
      <c r="BA60" s="291" t="n">
        <f aca="false">IF($A60="N/A"," ",(IF(MONTH(A60)&gt;=4,IF(MONTH(A60)&lt;=10,Inputs!$F$13,Inputs!$F$14),Inputs!$F$14))*$BW60)</f>
        <v>180</v>
      </c>
      <c r="BB60" s="292" t="e">
        <f aca="false">IF($A60="N/A"," ",(IF(AK60&gt;0,($BA60*(8*(VLOOKUP($A60,NumberofDaysTable,2)))*P60),0)+IF(AS60&gt;0,($BA60*((AS60))*P60),0)))</f>
        <v>#NAME?</v>
      </c>
      <c r="BC60" s="292" t="e">
        <f aca="false">IF($A60="N/A"," ",(IF(AL60&gt;0,($BA60*(8*(VLOOKUP($A60,NumberofDaysTable,2)))*Q60),0)+IF(AT60&gt;0,($BA60*((AT60))*Q60),0)))</f>
        <v>#NAME?</v>
      </c>
      <c r="BD60" s="292" t="e">
        <f aca="false">IF($A60="N/A"," ",(IF(AM60&gt;0,($BA60*(8*(VLOOKUP($A60,NumberofDaysTable,3)))*R60),0)+IF(AU60&gt;0,($BA60*((AU60))*R60),0)))</f>
        <v>#NAME?</v>
      </c>
      <c r="BE60" s="292" t="e">
        <f aca="false">IF($A60="N/A"," ",(IF(AN60&gt;0,($BA60*(8*(VLOOKUP($A60,NumberofDaysTable,3)))*S60),0)+IF(AV60&gt;0,($BA60*((AV60))*S60),0)))</f>
        <v>#NAME?</v>
      </c>
      <c r="BF60" s="292" t="e">
        <f aca="false">IF($A60="N/A"," ",(IF(AO60&gt;0,($BA60*(8*(VLOOKUP($A60,NumberofDaysTable,4)+VLOOKUP($A60,NumberofDaysTable,5)))*T60),0)+IF(AW60&gt;0,($BA60*((AW60))*T60),0)))</f>
        <v>#NAME?</v>
      </c>
      <c r="BG60" s="292" t="e">
        <f aca="false">IF($A60="N/A"," ",(IF(AP60&gt;0,($BA60*(8*(VLOOKUP($A60,NumberofDaysTable,4)+VLOOKUP($A60,NumberofDaysTable,5)))*U60),0)+IF(AX60&gt;0,($BA60*((AX60))*U60),0)))</f>
        <v>#NAME?</v>
      </c>
      <c r="BH60" s="292" t="e">
        <f aca="false">IF($A60="N/A"," ",($BA60*AQ60*V60))</f>
        <v>#NAME?</v>
      </c>
      <c r="BI60" s="292" t="e">
        <f aca="false">IF($A60="N/A"," ",SUM(BB60:BH60))</f>
        <v>#NAME?</v>
      </c>
      <c r="BJ60" s="293" t="e">
        <f aca="false">IF($A60="N/A"," ",(H60*(SUM(AK60:AQ60)+SUM(AS60:AY60))*BA60))</f>
        <v>#NAME?</v>
      </c>
      <c r="BK60" s="293" t="e">
        <f aca="false">IF($A60="N/A"," ",((C60*D60)*(SUM($AK60:$AQ60)+SUM($AS60:$AY60))*$BA60))</f>
        <v>#N/A</v>
      </c>
      <c r="BL60" s="293" t="e">
        <f aca="false">IF($A60="N/A"," ",(F60*(SUM($AK60:$AQ60)+SUM($AS60:$AY60))*$BA60))</f>
        <v>#NAME?</v>
      </c>
      <c r="BM60" s="293" t="e">
        <f aca="false">IF($A60="N/A"," ",(G60*(SUM($AK60:$AQ60)+SUM($AS60:$AY60))*$BA60))</f>
        <v>#NAME?</v>
      </c>
      <c r="BN60" s="294" t="n">
        <f aca="false">IF(A60="N/A"," ",(VLOOKUP(A60,PowerVolTable,(IF('Pricing Inputs'!$AT$3=2,7,IF('Pricing Inputs'!$AT$3=1,6,8))),FALSE())))</f>
        <v>0.2158848815625</v>
      </c>
      <c r="BO60" s="294" t="n">
        <f aca="false">IF(A60="N/A"," ",(VLOOKUP(A60,IntraPowerVol,(IF('Pricing Inputs'!$AT$3=2,3,IF('Pricing Inputs'!$AT$3=1,2,4))),FALSE())*VLOOKUP(MONTH($A60),Inputs!$A$28:$B$39,2)))</f>
        <v>1.725</v>
      </c>
      <c r="BP60" s="295" t="n">
        <f aca="false">IF($A60="N/A"," ",(IF(DateToday&gt;$A60,$BO60,((($BN60^2)*((($A60-1)-DateToday)/((EOMONTH($A60,0)+1)-DateToday-15)))+((($BO60)^2)*((15)/((EOMONTH($A60,0)+1)-DateToday-15))))^0.5)))</f>
        <v>1.725</v>
      </c>
      <c r="BQ60" s="294" t="e">
        <f aca="false">IF($A60="N/A"," ",(VLOOKUP($A60,GasVolTable,(IF('Pricing Inputs'!$AT$3=2,6,IF('Pricing Inputs'!$AT$3=1,7,5))),FALSE())))</f>
        <v>#N/A</v>
      </c>
      <c r="BR60" s="294" t="e">
        <f aca="false">IF($A60="N/A"," ",(VLOOKUP($A60,OmicronVol,(IF('Pricing Inputs'!$AT$3=2,3,IF('Pricing Inputs'!$AT$3=1,4,2))),FALSE())))</f>
        <v>#N/A</v>
      </c>
      <c r="BS60" s="295" t="e">
        <f aca="false">IF($A60="N/A"," ",IF('Pricing Inputs'!$AN$3=1,(IF(DateToday&gt;$A60,$BR60,((($BQ60^2)*((($A60-1)-DateToday)/((EOMONTH($A60,0)+1)-DateToday-15)))+((($BR60)^2)*((15)/((EOMONTH($A60,0)+1)-DateToday-15))))^0.5)),0.0001))</f>
        <v>#N/A</v>
      </c>
      <c r="BT60" s="294" t="n">
        <f aca="false">IF($A60="N/A"," ",IF('Pricing Inputs'!$AN$3=1,(VLOOKUP($A60,CorrelationTable,2,FALSE())),0))</f>
        <v>0.9</v>
      </c>
      <c r="BU60" s="296" t="e">
        <f aca="false">IF($A60="N/A"," ",F60+G60+(D60*(VLOOKUP($A60,'Gas Curves'!$B$17:$P$310,14,FALSE()))))</f>
        <v>#N/A</v>
      </c>
      <c r="BV60" s="294" t="n">
        <f aca="false">IF($A60="N/A"," ",IF('Pricing Inputs'!$AW$3=1,0,(VLOOKUP($A60,InterestRatesTable,2))))</f>
        <v>0</v>
      </c>
      <c r="BW60" s="297" t="n">
        <f aca="false">IF($A60="N/A"," ",(1+BV60/2)^(-2*((EOMONTH(A60,0)+20)-DateToday)/365.25))</f>
        <v>1</v>
      </c>
    </row>
    <row r="61" customFormat="false" ht="12.75" hidden="false" customHeight="false" outlineLevel="0" collapsed="false">
      <c r="A61" s="272" t="n">
        <f aca="false">IF(A60="N/A","N/A",IF(EDATE(A60,1)&gt;Inputs!$K$3,"N/A",EDATE(A60,1)))</f>
        <v>38626</v>
      </c>
      <c r="B61" s="273" t="n">
        <f aca="false">IF(A61="N/A"," ",YEAR(A61))</f>
        <v>2005</v>
      </c>
      <c r="C61" s="274" t="e">
        <f aca="false">IF(A61="N/A"," ",VLOOKUP(A61,ScaledPrice,10))</f>
        <v>#N/A</v>
      </c>
      <c r="D61" s="275" t="n">
        <f aca="false">IF(A61="N/A"," ",(VLOOKUP(MONTH($A61),Inputs!$A$14:$B$25,2))/1000)</f>
        <v>10.5</v>
      </c>
      <c r="E61" s="276" t="e">
        <f aca="false">IF($A61="N/A"," ",C61*D61)</f>
        <v>#N/A</v>
      </c>
      <c r="F61" s="277" t="n">
        <f aca="false">IF(A61="N/A"," ",Inputs!$F$6)</f>
        <v>2</v>
      </c>
      <c r="G61" s="277" t="n">
        <f aca="false">IF(A61="N/A"," ",Inputs!$F$9/IF(AND('Pricing Inputs'!$AQ$3&gt;=4,'Pricing Inputs'!$AQ$3&lt;=6),16,IF(AND('Pricing Inputs'!$AQ$3&gt;=7,'Pricing Inputs'!$AQ$3&lt;=9),8,24))/(BA61/BW61))</f>
        <v>0</v>
      </c>
      <c r="H61" s="278" t="e">
        <f aca="false">IF(A61="N/A"," ",(C61*D61)+F61+G61)</f>
        <v>#N/A</v>
      </c>
      <c r="I61" s="279" t="n">
        <f aca="false">VLOOKUP(A61,ScaledPrice,(IF(AND('Pricing Inputs'!$AQ$3&gt;=1,'Pricing Inputs'!$AQ$3&lt;=6),2,4)))</f>
        <v>30.1012125</v>
      </c>
      <c r="J61" s="279" t="n">
        <f aca="false">IF(A61="N/A"," ",IF(AND('Pricing Inputs'!$AQ$3&gt;=1,'Pricing Inputs'!$AQ$3&lt;=6),I61,(VLOOKUP(A61,ScaledPrice,2))*(2-(VLOOKUP(A61,ScaledPrice,3)))))</f>
        <v>30.8987875</v>
      </c>
      <c r="K61" s="279" t="n">
        <f aca="false">IF(A61="N/A"," ",IF(OR('Pricing Inputs'!$AQ$3=2,'Pricing Inputs'!$AQ$3=3,'Pricing Inputs'!$AQ$3=5,'Pricing Inputs'!$AQ$3=6,'Pricing Inputs'!$AQ$3=8,'Pricing Inputs'!$AQ$3=9),VLOOKUP(A61,ScaledPrice,IF(AND('Pricing Inputs'!$AQ$3&gt;=2,'Pricing Inputs'!$AQ$3&lt;=6),5,6)),0))</f>
        <v>23.094538567915</v>
      </c>
      <c r="L61" s="279" t="n">
        <f aca="false">IF(A61="N/A"," ",IF(OR('Pricing Inputs'!$AQ$3=2,'Pricing Inputs'!$AQ$3=3,'Pricing Inputs'!$AQ$3=5,'Pricing Inputs'!$AQ$3=6,'Pricing Inputs'!$AQ$3=8,'Pricing Inputs'!$AQ$3=9),IF(AND('Pricing Inputs'!$AQ$3&gt;=2,'Pricing Inputs'!$AQ$3&lt;=6),K61,(VLOOKUP(A61,ScaledPrice,5))*(2-(VLOOKUP(A61,ScaledPrice,3)))),0))</f>
        <v>23.7064616457081</v>
      </c>
      <c r="M61" s="279" t="n">
        <f aca="false">IF(A61="N/A"," ",IF(OR('Pricing Inputs'!$AQ$3=3,'Pricing Inputs'!$AQ$3=6,'Pricing Inputs'!$AQ$3=9),(VLOOKUP(A61,ScaledPrice,IF(AND('Pricing Inputs'!$AQ$3&gt;=3,'Pricing Inputs'!$AQ$3&lt;=6),7,8))),0))</f>
        <v>21.1211817593479</v>
      </c>
      <c r="N61" s="279" t="n">
        <f aca="false">IF(A61="N/A"," ",IF(OR('Pricing Inputs'!$AQ$3=3,'Pricing Inputs'!$AQ$3=6,'Pricing Inputs'!$AQ$3=9),IF(AND('Pricing Inputs'!$AQ$3&gt;=3,'Pricing Inputs'!$AQ$3&lt;=6),M61,(VLOOKUP(A61,ScaledPrice,7))*(2-(VLOOKUP(A61,ScaledPrice,3)))),0))</f>
        <v>21.6808179049587</v>
      </c>
      <c r="O61" s="279" t="n">
        <f aca="false">IF(A61="N/A"," ",IF(AND('Pricing Inputs'!$AQ$3&gt;=1,'Pricing Inputs'!$AQ$3&lt;=3),VLOOKUP(A61,ScaledPrice,9),0))</f>
        <v>0</v>
      </c>
      <c r="P61" s="280" t="e">
        <f aca="false">IF($A61="N/A"," ",IF('Pricing Inputs'!$AN$8=2,(I61-H61),IF('Pricing Inputs'!$AN$3=2,IF((I61-$H61)&gt;0,I61-$H61,0),(xSPRDOPT(I61,$E61,$BU61,0,$BP61,$BS61,$BT61,($A61-Inputs!$D$1)+15,1,0)))))</f>
        <v>#NAME?</v>
      </c>
      <c r="Q61" s="280" t="e">
        <f aca="false">IF($A61="N/A"," ",IF('Pricing Inputs'!$AN$8=2,(J61-$H61),IF('Pricing Inputs'!$AN$3=2,IF((J61-$H61)&gt;0,J61-$H61,0),(xSPRDOPT(J61,$E61,$BU61,0,$BP61,$BS61,$BT61,($A61-Inputs!$D$1)+15,1,0)))))</f>
        <v>#NAME?</v>
      </c>
      <c r="R61" s="280" t="e">
        <f aca="false">IF($A61="N/A"," ",IF('Pricing Inputs'!$AN$8=2,(K61-$H61),IF('Pricing Inputs'!$AN$3=2,IF((K61-$H61)&gt;0,K61-$H61,0),(xSPRDOPT(K61,$E61,$BU61,0,$BP61,$BS61,$BT61,($A61-Inputs!$D$1)+15,1,0)))))</f>
        <v>#NAME?</v>
      </c>
      <c r="S61" s="280" t="e">
        <f aca="false">IF($A61="N/A"," ",IF('Pricing Inputs'!$AN$8=2,(L61-$H61),IF('Pricing Inputs'!$AN$3=2,IF((L61-$H61)&gt;0,L61-$H61,0),(xSPRDOPT(L61,$E61,$BU61,0,$BP61,$BS61,$BT61,($A61-Inputs!$D$1)+15,1,0)))))</f>
        <v>#NAME?</v>
      </c>
      <c r="T61" s="280" t="e">
        <f aca="false">IF($A61="N/A"," ",IF('Pricing Inputs'!$AN$8=2,(M61-$H61),IF('Pricing Inputs'!$AN$3=2,IF((M61-$H61)&gt;0,M61-$H61,0),(xSPRDOPT(M61,$E61,$BU61,0,$BP61,$BS61,$BT61,($A61-Inputs!$D$1)+15,1,0)))))</f>
        <v>#NAME?</v>
      </c>
      <c r="U61" s="280" t="e">
        <f aca="false">IF($A61="N/A"," ",IF('Pricing Inputs'!$AN$8=2,(N61-$H61),IF('Pricing Inputs'!$AN$3=2,IF((N61-$H61)&gt;0,N61-$H61,0),(xSPRDOPT(N61,$E61,$BU61,0,$BP61,$BS61,$BT61,($A61-Inputs!$D$1)+15,1,0)))))</f>
        <v>#NAME?</v>
      </c>
      <c r="V61" s="281" t="e">
        <f aca="false">IF($A61="N/A"," ",(IF('Pricing Inputs'!$AN$8=2,(O61-$H61),IF((O61-$H61)&lt;=0,0,(O61-$H61)))))</f>
        <v>#N/A</v>
      </c>
      <c r="W61" s="282" t="e">
        <f aca="false">IF($A61="N/A"," ",IF(0&lt;&gt;P61,IF('Pricing Inputs'!$AN$3=2,8*VLOOKUP($A61,NumberofDaysTable,2),(xSPRDOPT(I61,$E61,$BU61,0,$BP61,$BS61,$BT61,$A61-Inputs!$D$1,1,1))*(8*VLOOKUP($A61,NumberofDaysTable,2))),0))</f>
        <v>#NAME?</v>
      </c>
      <c r="X61" s="282" t="e">
        <f aca="false">IF($A61="N/A"," ",IF(Q61&lt;&gt;0,IF('Pricing Inputs'!$AN$3=2,8*VLOOKUP($A61,NumberofDaysTable,2),(xSPRDOPT(J61,$E61,$BU61,0,$BP61,$BS61,$BT61,$A61-Inputs!$D$1,1,1))*(8*VLOOKUP($A61,NumberofDaysTable,2))),0))</f>
        <v>#NAME?</v>
      </c>
      <c r="Y61" s="282" t="e">
        <f aca="false">IF($A61="N/A"," ",IF(R61&lt;&gt;0,IF('Pricing Inputs'!$AN$3=2,8*VLOOKUP($A61,NumberofDaysTable,3),(xSPRDOPT(K61,$E61,$BU61,0,$BP61,$BS61,$BT61,$A61-Inputs!$D$1,1,1))*(8*VLOOKUP($A61,NumberofDaysTable,3))),0))</f>
        <v>#NAME?</v>
      </c>
      <c r="Z61" s="282" t="e">
        <f aca="false">IF($A61="N/A"," ",IF(S61&lt;&gt;0,IF('Pricing Inputs'!$AN$3=2,8*VLOOKUP($A61,NumberofDaysTable,3),(xSPRDOPT(L61,$E61,$BU61,0,$BP61,$BS61,$BT61,$A61-Inputs!$D$1,1,1))*(8*VLOOKUP($A61,NumberofDaysTable,3))),0))</f>
        <v>#NAME?</v>
      </c>
      <c r="AA61" s="282" t="e">
        <f aca="false">IF($A61="N/A"," ",IF(T61&lt;&gt;0,IF('Pricing Inputs'!$AN$3=2,8*VLOOKUP($A61,NumberofDaysTable,4),(xSPRDOPT(M61,$E61,$BU61,0,$BP61,$BS61,$BT61,$A61-Inputs!$D$1,1,1))*(8*VLOOKUP($A61,NumberofDaysTable,4))),0))</f>
        <v>#NAME?</v>
      </c>
      <c r="AB61" s="282" t="e">
        <f aca="false">IF($A61="N/A"," ",IF(U61&lt;&gt;0,IF('Pricing Inputs'!$AN$3=2,8*VLOOKUP($A61,NumberofDaysTable,4),(xSPRDOPT(N61,$E61,$BU61,0,$BP61,$BS61,$BT61,$A61-Inputs!$D$1,1,1))*(8*VLOOKUP($A61,NumberofDaysTable,4))),0))</f>
        <v>#NAME?</v>
      </c>
      <c r="AC61" s="282" t="e">
        <f aca="false">IF($A61="N/A"," ",(IF(V61&lt;&gt;0,(8*VLOOKUP($A61,NumberofDaysTable,6)),0)))</f>
        <v>#N/A</v>
      </c>
      <c r="AD61" s="298" t="e">
        <f aca="false">IF($A61="N/A"," ",RANK(P61,$P$52:$V$63))</f>
        <v>#NAME?</v>
      </c>
      <c r="AE61" s="299" t="e">
        <f aca="false">IF($A61="N/A"," ",RANK(Q61,$P$52:$V$63))</f>
        <v>#NAME?</v>
      </c>
      <c r="AF61" s="299" t="e">
        <f aca="false">IF($A61="N/A"," ",RANK(R61,$P$52:$V$63))</f>
        <v>#NAME?</v>
      </c>
      <c r="AG61" s="299" t="e">
        <f aca="false">IF($A61="N/A"," ",RANK(S61,$P$52:$V$63))</f>
        <v>#NAME?</v>
      </c>
      <c r="AH61" s="299" t="e">
        <f aca="false">IF($A61="N/A"," ",RANK(T61,$P$52:$V$63))</f>
        <v>#NAME?</v>
      </c>
      <c r="AI61" s="299" t="e">
        <f aca="false">IF($A61="N/A"," ",RANK(U61,$P$52:$V$63))</f>
        <v>#NAME?</v>
      </c>
      <c r="AJ61" s="300" t="e">
        <f aca="false">IF($A61="N/A"," ",RANK(V61,$P$52:$V$63))</f>
        <v>#NAME?</v>
      </c>
      <c r="AK61" s="286" t="e">
        <f aca="false">IF($A61="N/A"," ",IF(AD61&lt;=$AJ$2,W61,0))</f>
        <v>#NAME?</v>
      </c>
      <c r="AL61" s="301" t="e">
        <f aca="false">IF($A61="N/A"," ",IF(AE61&lt;=$AJ$2,X61,0))</f>
        <v>#NAME?</v>
      </c>
      <c r="AM61" s="301" t="e">
        <f aca="false">IF($A61="N/A"," ",IF(AF61&lt;=$AJ$2,Y61,0))</f>
        <v>#NAME?</v>
      </c>
      <c r="AN61" s="301" t="e">
        <f aca="false">IF($A61="N/A"," ",IF(AG61&lt;=$AJ$2,Z61,0))</f>
        <v>#NAME?</v>
      </c>
      <c r="AO61" s="301" t="e">
        <f aca="false">IF($A61="N/A"," ",IF(AH61&lt;=$AJ$2,AA61,0))</f>
        <v>#NAME?</v>
      </c>
      <c r="AP61" s="301" t="e">
        <f aca="false">IF($A61="N/A"," ",IF(AI61&lt;=$AJ$2,AB61,0))</f>
        <v>#NAME?</v>
      </c>
      <c r="AQ61" s="301" t="e">
        <f aca="false">IF($A61="N/A"," ",IF(AJ61&lt;=$AJ$2,AC61,0))</f>
        <v>#NAME?</v>
      </c>
      <c r="AR61" s="304" t="s">
        <v>1301</v>
      </c>
      <c r="AS61" s="288" t="e">
        <f aca="false">IF($A61="N/A"," ",IF(AND(AD61=$AJ$2+1,AK61=0),MIN($AR$63,W61),0))</f>
        <v>#NAME?</v>
      </c>
      <c r="AT61" s="302" t="e">
        <f aca="false">IF($A61="N/A"," ",IF(AND(AE61=$AJ$2+1,AL61=0),MIN($AR$63,X61),0))</f>
        <v>#NAME?</v>
      </c>
      <c r="AU61" s="302" t="e">
        <f aca="false">IF($A61="N/A"," ",IF(AND(AF61=$AJ$2+1,AM61=0),MIN($AR$63,Y61),0))</f>
        <v>#NAME?</v>
      </c>
      <c r="AV61" s="302" t="e">
        <f aca="false">IF($A61="N/A"," ",IF(AND(AG61=$AJ$2+1,AN61=0),MIN($AR$63,Z61),0))</f>
        <v>#NAME?</v>
      </c>
      <c r="AW61" s="302" t="e">
        <f aca="false">IF($A61="N/A"," ",IF(AND(AH61=$AJ$2+1,AO61=0),MIN($AR$63,AA61),0))</f>
        <v>#NAME?</v>
      </c>
      <c r="AX61" s="302" t="e">
        <f aca="false">IF($A61="N/A"," ",IF(AND(AI61=$AJ$2+1,AP61=0),MIN($AR$63,AB61),0))</f>
        <v>#NAME?</v>
      </c>
      <c r="AY61" s="302" t="e">
        <f aca="false">IF($A61="N/A"," ",IF(AND(AJ61=$AJ$2+1,AQ61=0),MIN($AR$63,AC61),0))</f>
        <v>#NAME?</v>
      </c>
      <c r="AZ61" s="303" t="s">
        <v>1328</v>
      </c>
      <c r="BA61" s="291" t="n">
        <f aca="false">IF($A61="N/A"," ",(IF(MONTH(A61)&gt;=4,IF(MONTH(A61)&lt;=10,Inputs!$F$13,Inputs!$F$14),Inputs!$F$14))*$BW61)</f>
        <v>180</v>
      </c>
      <c r="BB61" s="292" t="e">
        <f aca="false">IF($A61="N/A"," ",(IF(AK61&gt;0,($BA61*(8*(VLOOKUP($A61,NumberofDaysTable,2)))*P61),0)+IF(AS61&gt;0,($BA61*((AS61))*P61),0)))</f>
        <v>#NAME?</v>
      </c>
      <c r="BC61" s="292" t="e">
        <f aca="false">IF($A61="N/A"," ",(IF(AL61&gt;0,($BA61*(8*(VLOOKUP($A61,NumberofDaysTable,2)))*Q61),0)+IF(AT61&gt;0,($BA61*((AT61))*Q61),0)))</f>
        <v>#NAME?</v>
      </c>
      <c r="BD61" s="292" t="e">
        <f aca="false">IF($A61="N/A"," ",(IF(AM61&gt;0,($BA61*(8*(VLOOKUP($A61,NumberofDaysTable,3)))*R61),0)+IF(AU61&gt;0,($BA61*((AU61))*R61),0)))</f>
        <v>#NAME?</v>
      </c>
      <c r="BE61" s="292" t="e">
        <f aca="false">IF($A61="N/A"," ",(IF(AN61&gt;0,($BA61*(8*(VLOOKUP($A61,NumberofDaysTable,3)))*S61),0)+IF(AV61&gt;0,($BA61*((AV61))*S61),0)))</f>
        <v>#NAME?</v>
      </c>
      <c r="BF61" s="292" t="e">
        <f aca="false">IF($A61="N/A"," ",(IF(AO61&gt;0,($BA61*(8*(VLOOKUP($A61,NumberofDaysTable,4)+VLOOKUP($A61,NumberofDaysTable,5)))*T61),0)+IF(AW61&gt;0,($BA61*((AW61))*T61),0)))</f>
        <v>#NAME?</v>
      </c>
      <c r="BG61" s="292" t="e">
        <f aca="false">IF($A61="N/A"," ",(IF(AP61&gt;0,($BA61*(8*(VLOOKUP($A61,NumberofDaysTable,4)+VLOOKUP($A61,NumberofDaysTable,5)))*U61),0)+IF(AX61&gt;0,($BA61*((AX61))*U61),0)))</f>
        <v>#NAME?</v>
      </c>
      <c r="BH61" s="292" t="e">
        <f aca="false">IF($A61="N/A"," ",($BA61*AQ61*V61))</f>
        <v>#NAME?</v>
      </c>
      <c r="BI61" s="292" t="e">
        <f aca="false">IF($A61="N/A"," ",SUM(BB61:BH61))</f>
        <v>#NAME?</v>
      </c>
      <c r="BJ61" s="293" t="e">
        <f aca="false">IF($A61="N/A"," ",(H61*(SUM(AK61:AQ61)+SUM(AS61:AY61))*BA61))</f>
        <v>#NAME?</v>
      </c>
      <c r="BK61" s="293" t="e">
        <f aca="false">IF($A61="N/A"," ",((C61*D61)*(SUM($AK61:$AQ61)+SUM($AS61:$AY61))*$BA61))</f>
        <v>#N/A</v>
      </c>
      <c r="BL61" s="293" t="e">
        <f aca="false">IF($A61="N/A"," ",(F61*(SUM($AK61:$AQ61)+SUM($AS61:$AY61))*$BA61))</f>
        <v>#NAME?</v>
      </c>
      <c r="BM61" s="293" t="e">
        <f aca="false">IF($A61="N/A"," ",(G61*(SUM($AK61:$AQ61)+SUM($AS61:$AY61))*$BA61))</f>
        <v>#NAME?</v>
      </c>
      <c r="BN61" s="294" t="n">
        <f aca="false">IF(A61="N/A"," ",(VLOOKUP(A61,PowerVolTable,(IF('Pricing Inputs'!$AT$3=2,7,IF('Pricing Inputs'!$AT$3=1,6,8))),FALSE())))</f>
        <v>0.197191963125</v>
      </c>
      <c r="BO61" s="294" t="n">
        <f aca="false">IF(A61="N/A"," ",(VLOOKUP(A61,IntraPowerVol,(IF('Pricing Inputs'!$AT$3=2,3,IF('Pricing Inputs'!$AT$3=1,2,4))),FALSE())*VLOOKUP(MONTH($A61),Inputs!$A$28:$B$39,2)))</f>
        <v>1.265</v>
      </c>
      <c r="BP61" s="295" t="n">
        <f aca="false">IF($A61="N/A"," ",(IF(DateToday&gt;$A61,$BO61,((($BN61^2)*((($A61-1)-DateToday)/((EOMONTH($A61,0)+1)-DateToday-15)))+((($BO61)^2)*((15)/((EOMONTH($A61,0)+1)-DateToday-15))))^0.5)))</f>
        <v>1.265</v>
      </c>
      <c r="BQ61" s="294" t="e">
        <f aca="false">IF($A61="N/A"," ",(VLOOKUP($A61,GasVolTable,(IF('Pricing Inputs'!$AT$3=2,6,IF('Pricing Inputs'!$AT$3=1,7,5))),FALSE())))</f>
        <v>#N/A</v>
      </c>
      <c r="BR61" s="294" t="e">
        <f aca="false">IF($A61="N/A"," ",(VLOOKUP($A61,OmicronVol,(IF('Pricing Inputs'!$AT$3=2,3,IF('Pricing Inputs'!$AT$3=1,4,2))),FALSE())))</f>
        <v>#N/A</v>
      </c>
      <c r="BS61" s="295" t="e">
        <f aca="false">IF($A61="N/A"," ",IF('Pricing Inputs'!$AN$3=1,(IF(DateToday&gt;$A61,$BR61,((($BQ61^2)*((($A61-1)-DateToday)/((EOMONTH($A61,0)+1)-DateToday-15)))+((($BR61)^2)*((15)/((EOMONTH($A61,0)+1)-DateToday-15))))^0.5)),0.0001))</f>
        <v>#N/A</v>
      </c>
      <c r="BT61" s="294" t="n">
        <f aca="false">IF($A61="N/A"," ",IF('Pricing Inputs'!$AN$3=1,(VLOOKUP($A61,CorrelationTable,2,FALSE())),0))</f>
        <v>0.9</v>
      </c>
      <c r="BU61" s="296" t="e">
        <f aca="false">IF($A61="N/A"," ",F61+G61+(D61*(VLOOKUP($A61,'Gas Curves'!$B$17:$P$310,14,FALSE()))))</f>
        <v>#N/A</v>
      </c>
      <c r="BV61" s="294" t="n">
        <f aca="false">IF($A61="N/A"," ",IF('Pricing Inputs'!$AW$3=1,0,(VLOOKUP($A61,InterestRatesTable,2))))</f>
        <v>0</v>
      </c>
      <c r="BW61" s="297" t="n">
        <f aca="false">IF($A61="N/A"," ",(1+BV61/2)^(-2*((EOMONTH(A61,0)+20)-DateToday)/365.25))</f>
        <v>1</v>
      </c>
    </row>
    <row r="62" customFormat="false" ht="12.75" hidden="false" customHeight="false" outlineLevel="0" collapsed="false">
      <c r="A62" s="272" t="n">
        <f aca="false">IF(A61="N/A","N/A",IF(EDATE(A61,1)&gt;Inputs!$K$3,"N/A",EDATE(A61,1)))</f>
        <v>38657</v>
      </c>
      <c r="B62" s="273" t="n">
        <f aca="false">IF(A62="N/A"," ",YEAR(A62))</f>
        <v>2005</v>
      </c>
      <c r="C62" s="274" t="e">
        <f aca="false">IF(A62="N/A"," ",VLOOKUP(A62,ScaledPrice,10))</f>
        <v>#N/A</v>
      </c>
      <c r="D62" s="275" t="n">
        <f aca="false">IF(A62="N/A"," ",(VLOOKUP(MONTH($A62),Inputs!$A$14:$B$25,2))/1000)</f>
        <v>10.5</v>
      </c>
      <c r="E62" s="276" t="e">
        <f aca="false">IF($A62="N/A"," ",C62*D62)</f>
        <v>#N/A</v>
      </c>
      <c r="F62" s="277" t="n">
        <f aca="false">IF(A62="N/A"," ",Inputs!$F$6)</f>
        <v>2</v>
      </c>
      <c r="G62" s="277" t="n">
        <f aca="false">IF(A62="N/A"," ",Inputs!$F$9/IF(AND('Pricing Inputs'!$AQ$3&gt;=4,'Pricing Inputs'!$AQ$3&lt;=6),16,IF(AND('Pricing Inputs'!$AQ$3&gt;=7,'Pricing Inputs'!$AQ$3&lt;=9),8,24))/(BA62/BW62))</f>
        <v>0</v>
      </c>
      <c r="H62" s="278" t="e">
        <f aca="false">IF(A62="N/A"," ",(C62*D62)+F62+G62)</f>
        <v>#N/A</v>
      </c>
      <c r="I62" s="279" t="n">
        <f aca="false">VLOOKUP(A62,ScaledPrice,(IF(AND('Pricing Inputs'!$AQ$3&gt;=1,'Pricing Inputs'!$AQ$3&lt;=6),2,4)))</f>
        <v>30.542321875</v>
      </c>
      <c r="J62" s="279" t="n">
        <f aca="false">IF(A62="N/A"," ",IF(AND('Pricing Inputs'!$AQ$3&gt;=1,'Pricing Inputs'!$AQ$3&lt;=6),I62,(VLOOKUP(A62,ScaledPrice,2))*(2-(VLOOKUP(A62,ScaledPrice,3)))))</f>
        <v>31.207678125</v>
      </c>
      <c r="K62" s="279" t="n">
        <f aca="false">IF(A62="N/A"," ",IF(OR('Pricing Inputs'!$AQ$3=2,'Pricing Inputs'!$AQ$3=3,'Pricing Inputs'!$AQ$3=5,'Pricing Inputs'!$AQ$3=6,'Pricing Inputs'!$AQ$3=8,'Pricing Inputs'!$AQ$3=9),VLOOKUP(A62,ScaledPrice,IF(AND('Pricing Inputs'!$AQ$3&gt;=2,'Pricing Inputs'!$AQ$3&lt;=6),5,6)),0))</f>
        <v>24.1417903885651</v>
      </c>
      <c r="L62" s="279" t="n">
        <f aca="false">IF(A62="N/A"," ",IF(OR('Pricing Inputs'!$AQ$3=2,'Pricing Inputs'!$AQ$3=3,'Pricing Inputs'!$AQ$3=5,'Pricing Inputs'!$AQ$3=6,'Pricing Inputs'!$AQ$3=8,'Pricing Inputs'!$AQ$3=9),IF(AND('Pricing Inputs'!$AQ$3&gt;=2,'Pricing Inputs'!$AQ$3&lt;=6),K62,(VLOOKUP(A62,ScaledPrice,5))*(2-(VLOOKUP(A62,ScaledPrice,3)))),0))</f>
        <v>24.6677127852631</v>
      </c>
      <c r="M62" s="279" t="n">
        <f aca="false">IF(A62="N/A"," ",IF(OR('Pricing Inputs'!$AQ$3=3,'Pricing Inputs'!$AQ$3=6,'Pricing Inputs'!$AQ$3=9),(VLOOKUP(A62,ScaledPrice,IF(AND('Pricing Inputs'!$AQ$3&gt;=3,'Pricing Inputs'!$AQ$3&lt;=6),7,8))),0))</f>
        <v>22.1630913313675</v>
      </c>
      <c r="N62" s="279" t="n">
        <f aca="false">IF(A62="N/A"," ",IF(OR('Pricing Inputs'!$AQ$3=3,'Pricing Inputs'!$AQ$3=6,'Pricing Inputs'!$AQ$3=9),IF(AND('Pricing Inputs'!$AQ$3&gt;=3,'Pricing Inputs'!$AQ$3&lt;=6),M62,(VLOOKUP(A62,ScaledPrice,7))*(2-(VLOOKUP(A62,ScaledPrice,3)))),0))</f>
        <v>22.6459083024216</v>
      </c>
      <c r="O62" s="279" t="n">
        <f aca="false">IF(A62="N/A"," ",IF(AND('Pricing Inputs'!$AQ$3&gt;=1,'Pricing Inputs'!$AQ$3&lt;=3),VLOOKUP(A62,ScaledPrice,9),0))</f>
        <v>0</v>
      </c>
      <c r="P62" s="280" t="e">
        <f aca="false">IF($A62="N/A"," ",IF('Pricing Inputs'!$AN$8=2,(I62-H62),IF('Pricing Inputs'!$AN$3=2,IF((I62-$H62)&gt;0,I62-$H62,0),(xSPRDOPT(I62,$E62,$BU62,0,$BP62,$BS62,$BT62,($A62-Inputs!$D$1)+15,1,0)))))</f>
        <v>#NAME?</v>
      </c>
      <c r="Q62" s="280" t="e">
        <f aca="false">IF($A62="N/A"," ",IF('Pricing Inputs'!$AN$8=2,(J62-$H62),IF('Pricing Inputs'!$AN$3=2,IF((J62-$H62)&gt;0,J62-$H62,0),(xSPRDOPT(J62,$E62,$BU62,0,$BP62,$BS62,$BT62,($A62-Inputs!$D$1)+15,1,0)))))</f>
        <v>#NAME?</v>
      </c>
      <c r="R62" s="280" t="e">
        <f aca="false">IF($A62="N/A"," ",IF('Pricing Inputs'!$AN$8=2,(K62-$H62),IF('Pricing Inputs'!$AN$3=2,IF((K62-$H62)&gt;0,K62-$H62,0),(xSPRDOPT(K62,$E62,$BU62,0,$BP62,$BS62,$BT62,($A62-Inputs!$D$1)+15,1,0)))))</f>
        <v>#NAME?</v>
      </c>
      <c r="S62" s="280" t="e">
        <f aca="false">IF($A62="N/A"," ",IF('Pricing Inputs'!$AN$8=2,(L62-$H62),IF('Pricing Inputs'!$AN$3=2,IF((L62-$H62)&gt;0,L62-$H62,0),(xSPRDOPT(L62,$E62,$BU62,0,$BP62,$BS62,$BT62,($A62-Inputs!$D$1)+15,1,0)))))</f>
        <v>#NAME?</v>
      </c>
      <c r="T62" s="280" t="e">
        <f aca="false">IF($A62="N/A"," ",IF('Pricing Inputs'!$AN$8=2,(M62-$H62),IF('Pricing Inputs'!$AN$3=2,IF((M62-$H62)&gt;0,M62-$H62,0),(xSPRDOPT(M62,$E62,$BU62,0,$BP62,$BS62,$BT62,($A62-Inputs!$D$1)+15,1,0)))))</f>
        <v>#NAME?</v>
      </c>
      <c r="U62" s="280" t="e">
        <f aca="false">IF($A62="N/A"," ",IF('Pricing Inputs'!$AN$8=2,(N62-$H62),IF('Pricing Inputs'!$AN$3=2,IF((N62-$H62)&gt;0,N62-$H62,0),(xSPRDOPT(N62,$E62,$BU62,0,$BP62,$BS62,$BT62,($A62-Inputs!$D$1)+15,1,0)))))</f>
        <v>#NAME?</v>
      </c>
      <c r="V62" s="281" t="e">
        <f aca="false">IF($A62="N/A"," ",(IF('Pricing Inputs'!$AN$8=2,(O62-$H62),IF((O62-$H62)&lt;=0,0,(O62-$H62)))))</f>
        <v>#N/A</v>
      </c>
      <c r="W62" s="282" t="e">
        <f aca="false">IF($A62="N/A"," ",IF(0&lt;&gt;P62,IF('Pricing Inputs'!$AN$3=2,8*VLOOKUP($A62,NumberofDaysTable,2),(xSPRDOPT(I62,$E62,$BU62,0,$BP62,$BS62,$BT62,$A62-Inputs!$D$1,1,1))*(8*VLOOKUP($A62,NumberofDaysTable,2))),0))</f>
        <v>#NAME?</v>
      </c>
      <c r="X62" s="282" t="e">
        <f aca="false">IF($A62="N/A"," ",IF(Q62&lt;&gt;0,IF('Pricing Inputs'!$AN$3=2,8*VLOOKUP($A62,NumberofDaysTable,2),(xSPRDOPT(J62,$E62,$BU62,0,$BP62,$BS62,$BT62,$A62-Inputs!$D$1,1,1))*(8*VLOOKUP($A62,NumberofDaysTable,2))),0))</f>
        <v>#NAME?</v>
      </c>
      <c r="Y62" s="282" t="e">
        <f aca="false">IF($A62="N/A"," ",IF(R62&lt;&gt;0,IF('Pricing Inputs'!$AN$3=2,8*VLOOKUP($A62,NumberofDaysTable,3),(xSPRDOPT(K62,$E62,$BU62,0,$BP62,$BS62,$BT62,$A62-Inputs!$D$1,1,1))*(8*VLOOKUP($A62,NumberofDaysTable,3))),0))</f>
        <v>#NAME?</v>
      </c>
      <c r="Z62" s="282" t="e">
        <f aca="false">IF($A62="N/A"," ",IF(S62&lt;&gt;0,IF('Pricing Inputs'!$AN$3=2,8*VLOOKUP($A62,NumberofDaysTable,3),(xSPRDOPT(L62,$E62,$BU62,0,$BP62,$BS62,$BT62,$A62-Inputs!$D$1,1,1))*(8*VLOOKUP($A62,NumberofDaysTable,3))),0))</f>
        <v>#NAME?</v>
      </c>
      <c r="AA62" s="282" t="e">
        <f aca="false">IF($A62="N/A"," ",IF(T62&lt;&gt;0,IF('Pricing Inputs'!$AN$3=2,8*VLOOKUP($A62,NumberofDaysTable,4),(xSPRDOPT(M62,$E62,$BU62,0,$BP62,$BS62,$BT62,$A62-Inputs!$D$1,1,1))*(8*VLOOKUP($A62,NumberofDaysTable,4))),0))</f>
        <v>#NAME?</v>
      </c>
      <c r="AB62" s="282" t="e">
        <f aca="false">IF($A62="N/A"," ",IF(U62&lt;&gt;0,IF('Pricing Inputs'!$AN$3=2,8*VLOOKUP($A62,NumberofDaysTable,4),(xSPRDOPT(N62,$E62,$BU62,0,$BP62,$BS62,$BT62,$A62-Inputs!$D$1,1,1))*(8*VLOOKUP($A62,NumberofDaysTable,4))),0))</f>
        <v>#NAME?</v>
      </c>
      <c r="AC62" s="282" t="e">
        <f aca="false">IF($A62="N/A"," ",(IF(V62&lt;&gt;0,(8*VLOOKUP($A62,NumberofDaysTable,6)),0)))</f>
        <v>#N/A</v>
      </c>
      <c r="AD62" s="298" t="e">
        <f aca="false">IF($A62="N/A"," ",RANK(P62,$P$52:$V$63))</f>
        <v>#NAME?</v>
      </c>
      <c r="AE62" s="299" t="e">
        <f aca="false">IF($A62="N/A"," ",RANK(Q62,$P$52:$V$63))</f>
        <v>#NAME?</v>
      </c>
      <c r="AF62" s="299" t="e">
        <f aca="false">IF($A62="N/A"," ",RANK(R62,$P$52:$V$63))</f>
        <v>#NAME?</v>
      </c>
      <c r="AG62" s="299" t="e">
        <f aca="false">IF($A62="N/A"," ",RANK(S62,$P$52:$V$63))</f>
        <v>#NAME?</v>
      </c>
      <c r="AH62" s="299" t="e">
        <f aca="false">IF($A62="N/A"," ",RANK(T62,$P$52:$V$63))</f>
        <v>#NAME?</v>
      </c>
      <c r="AI62" s="299" t="e">
        <f aca="false">IF($A62="N/A"," ",RANK(U62,$P$52:$V$63))</f>
        <v>#NAME?</v>
      </c>
      <c r="AJ62" s="300" t="e">
        <f aca="false">IF($A62="N/A"," ",RANK(V62,$P$52:$V$63))</f>
        <v>#NAME?</v>
      </c>
      <c r="AK62" s="286" t="e">
        <f aca="false">IF($A62="N/A"," ",IF(AD62&lt;=$AJ$2,W62,0))</f>
        <v>#NAME?</v>
      </c>
      <c r="AL62" s="301" t="e">
        <f aca="false">IF($A62="N/A"," ",IF(AE62&lt;=$AJ$2,X62,0))</f>
        <v>#NAME?</v>
      </c>
      <c r="AM62" s="301" t="e">
        <f aca="false">IF($A62="N/A"," ",IF(AF62&lt;=$AJ$2,Y62,0))</f>
        <v>#NAME?</v>
      </c>
      <c r="AN62" s="301" t="e">
        <f aca="false">IF($A62="N/A"," ",IF(AG62&lt;=$AJ$2,Z62,0))</f>
        <v>#NAME?</v>
      </c>
      <c r="AO62" s="301" t="e">
        <f aca="false">IF($A62="N/A"," ",IF(AH62&lt;=$AJ$2,AA62,0))</f>
        <v>#NAME?</v>
      </c>
      <c r="AP62" s="301" t="e">
        <f aca="false">IF($A62="N/A"," ",IF(AI62&lt;=$AJ$2,AB62,0))</f>
        <v>#NAME?</v>
      </c>
      <c r="AQ62" s="301" t="e">
        <f aca="false">IF($A62="N/A"," ",IF(AJ62&lt;=$AJ$2,AC62,0))</f>
        <v>#NAME?</v>
      </c>
      <c r="AR62" s="300" t="e">
        <f aca="false">SUM(AK52:AQ63)</f>
        <v>#NAME?</v>
      </c>
      <c r="AS62" s="288" t="e">
        <f aca="false">IF($A62="N/A"," ",IF(AND(AD62=$AJ$2+1,AK62=0),MIN($AR$63,W62),0))</f>
        <v>#NAME?</v>
      </c>
      <c r="AT62" s="302" t="e">
        <f aca="false">IF($A62="N/A"," ",IF(AND(AE62=$AJ$2+1,AL62=0),MIN($AR$63,X62),0))</f>
        <v>#NAME?</v>
      </c>
      <c r="AU62" s="302" t="e">
        <f aca="false">IF($A62="N/A"," ",IF(AND(AF62=$AJ$2+1,AM62=0),MIN($AR$63,Y62),0))</f>
        <v>#NAME?</v>
      </c>
      <c r="AV62" s="302" t="e">
        <f aca="false">IF($A62="N/A"," ",IF(AND(AG62=$AJ$2+1,AN62=0),MIN($AR$63,Z62),0))</f>
        <v>#NAME?</v>
      </c>
      <c r="AW62" s="302" t="e">
        <f aca="false">IF($A62="N/A"," ",IF(AND(AH62=$AJ$2+1,AO62=0),MIN($AR$63,AA62),0))</f>
        <v>#NAME?</v>
      </c>
      <c r="AX62" s="302" t="e">
        <f aca="false">IF($A62="N/A"," ",IF(AND(AI62=$AJ$2+1,AP62=0),MIN($AR$63,AB62),0))</f>
        <v>#NAME?</v>
      </c>
      <c r="AY62" s="302" t="e">
        <f aca="false">IF($A62="N/A"," ",IF(AND(AJ62=$AJ$2+1,AQ62=0),MIN($AR$63,AC62),0))</f>
        <v>#NAME?</v>
      </c>
      <c r="AZ62" s="300" t="e">
        <f aca="false">SUM(AS52:AY63)</f>
        <v>#NAME?</v>
      </c>
      <c r="BA62" s="291" t="n">
        <f aca="false">IF($A62="N/A"," ",(IF(MONTH(A62)&gt;=4,IF(MONTH(A62)&lt;=10,Inputs!$F$13,Inputs!$F$14),Inputs!$F$14))*$BW62)</f>
        <v>180</v>
      </c>
      <c r="BB62" s="292" t="e">
        <f aca="false">IF($A62="N/A"," ",(IF(AK62&gt;0,($BA62*(8*(VLOOKUP($A62,NumberofDaysTable,2)))*P62),0)+IF(AS62&gt;0,($BA62*((AS62))*P62),0)))</f>
        <v>#NAME?</v>
      </c>
      <c r="BC62" s="292" t="e">
        <f aca="false">IF($A62="N/A"," ",(IF(AL62&gt;0,($BA62*(8*(VLOOKUP($A62,NumberofDaysTable,2)))*Q62),0)+IF(AT62&gt;0,($BA62*((AT62))*Q62),0)))</f>
        <v>#NAME?</v>
      </c>
      <c r="BD62" s="292" t="e">
        <f aca="false">IF($A62="N/A"," ",(IF(AM62&gt;0,($BA62*(8*(VLOOKUP($A62,NumberofDaysTable,3)))*R62),0)+IF(AU62&gt;0,($BA62*((AU62))*R62),0)))</f>
        <v>#NAME?</v>
      </c>
      <c r="BE62" s="292" t="e">
        <f aca="false">IF($A62="N/A"," ",(IF(AN62&gt;0,($BA62*(8*(VLOOKUP($A62,NumberofDaysTable,3)))*S62),0)+IF(AV62&gt;0,($BA62*((AV62))*S62),0)))</f>
        <v>#NAME?</v>
      </c>
      <c r="BF62" s="292" t="e">
        <f aca="false">IF($A62="N/A"," ",(IF(AO62&gt;0,($BA62*(8*(VLOOKUP($A62,NumberofDaysTable,4)+VLOOKUP($A62,NumberofDaysTable,5)))*T62),0)+IF(AW62&gt;0,($BA62*((AW62))*T62),0)))</f>
        <v>#NAME?</v>
      </c>
      <c r="BG62" s="292" t="e">
        <f aca="false">IF($A62="N/A"," ",(IF(AP62&gt;0,($BA62*(8*(VLOOKUP($A62,NumberofDaysTable,4)+VLOOKUP($A62,NumberofDaysTable,5)))*U62),0)+IF(AX62&gt;0,($BA62*((AX62))*U62),0)))</f>
        <v>#NAME?</v>
      </c>
      <c r="BH62" s="292" t="e">
        <f aca="false">IF($A62="N/A"," ",($BA62*AQ62*V62))</f>
        <v>#NAME?</v>
      </c>
      <c r="BI62" s="292" t="e">
        <f aca="false">IF($A62="N/A"," ",SUM(BB62:BH62))</f>
        <v>#NAME?</v>
      </c>
      <c r="BJ62" s="293" t="e">
        <f aca="false">IF($A62="N/A"," ",(H62*(SUM(AK62:AQ62)+SUM(AS62:AY62))*BA62))</f>
        <v>#NAME?</v>
      </c>
      <c r="BK62" s="293" t="e">
        <f aca="false">IF($A62="N/A"," ",((C62*D62)*(SUM($AK62:$AQ62)+SUM($AS62:$AY62))*$BA62))</f>
        <v>#N/A</v>
      </c>
      <c r="BL62" s="293" t="e">
        <f aca="false">IF($A62="N/A"," ",(F62*(SUM($AK62:$AQ62)+SUM($AS62:$AY62))*$BA62))</f>
        <v>#NAME?</v>
      </c>
      <c r="BM62" s="293" t="e">
        <f aca="false">IF($A62="N/A"," ",(G62*(SUM($AK62:$AQ62)+SUM($AS62:$AY62))*$BA62))</f>
        <v>#NAME?</v>
      </c>
      <c r="BN62" s="294" t="n">
        <f aca="false">IF(A62="N/A"," ",(VLOOKUP(A62,PowerVolTable,(IF('Pricing Inputs'!$AT$3=2,7,IF('Pricing Inputs'!$AT$3=1,6,8))),FALSE())))</f>
        <v>0.197191963125</v>
      </c>
      <c r="BO62" s="294" t="n">
        <f aca="false">IF(A62="N/A"," ",(VLOOKUP(A62,IntraPowerVol,(IF('Pricing Inputs'!$AT$3=2,3,IF('Pricing Inputs'!$AT$3=1,2,4))),FALSE())*VLOOKUP(MONTH($A62),Inputs!$A$28:$B$39,2)))</f>
        <v>1.4375</v>
      </c>
      <c r="BP62" s="295" t="n">
        <f aca="false">IF($A62="N/A"," ",(IF(DateToday&gt;$A62,$BO62,((($BN62^2)*((($A62-1)-DateToday)/((EOMONTH($A62,0)+1)-DateToday-15)))+((($BO62)^2)*((15)/((EOMONTH($A62,0)+1)-DateToday-15))))^0.5)))</f>
        <v>1.4375</v>
      </c>
      <c r="BQ62" s="294" t="e">
        <f aca="false">IF($A62="N/A"," ",(VLOOKUP($A62,GasVolTable,(IF('Pricing Inputs'!$AT$3=2,6,IF('Pricing Inputs'!$AT$3=1,7,5))),FALSE())))</f>
        <v>#N/A</v>
      </c>
      <c r="BR62" s="294" t="e">
        <f aca="false">IF($A62="N/A"," ",(VLOOKUP($A62,OmicronVol,(IF('Pricing Inputs'!$AT$3=2,3,IF('Pricing Inputs'!$AT$3=1,4,2))),FALSE())))</f>
        <v>#N/A</v>
      </c>
      <c r="BS62" s="295" t="e">
        <f aca="false">IF($A62="N/A"," ",IF('Pricing Inputs'!$AN$3=1,(IF(DateToday&gt;$A62,$BR62,((($BQ62^2)*((($A62-1)-DateToday)/((EOMONTH($A62,0)+1)-DateToday-15)))+((($BR62)^2)*((15)/((EOMONTH($A62,0)+1)-DateToday-15))))^0.5)),0.0001))</f>
        <v>#N/A</v>
      </c>
      <c r="BT62" s="294" t="n">
        <f aca="false">IF($A62="N/A"," ",IF('Pricing Inputs'!$AN$3=1,(VLOOKUP($A62,CorrelationTable,2,FALSE())),0))</f>
        <v>0.9</v>
      </c>
      <c r="BU62" s="296" t="e">
        <f aca="false">IF($A62="N/A"," ",F62+G62+(D62*(VLOOKUP($A62,'Gas Curves'!$B$17:$P$310,14,FALSE()))))</f>
        <v>#N/A</v>
      </c>
      <c r="BV62" s="294" t="n">
        <f aca="false">IF($A62="N/A"," ",IF('Pricing Inputs'!$AW$3=1,0,(VLOOKUP($A62,InterestRatesTable,2))))</f>
        <v>0</v>
      </c>
      <c r="BW62" s="297" t="n">
        <f aca="false">IF($A62="N/A"," ",(1+BV62/2)^(-2*((EOMONTH(A62,0)+20)-DateToday)/365.25))</f>
        <v>1</v>
      </c>
    </row>
    <row r="63" customFormat="false" ht="12.75" hidden="false" customHeight="false" outlineLevel="0" collapsed="false">
      <c r="A63" s="272" t="n">
        <f aca="false">IF(A62="N/A","N/A",IF(EDATE(A62,1)&gt;Inputs!$K$3,"N/A",EDATE(A62,1)))</f>
        <v>38687</v>
      </c>
      <c r="B63" s="273" t="n">
        <f aca="false">IF(A63="N/A"," ",YEAR(A63))</f>
        <v>2005</v>
      </c>
      <c r="C63" s="274" t="e">
        <f aca="false">IF(A63="N/A"," ",VLOOKUP(A63,ScaledPrice,10))</f>
        <v>#N/A</v>
      </c>
      <c r="D63" s="275" t="n">
        <f aca="false">IF(A63="N/A"," ",(VLOOKUP(MONTH($A63),Inputs!$A$14:$B$25,2))/1000)</f>
        <v>10.5</v>
      </c>
      <c r="E63" s="276" t="e">
        <f aca="false">IF($A63="N/A"," ",C63*D63)</f>
        <v>#N/A</v>
      </c>
      <c r="F63" s="277" t="n">
        <f aca="false">IF(A63="N/A"," ",Inputs!$F$6)</f>
        <v>2</v>
      </c>
      <c r="G63" s="277" t="n">
        <f aca="false">IF(A63="N/A"," ",Inputs!$F$9/IF(AND('Pricing Inputs'!$AQ$3&gt;=4,'Pricing Inputs'!$AQ$3&lt;=6),16,IF(AND('Pricing Inputs'!$AQ$3&gt;=7,'Pricing Inputs'!$AQ$3&lt;=9),8,24))/(BA63/BW63))</f>
        <v>0</v>
      </c>
      <c r="H63" s="278" t="e">
        <f aca="false">IF(A63="N/A"," ",(C63*D63)+F63+G63)</f>
        <v>#N/A</v>
      </c>
      <c r="I63" s="279" t="n">
        <f aca="false">VLOOKUP(A63,ScaledPrice,(IF(AND('Pricing Inputs'!$AQ$3&gt;=1,'Pricing Inputs'!$AQ$3&lt;=6),2,4)))</f>
        <v>30.0894729382769</v>
      </c>
      <c r="J63" s="279" t="n">
        <f aca="false">IF(A63="N/A"," ",IF(AND('Pricing Inputs'!$AQ$3&gt;=1,'Pricing Inputs'!$AQ$3&lt;=6),I63,(VLOOKUP(A63,ScaledPrice,2))*(2-(VLOOKUP(A63,ScaledPrice,3)))))</f>
        <v>31.4105270617231</v>
      </c>
      <c r="K63" s="279" t="n">
        <f aca="false">IF(A63="N/A"," ",IF(OR('Pricing Inputs'!$AQ$3=2,'Pricing Inputs'!$AQ$3=3,'Pricing Inputs'!$AQ$3=5,'Pricing Inputs'!$AQ$3=6,'Pricing Inputs'!$AQ$3=8,'Pricing Inputs'!$AQ$3=9),VLOOKUP(A63,ScaledPrice,IF(AND('Pricing Inputs'!$AQ$3&gt;=2,'Pricing Inputs'!$AQ$3&lt;=6),5,6)),0))</f>
        <v>25.299618686524</v>
      </c>
      <c r="L63" s="279" t="n">
        <f aca="false">IF(A63="N/A"," ",IF(OR('Pricing Inputs'!$AQ$3=2,'Pricing Inputs'!$AQ$3=3,'Pricing Inputs'!$AQ$3=5,'Pricing Inputs'!$AQ$3=6,'Pricing Inputs'!$AQ$3=8,'Pricing Inputs'!$AQ$3=9),IF(AND('Pricing Inputs'!$AQ$3&gt;=2,'Pricing Inputs'!$AQ$3&lt;=6),K63,(VLOOKUP(A63,ScaledPrice,5))*(2-(VLOOKUP(A63,ScaledPrice,3)))),0))</f>
        <v>26.4103781091303</v>
      </c>
      <c r="M63" s="279" t="n">
        <f aca="false">IF(A63="N/A"," ",IF(OR('Pricing Inputs'!$AQ$3=3,'Pricing Inputs'!$AQ$3=6,'Pricing Inputs'!$AQ$3=9),(VLOOKUP(A63,ScaledPrice,IF(AND('Pricing Inputs'!$AQ$3&gt;=3,'Pricing Inputs'!$AQ$3&lt;=6),7,8))),0))</f>
        <v>21.8699088524892</v>
      </c>
      <c r="N63" s="279" t="n">
        <f aca="false">IF(A63="N/A"," ",IF(OR('Pricing Inputs'!$AQ$3=3,'Pricing Inputs'!$AQ$3=6,'Pricing Inputs'!$AQ$3=9),IF(AND('Pricing Inputs'!$AQ$3&gt;=3,'Pricing Inputs'!$AQ$3&lt;=6),M63,(VLOOKUP(A63,ScaledPrice,7))*(2-(VLOOKUP(A63,ScaledPrice,3)))),0))</f>
        <v>22.8300896216319</v>
      </c>
      <c r="O63" s="279" t="n">
        <f aca="false">IF(A63="N/A"," ",IF(AND('Pricing Inputs'!$AQ$3&gt;=1,'Pricing Inputs'!$AQ$3&lt;=3),VLOOKUP(A63,ScaledPrice,9),0))</f>
        <v>0</v>
      </c>
      <c r="P63" s="280" t="e">
        <f aca="false">IF($A63="N/A"," ",IF('Pricing Inputs'!$AN$8=2,(I63-H63),IF('Pricing Inputs'!$AN$3=2,IF((I63-$H63)&gt;0,I63-$H63,0),(xSPRDOPT(I63,$E63,$BU63,0,$BP63,$BS63,$BT63,($A63-Inputs!$D$1)+15,1,0)))))</f>
        <v>#NAME?</v>
      </c>
      <c r="Q63" s="280" t="e">
        <f aca="false">IF($A63="N/A"," ",IF('Pricing Inputs'!$AN$8=2,(J63-$H63),IF('Pricing Inputs'!$AN$3=2,IF((J63-$H63)&gt;0,J63-$H63,0),(xSPRDOPT(J63,$E63,$BU63,0,$BP63,$BS63,$BT63,($A63-Inputs!$D$1)+15,1,0)))))</f>
        <v>#NAME?</v>
      </c>
      <c r="R63" s="280" t="e">
        <f aca="false">IF($A63="N/A"," ",IF('Pricing Inputs'!$AN$8=2,(K63-$H63),IF('Pricing Inputs'!$AN$3=2,IF((K63-$H63)&gt;0,K63-$H63,0),(xSPRDOPT(K63,$E63,$BU63,0,$BP63,$BS63,$BT63,($A63-Inputs!$D$1)+15,1,0)))))</f>
        <v>#NAME?</v>
      </c>
      <c r="S63" s="280" t="e">
        <f aca="false">IF($A63="N/A"," ",IF('Pricing Inputs'!$AN$8=2,(L63-$H63),IF('Pricing Inputs'!$AN$3=2,IF((L63-$H63)&gt;0,L63-$H63,0),(xSPRDOPT(L63,$E63,$BU63,0,$BP63,$BS63,$BT63,($A63-Inputs!$D$1)+15,1,0)))))</f>
        <v>#NAME?</v>
      </c>
      <c r="T63" s="280" t="e">
        <f aca="false">IF($A63="N/A"," ",IF('Pricing Inputs'!$AN$8=2,(M63-$H63),IF('Pricing Inputs'!$AN$3=2,IF((M63-$H63)&gt;0,M63-$H63,0),(xSPRDOPT(M63,$E63,$BU63,0,$BP63,$BS63,$BT63,($A63-Inputs!$D$1)+15,1,0)))))</f>
        <v>#NAME?</v>
      </c>
      <c r="U63" s="280" t="e">
        <f aca="false">IF($A63="N/A"," ",IF('Pricing Inputs'!$AN$8=2,(N63-$H63),IF('Pricing Inputs'!$AN$3=2,IF((N63-$H63)&gt;0,N63-$H63,0),(xSPRDOPT(N63,$E63,$BU63,0,$BP63,$BS63,$BT63,($A63-Inputs!$D$1)+15,1,0)))))</f>
        <v>#NAME?</v>
      </c>
      <c r="V63" s="281" t="e">
        <f aca="false">IF($A63="N/A"," ",(IF('Pricing Inputs'!$AN$8=2,(O63-$H63),IF((O63-$H63)&lt;=0,0,(O63-$H63)))))</f>
        <v>#N/A</v>
      </c>
      <c r="W63" s="282" t="e">
        <f aca="false">IF($A63="N/A"," ",IF(0&lt;&gt;P63,IF('Pricing Inputs'!$AN$3=2,8*VLOOKUP($A63,NumberofDaysTable,2),(xSPRDOPT(I63,$E63,$BU63,0,$BP63,$BS63,$BT63,$A63-Inputs!$D$1,1,1))*(8*VLOOKUP($A63,NumberofDaysTable,2))),0))</f>
        <v>#NAME?</v>
      </c>
      <c r="X63" s="282" t="e">
        <f aca="false">IF($A63="N/A"," ",IF(Q63&lt;&gt;0,IF('Pricing Inputs'!$AN$3=2,8*VLOOKUP($A63,NumberofDaysTable,2),(xSPRDOPT(J63,$E63,$BU63,0,$BP63,$BS63,$BT63,$A63-Inputs!$D$1,1,1))*(8*VLOOKUP($A63,NumberofDaysTable,2))),0))</f>
        <v>#NAME?</v>
      </c>
      <c r="Y63" s="282" t="e">
        <f aca="false">IF($A63="N/A"," ",IF(R63&lt;&gt;0,IF('Pricing Inputs'!$AN$3=2,8*VLOOKUP($A63,NumberofDaysTable,3),(xSPRDOPT(K63,$E63,$BU63,0,$BP63,$BS63,$BT63,$A63-Inputs!$D$1,1,1))*(8*VLOOKUP($A63,NumberofDaysTable,3))),0))</f>
        <v>#NAME?</v>
      </c>
      <c r="Z63" s="282" t="e">
        <f aca="false">IF($A63="N/A"," ",IF(S63&lt;&gt;0,IF('Pricing Inputs'!$AN$3=2,8*VLOOKUP($A63,NumberofDaysTable,3),(xSPRDOPT(L63,$E63,$BU63,0,$BP63,$BS63,$BT63,$A63-Inputs!$D$1,1,1))*(8*VLOOKUP($A63,NumberofDaysTable,3))),0))</f>
        <v>#NAME?</v>
      </c>
      <c r="AA63" s="282" t="e">
        <f aca="false">IF($A63="N/A"," ",IF(T63&lt;&gt;0,IF('Pricing Inputs'!$AN$3=2,8*VLOOKUP($A63,NumberofDaysTable,4),(xSPRDOPT(M63,$E63,$BU63,0,$BP63,$BS63,$BT63,$A63-Inputs!$D$1,1,1))*(8*VLOOKUP($A63,NumberofDaysTable,4))),0))</f>
        <v>#NAME?</v>
      </c>
      <c r="AB63" s="282" t="e">
        <f aca="false">IF($A63="N/A"," ",IF(U63&lt;&gt;0,IF('Pricing Inputs'!$AN$3=2,8*VLOOKUP($A63,NumberofDaysTable,4),(xSPRDOPT(N63,$E63,$BU63,0,$BP63,$BS63,$BT63,$A63-Inputs!$D$1,1,1))*(8*VLOOKUP($A63,NumberofDaysTable,4))),0))</f>
        <v>#NAME?</v>
      </c>
      <c r="AC63" s="282" t="e">
        <f aca="false">IF($A63="N/A"," ",(IF(V63&lt;&gt;0,(8*VLOOKUP($A63,NumberofDaysTable,6)),0)))</f>
        <v>#N/A</v>
      </c>
      <c r="AD63" s="305" t="e">
        <f aca="false">IF($A63="N/A"," ",RANK(P63,$P$52:$V$63))</f>
        <v>#NAME?</v>
      </c>
      <c r="AE63" s="306" t="e">
        <f aca="false">IF($A63="N/A"," ",RANK(Q63,$P$52:$V$63))</f>
        <v>#NAME?</v>
      </c>
      <c r="AF63" s="306" t="e">
        <f aca="false">IF($A63="N/A"," ",RANK(R63,$P$52:$V$63))</f>
        <v>#NAME?</v>
      </c>
      <c r="AG63" s="306" t="e">
        <f aca="false">IF($A63="N/A"," ",RANK(S63,$P$52:$V$63))</f>
        <v>#NAME?</v>
      </c>
      <c r="AH63" s="306" t="e">
        <f aca="false">IF($A63="N/A"," ",RANK(T63,$P$52:$V$63))</f>
        <v>#NAME?</v>
      </c>
      <c r="AI63" s="306" t="e">
        <f aca="false">IF($A63="N/A"," ",RANK(U63,$P$52:$V$63))</f>
        <v>#NAME?</v>
      </c>
      <c r="AJ63" s="307" t="e">
        <f aca="false">IF($A63="N/A"," ",RANK(V63,$P$52:$V$63))</f>
        <v>#NAME?</v>
      </c>
      <c r="AK63" s="308" t="e">
        <f aca="false">IF($A63="N/A"," ",IF(AD63&lt;=$AJ$2,W63,0))</f>
        <v>#NAME?</v>
      </c>
      <c r="AL63" s="309" t="e">
        <f aca="false">IF($A63="N/A"," ",IF(AE63&lt;=$AJ$2,X63,0))</f>
        <v>#NAME?</v>
      </c>
      <c r="AM63" s="309" t="e">
        <f aca="false">IF($A63="N/A"," ",IF(AF63&lt;=$AJ$2,Y63,0))</f>
        <v>#NAME?</v>
      </c>
      <c r="AN63" s="309" t="e">
        <f aca="false">IF($A63="N/A"," ",IF(AG63&lt;=$AJ$2,Z63,0))</f>
        <v>#NAME?</v>
      </c>
      <c r="AO63" s="309" t="e">
        <f aca="false">IF($A63="N/A"," ",IF(AH63&lt;=$AJ$2,AA63,0))</f>
        <v>#NAME?</v>
      </c>
      <c r="AP63" s="309" t="e">
        <f aca="false">IF($A63="N/A"," ",IF(AI63&lt;=$AJ$2,AB63,0))</f>
        <v>#NAME?</v>
      </c>
      <c r="AQ63" s="309" t="e">
        <f aca="false">IF($A63="N/A"," ",IF(AJ63&lt;=$AJ$2,AC63,0))</f>
        <v>#NAME?</v>
      </c>
      <c r="AR63" s="307" t="e">
        <f aca="false">IF(($AP$2-AR62)&gt;=0,$AP$2-AR62,0)</f>
        <v>#NAME?</v>
      </c>
      <c r="AS63" s="310" t="e">
        <f aca="false">IF($A63="N/A"," ",IF(AND(AD63=$AJ$2+1,AK63=0),MIN($AR$63,W63),0))</f>
        <v>#NAME?</v>
      </c>
      <c r="AT63" s="311" t="e">
        <f aca="false">IF($A63="N/A"," ",IF(AND(AE63=$AJ$2+1,AL63=0),MIN($AR$63,X63),0))</f>
        <v>#NAME?</v>
      </c>
      <c r="AU63" s="311" t="e">
        <f aca="false">IF($A63="N/A"," ",IF(AND(AF63=$AJ$2+1,AM63=0),MIN($AR$63,Y63),0))</f>
        <v>#NAME?</v>
      </c>
      <c r="AV63" s="311" t="e">
        <f aca="false">IF($A63="N/A"," ",IF(AND(AG63=$AJ$2+1,AN63=0),MIN($AR$63,Z63),0))</f>
        <v>#NAME?</v>
      </c>
      <c r="AW63" s="311" t="e">
        <f aca="false">IF($A63="N/A"," ",IF(AND(AH63=$AJ$2+1,AO63=0),MIN($AR$63,AA63),0))</f>
        <v>#NAME?</v>
      </c>
      <c r="AX63" s="311" t="e">
        <f aca="false">IF($A63="N/A"," ",IF(AND(AI63=$AJ$2+1,AP63=0),MIN($AR$63,AB63),0))</f>
        <v>#NAME?</v>
      </c>
      <c r="AY63" s="311" t="e">
        <f aca="false">IF($A63="N/A"," ",IF(AND(AJ63=$AJ$2+1,AQ63=0),MIN($AR$63,AC63),0))</f>
        <v>#NAME?</v>
      </c>
      <c r="AZ63" s="312" t="e">
        <f aca="false">AR62+AZ62</f>
        <v>#NAME?</v>
      </c>
      <c r="BA63" s="291" t="n">
        <f aca="false">IF($A63="N/A"," ",(IF(MONTH(A63)&gt;=4,IF(MONTH(A63)&lt;=10,Inputs!$F$13,Inputs!$F$14),Inputs!$F$14))*$BW63)</f>
        <v>180</v>
      </c>
      <c r="BB63" s="292" t="e">
        <f aca="false">IF($A63="N/A"," ",(IF(AK63&gt;0,($BA63*(8*(VLOOKUP($A63,NumberofDaysTable,2)))*P63),0)+IF(AS63&gt;0,($BA63*((AS63))*P63),0)))</f>
        <v>#NAME?</v>
      </c>
      <c r="BC63" s="292" t="e">
        <f aca="false">IF($A63="N/A"," ",(IF(AL63&gt;0,($BA63*(8*(VLOOKUP($A63,NumberofDaysTable,2)))*Q63),0)+IF(AT63&gt;0,($BA63*((AT63))*Q63),0)))</f>
        <v>#NAME?</v>
      </c>
      <c r="BD63" s="292" t="e">
        <f aca="false">IF($A63="N/A"," ",(IF(AM63&gt;0,($BA63*(8*(VLOOKUP($A63,NumberofDaysTable,3)))*R63),0)+IF(AU63&gt;0,($BA63*((AU63))*R63),0)))</f>
        <v>#NAME?</v>
      </c>
      <c r="BE63" s="292" t="e">
        <f aca="false">IF($A63="N/A"," ",(IF(AN63&gt;0,($BA63*(8*(VLOOKUP($A63,NumberofDaysTable,3)))*S63),0)+IF(AV63&gt;0,($BA63*((AV63))*S63),0)))</f>
        <v>#NAME?</v>
      </c>
      <c r="BF63" s="292" t="e">
        <f aca="false">IF($A63="N/A"," ",(IF(AO63&gt;0,($BA63*(8*(VLOOKUP($A63,NumberofDaysTable,4)+VLOOKUP($A63,NumberofDaysTable,5)))*T63),0)+IF(AW63&gt;0,($BA63*((AW63))*T63),0)))</f>
        <v>#NAME?</v>
      </c>
      <c r="BG63" s="292" t="e">
        <f aca="false">IF($A63="N/A"," ",(IF(AP63&gt;0,($BA63*(8*(VLOOKUP($A63,NumberofDaysTable,4)+VLOOKUP($A63,NumberofDaysTable,5)))*U63),0)+IF(AX63&gt;0,($BA63*((AX63))*U63),0)))</f>
        <v>#NAME?</v>
      </c>
      <c r="BH63" s="292" t="e">
        <f aca="false">IF($A63="N/A"," ",($BA63*AQ63*V63))</f>
        <v>#NAME?</v>
      </c>
      <c r="BI63" s="292" t="e">
        <f aca="false">IF($A63="N/A"," ",SUM(BB63:BH63))</f>
        <v>#NAME?</v>
      </c>
      <c r="BJ63" s="293" t="e">
        <f aca="false">IF($A63="N/A"," ",(H63*(SUM(AK63:AQ63)+SUM(AS63:AY63))*BA63))</f>
        <v>#NAME?</v>
      </c>
      <c r="BK63" s="293" t="e">
        <f aca="false">IF($A63="N/A"," ",((C63*D63)*(SUM($AK63:$AQ63)+SUM($AS63:$AY63))*$BA63))</f>
        <v>#N/A</v>
      </c>
      <c r="BL63" s="293" t="e">
        <f aca="false">IF($A63="N/A"," ",(F63*(SUM($AK63:$AQ63)+SUM($AS63:$AY63))*$BA63))</f>
        <v>#NAME?</v>
      </c>
      <c r="BM63" s="293" t="e">
        <f aca="false">IF($A63="N/A"," ",(G63*(SUM($AK63:$AQ63)+SUM($AS63:$AY63))*$BA63))</f>
        <v>#NAME?</v>
      </c>
      <c r="BN63" s="294" t="n">
        <f aca="false">IF(A63="N/A"," ",(VLOOKUP(A63,PowerVolTable,(IF('Pricing Inputs'!$AT$3=2,7,IF('Pricing Inputs'!$AT$3=1,6,8))),FALSE())))</f>
        <v>0.204229297125</v>
      </c>
      <c r="BO63" s="294" t="n">
        <f aca="false">IF(A63="N/A"," ",(VLOOKUP(A63,IntraPowerVol,(IF('Pricing Inputs'!$AT$3=2,3,IF('Pricing Inputs'!$AT$3=1,2,4))),FALSE())*VLOOKUP(MONTH($A63),Inputs!$A$28:$B$39,2)))</f>
        <v>1.4375</v>
      </c>
      <c r="BP63" s="295" t="n">
        <f aca="false">IF($A63="N/A"," ",(IF(DateToday&gt;$A63,$BO63,((($BN63^2)*((($A63-1)-DateToday)/((EOMONTH($A63,0)+1)-DateToday-15)))+((($BO63)^2)*((15)/((EOMONTH($A63,0)+1)-DateToday-15))))^0.5)))</f>
        <v>1.4375</v>
      </c>
      <c r="BQ63" s="294" t="e">
        <f aca="false">IF($A63="N/A"," ",(VLOOKUP($A63,GasVolTable,(IF('Pricing Inputs'!$AT$3=2,6,IF('Pricing Inputs'!$AT$3=1,7,5))),FALSE())))</f>
        <v>#N/A</v>
      </c>
      <c r="BR63" s="294" t="e">
        <f aca="false">IF($A63="N/A"," ",(VLOOKUP($A63,OmicronVol,(IF('Pricing Inputs'!$AT$3=2,3,IF('Pricing Inputs'!$AT$3=1,4,2))),FALSE())))</f>
        <v>#N/A</v>
      </c>
      <c r="BS63" s="295" t="e">
        <f aca="false">IF($A63="N/A"," ",IF('Pricing Inputs'!$AN$3=1,(IF(DateToday&gt;$A63,$BR63,((($BQ63^2)*((($A63-1)-DateToday)/((EOMONTH($A63,0)+1)-DateToday-15)))+((($BR63)^2)*((15)/((EOMONTH($A63,0)+1)-DateToday-15))))^0.5)),0.0001))</f>
        <v>#N/A</v>
      </c>
      <c r="BT63" s="294" t="n">
        <f aca="false">IF($A63="N/A"," ",IF('Pricing Inputs'!$AN$3=1,(VLOOKUP($A63,CorrelationTable,2,FALSE())),0))</f>
        <v>0.9</v>
      </c>
      <c r="BU63" s="296" t="e">
        <f aca="false">IF($A63="N/A"," ",F63+G63+(D63*(VLOOKUP($A63,'Gas Curves'!$B$17:$P$310,14,FALSE()))))</f>
        <v>#N/A</v>
      </c>
      <c r="BV63" s="294" t="n">
        <f aca="false">IF($A63="N/A"," ",IF('Pricing Inputs'!$AW$3=1,0,(VLOOKUP($A63,InterestRatesTable,2))))</f>
        <v>0</v>
      </c>
      <c r="BW63" s="297" t="n">
        <f aca="false">IF($A63="N/A"," ",(1+BV63/2)^(-2*((EOMONTH(A63,0)+20)-DateToday)/365.25))</f>
        <v>1</v>
      </c>
    </row>
    <row r="64" customFormat="false" ht="12.75" hidden="false" customHeight="false" outlineLevel="0" collapsed="false">
      <c r="A64" s="272" t="n">
        <f aca="false">IF(A63="N/A","N/A",IF(EDATE(A63,1)&gt;Inputs!$K$3,"N/A",EDATE(A63,1)))</f>
        <v>38718</v>
      </c>
      <c r="B64" s="273" t="n">
        <f aca="false">IF(A64="N/A"," ",YEAR(A64))</f>
        <v>2006</v>
      </c>
      <c r="C64" s="274" t="e">
        <f aca="false">IF(A64="N/A"," ",VLOOKUP(A64,ScaledPrice,10))</f>
        <v>#N/A</v>
      </c>
      <c r="D64" s="275" t="n">
        <f aca="false">IF(A64="N/A"," ",(VLOOKUP(MONTH($A64),Inputs!$A$14:$B$25,2))/1000)</f>
        <v>10.5</v>
      </c>
      <c r="E64" s="276" t="e">
        <f aca="false">IF($A64="N/A"," ",C64*D64)</f>
        <v>#N/A</v>
      </c>
      <c r="F64" s="277" t="n">
        <f aca="false">IF(A64="N/A"," ",Inputs!$F$6)</f>
        <v>2</v>
      </c>
      <c r="G64" s="277" t="n">
        <f aca="false">IF(A64="N/A"," ",Inputs!$F$9/IF(AND('Pricing Inputs'!$AQ$3&gt;=4,'Pricing Inputs'!$AQ$3&lt;=6),16,IF(AND('Pricing Inputs'!$AQ$3&gt;=7,'Pricing Inputs'!$AQ$3&lt;=9),8,24))/(BA64/BW64))</f>
        <v>0</v>
      </c>
      <c r="H64" s="278" t="e">
        <f aca="false">IF(A64="N/A"," ",(C64*D64)+F64+G64)</f>
        <v>#N/A</v>
      </c>
      <c r="I64" s="279" t="n">
        <f aca="false">VLOOKUP(A64,ScaledPrice,(IF(AND('Pricing Inputs'!$AQ$3&gt;=1,'Pricing Inputs'!$AQ$3&lt;=6),2,4)))</f>
        <v>35.7130215924935</v>
      </c>
      <c r="J64" s="279" t="n">
        <f aca="false">IF(A64="N/A"," ",IF(AND('Pricing Inputs'!$AQ$3&gt;=1,'Pricing Inputs'!$AQ$3&lt;=6),I64,(VLOOKUP(A64,ScaledPrice,2))*(2-(VLOOKUP(A64,ScaledPrice,3)))))</f>
        <v>37.9869784075065</v>
      </c>
      <c r="K64" s="279" t="n">
        <f aca="false">IF(A64="N/A"," ",IF(OR('Pricing Inputs'!$AQ$3=2,'Pricing Inputs'!$AQ$3=3,'Pricing Inputs'!$AQ$3=5,'Pricing Inputs'!$AQ$3=6,'Pricing Inputs'!$AQ$3=8,'Pricing Inputs'!$AQ$3=9),VLOOKUP(A64,ScaledPrice,IF(AND('Pricing Inputs'!$AQ$3&gt;=2,'Pricing Inputs'!$AQ$3&lt;=6),5,6)),0))</f>
        <v>28.3463007621441</v>
      </c>
      <c r="L64" s="279" t="n">
        <f aca="false">IF(A64="N/A"," ",IF(OR('Pricing Inputs'!$AQ$3=2,'Pricing Inputs'!$AQ$3=3,'Pricing Inputs'!$AQ$3=5,'Pricing Inputs'!$AQ$3=6,'Pricing Inputs'!$AQ$3=8,'Pricing Inputs'!$AQ$3=9),IF(AND('Pricing Inputs'!$AQ$3&gt;=2,'Pricing Inputs'!$AQ$3&lt;=6),K64,(VLOOKUP(A64,ScaledPrice,5))*(2-(VLOOKUP(A64,ScaledPrice,3)))),0))</f>
        <v>30.1511960335102</v>
      </c>
      <c r="M64" s="279" t="n">
        <f aca="false">IF(A64="N/A"," ",IF(OR('Pricing Inputs'!$AQ$3=3,'Pricing Inputs'!$AQ$3=6,'Pricing Inputs'!$AQ$3=9),(VLOOKUP(A64,ScaledPrice,IF(AND('Pricing Inputs'!$AQ$3&gt;=3,'Pricing Inputs'!$AQ$3&lt;=6),7,8))),0))</f>
        <v>26.8962181057002</v>
      </c>
      <c r="N64" s="279" t="n">
        <f aca="false">IF(A64="N/A"," ",IF(OR('Pricing Inputs'!$AQ$3=3,'Pricing Inputs'!$AQ$3=6,'Pricing Inputs'!$AQ$3=9),IF(AND('Pricing Inputs'!$AQ$3&gt;=3,'Pricing Inputs'!$AQ$3&lt;=6),M64,(VLOOKUP(A64,ScaledPrice,7))*(2-(VLOOKUP(A64,ScaledPrice,3)))),0))</f>
        <v>28.6087821994756</v>
      </c>
      <c r="O64" s="279" t="n">
        <f aca="false">IF(A64="N/A"," ",IF(AND('Pricing Inputs'!$AQ$3&gt;=1,'Pricing Inputs'!$AQ$3&lt;=3),VLOOKUP(A64,ScaledPrice,9),0))</f>
        <v>0</v>
      </c>
      <c r="P64" s="280" t="e">
        <f aca="false">IF($A64="N/A"," ",IF('Pricing Inputs'!$AN$8=2,(I64-H64),IF('Pricing Inputs'!$AN$3=2,IF((I64-$H64)&gt;0,I64-$H64,0),(xSPRDOPT(I64,$E64,$BU64,0,$BP64,$BS64,$BT64,($A64-Inputs!$D$1)+15,1,0)))))</f>
        <v>#NAME?</v>
      </c>
      <c r="Q64" s="280" t="e">
        <f aca="false">IF($A64="N/A"," ",IF('Pricing Inputs'!$AN$8=2,(J64-$H64),IF('Pricing Inputs'!$AN$3=2,IF((J64-$H64)&gt;0,J64-$H64,0),(xSPRDOPT(J64,$E64,$BU64,0,$BP64,$BS64,$BT64,($A64-Inputs!$D$1)+15,1,0)))))</f>
        <v>#NAME?</v>
      </c>
      <c r="R64" s="280" t="e">
        <f aca="false">IF($A64="N/A"," ",IF('Pricing Inputs'!$AN$8=2,(K64-$H64),IF('Pricing Inputs'!$AN$3=2,IF((K64-$H64)&gt;0,K64-$H64,0),(xSPRDOPT(K64,$E64,$BU64,0,$BP64,$BS64,$BT64,($A64-Inputs!$D$1)+15,1,0)))))</f>
        <v>#NAME?</v>
      </c>
      <c r="S64" s="280" t="e">
        <f aca="false">IF($A64="N/A"," ",IF('Pricing Inputs'!$AN$8=2,(L64-$H64),IF('Pricing Inputs'!$AN$3=2,IF((L64-$H64)&gt;0,L64-$H64,0),(xSPRDOPT(L64,$E64,$BU64,0,$BP64,$BS64,$BT64,($A64-Inputs!$D$1)+15,1,0)))))</f>
        <v>#NAME?</v>
      </c>
      <c r="T64" s="280" t="e">
        <f aca="false">IF($A64="N/A"," ",IF('Pricing Inputs'!$AN$8=2,(M64-$H64),IF('Pricing Inputs'!$AN$3=2,IF((M64-$H64)&gt;0,M64-$H64,0),(xSPRDOPT(M64,$E64,$BU64,0,$BP64,$BS64,$BT64,($A64-Inputs!$D$1)+15,1,0)))))</f>
        <v>#NAME?</v>
      </c>
      <c r="U64" s="280" t="e">
        <f aca="false">IF($A64="N/A"," ",IF('Pricing Inputs'!$AN$8=2,(N64-$H64),IF('Pricing Inputs'!$AN$3=2,IF((N64-$H64)&gt;0,N64-$H64,0),(xSPRDOPT(N64,$E64,$BU64,0,$BP64,$BS64,$BT64,($A64-Inputs!$D$1)+15,1,0)))))</f>
        <v>#NAME?</v>
      </c>
      <c r="V64" s="281" t="e">
        <f aca="false">IF($A64="N/A"," ",(IF('Pricing Inputs'!$AN$8=2,(O64-$H64),IF((O64-$H64)&lt;=0,0,(O64-$H64)))))</f>
        <v>#N/A</v>
      </c>
      <c r="W64" s="282" t="e">
        <f aca="false">IF($A64="N/A"," ",IF(0&lt;&gt;P64,IF('Pricing Inputs'!$AN$3=2,8*VLOOKUP($A64,NumberofDaysTable,2),(xSPRDOPT(I64,$E64,$BU64,0,$BP64,$BS64,$BT64,$A64-Inputs!$D$1,1,1))*(8*VLOOKUP($A64,NumberofDaysTable,2))),0))</f>
        <v>#NAME?</v>
      </c>
      <c r="X64" s="282" t="e">
        <f aca="false">IF($A64="N/A"," ",IF(Q64&lt;&gt;0,IF('Pricing Inputs'!$AN$3=2,8*VLOOKUP($A64,NumberofDaysTable,2),(xSPRDOPT(J64,$E64,$BU64,0,$BP64,$BS64,$BT64,$A64-Inputs!$D$1,1,1))*(8*VLOOKUP($A64,NumberofDaysTable,2))),0))</f>
        <v>#NAME?</v>
      </c>
      <c r="Y64" s="282" t="e">
        <f aca="false">IF($A64="N/A"," ",IF(R64&lt;&gt;0,IF('Pricing Inputs'!$AN$3=2,8*VLOOKUP($A64,NumberofDaysTable,3),(xSPRDOPT(K64,$E64,$BU64,0,$BP64,$BS64,$BT64,$A64-Inputs!$D$1,1,1))*(8*VLOOKUP($A64,NumberofDaysTable,3))),0))</f>
        <v>#NAME?</v>
      </c>
      <c r="Z64" s="282" t="e">
        <f aca="false">IF($A64="N/A"," ",IF(S64&lt;&gt;0,IF('Pricing Inputs'!$AN$3=2,8*VLOOKUP($A64,NumberofDaysTable,3),(xSPRDOPT(L64,$E64,$BU64,0,$BP64,$BS64,$BT64,$A64-Inputs!$D$1,1,1))*(8*VLOOKUP($A64,NumberofDaysTable,3))),0))</f>
        <v>#NAME?</v>
      </c>
      <c r="AA64" s="282" t="e">
        <f aca="false">IF($A64="N/A"," ",IF(T64&lt;&gt;0,IF('Pricing Inputs'!$AN$3=2,8*VLOOKUP($A64,NumberofDaysTable,4),(xSPRDOPT(M64,$E64,$BU64,0,$BP64,$BS64,$BT64,$A64-Inputs!$D$1,1,1))*(8*VLOOKUP($A64,NumberofDaysTable,4))),0))</f>
        <v>#NAME?</v>
      </c>
      <c r="AB64" s="282" t="e">
        <f aca="false">IF($A64="N/A"," ",IF(U64&lt;&gt;0,IF('Pricing Inputs'!$AN$3=2,8*VLOOKUP($A64,NumberofDaysTable,4),(xSPRDOPT(N64,$E64,$BU64,0,$BP64,$BS64,$BT64,$A64-Inputs!$D$1,1,1))*(8*VLOOKUP($A64,NumberofDaysTable,4))),0))</f>
        <v>#NAME?</v>
      </c>
      <c r="AC64" s="282" t="e">
        <f aca="false">IF($A64="N/A"," ",(IF(V64&lt;&gt;0,(8*VLOOKUP($A64,NumberofDaysTable,6)),0)))</f>
        <v>#N/A</v>
      </c>
      <c r="AD64" s="283" t="e">
        <f aca="false">IF($A64="N/A"," ",RANK(P64,$P$64:$V$75))</f>
        <v>#NAME?</v>
      </c>
      <c r="AE64" s="284" t="e">
        <f aca="false">IF($A64="N/A"," ",RANK(Q64,$P$64:$V$75))</f>
        <v>#NAME?</v>
      </c>
      <c r="AF64" s="284" t="e">
        <f aca="false">IF($A64="N/A"," ",RANK(R64,$P$64:$V$75))</f>
        <v>#NAME?</v>
      </c>
      <c r="AG64" s="284" t="e">
        <f aca="false">IF($A64="N/A"," ",RANK(S64,$P$64:$V$75))</f>
        <v>#NAME?</v>
      </c>
      <c r="AH64" s="284" t="e">
        <f aca="false">IF($A64="N/A"," ",RANK(T64,$P$64:$V$75))</f>
        <v>#NAME?</v>
      </c>
      <c r="AI64" s="284" t="e">
        <f aca="false">IF($A64="N/A"," ",RANK(U64,$P$64:$V$75))</f>
        <v>#NAME?</v>
      </c>
      <c r="AJ64" s="285" t="e">
        <f aca="false">IF($A64="N/A"," ",RANK(V64,$P$64:$V$75))</f>
        <v>#NAME?</v>
      </c>
      <c r="AK64" s="313" t="e">
        <f aca="false">IF($A64="N/A"," ",IF(AD64&lt;=$AJ$2,W64,0))</f>
        <v>#NAME?</v>
      </c>
      <c r="AL64" s="287" t="e">
        <f aca="false">IF($A64="N/A"," ",IF(AE64&lt;=$AJ$2,X64,0))</f>
        <v>#NAME?</v>
      </c>
      <c r="AM64" s="287" t="e">
        <f aca="false">IF($A64="N/A"," ",IF(AF64&lt;=$AJ$2,Y64,0))</f>
        <v>#NAME?</v>
      </c>
      <c r="AN64" s="287" t="e">
        <f aca="false">IF($A64="N/A"," ",IF(AG64&lt;=$AJ$2,Z64,0))</f>
        <v>#NAME?</v>
      </c>
      <c r="AO64" s="287" t="e">
        <f aca="false">IF($A64="N/A"," ",IF(AH64&lt;=$AJ$2,AA64,0))</f>
        <v>#NAME?</v>
      </c>
      <c r="AP64" s="287" t="e">
        <f aca="false">IF($A64="N/A"," ",IF(AI64&lt;=$AJ$2,AB64,0))</f>
        <v>#NAME?</v>
      </c>
      <c r="AQ64" s="287" t="e">
        <f aca="false">IF($A64="N/A"," ",IF(AJ64&lt;=$AJ$2,AC64,0))</f>
        <v>#NAME?</v>
      </c>
      <c r="AR64" s="285"/>
      <c r="AS64" s="314" t="e">
        <f aca="false">IF($A64="N/A"," ",IF(AND(AD64=$AJ$2+1,AK64=0),MIN($AR$75,W64),0))</f>
        <v>#NAME?</v>
      </c>
      <c r="AT64" s="289" t="e">
        <f aca="false">IF($A64="N/A"," ",IF(AND(AE64=$AJ$2+1,AL64=0),MIN($AR$75,X64),0))</f>
        <v>#NAME?</v>
      </c>
      <c r="AU64" s="289" t="e">
        <f aca="false">IF($A64="N/A"," ",IF(AND(AF64=$AJ$2+1,AM64=0),MIN($AR$75,Y64),0))</f>
        <v>#NAME?</v>
      </c>
      <c r="AV64" s="289" t="e">
        <f aca="false">IF($A64="N/A"," ",IF(AND(AG64=$AJ$2+1,AN64=0),MIN($AR$75,Z64),0))</f>
        <v>#NAME?</v>
      </c>
      <c r="AW64" s="289" t="e">
        <f aca="false">IF($A64="N/A"," ",IF(AND(AH64=$AJ$2+1,AO64=0),MIN($AR$75,AA64),0))</f>
        <v>#NAME?</v>
      </c>
      <c r="AX64" s="289" t="e">
        <f aca="false">IF($A64="N/A"," ",IF(AND(AI64=$AJ$2+1,AP64=0),MIN($AR$75,AB64),0))</f>
        <v>#NAME?</v>
      </c>
      <c r="AY64" s="289" t="e">
        <f aca="false">IF($A64="N/A"," ",IF(AND(AJ64=$AJ$2+1,AQ64=0),MIN($AR$75,AC64),0))</f>
        <v>#NAME?</v>
      </c>
      <c r="AZ64" s="285"/>
      <c r="BA64" s="291" t="n">
        <f aca="false">IF($A64="N/A"," ",(IF(MONTH(A64)&gt;=4,IF(MONTH(A64)&lt;=10,Inputs!$F$13,Inputs!$F$14),Inputs!$F$14))*$BW64)</f>
        <v>180</v>
      </c>
      <c r="BB64" s="292" t="e">
        <f aca="false">IF($A64="N/A"," ",(IF(AK64&gt;0,($BA64*(8*(VLOOKUP($A64,NumberofDaysTable,2)))*P64),0)+IF(AS64&gt;0,($BA64*((AS64))*P64),0)))</f>
        <v>#NAME?</v>
      </c>
      <c r="BC64" s="292" t="e">
        <f aca="false">IF($A64="N/A"," ",(IF(AL64&gt;0,($BA64*(8*(VLOOKUP($A64,NumberofDaysTable,2)))*Q64),0)+IF(AT64&gt;0,($BA64*((AT64))*Q64),0)))</f>
        <v>#NAME?</v>
      </c>
      <c r="BD64" s="292" t="e">
        <f aca="false">IF($A64="N/A"," ",(IF(AM64&gt;0,($BA64*(8*(VLOOKUP($A64,NumberofDaysTable,3)))*R64),0)+IF(AU64&gt;0,($BA64*((AU64))*R64),0)))</f>
        <v>#NAME?</v>
      </c>
      <c r="BE64" s="292" t="e">
        <f aca="false">IF($A64="N/A"," ",(IF(AN64&gt;0,($BA64*(8*(VLOOKUP($A64,NumberofDaysTable,3)))*S64),0)+IF(AV64&gt;0,($BA64*((AV64))*S64),0)))</f>
        <v>#NAME?</v>
      </c>
      <c r="BF64" s="292" t="e">
        <f aca="false">IF($A64="N/A"," ",(IF(AO64&gt;0,($BA64*(8*(VLOOKUP($A64,NumberofDaysTable,4)+VLOOKUP($A64,NumberofDaysTable,5)))*T64),0)+IF(AW64&gt;0,($BA64*((AW64))*T64),0)))</f>
        <v>#NAME?</v>
      </c>
      <c r="BG64" s="292" t="e">
        <f aca="false">IF($A64="N/A"," ",(IF(AP64&gt;0,($BA64*(8*(VLOOKUP($A64,NumberofDaysTable,4)+VLOOKUP($A64,NumberofDaysTable,5)))*U64),0)+IF(AX64&gt;0,($BA64*((AX64))*U64),0)))</f>
        <v>#NAME?</v>
      </c>
      <c r="BH64" s="292" t="e">
        <f aca="false">IF($A64="N/A"," ",($BA64*AQ64*V64))</f>
        <v>#NAME?</v>
      </c>
      <c r="BI64" s="292" t="e">
        <f aca="false">IF($A64="N/A"," ",SUM(BB64:BH64))</f>
        <v>#NAME?</v>
      </c>
      <c r="BJ64" s="293" t="e">
        <f aca="false">IF($A64="N/A"," ",(H64*(SUM(AK64:AQ64)+SUM(AS64:AY64))*BA64))</f>
        <v>#NAME?</v>
      </c>
      <c r="BK64" s="293" t="e">
        <f aca="false">IF($A64="N/A"," ",((C64*D64)*(SUM($AK64:$AQ64)+SUM($AS64:$AY64))*$BA64))</f>
        <v>#N/A</v>
      </c>
      <c r="BL64" s="293" t="e">
        <f aca="false">IF($A64="N/A"," ",(F64*(SUM($AK64:$AQ64)+SUM($AS64:$AY64))*$BA64))</f>
        <v>#NAME?</v>
      </c>
      <c r="BM64" s="293" t="e">
        <f aca="false">IF($A64="N/A"," ",(G64*(SUM($AK64:$AQ64)+SUM($AS64:$AY64))*$BA64))</f>
        <v>#NAME?</v>
      </c>
      <c r="BN64" s="294" t="n">
        <f aca="false">IF(A64="N/A"," ",(VLOOKUP(A64,PowerVolTable,(IF('Pricing Inputs'!$AT$3=2,7,IF('Pricing Inputs'!$AT$3=1,6,8))),FALSE())))</f>
        <v>0.21975378625</v>
      </c>
      <c r="BO64" s="294" t="n">
        <f aca="false">IF(A64="N/A"," ",(VLOOKUP(A64,IntraPowerVol,(IF('Pricing Inputs'!$AT$3=2,3,IF('Pricing Inputs'!$AT$3=1,2,4))),FALSE())*VLOOKUP(MONTH($A64),Inputs!$A$28:$B$39,2)))</f>
        <v>2.3</v>
      </c>
      <c r="BP64" s="295" t="n">
        <f aca="false">IF($A64="N/A"," ",(IF(DateToday&gt;$A64,$BO64,((($BN64^2)*((($A64-1)-DateToday)/((EOMONTH($A64,0)+1)-DateToday-15)))+((($BO64)^2)*((15)/((EOMONTH($A64,0)+1)-DateToday-15))))^0.5)))</f>
        <v>2.3</v>
      </c>
      <c r="BQ64" s="294" t="e">
        <f aca="false">IF($A64="N/A"," ",(VLOOKUP($A64,GasVolTable,(IF('Pricing Inputs'!$AT$3=2,6,IF('Pricing Inputs'!$AT$3=1,7,5))),FALSE())))</f>
        <v>#N/A</v>
      </c>
      <c r="BR64" s="294" t="e">
        <f aca="false">IF($A64="N/A"," ",(VLOOKUP($A64,OmicronVol,(IF('Pricing Inputs'!$AT$3=2,3,IF('Pricing Inputs'!$AT$3=1,4,2))),FALSE())))</f>
        <v>#N/A</v>
      </c>
      <c r="BS64" s="295" t="e">
        <f aca="false">IF($A64="N/A"," ",IF('Pricing Inputs'!$AN$3=1,(IF(DateToday&gt;$A64,$BR64,((($BQ64^2)*((($A64-1)-DateToday)/((EOMONTH($A64,0)+1)-DateToday-15)))+((($BR64)^2)*((15)/((EOMONTH($A64,0)+1)-DateToday-15))))^0.5)),0.0001))</f>
        <v>#N/A</v>
      </c>
      <c r="BT64" s="294" t="n">
        <f aca="false">IF($A64="N/A"," ",IF('Pricing Inputs'!$AN$3=1,(VLOOKUP($A64,CorrelationTable,2,FALSE())),0))</f>
        <v>0.9</v>
      </c>
      <c r="BU64" s="296" t="e">
        <f aca="false">IF($A64="N/A"," ",F64+G64+(D64*(VLOOKUP($A64,'Gas Curves'!$B$17:$P$310,14,FALSE()))))</f>
        <v>#N/A</v>
      </c>
      <c r="BV64" s="294" t="n">
        <f aca="false">IF($A64="N/A"," ",IF('Pricing Inputs'!$AW$3=1,0,(VLOOKUP($A64,InterestRatesTable,2))))</f>
        <v>0</v>
      </c>
      <c r="BW64" s="297" t="n">
        <f aca="false">IF($A64="N/A"," ",(1+BV64/2)^(-2*((EOMONTH(A64,0)+20)-DateToday)/365.25))</f>
        <v>1</v>
      </c>
    </row>
    <row r="65" customFormat="false" ht="12.75" hidden="false" customHeight="false" outlineLevel="0" collapsed="false">
      <c r="A65" s="272" t="n">
        <f aca="false">IF(A64="N/A","N/A",IF(EDATE(A64,1)&gt;Inputs!$K$3,"N/A",EDATE(A64,1)))</f>
        <v>38749</v>
      </c>
      <c r="B65" s="273" t="n">
        <f aca="false">IF(A65="N/A"," ",YEAR(A65))</f>
        <v>2006</v>
      </c>
      <c r="C65" s="274" t="e">
        <f aca="false">IF(A65="N/A"," ",VLOOKUP(A65,ScaledPrice,10))</f>
        <v>#N/A</v>
      </c>
      <c r="D65" s="275" t="n">
        <f aca="false">IF(A65="N/A"," ",(VLOOKUP(MONTH($A65),Inputs!$A$14:$B$25,2))/1000)</f>
        <v>10.5</v>
      </c>
      <c r="E65" s="276" t="e">
        <f aca="false">IF($A65="N/A"," ",C65*D65)</f>
        <v>#N/A</v>
      </c>
      <c r="F65" s="277" t="n">
        <f aca="false">IF(A65="N/A"," ",Inputs!$F$6)</f>
        <v>2</v>
      </c>
      <c r="G65" s="277" t="n">
        <f aca="false">IF(A65="N/A"," ",Inputs!$F$9/IF(AND('Pricing Inputs'!$AQ$3&gt;=4,'Pricing Inputs'!$AQ$3&lt;=6),16,IF(AND('Pricing Inputs'!$AQ$3&gt;=7,'Pricing Inputs'!$AQ$3&lt;=9),8,24))/(BA65/BW65))</f>
        <v>0</v>
      </c>
      <c r="H65" s="278" t="e">
        <f aca="false">IF(A65="N/A"," ",(C65*D65)+F65+G65)</f>
        <v>#N/A</v>
      </c>
      <c r="I65" s="279" t="n">
        <f aca="false">VLOOKUP(A65,ScaledPrice,(IF(AND('Pricing Inputs'!$AQ$3&gt;=1,'Pricing Inputs'!$AQ$3&lt;=6),2,4)))</f>
        <v>35.7130215924935</v>
      </c>
      <c r="J65" s="279" t="n">
        <f aca="false">IF(A65="N/A"," ",IF(AND('Pricing Inputs'!$AQ$3&gt;=1,'Pricing Inputs'!$AQ$3&lt;=6),I65,(VLOOKUP(A65,ScaledPrice,2))*(2-(VLOOKUP(A65,ScaledPrice,3)))))</f>
        <v>37.9869784075065</v>
      </c>
      <c r="K65" s="279" t="n">
        <f aca="false">IF(A65="N/A"," ",IF(OR('Pricing Inputs'!$AQ$3=2,'Pricing Inputs'!$AQ$3=3,'Pricing Inputs'!$AQ$3=5,'Pricing Inputs'!$AQ$3=6,'Pricing Inputs'!$AQ$3=8,'Pricing Inputs'!$AQ$3=9),VLOOKUP(A65,ScaledPrice,IF(AND('Pricing Inputs'!$AQ$3&gt;=2,'Pricing Inputs'!$AQ$3&lt;=6),5,6)),0))</f>
        <v>27.3747338292088</v>
      </c>
      <c r="L65" s="279" t="n">
        <f aca="false">IF(A65="N/A"," ",IF(OR('Pricing Inputs'!$AQ$3=2,'Pricing Inputs'!$AQ$3=3,'Pricing Inputs'!$AQ$3=5,'Pricing Inputs'!$AQ$3=6,'Pricing Inputs'!$AQ$3=8,'Pricing Inputs'!$AQ$3=9),IF(AND('Pricing Inputs'!$AQ$3&gt;=2,'Pricing Inputs'!$AQ$3&lt;=6),K65,(VLOOKUP(A65,ScaledPrice,5))*(2-(VLOOKUP(A65,ScaledPrice,3)))),0))</f>
        <v>29.117766475967</v>
      </c>
      <c r="M65" s="279" t="n">
        <f aca="false">IF(A65="N/A"," ",IF(OR('Pricing Inputs'!$AQ$3=3,'Pricing Inputs'!$AQ$3=6,'Pricing Inputs'!$AQ$3=9),(VLOOKUP(A65,ScaledPrice,IF(AND('Pricing Inputs'!$AQ$3&gt;=3,'Pricing Inputs'!$AQ$3&lt;=6),7,8))),0))</f>
        <v>24.953080173132</v>
      </c>
      <c r="N65" s="279" t="n">
        <f aca="false">IF(A65="N/A"," ",IF(OR('Pricing Inputs'!$AQ$3=3,'Pricing Inputs'!$AQ$3=6,'Pricing Inputs'!$AQ$3=9),IF(AND('Pricing Inputs'!$AQ$3&gt;=3,'Pricing Inputs'!$AQ$3&lt;=6),M65,(VLOOKUP(A65,ScaledPrice,7))*(2-(VLOOKUP(A65,ScaledPrice,3)))),0))</f>
        <v>26.5419187587527</v>
      </c>
      <c r="O65" s="279" t="n">
        <f aca="false">IF(A65="N/A"," ",IF(AND('Pricing Inputs'!$AQ$3&gt;=1,'Pricing Inputs'!$AQ$3&lt;=3),VLOOKUP(A65,ScaledPrice,9),0))</f>
        <v>0</v>
      </c>
      <c r="P65" s="280" t="e">
        <f aca="false">IF($A65="N/A"," ",IF('Pricing Inputs'!$AN$8=2,(I65-H65),IF('Pricing Inputs'!$AN$3=2,IF((I65-$H65)&gt;0,I65-$H65,0),(xSPRDOPT(I65,$E65,$BU65,0,$BP65,$BS65,$BT65,($A65-Inputs!$D$1)+15,1,0)))))</f>
        <v>#NAME?</v>
      </c>
      <c r="Q65" s="280" t="e">
        <f aca="false">IF($A65="N/A"," ",IF('Pricing Inputs'!$AN$8=2,(J65-$H65),IF('Pricing Inputs'!$AN$3=2,IF((J65-$H65)&gt;0,J65-$H65,0),(xSPRDOPT(J65,$E65,$BU65,0,$BP65,$BS65,$BT65,($A65-Inputs!$D$1)+15,1,0)))))</f>
        <v>#NAME?</v>
      </c>
      <c r="R65" s="280" t="e">
        <f aca="false">IF($A65="N/A"," ",IF('Pricing Inputs'!$AN$8=2,(K65-$H65),IF('Pricing Inputs'!$AN$3=2,IF((K65-$H65)&gt;0,K65-$H65,0),(xSPRDOPT(K65,$E65,$BU65,0,$BP65,$BS65,$BT65,($A65-Inputs!$D$1)+15,1,0)))))</f>
        <v>#NAME?</v>
      </c>
      <c r="S65" s="280" t="e">
        <f aca="false">IF($A65="N/A"," ",IF('Pricing Inputs'!$AN$8=2,(L65-$H65),IF('Pricing Inputs'!$AN$3=2,IF((L65-$H65)&gt;0,L65-$H65,0),(xSPRDOPT(L65,$E65,$BU65,0,$BP65,$BS65,$BT65,($A65-Inputs!$D$1)+15,1,0)))))</f>
        <v>#NAME?</v>
      </c>
      <c r="T65" s="280" t="e">
        <f aca="false">IF($A65="N/A"," ",IF('Pricing Inputs'!$AN$8=2,(M65-$H65),IF('Pricing Inputs'!$AN$3=2,IF((M65-$H65)&gt;0,M65-$H65,0),(xSPRDOPT(M65,$E65,$BU65,0,$BP65,$BS65,$BT65,($A65-Inputs!$D$1)+15,1,0)))))</f>
        <v>#NAME?</v>
      </c>
      <c r="U65" s="280" t="e">
        <f aca="false">IF($A65="N/A"," ",IF('Pricing Inputs'!$AN$8=2,(N65-$H65),IF('Pricing Inputs'!$AN$3=2,IF((N65-$H65)&gt;0,N65-$H65,0),(xSPRDOPT(N65,$E65,$BU65,0,$BP65,$BS65,$BT65,($A65-Inputs!$D$1)+15,1,0)))))</f>
        <v>#NAME?</v>
      </c>
      <c r="V65" s="281" t="e">
        <f aca="false">IF($A65="N/A"," ",(IF('Pricing Inputs'!$AN$8=2,(O65-$H65),IF((O65-$H65)&lt;=0,0,(O65-$H65)))))</f>
        <v>#N/A</v>
      </c>
      <c r="W65" s="282" t="e">
        <f aca="false">IF($A65="N/A"," ",IF(0&lt;&gt;P65,IF('Pricing Inputs'!$AN$3=2,8*VLOOKUP($A65,NumberofDaysTable,2),(xSPRDOPT(I65,$E65,$BU65,0,$BP65,$BS65,$BT65,$A65-Inputs!$D$1,1,1))*(8*VLOOKUP($A65,NumberofDaysTable,2))),0))</f>
        <v>#NAME?</v>
      </c>
      <c r="X65" s="282" t="e">
        <f aca="false">IF($A65="N/A"," ",IF(Q65&lt;&gt;0,IF('Pricing Inputs'!$AN$3=2,8*VLOOKUP($A65,NumberofDaysTable,2),(xSPRDOPT(J65,$E65,$BU65,0,$BP65,$BS65,$BT65,$A65-Inputs!$D$1,1,1))*(8*VLOOKUP($A65,NumberofDaysTable,2))),0))</f>
        <v>#NAME?</v>
      </c>
      <c r="Y65" s="282" t="e">
        <f aca="false">IF($A65="N/A"," ",IF(R65&lt;&gt;0,IF('Pricing Inputs'!$AN$3=2,8*VLOOKUP($A65,NumberofDaysTable,3),(xSPRDOPT(K65,$E65,$BU65,0,$BP65,$BS65,$BT65,$A65-Inputs!$D$1,1,1))*(8*VLOOKUP($A65,NumberofDaysTable,3))),0))</f>
        <v>#NAME?</v>
      </c>
      <c r="Z65" s="282" t="e">
        <f aca="false">IF($A65="N/A"," ",IF(S65&lt;&gt;0,IF('Pricing Inputs'!$AN$3=2,8*VLOOKUP($A65,NumberofDaysTable,3),(xSPRDOPT(L65,$E65,$BU65,0,$BP65,$BS65,$BT65,$A65-Inputs!$D$1,1,1))*(8*VLOOKUP($A65,NumberofDaysTable,3))),0))</f>
        <v>#NAME?</v>
      </c>
      <c r="AA65" s="282" t="e">
        <f aca="false">IF($A65="N/A"," ",IF(T65&lt;&gt;0,IF('Pricing Inputs'!$AN$3=2,8*VLOOKUP($A65,NumberofDaysTable,4),(xSPRDOPT(M65,$E65,$BU65,0,$BP65,$BS65,$BT65,$A65-Inputs!$D$1,1,1))*(8*VLOOKUP($A65,NumberofDaysTable,4))),0))</f>
        <v>#NAME?</v>
      </c>
      <c r="AB65" s="282" t="e">
        <f aca="false">IF($A65="N/A"," ",IF(U65&lt;&gt;0,IF('Pricing Inputs'!$AN$3=2,8*VLOOKUP($A65,NumberofDaysTable,4),(xSPRDOPT(N65,$E65,$BU65,0,$BP65,$BS65,$BT65,$A65-Inputs!$D$1,1,1))*(8*VLOOKUP($A65,NumberofDaysTable,4))),0))</f>
        <v>#NAME?</v>
      </c>
      <c r="AC65" s="282" t="e">
        <f aca="false">IF($A65="N/A"," ",(IF(V65&lt;&gt;0,(8*VLOOKUP($A65,NumberofDaysTable,6)),0)))</f>
        <v>#N/A</v>
      </c>
      <c r="AD65" s="298" t="e">
        <f aca="false">IF($A65="N/A"," ",RANK(P65,$P$64:$V$75))</f>
        <v>#NAME?</v>
      </c>
      <c r="AE65" s="299" t="e">
        <f aca="false">IF($A65="N/A"," ",RANK(Q65,$P$64:$V$75))</f>
        <v>#NAME?</v>
      </c>
      <c r="AF65" s="299" t="e">
        <f aca="false">IF($A65="N/A"," ",RANK(R65,$P$64:$V$75))</f>
        <v>#NAME?</v>
      </c>
      <c r="AG65" s="299" t="e">
        <f aca="false">IF($A65="N/A"," ",RANK(S65,$P$64:$V$75))</f>
        <v>#NAME?</v>
      </c>
      <c r="AH65" s="299" t="e">
        <f aca="false">IF($A65="N/A"," ",RANK(T65,$P$64:$V$75))</f>
        <v>#NAME?</v>
      </c>
      <c r="AI65" s="299" t="e">
        <f aca="false">IF($A65="N/A"," ",RANK(U65,$P$64:$V$75))</f>
        <v>#NAME?</v>
      </c>
      <c r="AJ65" s="300" t="e">
        <f aca="false">IF($A65="N/A"," ",RANK(V65,$P$64:$V$75))</f>
        <v>#NAME?</v>
      </c>
      <c r="AK65" s="286" t="e">
        <f aca="false">IF($A65="N/A"," ",IF(AD65&lt;=$AJ$2,W65,0))</f>
        <v>#NAME?</v>
      </c>
      <c r="AL65" s="301" t="e">
        <f aca="false">IF($A65="N/A"," ",IF(AE65&lt;=$AJ$2,X65,0))</f>
        <v>#NAME?</v>
      </c>
      <c r="AM65" s="301" t="e">
        <f aca="false">IF($A65="N/A"," ",IF(AF65&lt;=$AJ$2,Y65,0))</f>
        <v>#NAME?</v>
      </c>
      <c r="AN65" s="301" t="e">
        <f aca="false">IF($A65="N/A"," ",IF(AG65&lt;=$AJ$2,Z65,0))</f>
        <v>#NAME?</v>
      </c>
      <c r="AO65" s="301" t="e">
        <f aca="false">IF($A65="N/A"," ",IF(AH65&lt;=$AJ$2,AA65,0))</f>
        <v>#NAME?</v>
      </c>
      <c r="AP65" s="301" t="e">
        <f aca="false">IF($A65="N/A"," ",IF(AI65&lt;=$AJ$2,AB65,0))</f>
        <v>#NAME?</v>
      </c>
      <c r="AQ65" s="301" t="e">
        <f aca="false">IF($A65="N/A"," ",IF(AJ65&lt;=$AJ$2,AC65,0))</f>
        <v>#NAME?</v>
      </c>
      <c r="AR65" s="300"/>
      <c r="AS65" s="288" t="e">
        <f aca="false">IF($A65="N/A"," ",IF(AND(AD65=$AJ$2+1,AK65=0),MIN($AR$75,W65),0))</f>
        <v>#NAME?</v>
      </c>
      <c r="AT65" s="302" t="e">
        <f aca="false">IF($A65="N/A"," ",IF(AND(AE65=$AJ$2+1,AL65=0),MIN($AR$75,X65),0))</f>
        <v>#NAME?</v>
      </c>
      <c r="AU65" s="302" t="e">
        <f aca="false">IF($A65="N/A"," ",IF(AND(AF65=$AJ$2+1,AM65=0),MIN($AR$75,Y65),0))</f>
        <v>#NAME?</v>
      </c>
      <c r="AV65" s="302" t="e">
        <f aca="false">IF($A65="N/A"," ",IF(AND(AG65=$AJ$2+1,AN65=0),MIN($AR$75,Z65),0))</f>
        <v>#NAME?</v>
      </c>
      <c r="AW65" s="302" t="e">
        <f aca="false">IF($A65="N/A"," ",IF(AND(AH65=$AJ$2+1,AO65=0),MIN($AR$75,AA65),0))</f>
        <v>#NAME?</v>
      </c>
      <c r="AX65" s="302" t="e">
        <f aca="false">IF($A65="N/A"," ",IF(AND(AI65=$AJ$2+1,AP65=0),MIN($AR$75,AB65),0))</f>
        <v>#NAME?</v>
      </c>
      <c r="AY65" s="302" t="e">
        <f aca="false">IF($A65="N/A"," ",IF(AND(AJ65=$AJ$2+1,AQ65=0),MIN($AR$75,AC65),0))</f>
        <v>#NAME?</v>
      </c>
      <c r="AZ65" s="300"/>
      <c r="BA65" s="291" t="n">
        <f aca="false">IF($A65="N/A"," ",(IF(MONTH(A65)&gt;=4,IF(MONTH(A65)&lt;=10,Inputs!$F$13,Inputs!$F$14),Inputs!$F$14))*$BW65)</f>
        <v>180</v>
      </c>
      <c r="BB65" s="292" t="e">
        <f aca="false">IF($A65="N/A"," ",(IF(AK65&gt;0,($BA65*(8*(VLOOKUP($A65,NumberofDaysTable,2)))*P65),0)+IF(AS65&gt;0,($BA65*((AS65))*P65),0)))</f>
        <v>#NAME?</v>
      </c>
      <c r="BC65" s="292" t="e">
        <f aca="false">IF($A65="N/A"," ",(IF(AL65&gt;0,($BA65*(8*(VLOOKUP($A65,NumberofDaysTable,2)))*Q65),0)+IF(AT65&gt;0,($BA65*((AT65))*Q65),0)))</f>
        <v>#NAME?</v>
      </c>
      <c r="BD65" s="292" t="e">
        <f aca="false">IF($A65="N/A"," ",(IF(AM65&gt;0,($BA65*(8*(VLOOKUP($A65,NumberofDaysTable,3)))*R65),0)+IF(AU65&gt;0,($BA65*((AU65))*R65),0)))</f>
        <v>#NAME?</v>
      </c>
      <c r="BE65" s="292" t="e">
        <f aca="false">IF($A65="N/A"," ",(IF(AN65&gt;0,($BA65*(8*(VLOOKUP($A65,NumberofDaysTable,3)))*S65),0)+IF(AV65&gt;0,($BA65*((AV65))*S65),0)))</f>
        <v>#NAME?</v>
      </c>
      <c r="BF65" s="292" t="e">
        <f aca="false">IF($A65="N/A"," ",(IF(AO65&gt;0,($BA65*(8*(VLOOKUP($A65,NumberofDaysTable,4)+VLOOKUP($A65,NumberofDaysTable,5)))*T65),0)+IF(AW65&gt;0,($BA65*((AW65))*T65),0)))</f>
        <v>#NAME?</v>
      </c>
      <c r="BG65" s="292" t="e">
        <f aca="false">IF($A65="N/A"," ",(IF(AP65&gt;0,($BA65*(8*(VLOOKUP($A65,NumberofDaysTable,4)+VLOOKUP($A65,NumberofDaysTable,5)))*U65),0)+IF(AX65&gt;0,($BA65*((AX65))*U65),0)))</f>
        <v>#NAME?</v>
      </c>
      <c r="BH65" s="292" t="e">
        <f aca="false">IF($A65="N/A"," ",($BA65*AQ65*V65))</f>
        <v>#NAME?</v>
      </c>
      <c r="BI65" s="292" t="e">
        <f aca="false">IF($A65="N/A"," ",SUM(BB65:BH65))</f>
        <v>#NAME?</v>
      </c>
      <c r="BJ65" s="293" t="e">
        <f aca="false">IF($A65="N/A"," ",(H65*(SUM(AK65:AQ65)+SUM(AS65:AY65))*BA65))</f>
        <v>#NAME?</v>
      </c>
      <c r="BK65" s="293" t="e">
        <f aca="false">IF($A65="N/A"," ",((C65*D65)*(SUM($AK65:$AQ65)+SUM($AS65:$AY65))*$BA65))</f>
        <v>#N/A</v>
      </c>
      <c r="BL65" s="293" t="e">
        <f aca="false">IF($A65="N/A"," ",(F65*(SUM($AK65:$AQ65)+SUM($AS65:$AY65))*$BA65))</f>
        <v>#NAME?</v>
      </c>
      <c r="BM65" s="293" t="e">
        <f aca="false">IF($A65="N/A"," ",(G65*(SUM($AK65:$AQ65)+SUM($AS65:$AY65))*$BA65))</f>
        <v>#NAME?</v>
      </c>
      <c r="BN65" s="294" t="n">
        <f aca="false">IF(A65="N/A"," ",(VLOOKUP(A65,PowerVolTable,(IF('Pricing Inputs'!$AT$3=2,7,IF('Pricing Inputs'!$AT$3=1,6,8))),FALSE())))</f>
        <v>0.212015976875</v>
      </c>
      <c r="BO65" s="294" t="n">
        <f aca="false">IF(A65="N/A"," ",(VLOOKUP(A65,IntraPowerVol,(IF('Pricing Inputs'!$AT$3=2,3,IF('Pricing Inputs'!$AT$3=1,2,4))),FALSE())*VLOOKUP(MONTH($A65),Inputs!$A$28:$B$39,2)))</f>
        <v>2.3</v>
      </c>
      <c r="BP65" s="295" t="n">
        <f aca="false">IF($A65="N/A"," ",(IF(DateToday&gt;$A65,$BO65,((($BN65^2)*((($A65-1)-DateToday)/((EOMONTH($A65,0)+1)-DateToday-15)))+((($BO65)^2)*((15)/((EOMONTH($A65,0)+1)-DateToday-15))))^0.5)))</f>
        <v>2.3</v>
      </c>
      <c r="BQ65" s="294" t="e">
        <f aca="false">IF($A65="N/A"," ",(VLOOKUP($A65,GasVolTable,(IF('Pricing Inputs'!$AT$3=2,6,IF('Pricing Inputs'!$AT$3=1,7,5))),FALSE())))</f>
        <v>#N/A</v>
      </c>
      <c r="BR65" s="294" t="e">
        <f aca="false">IF($A65="N/A"," ",(VLOOKUP($A65,OmicronVol,(IF('Pricing Inputs'!$AT$3=2,3,IF('Pricing Inputs'!$AT$3=1,4,2))),FALSE())))</f>
        <v>#N/A</v>
      </c>
      <c r="BS65" s="295" t="e">
        <f aca="false">IF($A65="N/A"," ",IF('Pricing Inputs'!$AN$3=1,(IF(DateToday&gt;$A65,$BR65,((($BQ65^2)*((($A65-1)-DateToday)/((EOMONTH($A65,0)+1)-DateToday-15)))+((($BR65)^2)*((15)/((EOMONTH($A65,0)+1)-DateToday-15))))^0.5)),0.0001))</f>
        <v>#N/A</v>
      </c>
      <c r="BT65" s="294" t="n">
        <f aca="false">IF($A65="N/A"," ",IF('Pricing Inputs'!$AN$3=1,(VLOOKUP($A65,CorrelationTable,2,FALSE())),0))</f>
        <v>0.9</v>
      </c>
      <c r="BU65" s="296" t="e">
        <f aca="false">IF($A65="N/A"," ",F65+G65+(D65*(VLOOKUP($A65,'Gas Curves'!$B$17:$P$310,14,FALSE()))))</f>
        <v>#N/A</v>
      </c>
      <c r="BV65" s="294" t="n">
        <f aca="false">IF($A65="N/A"," ",IF('Pricing Inputs'!$AW$3=1,0,(VLOOKUP($A65,InterestRatesTable,2))))</f>
        <v>0</v>
      </c>
      <c r="BW65" s="297" t="n">
        <f aca="false">IF($A65="N/A"," ",(1+BV65/2)^(-2*((EOMONTH(A65,0)+20)-DateToday)/365.25))</f>
        <v>1</v>
      </c>
    </row>
    <row r="66" customFormat="false" ht="12.75" hidden="false" customHeight="false" outlineLevel="0" collapsed="false">
      <c r="A66" s="272" t="n">
        <f aca="false">IF(A65="N/A","N/A",IF(EDATE(A65,1)&gt;Inputs!$K$3,"N/A",EDATE(A65,1)))</f>
        <v>38777</v>
      </c>
      <c r="B66" s="273" t="n">
        <f aca="false">IF(A66="N/A"," ",YEAR(A66))</f>
        <v>2006</v>
      </c>
      <c r="C66" s="274" t="e">
        <f aca="false">IF(A66="N/A"," ",VLOOKUP(A66,ScaledPrice,10))</f>
        <v>#N/A</v>
      </c>
      <c r="D66" s="275" t="n">
        <f aca="false">IF(A66="N/A"," ",(VLOOKUP(MONTH($A66),Inputs!$A$14:$B$25,2))/1000)</f>
        <v>10.5</v>
      </c>
      <c r="E66" s="276" t="e">
        <f aca="false">IF($A66="N/A"," ",C66*D66)</f>
        <v>#N/A</v>
      </c>
      <c r="F66" s="277" t="n">
        <f aca="false">IF(A66="N/A"," ",Inputs!$F$6)</f>
        <v>2</v>
      </c>
      <c r="G66" s="277" t="n">
        <f aca="false">IF(A66="N/A"," ",Inputs!$F$9/IF(AND('Pricing Inputs'!$AQ$3&gt;=4,'Pricing Inputs'!$AQ$3&lt;=6),16,IF(AND('Pricing Inputs'!$AQ$3&gt;=7,'Pricing Inputs'!$AQ$3&lt;=9),8,24))/(BA66/BW66))</f>
        <v>0</v>
      </c>
      <c r="H66" s="278" t="e">
        <f aca="false">IF(A66="N/A"," ",(C66*D66)+F66+G66)</f>
        <v>#N/A</v>
      </c>
      <c r="I66" s="279" t="n">
        <f aca="false">VLOOKUP(A66,ScaledPrice,(IF(AND('Pricing Inputs'!$AQ$3&gt;=1,'Pricing Inputs'!$AQ$3&lt;=6),2,4)))</f>
        <v>32.161615</v>
      </c>
      <c r="J66" s="279" t="n">
        <f aca="false">IF(A66="N/A"," ",IF(AND('Pricing Inputs'!$AQ$3&gt;=1,'Pricing Inputs'!$AQ$3&lt;=6),I66,(VLOOKUP(A66,ScaledPrice,2))*(2-(VLOOKUP(A66,ScaledPrice,3)))))</f>
        <v>34.038385</v>
      </c>
      <c r="K66" s="279" t="n">
        <f aca="false">IF(A66="N/A"," ",IF(OR('Pricing Inputs'!$AQ$3=2,'Pricing Inputs'!$AQ$3=3,'Pricing Inputs'!$AQ$3=5,'Pricing Inputs'!$AQ$3=6,'Pricing Inputs'!$AQ$3=8,'Pricing Inputs'!$AQ$3=9),VLOOKUP(A66,ScaledPrice,IF(AND('Pricing Inputs'!$AQ$3&gt;=2,'Pricing Inputs'!$AQ$3&lt;=6),5,6)),0))</f>
        <v>20.8270744520187</v>
      </c>
      <c r="L66" s="279" t="n">
        <f aca="false">IF(A66="N/A"," ",IF(OR('Pricing Inputs'!$AQ$3=2,'Pricing Inputs'!$AQ$3=3,'Pricing Inputs'!$AQ$3=5,'Pricing Inputs'!$AQ$3=6,'Pricing Inputs'!$AQ$3=8,'Pricing Inputs'!$AQ$3=9),IF(AND('Pricing Inputs'!$AQ$3&gt;=2,'Pricing Inputs'!$AQ$3&lt;=6),K66,(VLOOKUP(A66,ScaledPrice,5))*(2-(VLOOKUP(A66,ScaledPrice,3)))),0))</f>
        <v>22.0424247545242</v>
      </c>
      <c r="M66" s="279" t="n">
        <f aca="false">IF(A66="N/A"," ",IF(OR('Pricing Inputs'!$AQ$3=3,'Pricing Inputs'!$AQ$3=6,'Pricing Inputs'!$AQ$3=9),(VLOOKUP(A66,ScaledPrice,IF(AND('Pricing Inputs'!$AQ$3&gt;=3,'Pricing Inputs'!$AQ$3&lt;=6),7,8))),0))</f>
        <v>20.4673203575134</v>
      </c>
      <c r="N66" s="279" t="n">
        <f aca="false">IF(A66="N/A"," ",IF(OR('Pricing Inputs'!$AQ$3=3,'Pricing Inputs'!$AQ$3=6,'Pricing Inputs'!$AQ$3=9),IF(AND('Pricing Inputs'!$AQ$3&gt;=3,'Pricing Inputs'!$AQ$3&lt;=6),M66,(VLOOKUP(A66,ScaledPrice,7))*(2-(VLOOKUP(A66,ScaledPrice,3)))),0))</f>
        <v>21.6616774452209</v>
      </c>
      <c r="O66" s="279" t="n">
        <f aca="false">IF(A66="N/A"," ",IF(AND('Pricing Inputs'!$AQ$3&gt;=1,'Pricing Inputs'!$AQ$3&lt;=3),VLOOKUP(A66,ScaledPrice,9),0))</f>
        <v>0</v>
      </c>
      <c r="P66" s="280" t="e">
        <f aca="false">IF($A66="N/A"," ",IF('Pricing Inputs'!$AN$8=2,(I66-H66),IF('Pricing Inputs'!$AN$3=2,IF((I66-$H66)&gt;0,I66-$H66,0),(xSPRDOPT(I66,$E66,$BU66,0,$BP66,$BS66,$BT66,($A66-Inputs!$D$1)+15,1,0)))))</f>
        <v>#NAME?</v>
      </c>
      <c r="Q66" s="280" t="e">
        <f aca="false">IF($A66="N/A"," ",IF('Pricing Inputs'!$AN$8=2,(J66-$H66),IF('Pricing Inputs'!$AN$3=2,IF((J66-$H66)&gt;0,J66-$H66,0),(xSPRDOPT(J66,$E66,$BU66,0,$BP66,$BS66,$BT66,($A66-Inputs!$D$1)+15,1,0)))))</f>
        <v>#NAME?</v>
      </c>
      <c r="R66" s="280" t="e">
        <f aca="false">IF($A66="N/A"," ",IF('Pricing Inputs'!$AN$8=2,(K66-$H66),IF('Pricing Inputs'!$AN$3=2,IF((K66-$H66)&gt;0,K66-$H66,0),(xSPRDOPT(K66,$E66,$BU66,0,$BP66,$BS66,$BT66,($A66-Inputs!$D$1)+15,1,0)))))</f>
        <v>#NAME?</v>
      </c>
      <c r="S66" s="280" t="e">
        <f aca="false">IF($A66="N/A"," ",IF('Pricing Inputs'!$AN$8=2,(L66-$H66),IF('Pricing Inputs'!$AN$3=2,IF((L66-$H66)&gt;0,L66-$H66,0),(xSPRDOPT(L66,$E66,$BU66,0,$BP66,$BS66,$BT66,($A66-Inputs!$D$1)+15,1,0)))))</f>
        <v>#NAME?</v>
      </c>
      <c r="T66" s="280" t="e">
        <f aca="false">IF($A66="N/A"," ",IF('Pricing Inputs'!$AN$8=2,(M66-$H66),IF('Pricing Inputs'!$AN$3=2,IF((M66-$H66)&gt;0,M66-$H66,0),(xSPRDOPT(M66,$E66,$BU66,0,$BP66,$BS66,$BT66,($A66-Inputs!$D$1)+15,1,0)))))</f>
        <v>#NAME?</v>
      </c>
      <c r="U66" s="280" t="e">
        <f aca="false">IF($A66="N/A"," ",IF('Pricing Inputs'!$AN$8=2,(N66-$H66),IF('Pricing Inputs'!$AN$3=2,IF((N66-$H66)&gt;0,N66-$H66,0),(xSPRDOPT(N66,$E66,$BU66,0,$BP66,$BS66,$BT66,($A66-Inputs!$D$1)+15,1,0)))))</f>
        <v>#NAME?</v>
      </c>
      <c r="V66" s="281" t="e">
        <f aca="false">IF($A66="N/A"," ",(IF('Pricing Inputs'!$AN$8=2,(O66-$H66),IF((O66-$H66)&lt;=0,0,(O66-$H66)))))</f>
        <v>#N/A</v>
      </c>
      <c r="W66" s="282" t="e">
        <f aca="false">IF($A66="N/A"," ",IF(0&lt;&gt;P66,IF('Pricing Inputs'!$AN$3=2,8*VLOOKUP($A66,NumberofDaysTable,2),(xSPRDOPT(I66,$E66,$BU66,0,$BP66,$BS66,$BT66,$A66-Inputs!$D$1,1,1))*(8*VLOOKUP($A66,NumberofDaysTable,2))),0))</f>
        <v>#NAME?</v>
      </c>
      <c r="X66" s="282" t="e">
        <f aca="false">IF($A66="N/A"," ",IF(Q66&lt;&gt;0,IF('Pricing Inputs'!$AN$3=2,8*VLOOKUP($A66,NumberofDaysTable,2),(xSPRDOPT(J66,$E66,$BU66,0,$BP66,$BS66,$BT66,$A66-Inputs!$D$1,1,1))*(8*VLOOKUP($A66,NumberofDaysTable,2))),0))</f>
        <v>#NAME?</v>
      </c>
      <c r="Y66" s="282" t="e">
        <f aca="false">IF($A66="N/A"," ",IF(R66&lt;&gt;0,IF('Pricing Inputs'!$AN$3=2,8*VLOOKUP($A66,NumberofDaysTable,3),(xSPRDOPT(K66,$E66,$BU66,0,$BP66,$BS66,$BT66,$A66-Inputs!$D$1,1,1))*(8*VLOOKUP($A66,NumberofDaysTable,3))),0))</f>
        <v>#NAME?</v>
      </c>
      <c r="Z66" s="282" t="e">
        <f aca="false">IF($A66="N/A"," ",IF(S66&lt;&gt;0,IF('Pricing Inputs'!$AN$3=2,8*VLOOKUP($A66,NumberofDaysTable,3),(xSPRDOPT(L66,$E66,$BU66,0,$BP66,$BS66,$BT66,$A66-Inputs!$D$1,1,1))*(8*VLOOKUP($A66,NumberofDaysTable,3))),0))</f>
        <v>#NAME?</v>
      </c>
      <c r="AA66" s="282" t="e">
        <f aca="false">IF($A66="N/A"," ",IF(T66&lt;&gt;0,IF('Pricing Inputs'!$AN$3=2,8*VLOOKUP($A66,NumberofDaysTable,4),(xSPRDOPT(M66,$E66,$BU66,0,$BP66,$BS66,$BT66,$A66-Inputs!$D$1,1,1))*(8*VLOOKUP($A66,NumberofDaysTable,4))),0))</f>
        <v>#NAME?</v>
      </c>
      <c r="AB66" s="282" t="e">
        <f aca="false">IF($A66="N/A"," ",IF(U66&lt;&gt;0,IF('Pricing Inputs'!$AN$3=2,8*VLOOKUP($A66,NumberofDaysTable,4),(xSPRDOPT(N66,$E66,$BU66,0,$BP66,$BS66,$BT66,$A66-Inputs!$D$1,1,1))*(8*VLOOKUP($A66,NumberofDaysTable,4))),0))</f>
        <v>#NAME?</v>
      </c>
      <c r="AC66" s="282" t="e">
        <f aca="false">IF($A66="N/A"," ",(IF(V66&lt;&gt;0,(8*VLOOKUP($A66,NumberofDaysTable,6)),0)))</f>
        <v>#N/A</v>
      </c>
      <c r="AD66" s="298" t="e">
        <f aca="false">IF($A66="N/A"," ",RANK(P66,$P$64:$V$75))</f>
        <v>#NAME?</v>
      </c>
      <c r="AE66" s="299" t="e">
        <f aca="false">IF($A66="N/A"," ",RANK(Q66,$P$64:$V$75))</f>
        <v>#NAME?</v>
      </c>
      <c r="AF66" s="299" t="e">
        <f aca="false">IF($A66="N/A"," ",RANK(R66,$P$64:$V$75))</f>
        <v>#NAME?</v>
      </c>
      <c r="AG66" s="299" t="e">
        <f aca="false">IF($A66="N/A"," ",RANK(S66,$P$64:$V$75))</f>
        <v>#NAME?</v>
      </c>
      <c r="AH66" s="299" t="e">
        <f aca="false">IF($A66="N/A"," ",RANK(T66,$P$64:$V$75))</f>
        <v>#NAME?</v>
      </c>
      <c r="AI66" s="299" t="e">
        <f aca="false">IF($A66="N/A"," ",RANK(U66,$P$64:$V$75))</f>
        <v>#NAME?</v>
      </c>
      <c r="AJ66" s="300" t="e">
        <f aca="false">IF($A66="N/A"," ",RANK(V66,$P$64:$V$75))</f>
        <v>#NAME?</v>
      </c>
      <c r="AK66" s="286" t="e">
        <f aca="false">IF($A66="N/A"," ",IF(AD66&lt;=$AJ$2,W66,0))</f>
        <v>#NAME?</v>
      </c>
      <c r="AL66" s="301" t="e">
        <f aca="false">IF($A66="N/A"," ",IF(AE66&lt;=$AJ$2,X66,0))</f>
        <v>#NAME?</v>
      </c>
      <c r="AM66" s="301" t="e">
        <f aca="false">IF($A66="N/A"," ",IF(AF66&lt;=$AJ$2,Y66,0))</f>
        <v>#NAME?</v>
      </c>
      <c r="AN66" s="301" t="e">
        <f aca="false">IF($A66="N/A"," ",IF(AG66&lt;=$AJ$2,Z66,0))</f>
        <v>#NAME?</v>
      </c>
      <c r="AO66" s="301" t="e">
        <f aca="false">IF($A66="N/A"," ",IF(AH66&lt;=$AJ$2,AA66,0))</f>
        <v>#NAME?</v>
      </c>
      <c r="AP66" s="301" t="e">
        <f aca="false">IF($A66="N/A"," ",IF(AI66&lt;=$AJ$2,AB66,0))</f>
        <v>#NAME?</v>
      </c>
      <c r="AQ66" s="301" t="e">
        <f aca="false">IF($A66="N/A"," ",IF(AJ66&lt;=$AJ$2,AC66,0))</f>
        <v>#NAME?</v>
      </c>
      <c r="AR66" s="300"/>
      <c r="AS66" s="288" t="e">
        <f aca="false">IF($A66="N/A"," ",IF(AND(AD66=$AJ$2+1,AK66=0),MIN($AR$75,W66),0))</f>
        <v>#NAME?</v>
      </c>
      <c r="AT66" s="302" t="e">
        <f aca="false">IF($A66="N/A"," ",IF(AND(AE66=$AJ$2+1,AL66=0),MIN($AR$75,X66),0))</f>
        <v>#NAME?</v>
      </c>
      <c r="AU66" s="302" t="e">
        <f aca="false">IF($A66="N/A"," ",IF(AND(AF66=$AJ$2+1,AM66=0),MIN($AR$75,Y66),0))</f>
        <v>#NAME?</v>
      </c>
      <c r="AV66" s="302" t="e">
        <f aca="false">IF($A66="N/A"," ",IF(AND(AG66=$AJ$2+1,AN66=0),MIN($AR$75,Z66),0))</f>
        <v>#NAME?</v>
      </c>
      <c r="AW66" s="302" t="e">
        <f aca="false">IF($A66="N/A"," ",IF(AND(AH66=$AJ$2+1,AO66=0),MIN($AR$75,AA66),0))</f>
        <v>#NAME?</v>
      </c>
      <c r="AX66" s="302" t="e">
        <f aca="false">IF($A66="N/A"," ",IF(AND(AI66=$AJ$2+1,AP66=0),MIN($AR$75,AB66),0))</f>
        <v>#NAME?</v>
      </c>
      <c r="AY66" s="302" t="e">
        <f aca="false">IF($A66="N/A"," ",IF(AND(AJ66=$AJ$2+1,AQ66=0),MIN($AR$75,AC66),0))</f>
        <v>#NAME?</v>
      </c>
      <c r="AZ66" s="300"/>
      <c r="BA66" s="291" t="n">
        <f aca="false">IF($A66="N/A"," ",(IF(MONTH(A66)&gt;=4,IF(MONTH(A66)&lt;=10,Inputs!$F$13,Inputs!$F$14),Inputs!$F$14))*$BW66)</f>
        <v>180</v>
      </c>
      <c r="BB66" s="292" t="e">
        <f aca="false">IF($A66="N/A"," ",(IF(AK66&gt;0,($BA66*(8*(VLOOKUP($A66,NumberofDaysTable,2)))*P66),0)+IF(AS66&gt;0,($BA66*((AS66))*P66),0)))</f>
        <v>#NAME?</v>
      </c>
      <c r="BC66" s="292" t="e">
        <f aca="false">IF($A66="N/A"," ",(IF(AL66&gt;0,($BA66*(8*(VLOOKUP($A66,NumberofDaysTable,2)))*Q66),0)+IF(AT66&gt;0,($BA66*((AT66))*Q66),0)))</f>
        <v>#NAME?</v>
      </c>
      <c r="BD66" s="292" t="e">
        <f aca="false">IF($A66="N/A"," ",(IF(AM66&gt;0,($BA66*(8*(VLOOKUP($A66,NumberofDaysTable,3)))*R66),0)+IF(AU66&gt;0,($BA66*((AU66))*R66),0)))</f>
        <v>#NAME?</v>
      </c>
      <c r="BE66" s="292" t="e">
        <f aca="false">IF($A66="N/A"," ",(IF(AN66&gt;0,($BA66*(8*(VLOOKUP($A66,NumberofDaysTable,3)))*S66),0)+IF(AV66&gt;0,($BA66*((AV66))*S66),0)))</f>
        <v>#NAME?</v>
      </c>
      <c r="BF66" s="292" t="e">
        <f aca="false">IF($A66="N/A"," ",(IF(AO66&gt;0,($BA66*(8*(VLOOKUP($A66,NumberofDaysTable,4)+VLOOKUP($A66,NumberofDaysTable,5)))*T66),0)+IF(AW66&gt;0,($BA66*((AW66))*T66),0)))</f>
        <v>#NAME?</v>
      </c>
      <c r="BG66" s="292" t="e">
        <f aca="false">IF($A66="N/A"," ",(IF(AP66&gt;0,($BA66*(8*(VLOOKUP($A66,NumberofDaysTable,4)+VLOOKUP($A66,NumberofDaysTable,5)))*U66),0)+IF(AX66&gt;0,($BA66*((AX66))*U66),0)))</f>
        <v>#NAME?</v>
      </c>
      <c r="BH66" s="292" t="e">
        <f aca="false">IF($A66="N/A"," ",($BA66*AQ66*V66))</f>
        <v>#NAME?</v>
      </c>
      <c r="BI66" s="292" t="e">
        <f aca="false">IF($A66="N/A"," ",SUM(BB66:BH66))</f>
        <v>#NAME?</v>
      </c>
      <c r="BJ66" s="293" t="e">
        <f aca="false">IF($A66="N/A"," ",(H66*(SUM(AK66:AQ66)+SUM(AS66:AY66))*BA66))</f>
        <v>#NAME?</v>
      </c>
      <c r="BK66" s="293" t="e">
        <f aca="false">IF($A66="N/A"," ",((C66*D66)*(SUM($AK66:$AQ66)+SUM($AS66:$AY66))*$BA66))</f>
        <v>#N/A</v>
      </c>
      <c r="BL66" s="293" t="e">
        <f aca="false">IF($A66="N/A"," ",(F66*(SUM($AK66:$AQ66)+SUM($AS66:$AY66))*$BA66))</f>
        <v>#NAME?</v>
      </c>
      <c r="BM66" s="293" t="e">
        <f aca="false">IF($A66="N/A"," ",(G66*(SUM($AK66:$AQ66)+SUM($AS66:$AY66))*$BA66))</f>
        <v>#NAME?</v>
      </c>
      <c r="BN66" s="294" t="n">
        <f aca="false">IF(A66="N/A"," ",(VLOOKUP(A66,PowerVolTable,(IF('Pricing Inputs'!$AT$3=2,7,IF('Pricing Inputs'!$AT$3=1,6,8))),FALSE())))</f>
        <v>0.206657543882813</v>
      </c>
      <c r="BO66" s="294" t="n">
        <f aca="false">IF(A66="N/A"," ",(VLOOKUP(A66,IntraPowerVol,(IF('Pricing Inputs'!$AT$3=2,3,IF('Pricing Inputs'!$AT$3=1,2,4))),FALSE())*VLOOKUP(MONTH($A66),Inputs!$A$28:$B$39,2)))</f>
        <v>1.495</v>
      </c>
      <c r="BP66" s="295" t="n">
        <f aca="false">IF($A66="N/A"," ",(IF(DateToday&gt;$A66,$BO66,((($BN66^2)*((($A66-1)-DateToday)/((EOMONTH($A66,0)+1)-DateToday-15)))+((($BO66)^2)*((15)/((EOMONTH($A66,0)+1)-DateToday-15))))^0.5)))</f>
        <v>1.495</v>
      </c>
      <c r="BQ66" s="294" t="e">
        <f aca="false">IF($A66="N/A"," ",(VLOOKUP($A66,GasVolTable,(IF('Pricing Inputs'!$AT$3=2,6,IF('Pricing Inputs'!$AT$3=1,7,5))),FALSE())))</f>
        <v>#N/A</v>
      </c>
      <c r="BR66" s="294" t="e">
        <f aca="false">IF($A66="N/A"," ",(VLOOKUP($A66,OmicronVol,(IF('Pricing Inputs'!$AT$3=2,3,IF('Pricing Inputs'!$AT$3=1,4,2))),FALSE())))</f>
        <v>#N/A</v>
      </c>
      <c r="BS66" s="295" t="e">
        <f aca="false">IF($A66="N/A"," ",IF('Pricing Inputs'!$AN$3=1,(IF(DateToday&gt;$A66,$BR66,((($BQ66^2)*((($A66-1)-DateToday)/((EOMONTH($A66,0)+1)-DateToday-15)))+((($BR66)^2)*((15)/((EOMONTH($A66,0)+1)-DateToday-15))))^0.5)),0.0001))</f>
        <v>#N/A</v>
      </c>
      <c r="BT66" s="294" t="n">
        <f aca="false">IF($A66="N/A"," ",IF('Pricing Inputs'!$AN$3=1,(VLOOKUP($A66,CorrelationTable,2,FALSE())),0))</f>
        <v>0.9</v>
      </c>
      <c r="BU66" s="296" t="e">
        <f aca="false">IF($A66="N/A"," ",F66+G66+(D66*(VLOOKUP($A66,'Gas Curves'!$B$17:$P$310,14,FALSE()))))</f>
        <v>#N/A</v>
      </c>
      <c r="BV66" s="294" t="n">
        <f aca="false">IF($A66="N/A"," ",IF('Pricing Inputs'!$AW$3=1,0,(VLOOKUP($A66,InterestRatesTable,2))))</f>
        <v>0</v>
      </c>
      <c r="BW66" s="297" t="n">
        <f aca="false">IF($A66="N/A"," ",(1+BV66/2)^(-2*((EOMONTH(A66,0)+20)-DateToday)/365.25))</f>
        <v>1</v>
      </c>
    </row>
    <row r="67" customFormat="false" ht="12.75" hidden="false" customHeight="false" outlineLevel="0" collapsed="false">
      <c r="A67" s="272" t="n">
        <f aca="false">IF(A66="N/A","N/A",IF(EDATE(A66,1)&gt;Inputs!$K$3,"N/A",EDATE(A66,1)))</f>
        <v>38808</v>
      </c>
      <c r="B67" s="273" t="n">
        <f aca="false">IF(A67="N/A"," ",YEAR(A67))</f>
        <v>2006</v>
      </c>
      <c r="C67" s="274" t="e">
        <f aca="false">IF(A67="N/A"," ",VLOOKUP(A67,ScaledPrice,10))</f>
        <v>#N/A</v>
      </c>
      <c r="D67" s="275" t="n">
        <f aca="false">IF(A67="N/A"," ",(VLOOKUP(MONTH($A67),Inputs!$A$14:$B$25,2))/1000)</f>
        <v>10.5</v>
      </c>
      <c r="E67" s="276" t="e">
        <f aca="false">IF($A67="N/A"," ",C67*D67)</f>
        <v>#N/A</v>
      </c>
      <c r="F67" s="277" t="n">
        <f aca="false">IF(A67="N/A"," ",Inputs!$F$6)</f>
        <v>2</v>
      </c>
      <c r="G67" s="277" t="n">
        <f aca="false">IF(A67="N/A"," ",Inputs!$F$9/IF(AND('Pricing Inputs'!$AQ$3&gt;=4,'Pricing Inputs'!$AQ$3&lt;=6),16,IF(AND('Pricing Inputs'!$AQ$3&gt;=7,'Pricing Inputs'!$AQ$3&lt;=9),8,24))/(BA67/BW67))</f>
        <v>0</v>
      </c>
      <c r="H67" s="278" t="e">
        <f aca="false">IF(A67="N/A"," ",(C67*D67)+F67+G67)</f>
        <v>#N/A</v>
      </c>
      <c r="I67" s="279" t="n">
        <f aca="false">VLOOKUP(A67,ScaledPrice,(IF(AND('Pricing Inputs'!$AQ$3&gt;=1,'Pricing Inputs'!$AQ$3&lt;=6),2,4)))</f>
        <v>29.4608999669041</v>
      </c>
      <c r="J67" s="279" t="n">
        <f aca="false">IF(A67="N/A"," ",IF(AND('Pricing Inputs'!$AQ$3&gt;=1,'Pricing Inputs'!$AQ$3&lt;=6),I67,(VLOOKUP(A67,ScaledPrice,2))*(2-(VLOOKUP(A67,ScaledPrice,3)))))</f>
        <v>34.2391000330959</v>
      </c>
      <c r="K67" s="279" t="n">
        <f aca="false">IF(A67="N/A"," ",IF(OR('Pricing Inputs'!$AQ$3=2,'Pricing Inputs'!$AQ$3=3,'Pricing Inputs'!$AQ$3=5,'Pricing Inputs'!$AQ$3=6,'Pricing Inputs'!$AQ$3=8,'Pricing Inputs'!$AQ$3=9),VLOOKUP(A67,ScaledPrice,IF(AND('Pricing Inputs'!$AQ$3&gt;=2,'Pricing Inputs'!$AQ$3&lt;=6),5,6)),0))</f>
        <v>20.458444709851</v>
      </c>
      <c r="L67" s="279" t="n">
        <f aca="false">IF(A67="N/A"," ",IF(OR('Pricing Inputs'!$AQ$3=2,'Pricing Inputs'!$AQ$3=3,'Pricing Inputs'!$AQ$3=5,'Pricing Inputs'!$AQ$3=6,'Pricing Inputs'!$AQ$3=8,'Pricing Inputs'!$AQ$3=9),IF(AND('Pricing Inputs'!$AQ$3&gt;=2,'Pricing Inputs'!$AQ$3&lt;=6),K67,(VLOOKUP(A67,ScaledPrice,5))*(2-(VLOOKUP(A67,ScaledPrice,3)))),0))</f>
        <v>23.7765559005005</v>
      </c>
      <c r="M67" s="279" t="n">
        <f aca="false">IF(A67="N/A"," ",IF(OR('Pricing Inputs'!$AQ$3=3,'Pricing Inputs'!$AQ$3=6,'Pricing Inputs'!$AQ$3=9),(VLOOKUP(A67,ScaledPrice,IF(AND('Pricing Inputs'!$AQ$3&gt;=3,'Pricing Inputs'!$AQ$3&lt;=6),7,8))),0))</f>
        <v>19.2721451754533</v>
      </c>
      <c r="N67" s="279" t="n">
        <f aca="false">IF(A67="N/A"," ",IF(OR('Pricing Inputs'!$AQ$3=3,'Pricing Inputs'!$AQ$3=6,'Pricing Inputs'!$AQ$3=9),IF(AND('Pricing Inputs'!$AQ$3&gt;=3,'Pricing Inputs'!$AQ$3&lt;=6),M67,(VLOOKUP(A67,ScaledPrice,7))*(2-(VLOOKUP(A67,ScaledPrice,3)))),0))</f>
        <v>22.397852993492</v>
      </c>
      <c r="O67" s="279" t="n">
        <f aca="false">IF(A67="N/A"," ",IF(AND('Pricing Inputs'!$AQ$3&gt;=1,'Pricing Inputs'!$AQ$3&lt;=3),VLOOKUP(A67,ScaledPrice,9),0))</f>
        <v>0</v>
      </c>
      <c r="P67" s="280" t="e">
        <f aca="false">IF($A67="N/A"," ",IF('Pricing Inputs'!$AN$8=2,(I67-H67),IF('Pricing Inputs'!$AN$3=2,IF((I67-$H67)&gt;0,I67-$H67,0),(xSPRDOPT(I67,$E67,$BU67,0,$BP67,$BS67,$BT67,($A67-Inputs!$D$1)+15,1,0)))))</f>
        <v>#NAME?</v>
      </c>
      <c r="Q67" s="280" t="e">
        <f aca="false">IF($A67="N/A"," ",IF('Pricing Inputs'!$AN$8=2,(J67-$H67),IF('Pricing Inputs'!$AN$3=2,IF((J67-$H67)&gt;0,J67-$H67,0),(xSPRDOPT(J67,$E67,$BU67,0,$BP67,$BS67,$BT67,($A67-Inputs!$D$1)+15,1,0)))))</f>
        <v>#NAME?</v>
      </c>
      <c r="R67" s="280" t="e">
        <f aca="false">IF($A67="N/A"," ",IF('Pricing Inputs'!$AN$8=2,(K67-$H67),IF('Pricing Inputs'!$AN$3=2,IF((K67-$H67)&gt;0,K67-$H67,0),(xSPRDOPT(K67,$E67,$BU67,0,$BP67,$BS67,$BT67,($A67-Inputs!$D$1)+15,1,0)))))</f>
        <v>#NAME?</v>
      </c>
      <c r="S67" s="280" t="e">
        <f aca="false">IF($A67="N/A"," ",IF('Pricing Inputs'!$AN$8=2,(L67-$H67),IF('Pricing Inputs'!$AN$3=2,IF((L67-$H67)&gt;0,L67-$H67,0),(xSPRDOPT(L67,$E67,$BU67,0,$BP67,$BS67,$BT67,($A67-Inputs!$D$1)+15,1,0)))))</f>
        <v>#NAME?</v>
      </c>
      <c r="T67" s="280" t="e">
        <f aca="false">IF($A67="N/A"," ",IF('Pricing Inputs'!$AN$8=2,(M67-$H67),IF('Pricing Inputs'!$AN$3=2,IF((M67-$H67)&gt;0,M67-$H67,0),(xSPRDOPT(M67,$E67,$BU67,0,$BP67,$BS67,$BT67,($A67-Inputs!$D$1)+15,1,0)))))</f>
        <v>#NAME?</v>
      </c>
      <c r="U67" s="280" t="e">
        <f aca="false">IF($A67="N/A"," ",IF('Pricing Inputs'!$AN$8=2,(N67-$H67),IF('Pricing Inputs'!$AN$3=2,IF((N67-$H67)&gt;0,N67-$H67,0),(xSPRDOPT(N67,$E67,$BU67,0,$BP67,$BS67,$BT67,($A67-Inputs!$D$1)+15,1,0)))))</f>
        <v>#NAME?</v>
      </c>
      <c r="V67" s="281" t="e">
        <f aca="false">IF($A67="N/A"," ",(IF('Pricing Inputs'!$AN$8=2,(O67-$H67),IF((O67-$H67)&lt;=0,0,(O67-$H67)))))</f>
        <v>#N/A</v>
      </c>
      <c r="W67" s="282" t="e">
        <f aca="false">IF($A67="N/A"," ",IF(0&lt;&gt;P67,IF('Pricing Inputs'!$AN$3=2,8*VLOOKUP($A67,NumberofDaysTable,2),(xSPRDOPT(I67,$E67,$BU67,0,$BP67,$BS67,$BT67,$A67-Inputs!$D$1,1,1))*(8*VLOOKUP($A67,NumberofDaysTable,2))),0))</f>
        <v>#NAME?</v>
      </c>
      <c r="X67" s="282" t="e">
        <f aca="false">IF($A67="N/A"," ",IF(Q67&lt;&gt;0,IF('Pricing Inputs'!$AN$3=2,8*VLOOKUP($A67,NumberofDaysTable,2),(xSPRDOPT(J67,$E67,$BU67,0,$BP67,$BS67,$BT67,$A67-Inputs!$D$1,1,1))*(8*VLOOKUP($A67,NumberofDaysTable,2))),0))</f>
        <v>#NAME?</v>
      </c>
      <c r="Y67" s="282" t="e">
        <f aca="false">IF($A67="N/A"," ",IF(R67&lt;&gt;0,IF('Pricing Inputs'!$AN$3=2,8*VLOOKUP($A67,NumberofDaysTable,3),(xSPRDOPT(K67,$E67,$BU67,0,$BP67,$BS67,$BT67,$A67-Inputs!$D$1,1,1))*(8*VLOOKUP($A67,NumberofDaysTable,3))),0))</f>
        <v>#NAME?</v>
      </c>
      <c r="Z67" s="282" t="e">
        <f aca="false">IF($A67="N/A"," ",IF(S67&lt;&gt;0,IF('Pricing Inputs'!$AN$3=2,8*VLOOKUP($A67,NumberofDaysTable,3),(xSPRDOPT(L67,$E67,$BU67,0,$BP67,$BS67,$BT67,$A67-Inputs!$D$1,1,1))*(8*VLOOKUP($A67,NumberofDaysTable,3))),0))</f>
        <v>#NAME?</v>
      </c>
      <c r="AA67" s="282" t="e">
        <f aca="false">IF($A67="N/A"," ",IF(T67&lt;&gt;0,IF('Pricing Inputs'!$AN$3=2,8*VLOOKUP($A67,NumberofDaysTable,4),(xSPRDOPT(M67,$E67,$BU67,0,$BP67,$BS67,$BT67,$A67-Inputs!$D$1,1,1))*(8*VLOOKUP($A67,NumberofDaysTable,4))),0))</f>
        <v>#NAME?</v>
      </c>
      <c r="AB67" s="282" t="e">
        <f aca="false">IF($A67="N/A"," ",IF(U67&lt;&gt;0,IF('Pricing Inputs'!$AN$3=2,8*VLOOKUP($A67,NumberofDaysTable,4),(xSPRDOPT(N67,$E67,$BU67,0,$BP67,$BS67,$BT67,$A67-Inputs!$D$1,1,1))*(8*VLOOKUP($A67,NumberofDaysTable,4))),0))</f>
        <v>#NAME?</v>
      </c>
      <c r="AC67" s="282" t="e">
        <f aca="false">IF($A67="N/A"," ",(IF(V67&lt;&gt;0,(8*VLOOKUP($A67,NumberofDaysTable,6)),0)))</f>
        <v>#N/A</v>
      </c>
      <c r="AD67" s="298" t="e">
        <f aca="false">IF($A67="N/A"," ",RANK(P67,$P$64:$V$75))</f>
        <v>#NAME?</v>
      </c>
      <c r="AE67" s="299" t="e">
        <f aca="false">IF($A67="N/A"," ",RANK(Q67,$P$64:$V$75))</f>
        <v>#NAME?</v>
      </c>
      <c r="AF67" s="299" t="e">
        <f aca="false">IF($A67="N/A"," ",RANK(R67,$P$64:$V$75))</f>
        <v>#NAME?</v>
      </c>
      <c r="AG67" s="299" t="e">
        <f aca="false">IF($A67="N/A"," ",RANK(S67,$P$64:$V$75))</f>
        <v>#NAME?</v>
      </c>
      <c r="AH67" s="299" t="e">
        <f aca="false">IF($A67="N/A"," ",RANK(T67,$P$64:$V$75))</f>
        <v>#NAME?</v>
      </c>
      <c r="AI67" s="299" t="e">
        <f aca="false">IF($A67="N/A"," ",RANK(U67,$P$64:$V$75))</f>
        <v>#NAME?</v>
      </c>
      <c r="AJ67" s="300" t="e">
        <f aca="false">IF($A67="N/A"," ",RANK(V67,$P$64:$V$75))</f>
        <v>#NAME?</v>
      </c>
      <c r="AK67" s="286" t="e">
        <f aca="false">IF($A67="N/A"," ",IF(AD67&lt;=$AJ$2,W67,0))</f>
        <v>#NAME?</v>
      </c>
      <c r="AL67" s="301" t="e">
        <f aca="false">IF($A67="N/A"," ",IF(AE67&lt;=$AJ$2,X67,0))</f>
        <v>#NAME?</v>
      </c>
      <c r="AM67" s="301" t="e">
        <f aca="false">IF($A67="N/A"," ",IF(AF67&lt;=$AJ$2,Y67,0))</f>
        <v>#NAME?</v>
      </c>
      <c r="AN67" s="301" t="e">
        <f aca="false">IF($A67="N/A"," ",IF(AG67&lt;=$AJ$2,Z67,0))</f>
        <v>#NAME?</v>
      </c>
      <c r="AO67" s="301" t="e">
        <f aca="false">IF($A67="N/A"," ",IF(AH67&lt;=$AJ$2,AA67,0))</f>
        <v>#NAME?</v>
      </c>
      <c r="AP67" s="301" t="e">
        <f aca="false">IF($A67="N/A"," ",IF(AI67&lt;=$AJ$2,AB67,0))</f>
        <v>#NAME?</v>
      </c>
      <c r="AQ67" s="301" t="e">
        <f aca="false">IF($A67="N/A"," ",IF(AJ67&lt;=$AJ$2,AC67,0))</f>
        <v>#NAME?</v>
      </c>
      <c r="AR67" s="300"/>
      <c r="AS67" s="288" t="e">
        <f aca="false">IF($A67="N/A"," ",IF(AND(AD67=$AJ$2+1,AK67=0),MIN($AR$75,W67),0))</f>
        <v>#NAME?</v>
      </c>
      <c r="AT67" s="302" t="e">
        <f aca="false">IF($A67="N/A"," ",IF(AND(AE67=$AJ$2+1,AL67=0),MIN($AR$75,X67),0))</f>
        <v>#NAME?</v>
      </c>
      <c r="AU67" s="302" t="e">
        <f aca="false">IF($A67="N/A"," ",IF(AND(AF67=$AJ$2+1,AM67=0),MIN($AR$75,Y67),0))</f>
        <v>#NAME?</v>
      </c>
      <c r="AV67" s="302" t="e">
        <f aca="false">IF($A67="N/A"," ",IF(AND(AG67=$AJ$2+1,AN67=0),MIN($AR$75,Z67),0))</f>
        <v>#NAME?</v>
      </c>
      <c r="AW67" s="302" t="e">
        <f aca="false">IF($A67="N/A"," ",IF(AND(AH67=$AJ$2+1,AO67=0),MIN($AR$75,AA67),0))</f>
        <v>#NAME?</v>
      </c>
      <c r="AX67" s="302" t="e">
        <f aca="false">IF($A67="N/A"," ",IF(AND(AI67=$AJ$2+1,AP67=0),MIN($AR$75,AB67),0))</f>
        <v>#NAME?</v>
      </c>
      <c r="AY67" s="302" t="e">
        <f aca="false">IF($A67="N/A"," ",IF(AND(AJ67=$AJ$2+1,AQ67=0),MIN($AR$75,AC67),0))</f>
        <v>#NAME?</v>
      </c>
      <c r="AZ67" s="300"/>
      <c r="BA67" s="291" t="n">
        <f aca="false">IF($A67="N/A"," ",(IF(MONTH(A67)&gt;=4,IF(MONTH(A67)&lt;=10,Inputs!$F$13,Inputs!$F$14),Inputs!$F$14))*$BW67)</f>
        <v>180</v>
      </c>
      <c r="BB67" s="292" t="e">
        <f aca="false">IF($A67="N/A"," ",(IF(AK67&gt;0,($BA67*(8*(VLOOKUP($A67,NumberofDaysTable,2)))*P67),0)+IF(AS67&gt;0,($BA67*((AS67))*P67),0)))</f>
        <v>#NAME?</v>
      </c>
      <c r="BC67" s="292" t="e">
        <f aca="false">IF($A67="N/A"," ",(IF(AL67&gt;0,($BA67*(8*(VLOOKUP($A67,NumberofDaysTable,2)))*Q67),0)+IF(AT67&gt;0,($BA67*((AT67))*Q67),0)))</f>
        <v>#NAME?</v>
      </c>
      <c r="BD67" s="292" t="e">
        <f aca="false">IF($A67="N/A"," ",(IF(AM67&gt;0,($BA67*(8*(VLOOKUP($A67,NumberofDaysTable,3)))*R67),0)+IF(AU67&gt;0,($BA67*((AU67))*R67),0)))</f>
        <v>#NAME?</v>
      </c>
      <c r="BE67" s="292" t="e">
        <f aca="false">IF($A67="N/A"," ",(IF(AN67&gt;0,($BA67*(8*(VLOOKUP($A67,NumberofDaysTable,3)))*S67),0)+IF(AV67&gt;0,($BA67*((AV67))*S67),0)))</f>
        <v>#NAME?</v>
      </c>
      <c r="BF67" s="292" t="e">
        <f aca="false">IF($A67="N/A"," ",(IF(AO67&gt;0,($BA67*(8*(VLOOKUP($A67,NumberofDaysTable,4)+VLOOKUP($A67,NumberofDaysTable,5)))*T67),0)+IF(AW67&gt;0,($BA67*((AW67))*T67),0)))</f>
        <v>#NAME?</v>
      </c>
      <c r="BG67" s="292" t="e">
        <f aca="false">IF($A67="N/A"," ",(IF(AP67&gt;0,($BA67*(8*(VLOOKUP($A67,NumberofDaysTable,4)+VLOOKUP($A67,NumberofDaysTable,5)))*U67),0)+IF(AX67&gt;0,($BA67*((AX67))*U67),0)))</f>
        <v>#NAME?</v>
      </c>
      <c r="BH67" s="292" t="e">
        <f aca="false">IF($A67="N/A"," ",($BA67*AQ67*V67))</f>
        <v>#NAME?</v>
      </c>
      <c r="BI67" s="292" t="e">
        <f aca="false">IF($A67="N/A"," ",SUM(BB67:BH67))</f>
        <v>#NAME?</v>
      </c>
      <c r="BJ67" s="293" t="e">
        <f aca="false">IF($A67="N/A"," ",(H67*(SUM(AK67:AQ67)+SUM(AS67:AY67))*BA67))</f>
        <v>#NAME?</v>
      </c>
      <c r="BK67" s="293" t="e">
        <f aca="false">IF($A67="N/A"," ",((C67*D67)*(SUM($AK67:$AQ67)+SUM($AS67:$AY67))*$BA67))</f>
        <v>#N/A</v>
      </c>
      <c r="BL67" s="293" t="e">
        <f aca="false">IF($A67="N/A"," ",(F67*(SUM($AK67:$AQ67)+SUM($AS67:$AY67))*$BA67))</f>
        <v>#NAME?</v>
      </c>
      <c r="BM67" s="293" t="e">
        <f aca="false">IF($A67="N/A"," ",(G67*(SUM($AK67:$AQ67)+SUM($AS67:$AY67))*$BA67))</f>
        <v>#NAME?</v>
      </c>
      <c r="BN67" s="294" t="n">
        <f aca="false">IF(A67="N/A"," ",(VLOOKUP(A67,PowerVolTable,(IF('Pricing Inputs'!$AT$3=2,7,IF('Pricing Inputs'!$AT$3=1,6,8))),FALSE())))</f>
        <v>0.184198552171875</v>
      </c>
      <c r="BO67" s="294" t="n">
        <f aca="false">IF(A67="N/A"," ",(VLOOKUP(A67,IntraPowerVol,(IF('Pricing Inputs'!$AT$3=2,3,IF('Pricing Inputs'!$AT$3=1,2,4))),FALSE())*VLOOKUP(MONTH($A67),Inputs!$A$28:$B$39,2)))</f>
        <v>1.265</v>
      </c>
      <c r="BP67" s="295" t="n">
        <f aca="false">IF($A67="N/A"," ",(IF(DateToday&gt;$A67,$BO67,((($BN67^2)*((($A67-1)-DateToday)/((EOMONTH($A67,0)+1)-DateToday-15)))+((($BO67)^2)*((15)/((EOMONTH($A67,0)+1)-DateToday-15))))^0.5)))</f>
        <v>1.265</v>
      </c>
      <c r="BQ67" s="294" t="e">
        <f aca="false">IF($A67="N/A"," ",(VLOOKUP($A67,GasVolTable,(IF('Pricing Inputs'!$AT$3=2,6,IF('Pricing Inputs'!$AT$3=1,7,5))),FALSE())))</f>
        <v>#N/A</v>
      </c>
      <c r="BR67" s="294" t="e">
        <f aca="false">IF($A67="N/A"," ",(VLOOKUP($A67,OmicronVol,(IF('Pricing Inputs'!$AT$3=2,3,IF('Pricing Inputs'!$AT$3=1,4,2))),FALSE())))</f>
        <v>#N/A</v>
      </c>
      <c r="BS67" s="295" t="e">
        <f aca="false">IF($A67="N/A"," ",IF('Pricing Inputs'!$AN$3=1,(IF(DateToday&gt;$A67,$BR67,((($BQ67^2)*((($A67-1)-DateToday)/((EOMONTH($A67,0)+1)-DateToday-15)))+((($BR67)^2)*((15)/((EOMONTH($A67,0)+1)-DateToday-15))))^0.5)),0.0001))</f>
        <v>#N/A</v>
      </c>
      <c r="BT67" s="294" t="n">
        <f aca="false">IF($A67="N/A"," ",IF('Pricing Inputs'!$AN$3=1,(VLOOKUP($A67,CorrelationTable,2,FALSE())),0))</f>
        <v>0.9</v>
      </c>
      <c r="BU67" s="296" t="e">
        <f aca="false">IF($A67="N/A"," ",F67+G67+(D67*(VLOOKUP($A67,'Gas Curves'!$B$17:$P$310,14,FALSE()))))</f>
        <v>#N/A</v>
      </c>
      <c r="BV67" s="294" t="n">
        <f aca="false">IF($A67="N/A"," ",IF('Pricing Inputs'!$AW$3=1,0,(VLOOKUP($A67,InterestRatesTable,2))))</f>
        <v>0</v>
      </c>
      <c r="BW67" s="297" t="n">
        <f aca="false">IF($A67="N/A"," ",(1+BV67/2)^(-2*((EOMONTH(A67,0)+20)-DateToday)/365.25))</f>
        <v>1</v>
      </c>
    </row>
    <row r="68" customFormat="false" ht="12.75" hidden="false" customHeight="false" outlineLevel="0" collapsed="false">
      <c r="A68" s="272" t="n">
        <f aca="false">IF(A67="N/A","N/A",IF(EDATE(A67,1)&gt;Inputs!$K$3,"N/A",EDATE(A67,1)))</f>
        <v>38838</v>
      </c>
      <c r="B68" s="273" t="n">
        <f aca="false">IF(A68="N/A"," ",YEAR(A68))</f>
        <v>2006</v>
      </c>
      <c r="C68" s="274" t="e">
        <f aca="false">IF(A68="N/A"," ",VLOOKUP(A68,ScaledPrice,10))</f>
        <v>#N/A</v>
      </c>
      <c r="D68" s="275" t="n">
        <f aca="false">IF(A68="N/A"," ",(VLOOKUP(MONTH($A68),Inputs!$A$14:$B$25,2))/1000)</f>
        <v>10.5</v>
      </c>
      <c r="E68" s="276" t="e">
        <f aca="false">IF($A68="N/A"," ",C68*D68)</f>
        <v>#N/A</v>
      </c>
      <c r="F68" s="277" t="n">
        <f aca="false">IF(A68="N/A"," ",Inputs!$F$6)</f>
        <v>2</v>
      </c>
      <c r="G68" s="277" t="n">
        <f aca="false">IF(A68="N/A"," ",Inputs!$F$9/IF(AND('Pricing Inputs'!$AQ$3&gt;=4,'Pricing Inputs'!$AQ$3&lt;=6),16,IF(AND('Pricing Inputs'!$AQ$3&gt;=7,'Pricing Inputs'!$AQ$3&lt;=9),8,24))/(BA68/BW68))</f>
        <v>0</v>
      </c>
      <c r="H68" s="278" t="e">
        <f aca="false">IF(A68="N/A"," ",(C68*D68)+F68+G68)</f>
        <v>#N/A</v>
      </c>
      <c r="I68" s="279" t="n">
        <f aca="false">VLOOKUP(A68,ScaledPrice,(IF(AND('Pricing Inputs'!$AQ$3&gt;=1,'Pricing Inputs'!$AQ$3&lt;=6),2,4)))</f>
        <v>32.9142323859394</v>
      </c>
      <c r="J68" s="279" t="n">
        <f aca="false">IF(A68="N/A"," ",IF(AND('Pricing Inputs'!$AQ$3&gt;=1,'Pricing Inputs'!$AQ$3&lt;=6),I68,(VLOOKUP(A68,ScaledPrice,2))*(2-(VLOOKUP(A68,ScaledPrice,3)))))</f>
        <v>34.7857676140606</v>
      </c>
      <c r="K68" s="279" t="n">
        <f aca="false">IF(A68="N/A"," ",IF(OR('Pricing Inputs'!$AQ$3=2,'Pricing Inputs'!$AQ$3=3,'Pricing Inputs'!$AQ$3=5,'Pricing Inputs'!$AQ$3=6,'Pricing Inputs'!$AQ$3=8,'Pricing Inputs'!$AQ$3=9),VLOOKUP(A68,ScaledPrice,IF(AND('Pricing Inputs'!$AQ$3&gt;=2,'Pricing Inputs'!$AQ$3&lt;=6),5,6)),0))</f>
        <v>21.6178928812867</v>
      </c>
      <c r="L68" s="279" t="n">
        <f aca="false">IF(A68="N/A"," ",IF(OR('Pricing Inputs'!$AQ$3=2,'Pricing Inputs'!$AQ$3=3,'Pricing Inputs'!$AQ$3=5,'Pricing Inputs'!$AQ$3=6,'Pricing Inputs'!$AQ$3=8,'Pricing Inputs'!$AQ$3=9),IF(AND('Pricing Inputs'!$AQ$3&gt;=2,'Pricing Inputs'!$AQ$3&lt;=6),K68,(VLOOKUP(A68,ScaledPrice,5))*(2-(VLOOKUP(A68,ScaledPrice,3)))),0))</f>
        <v>22.8471072713012</v>
      </c>
      <c r="M68" s="279" t="n">
        <f aca="false">IF(A68="N/A"," ",IF(OR('Pricing Inputs'!$AQ$3=3,'Pricing Inputs'!$AQ$3=6,'Pricing Inputs'!$AQ$3=9),(VLOOKUP(A68,ScaledPrice,IF(AND('Pricing Inputs'!$AQ$3&gt;=3,'Pricing Inputs'!$AQ$3&lt;=6),7,8))),0))</f>
        <v>20.7743742213331</v>
      </c>
      <c r="N68" s="279" t="n">
        <f aca="false">IF(A68="N/A"," ",IF(OR('Pricing Inputs'!$AQ$3=3,'Pricing Inputs'!$AQ$3=6,'Pricing Inputs'!$AQ$3=9),IF(AND('Pricing Inputs'!$AQ$3&gt;=3,'Pricing Inputs'!$AQ$3&lt;=6),M68,(VLOOKUP(A68,ScaledPrice,7))*(2-(VLOOKUP(A68,ScaledPrice,3)))),0))</f>
        <v>21.9556253209032</v>
      </c>
      <c r="O68" s="279" t="n">
        <f aca="false">IF(A68="N/A"," ",IF(AND('Pricing Inputs'!$AQ$3&gt;=1,'Pricing Inputs'!$AQ$3&lt;=3),VLOOKUP(A68,ScaledPrice,9),0))</f>
        <v>0</v>
      </c>
      <c r="P68" s="280" t="e">
        <f aca="false">IF($A68="N/A"," ",IF('Pricing Inputs'!$AN$8=2,(I68-H68),IF('Pricing Inputs'!$AN$3=2,IF((I68-$H68)&gt;0,I68-$H68,0),(xSPRDOPT(I68,$E68,$BU68,0,$BP68,$BS68,$BT68,($A68-Inputs!$D$1)+15,1,0)))))</f>
        <v>#NAME?</v>
      </c>
      <c r="Q68" s="280" t="e">
        <f aca="false">IF($A68="N/A"," ",IF('Pricing Inputs'!$AN$8=2,(J68-$H68),IF('Pricing Inputs'!$AN$3=2,IF((J68-$H68)&gt;0,J68-$H68,0),(xSPRDOPT(J68,$E68,$BU68,0,$BP68,$BS68,$BT68,($A68-Inputs!$D$1)+15,1,0)))))</f>
        <v>#NAME?</v>
      </c>
      <c r="R68" s="280" t="e">
        <f aca="false">IF($A68="N/A"," ",IF('Pricing Inputs'!$AN$8=2,(K68-$H68),IF('Pricing Inputs'!$AN$3=2,IF((K68-$H68)&gt;0,K68-$H68,0),(xSPRDOPT(K68,$E68,$BU68,0,$BP68,$BS68,$BT68,($A68-Inputs!$D$1)+15,1,0)))))</f>
        <v>#NAME?</v>
      </c>
      <c r="S68" s="280" t="e">
        <f aca="false">IF($A68="N/A"," ",IF('Pricing Inputs'!$AN$8=2,(L68-$H68),IF('Pricing Inputs'!$AN$3=2,IF((L68-$H68)&gt;0,L68-$H68,0),(xSPRDOPT(L68,$E68,$BU68,0,$BP68,$BS68,$BT68,($A68-Inputs!$D$1)+15,1,0)))))</f>
        <v>#NAME?</v>
      </c>
      <c r="T68" s="280" t="e">
        <f aca="false">IF($A68="N/A"," ",IF('Pricing Inputs'!$AN$8=2,(M68-$H68),IF('Pricing Inputs'!$AN$3=2,IF((M68-$H68)&gt;0,M68-$H68,0),(xSPRDOPT(M68,$E68,$BU68,0,$BP68,$BS68,$BT68,($A68-Inputs!$D$1)+15,1,0)))))</f>
        <v>#NAME?</v>
      </c>
      <c r="U68" s="280" t="e">
        <f aca="false">IF($A68="N/A"," ",IF('Pricing Inputs'!$AN$8=2,(N68-$H68),IF('Pricing Inputs'!$AN$3=2,IF((N68-$H68)&gt;0,N68-$H68,0),(xSPRDOPT(N68,$E68,$BU68,0,$BP68,$BS68,$BT68,($A68-Inputs!$D$1)+15,1,0)))))</f>
        <v>#NAME?</v>
      </c>
      <c r="V68" s="281" t="e">
        <f aca="false">IF($A68="N/A"," ",(IF('Pricing Inputs'!$AN$8=2,(O68-$H68),IF((O68-$H68)&lt;=0,0,(O68-$H68)))))</f>
        <v>#N/A</v>
      </c>
      <c r="W68" s="282" t="e">
        <f aca="false">IF($A68="N/A"," ",IF(0&lt;&gt;P68,IF('Pricing Inputs'!$AN$3=2,8*VLOOKUP($A68,NumberofDaysTable,2),(xSPRDOPT(I68,$E68,$BU68,0,$BP68,$BS68,$BT68,$A68-Inputs!$D$1,1,1))*(8*VLOOKUP($A68,NumberofDaysTable,2))),0))</f>
        <v>#NAME?</v>
      </c>
      <c r="X68" s="282" t="e">
        <f aca="false">IF($A68="N/A"," ",IF(Q68&lt;&gt;0,IF('Pricing Inputs'!$AN$3=2,8*VLOOKUP($A68,NumberofDaysTable,2),(xSPRDOPT(J68,$E68,$BU68,0,$BP68,$BS68,$BT68,$A68-Inputs!$D$1,1,1))*(8*VLOOKUP($A68,NumberofDaysTable,2))),0))</f>
        <v>#NAME?</v>
      </c>
      <c r="Y68" s="282" t="e">
        <f aca="false">IF($A68="N/A"," ",IF(R68&lt;&gt;0,IF('Pricing Inputs'!$AN$3=2,8*VLOOKUP($A68,NumberofDaysTable,3),(xSPRDOPT(K68,$E68,$BU68,0,$BP68,$BS68,$BT68,$A68-Inputs!$D$1,1,1))*(8*VLOOKUP($A68,NumberofDaysTable,3))),0))</f>
        <v>#NAME?</v>
      </c>
      <c r="Z68" s="282" t="e">
        <f aca="false">IF($A68="N/A"," ",IF(S68&lt;&gt;0,IF('Pricing Inputs'!$AN$3=2,8*VLOOKUP($A68,NumberofDaysTable,3),(xSPRDOPT(L68,$E68,$BU68,0,$BP68,$BS68,$BT68,$A68-Inputs!$D$1,1,1))*(8*VLOOKUP($A68,NumberofDaysTable,3))),0))</f>
        <v>#NAME?</v>
      </c>
      <c r="AA68" s="282" t="e">
        <f aca="false">IF($A68="N/A"," ",IF(T68&lt;&gt;0,IF('Pricing Inputs'!$AN$3=2,8*VLOOKUP($A68,NumberofDaysTable,4),(xSPRDOPT(M68,$E68,$BU68,0,$BP68,$BS68,$BT68,$A68-Inputs!$D$1,1,1))*(8*VLOOKUP($A68,NumberofDaysTable,4))),0))</f>
        <v>#NAME?</v>
      </c>
      <c r="AB68" s="282" t="e">
        <f aca="false">IF($A68="N/A"," ",IF(U68&lt;&gt;0,IF('Pricing Inputs'!$AN$3=2,8*VLOOKUP($A68,NumberofDaysTable,4),(xSPRDOPT(N68,$E68,$BU68,0,$BP68,$BS68,$BT68,$A68-Inputs!$D$1,1,1))*(8*VLOOKUP($A68,NumberofDaysTable,4))),0))</f>
        <v>#NAME?</v>
      </c>
      <c r="AC68" s="282" t="e">
        <f aca="false">IF($A68="N/A"," ",(IF(V68&lt;&gt;0,(8*VLOOKUP($A68,NumberofDaysTable,6)),0)))</f>
        <v>#N/A</v>
      </c>
      <c r="AD68" s="298" t="e">
        <f aca="false">IF($A68="N/A"," ",RANK(P68,$P$64:$V$75))</f>
        <v>#NAME?</v>
      </c>
      <c r="AE68" s="299" t="e">
        <f aca="false">IF($A68="N/A"," ",RANK(Q68,$P$64:$V$75))</f>
        <v>#NAME?</v>
      </c>
      <c r="AF68" s="299" t="e">
        <f aca="false">IF($A68="N/A"," ",RANK(R68,$P$64:$V$75))</f>
        <v>#NAME?</v>
      </c>
      <c r="AG68" s="299" t="e">
        <f aca="false">IF($A68="N/A"," ",RANK(S68,$P$64:$V$75))</f>
        <v>#NAME?</v>
      </c>
      <c r="AH68" s="299" t="e">
        <f aca="false">IF($A68="N/A"," ",RANK(T68,$P$64:$V$75))</f>
        <v>#NAME?</v>
      </c>
      <c r="AI68" s="299" t="e">
        <f aca="false">IF($A68="N/A"," ",RANK(U68,$P$64:$V$75))</f>
        <v>#NAME?</v>
      </c>
      <c r="AJ68" s="300" t="e">
        <f aca="false">IF($A68="N/A"," ",RANK(V68,$P$64:$V$75))</f>
        <v>#NAME?</v>
      </c>
      <c r="AK68" s="286" t="e">
        <f aca="false">IF($A68="N/A"," ",IF(AD68&lt;=$AJ$2,W68,0))</f>
        <v>#NAME?</v>
      </c>
      <c r="AL68" s="301" t="e">
        <f aca="false">IF($A68="N/A"," ",IF(AE68&lt;=$AJ$2,X68,0))</f>
        <v>#NAME?</v>
      </c>
      <c r="AM68" s="301" t="e">
        <f aca="false">IF($A68="N/A"," ",IF(AF68&lt;=$AJ$2,Y68,0))</f>
        <v>#NAME?</v>
      </c>
      <c r="AN68" s="301" t="e">
        <f aca="false">IF($A68="N/A"," ",IF(AG68&lt;=$AJ$2,Z68,0))</f>
        <v>#NAME?</v>
      </c>
      <c r="AO68" s="301" t="e">
        <f aca="false">IF($A68="N/A"," ",IF(AH68&lt;=$AJ$2,AA68,0))</f>
        <v>#NAME?</v>
      </c>
      <c r="AP68" s="301" t="e">
        <f aca="false">IF($A68="N/A"," ",IF(AI68&lt;=$AJ$2,AB68,0))</f>
        <v>#NAME?</v>
      </c>
      <c r="AQ68" s="301" t="e">
        <f aca="false">IF($A68="N/A"," ",IF(AJ68&lt;=$AJ$2,AC68,0))</f>
        <v>#NAME?</v>
      </c>
      <c r="AR68" s="300"/>
      <c r="AS68" s="288" t="e">
        <f aca="false">IF($A68="N/A"," ",IF(AND(AD68=$AJ$2+1,AK68=0),MIN($AR$75,W68),0))</f>
        <v>#NAME?</v>
      </c>
      <c r="AT68" s="302" t="e">
        <f aca="false">IF($A68="N/A"," ",IF(AND(AE68=$AJ$2+1,AL68=0),MIN($AR$75,X68),0))</f>
        <v>#NAME?</v>
      </c>
      <c r="AU68" s="302" t="e">
        <f aca="false">IF($A68="N/A"," ",IF(AND(AF68=$AJ$2+1,AM68=0),MIN($AR$75,Y68),0))</f>
        <v>#NAME?</v>
      </c>
      <c r="AV68" s="302" t="e">
        <f aca="false">IF($A68="N/A"," ",IF(AND(AG68=$AJ$2+1,AN68=0),MIN($AR$75,Z68),0))</f>
        <v>#NAME?</v>
      </c>
      <c r="AW68" s="302" t="e">
        <f aca="false">IF($A68="N/A"," ",IF(AND(AH68=$AJ$2+1,AO68=0),MIN($AR$75,AA68),0))</f>
        <v>#NAME?</v>
      </c>
      <c r="AX68" s="302" t="e">
        <f aca="false">IF($A68="N/A"," ",IF(AND(AI68=$AJ$2+1,AP68=0),MIN($AR$75,AB68),0))</f>
        <v>#NAME?</v>
      </c>
      <c r="AY68" s="302" t="e">
        <f aca="false">IF($A68="N/A"," ",IF(AND(AJ68=$AJ$2+1,AQ68=0),MIN($AR$75,AC68),0))</f>
        <v>#NAME?</v>
      </c>
      <c r="AZ68" s="300"/>
      <c r="BA68" s="291" t="n">
        <f aca="false">IF($A68="N/A"," ",(IF(MONTH(A68)&gt;=4,IF(MONTH(A68)&lt;=10,Inputs!$F$13,Inputs!$F$14),Inputs!$F$14))*$BW68)</f>
        <v>180</v>
      </c>
      <c r="BB68" s="292" t="e">
        <f aca="false">IF($A68="N/A"," ",(IF(AK68&gt;0,($BA68*(8*(VLOOKUP($A68,NumberofDaysTable,2)))*P68),0)+IF(AS68&gt;0,($BA68*((AS68))*P68),0)))</f>
        <v>#NAME?</v>
      </c>
      <c r="BC68" s="292" t="e">
        <f aca="false">IF($A68="N/A"," ",(IF(AL68&gt;0,($BA68*(8*(VLOOKUP($A68,NumberofDaysTable,2)))*Q68),0)+IF(AT68&gt;0,($BA68*((AT68))*Q68),0)))</f>
        <v>#NAME?</v>
      </c>
      <c r="BD68" s="292" t="e">
        <f aca="false">IF($A68="N/A"," ",(IF(AM68&gt;0,($BA68*(8*(VLOOKUP($A68,NumberofDaysTable,3)))*R68),0)+IF(AU68&gt;0,($BA68*((AU68))*R68),0)))</f>
        <v>#NAME?</v>
      </c>
      <c r="BE68" s="292" t="e">
        <f aca="false">IF($A68="N/A"," ",(IF(AN68&gt;0,($BA68*(8*(VLOOKUP($A68,NumberofDaysTable,3)))*S68),0)+IF(AV68&gt;0,($BA68*((AV68))*S68),0)))</f>
        <v>#NAME?</v>
      </c>
      <c r="BF68" s="292" t="e">
        <f aca="false">IF($A68="N/A"," ",(IF(AO68&gt;0,($BA68*(8*(VLOOKUP($A68,NumberofDaysTable,4)+VLOOKUP($A68,NumberofDaysTable,5)))*T68),0)+IF(AW68&gt;0,($BA68*((AW68))*T68),0)))</f>
        <v>#NAME?</v>
      </c>
      <c r="BG68" s="292" t="e">
        <f aca="false">IF($A68="N/A"," ",(IF(AP68&gt;0,($BA68*(8*(VLOOKUP($A68,NumberofDaysTable,4)+VLOOKUP($A68,NumberofDaysTable,5)))*U68),0)+IF(AX68&gt;0,($BA68*((AX68))*U68),0)))</f>
        <v>#NAME?</v>
      </c>
      <c r="BH68" s="292" t="e">
        <f aca="false">IF($A68="N/A"," ",($BA68*AQ68*V68))</f>
        <v>#NAME?</v>
      </c>
      <c r="BI68" s="292" t="e">
        <f aca="false">IF($A68="N/A"," ",SUM(BB68:BH68))</f>
        <v>#NAME?</v>
      </c>
      <c r="BJ68" s="293" t="e">
        <f aca="false">IF($A68="N/A"," ",(H68*(SUM(AK68:AQ68)+SUM(AS68:AY68))*BA68))</f>
        <v>#NAME?</v>
      </c>
      <c r="BK68" s="293" t="e">
        <f aca="false">IF($A68="N/A"," ",((C68*D68)*(SUM($AK68:$AQ68)+SUM($AS68:$AY68))*$BA68))</f>
        <v>#N/A</v>
      </c>
      <c r="BL68" s="293" t="e">
        <f aca="false">IF($A68="N/A"," ",(F68*(SUM($AK68:$AQ68)+SUM($AS68:$AY68))*$BA68))</f>
        <v>#NAME?</v>
      </c>
      <c r="BM68" s="293" t="e">
        <f aca="false">IF($A68="N/A"," ",(G68*(SUM($AK68:$AQ68)+SUM($AS68:$AY68))*$BA68))</f>
        <v>#NAME?</v>
      </c>
      <c r="BN68" s="294" t="n">
        <f aca="false">IF(A68="N/A"," ",(VLOOKUP(A68,PowerVolTable,(IF('Pricing Inputs'!$AT$3=2,7,IF('Pricing Inputs'!$AT$3=1,6,8))),FALSE())))</f>
        <v>0.212054665921875</v>
      </c>
      <c r="BO68" s="294" t="n">
        <f aca="false">IF(A68="N/A"," ",(VLOOKUP(A68,IntraPowerVol,(IF('Pricing Inputs'!$AT$3=2,3,IF('Pricing Inputs'!$AT$3=1,2,4))),FALSE())*VLOOKUP(MONTH($A68),Inputs!$A$28:$B$39,2)))</f>
        <v>1.265</v>
      </c>
      <c r="BP68" s="295" t="n">
        <f aca="false">IF($A68="N/A"," ",(IF(DateToday&gt;$A68,$BO68,((($BN68^2)*((($A68-1)-DateToday)/((EOMONTH($A68,0)+1)-DateToday-15)))+((($BO68)^2)*((15)/((EOMONTH($A68,0)+1)-DateToday-15))))^0.5)))</f>
        <v>1.265</v>
      </c>
      <c r="BQ68" s="294" t="e">
        <f aca="false">IF($A68="N/A"," ",(VLOOKUP($A68,GasVolTable,(IF('Pricing Inputs'!$AT$3=2,6,IF('Pricing Inputs'!$AT$3=1,7,5))),FALSE())))</f>
        <v>#N/A</v>
      </c>
      <c r="BR68" s="294" t="e">
        <f aca="false">IF($A68="N/A"," ",(VLOOKUP($A68,OmicronVol,(IF('Pricing Inputs'!$AT$3=2,3,IF('Pricing Inputs'!$AT$3=1,4,2))),FALSE())))</f>
        <v>#N/A</v>
      </c>
      <c r="BS68" s="295" t="e">
        <f aca="false">IF($A68="N/A"," ",IF('Pricing Inputs'!$AN$3=1,(IF(DateToday&gt;$A68,$BR68,((($BQ68^2)*((($A68-1)-DateToday)/((EOMONTH($A68,0)+1)-DateToday-15)))+((($BR68)^2)*((15)/((EOMONTH($A68,0)+1)-DateToday-15))))^0.5)),0.0001))</f>
        <v>#N/A</v>
      </c>
      <c r="BT68" s="294" t="n">
        <f aca="false">IF($A68="N/A"," ",IF('Pricing Inputs'!$AN$3=1,(VLOOKUP($A68,CorrelationTable,2,FALSE())),0))</f>
        <v>0.9</v>
      </c>
      <c r="BU68" s="296" t="e">
        <f aca="false">IF($A68="N/A"," ",F68+G68+(D68*(VLOOKUP($A68,'Gas Curves'!$B$17:$P$310,14,FALSE()))))</f>
        <v>#N/A</v>
      </c>
      <c r="BV68" s="294" t="n">
        <f aca="false">IF($A68="N/A"," ",IF('Pricing Inputs'!$AW$3=1,0,(VLOOKUP($A68,InterestRatesTable,2))))</f>
        <v>0</v>
      </c>
      <c r="BW68" s="297" t="n">
        <f aca="false">IF($A68="N/A"," ",(1+BV68/2)^(-2*((EOMONTH(A68,0)+20)-DateToday)/365.25))</f>
        <v>1</v>
      </c>
    </row>
    <row r="69" customFormat="false" ht="12.75" hidden="false" customHeight="false" outlineLevel="0" collapsed="false">
      <c r="A69" s="272" t="n">
        <f aca="false">IF(A68="N/A","N/A",IF(EDATE(A68,1)&gt;Inputs!$K$3,"N/A",EDATE(A68,1)))</f>
        <v>38869</v>
      </c>
      <c r="B69" s="273" t="n">
        <f aca="false">IF(A69="N/A"," ",YEAR(A69))</f>
        <v>2006</v>
      </c>
      <c r="C69" s="274" t="e">
        <f aca="false">IF(A69="N/A"," ",VLOOKUP(A69,ScaledPrice,10))</f>
        <v>#N/A</v>
      </c>
      <c r="D69" s="275" t="n">
        <f aca="false">IF(A69="N/A"," ",(VLOOKUP(MONTH($A69),Inputs!$A$14:$B$25,2))/1000)</f>
        <v>10.5</v>
      </c>
      <c r="E69" s="276" t="e">
        <f aca="false">IF($A69="N/A"," ",C69*D69)</f>
        <v>#N/A</v>
      </c>
      <c r="F69" s="277" t="n">
        <f aca="false">IF(A69="N/A"," ",Inputs!$F$6)</f>
        <v>2</v>
      </c>
      <c r="G69" s="277" t="n">
        <f aca="false">IF(A69="N/A"," ",Inputs!$F$9/IF(AND('Pricing Inputs'!$AQ$3&gt;=4,'Pricing Inputs'!$AQ$3&lt;=6),16,IF(AND('Pricing Inputs'!$AQ$3&gt;=7,'Pricing Inputs'!$AQ$3&lt;=9),8,24))/(BA69/BW69))</f>
        <v>0</v>
      </c>
      <c r="H69" s="278" t="e">
        <f aca="false">IF(A69="N/A"," ",(C69*D69)+F69+G69)</f>
        <v>#N/A</v>
      </c>
      <c r="I69" s="279" t="n">
        <f aca="false">VLOOKUP(A69,ScaledPrice,(IF(AND('Pricing Inputs'!$AQ$3&gt;=1,'Pricing Inputs'!$AQ$3&lt;=6),2,4)))</f>
        <v>55.874344671392</v>
      </c>
      <c r="J69" s="279" t="n">
        <f aca="false">IF(A69="N/A"," ",IF(AND('Pricing Inputs'!$AQ$3&gt;=1,'Pricing Inputs'!$AQ$3&lt;=6),I69,(VLOOKUP(A69,ScaledPrice,2))*(2-(VLOOKUP(A69,ScaledPrice,3)))))</f>
        <v>42.125655328608</v>
      </c>
      <c r="K69" s="279" t="n">
        <f aca="false">IF(A69="N/A"," ",IF(OR('Pricing Inputs'!$AQ$3=2,'Pricing Inputs'!$AQ$3=3,'Pricing Inputs'!$AQ$3=5,'Pricing Inputs'!$AQ$3=6,'Pricing Inputs'!$AQ$3=8,'Pricing Inputs'!$AQ$3=9),VLOOKUP(A69,ScaledPrice,IF(AND('Pricing Inputs'!$AQ$3&gt;=2,'Pricing Inputs'!$AQ$3&lt;=6),5,6)),0))</f>
        <v>30.3987794802902</v>
      </c>
      <c r="L69" s="279" t="n">
        <f aca="false">IF(A69="N/A"," ",IF(OR('Pricing Inputs'!$AQ$3=2,'Pricing Inputs'!$AQ$3=3,'Pricing Inputs'!$AQ$3=5,'Pricing Inputs'!$AQ$3=6,'Pricing Inputs'!$AQ$3=8,'Pricing Inputs'!$AQ$3=9),IF(AND('Pricing Inputs'!$AQ$3&gt;=2,'Pricing Inputs'!$AQ$3&lt;=6),K69,(VLOOKUP(A69,ScaledPrice,5))*(2-(VLOOKUP(A69,ScaledPrice,3)))),0))</f>
        <v>22.9187208248856</v>
      </c>
      <c r="M69" s="279" t="n">
        <f aca="false">IF(A69="N/A"," ",IF(OR('Pricing Inputs'!$AQ$3=3,'Pricing Inputs'!$AQ$3=6,'Pricing Inputs'!$AQ$3=9),(VLOOKUP(A69,ScaledPrice,IF(AND('Pricing Inputs'!$AQ$3&gt;=3,'Pricing Inputs'!$AQ$3&lt;=6),7,8))),0))</f>
        <v>22.9683461625769</v>
      </c>
      <c r="N69" s="279" t="n">
        <f aca="false">IF(A69="N/A"," ",IF(OR('Pricing Inputs'!$AQ$3=3,'Pricing Inputs'!$AQ$3=6,'Pricing Inputs'!$AQ$3=9),IF(AND('Pricing Inputs'!$AQ$3&gt;=3,'Pricing Inputs'!$AQ$3&lt;=6),M69,(VLOOKUP(A69,ScaledPrice,7))*(2-(VLOOKUP(A69,ScaledPrice,3)))),0))</f>
        <v>17.3166529218957</v>
      </c>
      <c r="O69" s="279" t="n">
        <f aca="false">IF(A69="N/A"," ",IF(AND('Pricing Inputs'!$AQ$3&gt;=1,'Pricing Inputs'!$AQ$3&lt;=3),VLOOKUP(A69,ScaledPrice,9),0))</f>
        <v>0</v>
      </c>
      <c r="P69" s="280" t="e">
        <f aca="false">IF($A69="N/A"," ",IF('Pricing Inputs'!$AN$8=2,(I69-H69),IF('Pricing Inputs'!$AN$3=2,IF((I69-$H69)&gt;0,I69-$H69,0),(xSPRDOPT(I69,$E69,$BU69,0,$BP69,$BS69,$BT69,($A69-Inputs!$D$1)+15,1,0)))))</f>
        <v>#NAME?</v>
      </c>
      <c r="Q69" s="280" t="e">
        <f aca="false">IF($A69="N/A"," ",IF('Pricing Inputs'!$AN$8=2,(J69-$H69),IF('Pricing Inputs'!$AN$3=2,IF((J69-$H69)&gt;0,J69-$H69,0),(xSPRDOPT(J69,$E69,$BU69,0,$BP69,$BS69,$BT69,($A69-Inputs!$D$1)+15,1,0)))))</f>
        <v>#NAME?</v>
      </c>
      <c r="R69" s="280" t="e">
        <f aca="false">IF($A69="N/A"," ",IF('Pricing Inputs'!$AN$8=2,(K69-$H69),IF('Pricing Inputs'!$AN$3=2,IF((K69-$H69)&gt;0,K69-$H69,0),(xSPRDOPT(K69,$E69,$BU69,0,$BP69,$BS69,$BT69,($A69-Inputs!$D$1)+15,1,0)))))</f>
        <v>#NAME?</v>
      </c>
      <c r="S69" s="280" t="e">
        <f aca="false">IF($A69="N/A"," ",IF('Pricing Inputs'!$AN$8=2,(L69-$H69),IF('Pricing Inputs'!$AN$3=2,IF((L69-$H69)&gt;0,L69-$H69,0),(xSPRDOPT(L69,$E69,$BU69,0,$BP69,$BS69,$BT69,($A69-Inputs!$D$1)+15,1,0)))))</f>
        <v>#NAME?</v>
      </c>
      <c r="T69" s="280" t="e">
        <f aca="false">IF($A69="N/A"," ",IF('Pricing Inputs'!$AN$8=2,(M69-$H69),IF('Pricing Inputs'!$AN$3=2,IF((M69-$H69)&gt;0,M69-$H69,0),(xSPRDOPT(M69,$E69,$BU69,0,$BP69,$BS69,$BT69,($A69-Inputs!$D$1)+15,1,0)))))</f>
        <v>#NAME?</v>
      </c>
      <c r="U69" s="280" t="e">
        <f aca="false">IF($A69="N/A"," ",IF('Pricing Inputs'!$AN$8=2,(N69-$H69),IF('Pricing Inputs'!$AN$3=2,IF((N69-$H69)&gt;0,N69-$H69,0),(xSPRDOPT(N69,$E69,$BU69,0,$BP69,$BS69,$BT69,($A69-Inputs!$D$1)+15,1,0)))))</f>
        <v>#NAME?</v>
      </c>
      <c r="V69" s="281" t="e">
        <f aca="false">IF($A69="N/A"," ",(IF('Pricing Inputs'!$AN$8=2,(O69-$H69),IF((O69-$H69)&lt;=0,0,(O69-$H69)))))</f>
        <v>#N/A</v>
      </c>
      <c r="W69" s="282" t="e">
        <f aca="false">IF($A69="N/A"," ",IF(0&lt;&gt;P69,IF('Pricing Inputs'!$AN$3=2,8*VLOOKUP($A69,NumberofDaysTable,2),(xSPRDOPT(I69,$E69,$BU69,0,$BP69,$BS69,$BT69,$A69-Inputs!$D$1,1,1))*(8*VLOOKUP($A69,NumberofDaysTable,2))),0))</f>
        <v>#NAME?</v>
      </c>
      <c r="X69" s="282" t="e">
        <f aca="false">IF($A69="N/A"," ",IF(Q69&lt;&gt;0,IF('Pricing Inputs'!$AN$3=2,8*VLOOKUP($A69,NumberofDaysTable,2),(xSPRDOPT(J69,$E69,$BU69,0,$BP69,$BS69,$BT69,$A69-Inputs!$D$1,1,1))*(8*VLOOKUP($A69,NumberofDaysTable,2))),0))</f>
        <v>#NAME?</v>
      </c>
      <c r="Y69" s="282" t="e">
        <f aca="false">IF($A69="N/A"," ",IF(R69&lt;&gt;0,IF('Pricing Inputs'!$AN$3=2,8*VLOOKUP($A69,NumberofDaysTable,3),(xSPRDOPT(K69,$E69,$BU69,0,$BP69,$BS69,$BT69,$A69-Inputs!$D$1,1,1))*(8*VLOOKUP($A69,NumberofDaysTable,3))),0))</f>
        <v>#NAME?</v>
      </c>
      <c r="Z69" s="282" t="e">
        <f aca="false">IF($A69="N/A"," ",IF(S69&lt;&gt;0,IF('Pricing Inputs'!$AN$3=2,8*VLOOKUP($A69,NumberofDaysTable,3),(xSPRDOPT(L69,$E69,$BU69,0,$BP69,$BS69,$BT69,$A69-Inputs!$D$1,1,1))*(8*VLOOKUP($A69,NumberofDaysTable,3))),0))</f>
        <v>#NAME?</v>
      </c>
      <c r="AA69" s="282" t="e">
        <f aca="false">IF($A69="N/A"," ",IF(T69&lt;&gt;0,IF('Pricing Inputs'!$AN$3=2,8*VLOOKUP($A69,NumberofDaysTable,4),(xSPRDOPT(M69,$E69,$BU69,0,$BP69,$BS69,$BT69,$A69-Inputs!$D$1,1,1))*(8*VLOOKUP($A69,NumberofDaysTable,4))),0))</f>
        <v>#NAME?</v>
      </c>
      <c r="AB69" s="282" t="e">
        <f aca="false">IF($A69="N/A"," ",IF(U69&lt;&gt;0,IF('Pricing Inputs'!$AN$3=2,8*VLOOKUP($A69,NumberofDaysTable,4),(xSPRDOPT(N69,$E69,$BU69,0,$BP69,$BS69,$BT69,$A69-Inputs!$D$1,1,1))*(8*VLOOKUP($A69,NumberofDaysTable,4))),0))</f>
        <v>#NAME?</v>
      </c>
      <c r="AC69" s="282" t="e">
        <f aca="false">IF($A69="N/A"," ",(IF(V69&lt;&gt;0,(8*VLOOKUP($A69,NumberofDaysTable,6)),0)))</f>
        <v>#N/A</v>
      </c>
      <c r="AD69" s="298" t="e">
        <f aca="false">IF($A69="N/A"," ",RANK(P69,$P$64:$V$75))</f>
        <v>#NAME?</v>
      </c>
      <c r="AE69" s="299" t="e">
        <f aca="false">IF($A69="N/A"," ",RANK(Q69,$P$64:$V$75))</f>
        <v>#NAME?</v>
      </c>
      <c r="AF69" s="299" t="e">
        <f aca="false">IF($A69="N/A"," ",RANK(R69,$P$64:$V$75))</f>
        <v>#NAME?</v>
      </c>
      <c r="AG69" s="299" t="e">
        <f aca="false">IF($A69="N/A"," ",RANK(S69,$P$64:$V$75))</f>
        <v>#NAME?</v>
      </c>
      <c r="AH69" s="299" t="e">
        <f aca="false">IF($A69="N/A"," ",RANK(T69,$P$64:$V$75))</f>
        <v>#NAME?</v>
      </c>
      <c r="AI69" s="299" t="e">
        <f aca="false">IF($A69="N/A"," ",RANK(U69,$P$64:$V$75))</f>
        <v>#NAME?</v>
      </c>
      <c r="AJ69" s="300" t="e">
        <f aca="false">IF($A69="N/A"," ",RANK(V69,$P$64:$V$75))</f>
        <v>#NAME?</v>
      </c>
      <c r="AK69" s="286" t="e">
        <f aca="false">IF($A69="N/A"," ",IF(AD69&lt;=$AJ$2,W69,0))</f>
        <v>#NAME?</v>
      </c>
      <c r="AL69" s="301" t="e">
        <f aca="false">IF($A69="N/A"," ",IF(AE69&lt;=$AJ$2,X69,0))</f>
        <v>#NAME?</v>
      </c>
      <c r="AM69" s="301" t="e">
        <f aca="false">IF($A69="N/A"," ",IF(AF69&lt;=$AJ$2,Y69,0))</f>
        <v>#NAME?</v>
      </c>
      <c r="AN69" s="301" t="e">
        <f aca="false">IF($A69="N/A"," ",IF(AG69&lt;=$AJ$2,Z69,0))</f>
        <v>#NAME?</v>
      </c>
      <c r="AO69" s="301" t="e">
        <f aca="false">IF($A69="N/A"," ",IF(AH69&lt;=$AJ$2,AA69,0))</f>
        <v>#NAME?</v>
      </c>
      <c r="AP69" s="301" t="e">
        <f aca="false">IF($A69="N/A"," ",IF(AI69&lt;=$AJ$2,AB69,0))</f>
        <v>#NAME?</v>
      </c>
      <c r="AQ69" s="301" t="e">
        <f aca="false">IF($A69="N/A"," ",IF(AJ69&lt;=$AJ$2,AC69,0))</f>
        <v>#NAME?</v>
      </c>
      <c r="AR69" s="300"/>
      <c r="AS69" s="288" t="e">
        <f aca="false">IF($A69="N/A"," ",IF(AND(AD69=$AJ$2+1,AK69=0),MIN($AR$75,W69),0))</f>
        <v>#NAME?</v>
      </c>
      <c r="AT69" s="302" t="e">
        <f aca="false">IF($A69="N/A"," ",IF(AND(AE69=$AJ$2+1,AL69=0),MIN($AR$75,X69),0))</f>
        <v>#NAME?</v>
      </c>
      <c r="AU69" s="302" t="e">
        <f aca="false">IF($A69="N/A"," ",IF(AND(AF69=$AJ$2+1,AM69=0),MIN($AR$75,Y69),0))</f>
        <v>#NAME?</v>
      </c>
      <c r="AV69" s="302" t="e">
        <f aca="false">IF($A69="N/A"," ",IF(AND(AG69=$AJ$2+1,AN69=0),MIN($AR$75,Z69),0))</f>
        <v>#NAME?</v>
      </c>
      <c r="AW69" s="302" t="e">
        <f aca="false">IF($A69="N/A"," ",IF(AND(AH69=$AJ$2+1,AO69=0),MIN($AR$75,AA69),0))</f>
        <v>#NAME?</v>
      </c>
      <c r="AX69" s="302" t="e">
        <f aca="false">IF($A69="N/A"," ",IF(AND(AI69=$AJ$2+1,AP69=0),MIN($AR$75,AB69),0))</f>
        <v>#NAME?</v>
      </c>
      <c r="AY69" s="302" t="e">
        <f aca="false">IF($A69="N/A"," ",IF(AND(AJ69=$AJ$2+1,AQ69=0),MIN($AR$75,AC69),0))</f>
        <v>#NAME?</v>
      </c>
      <c r="AZ69" s="300"/>
      <c r="BA69" s="291" t="n">
        <f aca="false">IF($A69="N/A"," ",(IF(MONTH(A69)&gt;=4,IF(MONTH(A69)&lt;=10,Inputs!$F$13,Inputs!$F$14),Inputs!$F$14))*$BW69)</f>
        <v>180</v>
      </c>
      <c r="BB69" s="292" t="e">
        <f aca="false">IF($A69="N/A"," ",(IF(AK69&gt;0,($BA69*(8*(VLOOKUP($A69,NumberofDaysTable,2)))*P69),0)+IF(AS69&gt;0,($BA69*((AS69))*P69),0)))</f>
        <v>#NAME?</v>
      </c>
      <c r="BC69" s="292" t="e">
        <f aca="false">IF($A69="N/A"," ",(IF(AL69&gt;0,($BA69*(8*(VLOOKUP($A69,NumberofDaysTable,2)))*Q69),0)+IF(AT69&gt;0,($BA69*((AT69))*Q69),0)))</f>
        <v>#NAME?</v>
      </c>
      <c r="BD69" s="292" t="e">
        <f aca="false">IF($A69="N/A"," ",(IF(AM69&gt;0,($BA69*(8*(VLOOKUP($A69,NumberofDaysTable,3)))*R69),0)+IF(AU69&gt;0,($BA69*((AU69))*R69),0)))</f>
        <v>#NAME?</v>
      </c>
      <c r="BE69" s="292" t="e">
        <f aca="false">IF($A69="N/A"," ",(IF(AN69&gt;0,($BA69*(8*(VLOOKUP($A69,NumberofDaysTable,3)))*S69),0)+IF(AV69&gt;0,($BA69*((AV69))*S69),0)))</f>
        <v>#NAME?</v>
      </c>
      <c r="BF69" s="292" t="e">
        <f aca="false">IF($A69="N/A"," ",(IF(AO69&gt;0,($BA69*(8*(VLOOKUP($A69,NumberofDaysTable,4)+VLOOKUP($A69,NumberofDaysTable,5)))*T69),0)+IF(AW69&gt;0,($BA69*((AW69))*T69),0)))</f>
        <v>#NAME?</v>
      </c>
      <c r="BG69" s="292" t="e">
        <f aca="false">IF($A69="N/A"," ",(IF(AP69&gt;0,($BA69*(8*(VLOOKUP($A69,NumberofDaysTable,4)+VLOOKUP($A69,NumberofDaysTable,5)))*U69),0)+IF(AX69&gt;0,($BA69*((AX69))*U69),0)))</f>
        <v>#NAME?</v>
      </c>
      <c r="BH69" s="292" t="e">
        <f aca="false">IF($A69="N/A"," ",($BA69*AQ69*V69))</f>
        <v>#NAME?</v>
      </c>
      <c r="BI69" s="292" t="e">
        <f aca="false">IF($A69="N/A"," ",SUM(BB69:BH69))</f>
        <v>#NAME?</v>
      </c>
      <c r="BJ69" s="293" t="e">
        <f aca="false">IF($A69="N/A"," ",(H69*(SUM(AK69:AQ69)+SUM(AS69:AY69))*BA69))</f>
        <v>#NAME?</v>
      </c>
      <c r="BK69" s="293" t="e">
        <f aca="false">IF($A69="N/A"," ",((C69*D69)*(SUM($AK69:$AQ69)+SUM($AS69:$AY69))*$BA69))</f>
        <v>#N/A</v>
      </c>
      <c r="BL69" s="293" t="e">
        <f aca="false">IF($A69="N/A"," ",(F69*(SUM($AK69:$AQ69)+SUM($AS69:$AY69))*$BA69))</f>
        <v>#NAME?</v>
      </c>
      <c r="BM69" s="293" t="e">
        <f aca="false">IF($A69="N/A"," ",(G69*(SUM($AK69:$AQ69)+SUM($AS69:$AY69))*$BA69))</f>
        <v>#NAME?</v>
      </c>
      <c r="BN69" s="294" t="n">
        <f aca="false">IF(A69="N/A"," ",(VLOOKUP(A69,PowerVolTable,(IF('Pricing Inputs'!$AT$3=2,7,IF('Pricing Inputs'!$AT$3=1,6,8))),FALSE())))</f>
        <v>0.265851785601562</v>
      </c>
      <c r="BO69" s="294" t="n">
        <f aca="false">IF(A69="N/A"," ",(VLOOKUP(A69,IntraPowerVol,(IF('Pricing Inputs'!$AT$3=2,3,IF('Pricing Inputs'!$AT$3=1,2,4))),FALSE())*VLOOKUP(MONTH($A69),Inputs!$A$28:$B$39,2)))</f>
        <v>2.3</v>
      </c>
      <c r="BP69" s="295" t="n">
        <f aca="false">IF($A69="N/A"," ",(IF(DateToday&gt;$A69,$BO69,((($BN69^2)*((($A69-1)-DateToday)/((EOMONTH($A69,0)+1)-DateToday-15)))+((($BO69)^2)*((15)/((EOMONTH($A69,0)+1)-DateToday-15))))^0.5)))</f>
        <v>2.3</v>
      </c>
      <c r="BQ69" s="294" t="e">
        <f aca="false">IF($A69="N/A"," ",(VLOOKUP($A69,GasVolTable,(IF('Pricing Inputs'!$AT$3=2,6,IF('Pricing Inputs'!$AT$3=1,7,5))),FALSE())))</f>
        <v>#N/A</v>
      </c>
      <c r="BR69" s="294" t="e">
        <f aca="false">IF($A69="N/A"," ",(VLOOKUP($A69,OmicronVol,(IF('Pricing Inputs'!$AT$3=2,3,IF('Pricing Inputs'!$AT$3=1,4,2))),FALSE())))</f>
        <v>#N/A</v>
      </c>
      <c r="BS69" s="295" t="e">
        <f aca="false">IF($A69="N/A"," ",IF('Pricing Inputs'!$AN$3=1,(IF(DateToday&gt;$A69,$BR69,((($BQ69^2)*((($A69-1)-DateToday)/((EOMONTH($A69,0)+1)-DateToday-15)))+((($BR69)^2)*((15)/((EOMONTH($A69,0)+1)-DateToday-15))))^0.5)),0.0001))</f>
        <v>#N/A</v>
      </c>
      <c r="BT69" s="294" t="n">
        <f aca="false">IF($A69="N/A"," ",IF('Pricing Inputs'!$AN$3=1,(VLOOKUP($A69,CorrelationTable,2,FALSE())),0))</f>
        <v>0.9</v>
      </c>
      <c r="BU69" s="296" t="e">
        <f aca="false">IF($A69="N/A"," ",F69+G69+(D69*(VLOOKUP($A69,'Gas Curves'!$B$17:$P$310,14,FALSE()))))</f>
        <v>#N/A</v>
      </c>
      <c r="BV69" s="294" t="n">
        <f aca="false">IF($A69="N/A"," ",IF('Pricing Inputs'!$AW$3=1,0,(VLOOKUP($A69,InterestRatesTable,2))))</f>
        <v>0</v>
      </c>
      <c r="BW69" s="297" t="n">
        <f aca="false">IF($A69="N/A"," ",(1+BV69/2)^(-2*((EOMONTH(A69,0)+20)-DateToday)/365.25))</f>
        <v>1</v>
      </c>
    </row>
    <row r="70" customFormat="false" ht="12.75" hidden="false" customHeight="false" outlineLevel="0" collapsed="false">
      <c r="A70" s="272" t="n">
        <f aca="false">IF(A69="N/A","N/A",IF(EDATE(A69,1)&gt;Inputs!$K$3,"N/A",EDATE(A69,1)))</f>
        <v>38899</v>
      </c>
      <c r="B70" s="273" t="n">
        <f aca="false">IF(A70="N/A"," ",YEAR(A70))</f>
        <v>2006</v>
      </c>
      <c r="C70" s="274" t="e">
        <f aca="false">IF(A70="N/A"," ",VLOOKUP(A70,ScaledPrice,10))</f>
        <v>#N/A</v>
      </c>
      <c r="D70" s="275" t="n">
        <f aca="false">IF(A70="N/A"," ",(VLOOKUP(MONTH($A70),Inputs!$A$14:$B$25,2))/1000)</f>
        <v>10.5</v>
      </c>
      <c r="E70" s="276" t="e">
        <f aca="false">IF($A70="N/A"," ",C70*D70)</f>
        <v>#N/A</v>
      </c>
      <c r="F70" s="277" t="n">
        <f aca="false">IF(A70="N/A"," ",Inputs!$F$6)</f>
        <v>2</v>
      </c>
      <c r="G70" s="277" t="n">
        <f aca="false">IF(A70="N/A"," ",Inputs!$F$9/IF(AND('Pricing Inputs'!$AQ$3&gt;=4,'Pricing Inputs'!$AQ$3&lt;=6),16,IF(AND('Pricing Inputs'!$AQ$3&gt;=7,'Pricing Inputs'!$AQ$3&lt;=9),8,24))/(BA70/BW70))</f>
        <v>0</v>
      </c>
      <c r="H70" s="278" t="e">
        <f aca="false">IF(A70="N/A"," ",(C70*D70)+F70+G70)</f>
        <v>#N/A</v>
      </c>
      <c r="I70" s="279" t="n">
        <f aca="false">VLOOKUP(A70,ScaledPrice,(IF(AND('Pricing Inputs'!$AQ$3&gt;=1,'Pricing Inputs'!$AQ$3&lt;=6),2,4)))</f>
        <v>83.4165440194568</v>
      </c>
      <c r="J70" s="279" t="n">
        <f aca="false">IF(A70="N/A"," ",IF(AND('Pricing Inputs'!$AQ$3&gt;=1,'Pricing Inputs'!$AQ$3&lt;=6),I70,(VLOOKUP(A70,ScaledPrice,2))*(2-(VLOOKUP(A70,ScaledPrice,3)))))</f>
        <v>56.5834559805432</v>
      </c>
      <c r="K70" s="279" t="n">
        <f aca="false">IF(A70="N/A"," ",IF(OR('Pricing Inputs'!$AQ$3=2,'Pricing Inputs'!$AQ$3=3,'Pricing Inputs'!$AQ$3=5,'Pricing Inputs'!$AQ$3=6,'Pricing Inputs'!$AQ$3=8,'Pricing Inputs'!$AQ$3=9),VLOOKUP(A70,ScaledPrice,IF(AND('Pricing Inputs'!$AQ$3&gt;=2,'Pricing Inputs'!$AQ$3&lt;=6),5,6)),0))</f>
        <v>47.5012525301502</v>
      </c>
      <c r="L70" s="279" t="n">
        <f aca="false">IF(A70="N/A"," ",IF(OR('Pricing Inputs'!$AQ$3=2,'Pricing Inputs'!$AQ$3=3,'Pricing Inputs'!$AQ$3=5,'Pricing Inputs'!$AQ$3=6,'Pricing Inputs'!$AQ$3=8,'Pricing Inputs'!$AQ$3=9),IF(AND('Pricing Inputs'!$AQ$3&gt;=2,'Pricing Inputs'!$AQ$3&lt;=6),K70,(VLOOKUP(A70,ScaledPrice,5))*(2-(VLOOKUP(A70,ScaledPrice,3)))),0))</f>
        <v>32.2212465543225</v>
      </c>
      <c r="M70" s="279" t="n">
        <f aca="false">IF(A70="N/A"," ",IF(OR('Pricing Inputs'!$AQ$3=3,'Pricing Inputs'!$AQ$3=6,'Pricing Inputs'!$AQ$3=9),(VLOOKUP(A70,ScaledPrice,IF(AND('Pricing Inputs'!$AQ$3&gt;=3,'Pricing Inputs'!$AQ$3&lt;=6),7,8))),0))</f>
        <v>34.9723854437396</v>
      </c>
      <c r="N70" s="279" t="n">
        <f aca="false">IF(A70="N/A"," ",IF(OR('Pricing Inputs'!$AQ$3=3,'Pricing Inputs'!$AQ$3=6,'Pricing Inputs'!$AQ$3=9),IF(AND('Pricing Inputs'!$AQ$3&gt;=3,'Pricing Inputs'!$AQ$3&lt;=6),M70,(VLOOKUP(A70,ScaledPrice,7))*(2-(VLOOKUP(A70,ScaledPrice,3)))),0))</f>
        <v>23.7226134881452</v>
      </c>
      <c r="O70" s="279" t="n">
        <f aca="false">IF(A70="N/A"," ",IF(AND('Pricing Inputs'!$AQ$3&gt;=1,'Pricing Inputs'!$AQ$3&lt;=3),VLOOKUP(A70,ScaledPrice,9),0))</f>
        <v>0</v>
      </c>
      <c r="P70" s="280" t="e">
        <f aca="false">IF($A70="N/A"," ",IF('Pricing Inputs'!$AN$8=2,(I70-H70),IF('Pricing Inputs'!$AN$3=2,IF((I70-$H70)&gt;0,I70-$H70,0),(xSPRDOPT(I70,$E70,$BU70,0,$BP70,$BS70,$BT70,($A70-Inputs!$D$1)+15,1,0)))))</f>
        <v>#NAME?</v>
      </c>
      <c r="Q70" s="280" t="e">
        <f aca="false">IF($A70="N/A"," ",IF('Pricing Inputs'!$AN$8=2,(J70-$H70),IF('Pricing Inputs'!$AN$3=2,IF((J70-$H70)&gt;0,J70-$H70,0),(xSPRDOPT(J70,$E70,$BU70,0,$BP70,$BS70,$BT70,($A70-Inputs!$D$1)+15,1,0)))))</f>
        <v>#NAME?</v>
      </c>
      <c r="R70" s="280" t="e">
        <f aca="false">IF($A70="N/A"," ",IF('Pricing Inputs'!$AN$8=2,(K70-$H70),IF('Pricing Inputs'!$AN$3=2,IF((K70-$H70)&gt;0,K70-$H70,0),(xSPRDOPT(K70,$E70,$BU70,0,$BP70,$BS70,$BT70,($A70-Inputs!$D$1)+15,1,0)))))</f>
        <v>#NAME?</v>
      </c>
      <c r="S70" s="280" t="e">
        <f aca="false">IF($A70="N/A"," ",IF('Pricing Inputs'!$AN$8=2,(L70-$H70),IF('Pricing Inputs'!$AN$3=2,IF((L70-$H70)&gt;0,L70-$H70,0),(xSPRDOPT(L70,$E70,$BU70,0,$BP70,$BS70,$BT70,($A70-Inputs!$D$1)+15,1,0)))))</f>
        <v>#NAME?</v>
      </c>
      <c r="T70" s="280" t="e">
        <f aca="false">IF($A70="N/A"," ",IF('Pricing Inputs'!$AN$8=2,(M70-$H70),IF('Pricing Inputs'!$AN$3=2,IF((M70-$H70)&gt;0,M70-$H70,0),(xSPRDOPT(M70,$E70,$BU70,0,$BP70,$BS70,$BT70,($A70-Inputs!$D$1)+15,1,0)))))</f>
        <v>#NAME?</v>
      </c>
      <c r="U70" s="280" t="e">
        <f aca="false">IF($A70="N/A"," ",IF('Pricing Inputs'!$AN$8=2,(N70-$H70),IF('Pricing Inputs'!$AN$3=2,IF((N70-$H70)&gt;0,N70-$H70,0),(xSPRDOPT(N70,$E70,$BU70,0,$BP70,$BS70,$BT70,($A70-Inputs!$D$1)+15,1,0)))))</f>
        <v>#NAME?</v>
      </c>
      <c r="V70" s="281" t="e">
        <f aca="false">IF($A70="N/A"," ",(IF('Pricing Inputs'!$AN$8=2,(O70-$H70),IF((O70-$H70)&lt;=0,0,(O70-$H70)))))</f>
        <v>#N/A</v>
      </c>
      <c r="W70" s="282" t="e">
        <f aca="false">IF($A70="N/A"," ",IF(0&lt;&gt;P70,IF('Pricing Inputs'!$AN$3=2,8*VLOOKUP($A70,NumberofDaysTable,2),(xSPRDOPT(I70,$E70,$BU70,0,$BP70,$BS70,$BT70,$A70-Inputs!$D$1,1,1))*(8*VLOOKUP($A70,NumberofDaysTable,2))),0))</f>
        <v>#NAME?</v>
      </c>
      <c r="X70" s="282" t="e">
        <f aca="false">IF($A70="N/A"," ",IF(Q70&lt;&gt;0,IF('Pricing Inputs'!$AN$3=2,8*VLOOKUP($A70,NumberofDaysTable,2),(xSPRDOPT(J70,$E70,$BU70,0,$BP70,$BS70,$BT70,$A70-Inputs!$D$1,1,1))*(8*VLOOKUP($A70,NumberofDaysTable,2))),0))</f>
        <v>#NAME?</v>
      </c>
      <c r="Y70" s="282" t="e">
        <f aca="false">IF($A70="N/A"," ",IF(R70&lt;&gt;0,IF('Pricing Inputs'!$AN$3=2,8*VLOOKUP($A70,NumberofDaysTable,3),(xSPRDOPT(K70,$E70,$BU70,0,$BP70,$BS70,$BT70,$A70-Inputs!$D$1,1,1))*(8*VLOOKUP($A70,NumberofDaysTable,3))),0))</f>
        <v>#NAME?</v>
      </c>
      <c r="Z70" s="282" t="e">
        <f aca="false">IF($A70="N/A"," ",IF(S70&lt;&gt;0,IF('Pricing Inputs'!$AN$3=2,8*VLOOKUP($A70,NumberofDaysTable,3),(xSPRDOPT(L70,$E70,$BU70,0,$BP70,$BS70,$BT70,$A70-Inputs!$D$1,1,1))*(8*VLOOKUP($A70,NumberofDaysTable,3))),0))</f>
        <v>#NAME?</v>
      </c>
      <c r="AA70" s="282" t="e">
        <f aca="false">IF($A70="N/A"," ",IF(T70&lt;&gt;0,IF('Pricing Inputs'!$AN$3=2,8*VLOOKUP($A70,NumberofDaysTable,4),(xSPRDOPT(M70,$E70,$BU70,0,$BP70,$BS70,$BT70,$A70-Inputs!$D$1,1,1))*(8*VLOOKUP($A70,NumberofDaysTable,4))),0))</f>
        <v>#NAME?</v>
      </c>
      <c r="AB70" s="282" t="e">
        <f aca="false">IF($A70="N/A"," ",IF(U70&lt;&gt;0,IF('Pricing Inputs'!$AN$3=2,8*VLOOKUP($A70,NumberofDaysTable,4),(xSPRDOPT(N70,$E70,$BU70,0,$BP70,$BS70,$BT70,$A70-Inputs!$D$1,1,1))*(8*VLOOKUP($A70,NumberofDaysTable,4))),0))</f>
        <v>#NAME?</v>
      </c>
      <c r="AC70" s="282" t="e">
        <f aca="false">IF($A70="N/A"," ",(IF(V70&lt;&gt;0,(8*VLOOKUP($A70,NumberofDaysTable,6)),0)))</f>
        <v>#N/A</v>
      </c>
      <c r="AD70" s="298" t="e">
        <f aca="false">IF($A70="N/A"," ",RANK(P70,$P$64:$V$75))</f>
        <v>#NAME?</v>
      </c>
      <c r="AE70" s="299" t="e">
        <f aca="false">IF($A70="N/A"," ",RANK(Q70,$P$64:$V$75))</f>
        <v>#NAME?</v>
      </c>
      <c r="AF70" s="299" t="e">
        <f aca="false">IF($A70="N/A"," ",RANK(R70,$P$64:$V$75))</f>
        <v>#NAME?</v>
      </c>
      <c r="AG70" s="299" t="e">
        <f aca="false">IF($A70="N/A"," ",RANK(S70,$P$64:$V$75))</f>
        <v>#NAME?</v>
      </c>
      <c r="AH70" s="299" t="e">
        <f aca="false">IF($A70="N/A"," ",RANK(T70,$P$64:$V$75))</f>
        <v>#NAME?</v>
      </c>
      <c r="AI70" s="299" t="e">
        <f aca="false">IF($A70="N/A"," ",RANK(U70,$P$64:$V$75))</f>
        <v>#NAME?</v>
      </c>
      <c r="AJ70" s="300" t="e">
        <f aca="false">IF($A70="N/A"," ",RANK(V70,$P$64:$V$75))</f>
        <v>#NAME?</v>
      </c>
      <c r="AK70" s="286" t="e">
        <f aca="false">IF($A70="N/A"," ",IF(AD70&lt;=$AJ$2,W70,0))</f>
        <v>#NAME?</v>
      </c>
      <c r="AL70" s="301" t="e">
        <f aca="false">IF($A70="N/A"," ",IF(AE70&lt;=$AJ$2,X70,0))</f>
        <v>#NAME?</v>
      </c>
      <c r="AM70" s="301" t="e">
        <f aca="false">IF($A70="N/A"," ",IF(AF70&lt;=$AJ$2,Y70,0))</f>
        <v>#NAME?</v>
      </c>
      <c r="AN70" s="301" t="e">
        <f aca="false">IF($A70="N/A"," ",IF(AG70&lt;=$AJ$2,Z70,0))</f>
        <v>#NAME?</v>
      </c>
      <c r="AO70" s="301" t="e">
        <f aca="false">IF($A70="N/A"," ",IF(AH70&lt;=$AJ$2,AA70,0))</f>
        <v>#NAME?</v>
      </c>
      <c r="AP70" s="301" t="e">
        <f aca="false">IF($A70="N/A"," ",IF(AI70&lt;=$AJ$2,AB70,0))</f>
        <v>#NAME?</v>
      </c>
      <c r="AQ70" s="301" t="e">
        <f aca="false">IF($A70="N/A"," ",IF(AJ70&lt;=$AJ$2,AC70,0))</f>
        <v>#NAME?</v>
      </c>
      <c r="AR70" s="300"/>
      <c r="AS70" s="288" t="e">
        <f aca="false">IF($A70="N/A"," ",IF(AND(AD70=$AJ$2+1,AK70=0),MIN($AR$75,W70),0))</f>
        <v>#NAME?</v>
      </c>
      <c r="AT70" s="302" t="e">
        <f aca="false">IF($A70="N/A"," ",IF(AND(AE70=$AJ$2+1,AL70=0),MIN($AR$75,X70),0))</f>
        <v>#NAME?</v>
      </c>
      <c r="AU70" s="302" t="e">
        <f aca="false">IF($A70="N/A"," ",IF(AND(AF70=$AJ$2+1,AM70=0),MIN($AR$75,Y70),0))</f>
        <v>#NAME?</v>
      </c>
      <c r="AV70" s="302" t="e">
        <f aca="false">IF($A70="N/A"," ",IF(AND(AG70=$AJ$2+1,AN70=0),MIN($AR$75,Z70),0))</f>
        <v>#NAME?</v>
      </c>
      <c r="AW70" s="302" t="e">
        <f aca="false">IF($A70="N/A"," ",IF(AND(AH70=$AJ$2+1,AO70=0),MIN($AR$75,AA70),0))</f>
        <v>#NAME?</v>
      </c>
      <c r="AX70" s="302" t="e">
        <f aca="false">IF($A70="N/A"," ",IF(AND(AI70=$AJ$2+1,AP70=0),MIN($AR$75,AB70),0))</f>
        <v>#NAME?</v>
      </c>
      <c r="AY70" s="302" t="e">
        <f aca="false">IF($A70="N/A"," ",IF(AND(AJ70=$AJ$2+1,AQ70=0),MIN($AR$75,AC70),0))</f>
        <v>#NAME?</v>
      </c>
      <c r="AZ70" s="300"/>
      <c r="BA70" s="291" t="n">
        <f aca="false">IF($A70="N/A"," ",(IF(MONTH(A70)&gt;=4,IF(MONTH(A70)&lt;=10,Inputs!$F$13,Inputs!$F$14),Inputs!$F$14))*$BW70)</f>
        <v>180</v>
      </c>
      <c r="BB70" s="292" t="e">
        <f aca="false">IF($A70="N/A"," ",(IF(AK70&gt;0,($BA70*(8*(VLOOKUP($A70,NumberofDaysTable,2)))*P70),0)+IF(AS70&gt;0,($BA70*((AS70))*P70),0)))</f>
        <v>#NAME?</v>
      </c>
      <c r="BC70" s="292" t="e">
        <f aca="false">IF($A70="N/A"," ",(IF(AL70&gt;0,($BA70*(8*(VLOOKUP($A70,NumberofDaysTable,2)))*Q70),0)+IF(AT70&gt;0,($BA70*((AT70))*Q70),0)))</f>
        <v>#NAME?</v>
      </c>
      <c r="BD70" s="292" t="e">
        <f aca="false">IF($A70="N/A"," ",(IF(AM70&gt;0,($BA70*(8*(VLOOKUP($A70,NumberofDaysTable,3)))*R70),0)+IF(AU70&gt;0,($BA70*((AU70))*R70),0)))</f>
        <v>#NAME?</v>
      </c>
      <c r="BE70" s="292" t="e">
        <f aca="false">IF($A70="N/A"," ",(IF(AN70&gt;0,($BA70*(8*(VLOOKUP($A70,NumberofDaysTable,3)))*S70),0)+IF(AV70&gt;0,($BA70*((AV70))*S70),0)))</f>
        <v>#NAME?</v>
      </c>
      <c r="BF70" s="292" t="e">
        <f aca="false">IF($A70="N/A"," ",(IF(AO70&gt;0,($BA70*(8*(VLOOKUP($A70,NumberofDaysTable,4)+VLOOKUP($A70,NumberofDaysTable,5)))*T70),0)+IF(AW70&gt;0,($BA70*((AW70))*T70),0)))</f>
        <v>#NAME?</v>
      </c>
      <c r="BG70" s="292" t="e">
        <f aca="false">IF($A70="N/A"," ",(IF(AP70&gt;0,($BA70*(8*(VLOOKUP($A70,NumberofDaysTable,4)+VLOOKUP($A70,NumberofDaysTable,5)))*U70),0)+IF(AX70&gt;0,($BA70*((AX70))*U70),0)))</f>
        <v>#NAME?</v>
      </c>
      <c r="BH70" s="292" t="e">
        <f aca="false">IF($A70="N/A"," ",($BA70*AQ70*V70))</f>
        <v>#NAME?</v>
      </c>
      <c r="BI70" s="292" t="e">
        <f aca="false">IF($A70="N/A"," ",SUM(BB70:BH70))</f>
        <v>#NAME?</v>
      </c>
      <c r="BJ70" s="293" t="e">
        <f aca="false">IF($A70="N/A"," ",(H70*(SUM(AK70:AQ70)+SUM(AS70:AY70))*BA70))</f>
        <v>#NAME?</v>
      </c>
      <c r="BK70" s="293" t="e">
        <f aca="false">IF($A70="N/A"," ",((C70*D70)*(SUM($AK70:$AQ70)+SUM($AS70:$AY70))*$BA70))</f>
        <v>#N/A</v>
      </c>
      <c r="BL70" s="293" t="e">
        <f aca="false">IF($A70="N/A"," ",(F70*(SUM($AK70:$AQ70)+SUM($AS70:$AY70))*$BA70))</f>
        <v>#NAME?</v>
      </c>
      <c r="BM70" s="293" t="e">
        <f aca="false">IF($A70="N/A"," ",(G70*(SUM($AK70:$AQ70)+SUM($AS70:$AY70))*$BA70))</f>
        <v>#NAME?</v>
      </c>
      <c r="BN70" s="294" t="n">
        <f aca="false">IF(A70="N/A"," ",(VLOOKUP(A70,PowerVolTable,(IF('Pricing Inputs'!$AT$3=2,7,IF('Pricing Inputs'!$AT$3=1,6,8))),FALSE())))</f>
        <v>0.314599984664062</v>
      </c>
      <c r="BO70" s="294" t="n">
        <f aca="false">IF(A70="N/A"," ",(VLOOKUP(A70,IntraPowerVol,(IF('Pricing Inputs'!$AT$3=2,3,IF('Pricing Inputs'!$AT$3=1,2,4))),FALSE())*VLOOKUP(MONTH($A70),Inputs!$A$28:$B$39,2)))</f>
        <v>3.45</v>
      </c>
      <c r="BP70" s="295" t="n">
        <f aca="false">IF($A70="N/A"," ",(IF(DateToday&gt;$A70,$BO70,((($BN70^2)*((($A70-1)-DateToday)/((EOMONTH($A70,0)+1)-DateToday-15)))+((($BO70)^2)*((15)/((EOMONTH($A70,0)+1)-DateToday-15))))^0.5)))</f>
        <v>3.45</v>
      </c>
      <c r="BQ70" s="294" t="e">
        <f aca="false">IF($A70="N/A"," ",(VLOOKUP($A70,GasVolTable,(IF('Pricing Inputs'!$AT$3=2,6,IF('Pricing Inputs'!$AT$3=1,7,5))),FALSE())))</f>
        <v>#N/A</v>
      </c>
      <c r="BR70" s="294" t="e">
        <f aca="false">IF($A70="N/A"," ",(VLOOKUP($A70,OmicronVol,(IF('Pricing Inputs'!$AT$3=2,3,IF('Pricing Inputs'!$AT$3=1,4,2))),FALSE())))</f>
        <v>#N/A</v>
      </c>
      <c r="BS70" s="295" t="e">
        <f aca="false">IF($A70="N/A"," ",IF('Pricing Inputs'!$AN$3=1,(IF(DateToday&gt;$A70,$BR70,((($BQ70^2)*((($A70-1)-DateToday)/((EOMONTH($A70,0)+1)-DateToday-15)))+((($BR70)^2)*((15)/((EOMONTH($A70,0)+1)-DateToday-15))))^0.5)),0.0001))</f>
        <v>#N/A</v>
      </c>
      <c r="BT70" s="294" t="n">
        <f aca="false">IF($A70="N/A"," ",IF('Pricing Inputs'!$AN$3=1,(VLOOKUP($A70,CorrelationTable,2,FALSE())),0))</f>
        <v>0.9</v>
      </c>
      <c r="BU70" s="296" t="e">
        <f aca="false">IF($A70="N/A"," ",F70+G70+(D70*(VLOOKUP($A70,'Gas Curves'!$B$17:$P$310,14,FALSE()))))</f>
        <v>#N/A</v>
      </c>
      <c r="BV70" s="294" t="n">
        <f aca="false">IF($A70="N/A"," ",IF('Pricing Inputs'!$AW$3=1,0,(VLOOKUP($A70,InterestRatesTable,2))))</f>
        <v>0</v>
      </c>
      <c r="BW70" s="297" t="n">
        <f aca="false">IF($A70="N/A"," ",(1+BV70/2)^(-2*((EOMONTH(A70,0)+20)-DateToday)/365.25))</f>
        <v>1</v>
      </c>
    </row>
    <row r="71" customFormat="false" ht="12.75" hidden="false" customHeight="false" outlineLevel="0" collapsed="false">
      <c r="A71" s="272" t="n">
        <f aca="false">IF(A70="N/A","N/A",IF(EDATE(A70,1)&gt;Inputs!$K$3,"N/A",EDATE(A70,1)))</f>
        <v>38930</v>
      </c>
      <c r="B71" s="273" t="n">
        <f aca="false">IF(A71="N/A"," ",YEAR(A71))</f>
        <v>2006</v>
      </c>
      <c r="C71" s="274" t="e">
        <f aca="false">IF(A71="N/A"," ",VLOOKUP(A71,ScaledPrice,10))</f>
        <v>#N/A</v>
      </c>
      <c r="D71" s="275" t="n">
        <f aca="false">IF(A71="N/A"," ",(VLOOKUP(MONTH($A71),Inputs!$A$14:$B$25,2))/1000)</f>
        <v>10.5</v>
      </c>
      <c r="E71" s="276" t="e">
        <f aca="false">IF($A71="N/A"," ",C71*D71)</f>
        <v>#N/A</v>
      </c>
      <c r="F71" s="277" t="n">
        <f aca="false">IF(A71="N/A"," ",Inputs!$F$6)</f>
        <v>2</v>
      </c>
      <c r="G71" s="277" t="n">
        <f aca="false">IF(A71="N/A"," ",Inputs!$F$9/IF(AND('Pricing Inputs'!$AQ$3&gt;=4,'Pricing Inputs'!$AQ$3&lt;=6),16,IF(AND('Pricing Inputs'!$AQ$3&gt;=7,'Pricing Inputs'!$AQ$3&lt;=9),8,24))/(BA71/BW71))</f>
        <v>0</v>
      </c>
      <c r="H71" s="278" t="e">
        <f aca="false">IF(A71="N/A"," ",(C71*D71)+F71+G71)</f>
        <v>#N/A</v>
      </c>
      <c r="I71" s="279" t="n">
        <f aca="false">VLOOKUP(A71,ScaledPrice,(IF(AND('Pricing Inputs'!$AQ$3&gt;=1,'Pricing Inputs'!$AQ$3&lt;=6),2,4)))</f>
        <v>72.6348461181239</v>
      </c>
      <c r="J71" s="279" t="n">
        <f aca="false">IF(A71="N/A"," ",IF(AND('Pricing Inputs'!$AQ$3&gt;=1,'Pricing Inputs'!$AQ$3&lt;=6),I71,(VLOOKUP(A71,ScaledPrice,2))*(2-(VLOOKUP(A71,ScaledPrice,3)))))</f>
        <v>58.3651538818762</v>
      </c>
      <c r="K71" s="279" t="n">
        <f aca="false">IF(A71="N/A"," ",IF(OR('Pricing Inputs'!$AQ$3=2,'Pricing Inputs'!$AQ$3=3,'Pricing Inputs'!$AQ$3=5,'Pricing Inputs'!$AQ$3=6,'Pricing Inputs'!$AQ$3=8,'Pricing Inputs'!$AQ$3=9),VLOOKUP(A71,ScaledPrice,IF(AND('Pricing Inputs'!$AQ$3&gt;=2,'Pricing Inputs'!$AQ$3&lt;=6),5,6)),0))</f>
        <v>46.7108586123891</v>
      </c>
      <c r="L71" s="279" t="n">
        <f aca="false">IF(A71="N/A"," ",IF(OR('Pricing Inputs'!$AQ$3=2,'Pricing Inputs'!$AQ$3=3,'Pricing Inputs'!$AQ$3=5,'Pricing Inputs'!$AQ$3=6,'Pricing Inputs'!$AQ$3=8,'Pricing Inputs'!$AQ$3=9),IF(AND('Pricing Inputs'!$AQ$3&gt;=2,'Pricing Inputs'!$AQ$3&lt;=6),K71,(VLOOKUP(A71,ScaledPrice,5))*(2-(VLOOKUP(A71,ScaledPrice,3)))),0))</f>
        <v>37.5341395565563</v>
      </c>
      <c r="M71" s="279" t="n">
        <f aca="false">IF(A71="N/A"," ",IF(OR('Pricing Inputs'!$AQ$3=3,'Pricing Inputs'!$AQ$3=6,'Pricing Inputs'!$AQ$3=9),(VLOOKUP(A71,ScaledPrice,IF(AND('Pricing Inputs'!$AQ$3&gt;=3,'Pricing Inputs'!$AQ$3&lt;=6),7,8))),0))</f>
        <v>34.2049143430705</v>
      </c>
      <c r="N71" s="279" t="n">
        <f aca="false">IF(A71="N/A"," ",IF(OR('Pricing Inputs'!$AQ$3=3,'Pricing Inputs'!$AQ$3=6,'Pricing Inputs'!$AQ$3=9),IF(AND('Pricing Inputs'!$AQ$3&gt;=3,'Pricing Inputs'!$AQ$3&lt;=6),M71,(VLOOKUP(A71,ScaledPrice,7))*(2-(VLOOKUP(A71,ScaledPrice,3)))),0))</f>
        <v>27.4850873353963</v>
      </c>
      <c r="O71" s="279" t="n">
        <f aca="false">IF(A71="N/A"," ",IF(AND('Pricing Inputs'!$AQ$3&gt;=1,'Pricing Inputs'!$AQ$3&lt;=3),VLOOKUP(A71,ScaledPrice,9),0))</f>
        <v>0</v>
      </c>
      <c r="P71" s="280" t="e">
        <f aca="false">IF($A71="N/A"," ",IF('Pricing Inputs'!$AN$8=2,(I71-H71),IF('Pricing Inputs'!$AN$3=2,IF((I71-$H71)&gt;0,I71-$H71,0),(xSPRDOPT(I71,$E71,$BU71,0,$BP71,$BS71,$BT71,($A71-Inputs!$D$1)+15,1,0)))))</f>
        <v>#NAME?</v>
      </c>
      <c r="Q71" s="280" t="e">
        <f aca="false">IF($A71="N/A"," ",IF('Pricing Inputs'!$AN$8=2,(J71-$H71),IF('Pricing Inputs'!$AN$3=2,IF((J71-$H71)&gt;0,J71-$H71,0),(xSPRDOPT(J71,$E71,$BU71,0,$BP71,$BS71,$BT71,($A71-Inputs!$D$1)+15,1,0)))))</f>
        <v>#NAME?</v>
      </c>
      <c r="R71" s="280" t="e">
        <f aca="false">IF($A71="N/A"," ",IF('Pricing Inputs'!$AN$8=2,(K71-$H71),IF('Pricing Inputs'!$AN$3=2,IF((K71-$H71)&gt;0,K71-$H71,0),(xSPRDOPT(K71,$E71,$BU71,0,$BP71,$BS71,$BT71,($A71-Inputs!$D$1)+15,1,0)))))</f>
        <v>#NAME?</v>
      </c>
      <c r="S71" s="280" t="e">
        <f aca="false">IF($A71="N/A"," ",IF('Pricing Inputs'!$AN$8=2,(L71-$H71),IF('Pricing Inputs'!$AN$3=2,IF((L71-$H71)&gt;0,L71-$H71,0),(xSPRDOPT(L71,$E71,$BU71,0,$BP71,$BS71,$BT71,($A71-Inputs!$D$1)+15,1,0)))))</f>
        <v>#NAME?</v>
      </c>
      <c r="T71" s="280" t="e">
        <f aca="false">IF($A71="N/A"," ",IF('Pricing Inputs'!$AN$8=2,(M71-$H71),IF('Pricing Inputs'!$AN$3=2,IF((M71-$H71)&gt;0,M71-$H71,0),(xSPRDOPT(M71,$E71,$BU71,0,$BP71,$BS71,$BT71,($A71-Inputs!$D$1)+15,1,0)))))</f>
        <v>#NAME?</v>
      </c>
      <c r="U71" s="280" t="e">
        <f aca="false">IF($A71="N/A"," ",IF('Pricing Inputs'!$AN$8=2,(N71-$H71),IF('Pricing Inputs'!$AN$3=2,IF((N71-$H71)&gt;0,N71-$H71,0),(xSPRDOPT(N71,$E71,$BU71,0,$BP71,$BS71,$BT71,($A71-Inputs!$D$1)+15,1,0)))))</f>
        <v>#NAME?</v>
      </c>
      <c r="V71" s="281" t="e">
        <f aca="false">IF($A71="N/A"," ",(IF('Pricing Inputs'!$AN$8=2,(O71-$H71),IF((O71-$H71)&lt;=0,0,(O71-$H71)))))</f>
        <v>#N/A</v>
      </c>
      <c r="W71" s="282" t="e">
        <f aca="false">IF($A71="N/A"," ",IF(0&lt;&gt;P71,IF('Pricing Inputs'!$AN$3=2,8*VLOOKUP($A71,NumberofDaysTable,2),(xSPRDOPT(I71,$E71,$BU71,0,$BP71,$BS71,$BT71,$A71-Inputs!$D$1,1,1))*(8*VLOOKUP($A71,NumberofDaysTable,2))),0))</f>
        <v>#NAME?</v>
      </c>
      <c r="X71" s="282" t="e">
        <f aca="false">IF($A71="N/A"," ",IF(Q71&lt;&gt;0,IF('Pricing Inputs'!$AN$3=2,8*VLOOKUP($A71,NumberofDaysTable,2),(xSPRDOPT(J71,$E71,$BU71,0,$BP71,$BS71,$BT71,$A71-Inputs!$D$1,1,1))*(8*VLOOKUP($A71,NumberofDaysTable,2))),0))</f>
        <v>#NAME?</v>
      </c>
      <c r="Y71" s="282" t="e">
        <f aca="false">IF($A71="N/A"," ",IF(R71&lt;&gt;0,IF('Pricing Inputs'!$AN$3=2,8*VLOOKUP($A71,NumberofDaysTable,3),(xSPRDOPT(K71,$E71,$BU71,0,$BP71,$BS71,$BT71,$A71-Inputs!$D$1,1,1))*(8*VLOOKUP($A71,NumberofDaysTable,3))),0))</f>
        <v>#NAME?</v>
      </c>
      <c r="Z71" s="282" t="e">
        <f aca="false">IF($A71="N/A"," ",IF(S71&lt;&gt;0,IF('Pricing Inputs'!$AN$3=2,8*VLOOKUP($A71,NumberofDaysTable,3),(xSPRDOPT(L71,$E71,$BU71,0,$BP71,$BS71,$BT71,$A71-Inputs!$D$1,1,1))*(8*VLOOKUP($A71,NumberofDaysTable,3))),0))</f>
        <v>#NAME?</v>
      </c>
      <c r="AA71" s="282" t="e">
        <f aca="false">IF($A71="N/A"," ",IF(T71&lt;&gt;0,IF('Pricing Inputs'!$AN$3=2,8*VLOOKUP($A71,NumberofDaysTable,4),(xSPRDOPT(M71,$E71,$BU71,0,$BP71,$BS71,$BT71,$A71-Inputs!$D$1,1,1))*(8*VLOOKUP($A71,NumberofDaysTable,4))),0))</f>
        <v>#NAME?</v>
      </c>
      <c r="AB71" s="282" t="e">
        <f aca="false">IF($A71="N/A"," ",IF(U71&lt;&gt;0,IF('Pricing Inputs'!$AN$3=2,8*VLOOKUP($A71,NumberofDaysTable,4),(xSPRDOPT(N71,$E71,$BU71,0,$BP71,$BS71,$BT71,$A71-Inputs!$D$1,1,1))*(8*VLOOKUP($A71,NumberofDaysTable,4))),0))</f>
        <v>#NAME?</v>
      </c>
      <c r="AC71" s="282" t="e">
        <f aca="false">IF($A71="N/A"," ",(IF(V71&lt;&gt;0,(8*VLOOKUP($A71,NumberofDaysTable,6)),0)))</f>
        <v>#N/A</v>
      </c>
      <c r="AD71" s="298" t="e">
        <f aca="false">IF($A71="N/A"," ",RANK(P71,$P$64:$V$75))</f>
        <v>#NAME?</v>
      </c>
      <c r="AE71" s="299" t="e">
        <f aca="false">IF($A71="N/A"," ",RANK(Q71,$P$64:$V$75))</f>
        <v>#NAME?</v>
      </c>
      <c r="AF71" s="299" t="e">
        <f aca="false">IF($A71="N/A"," ",RANK(R71,$P$64:$V$75))</f>
        <v>#NAME?</v>
      </c>
      <c r="AG71" s="299" t="e">
        <f aca="false">IF($A71="N/A"," ",RANK(S71,$P$64:$V$75))</f>
        <v>#NAME?</v>
      </c>
      <c r="AH71" s="299" t="e">
        <f aca="false">IF($A71="N/A"," ",RANK(T71,$P$64:$V$75))</f>
        <v>#NAME?</v>
      </c>
      <c r="AI71" s="299" t="e">
        <f aca="false">IF($A71="N/A"," ",RANK(U71,$P$64:$V$75))</f>
        <v>#NAME?</v>
      </c>
      <c r="AJ71" s="300" t="e">
        <f aca="false">IF($A71="N/A"," ",RANK(V71,$P$64:$V$75))</f>
        <v>#NAME?</v>
      </c>
      <c r="AK71" s="286" t="e">
        <f aca="false">IF($A71="N/A"," ",IF(AD71&lt;=$AJ$2,W71,0))</f>
        <v>#NAME?</v>
      </c>
      <c r="AL71" s="301" t="e">
        <f aca="false">IF($A71="N/A"," ",IF(AE71&lt;=$AJ$2,X71,0))</f>
        <v>#NAME?</v>
      </c>
      <c r="AM71" s="301" t="e">
        <f aca="false">IF($A71="N/A"," ",IF(AF71&lt;=$AJ$2,Y71,0))</f>
        <v>#NAME?</v>
      </c>
      <c r="AN71" s="301" t="e">
        <f aca="false">IF($A71="N/A"," ",IF(AG71&lt;=$AJ$2,Z71,0))</f>
        <v>#NAME?</v>
      </c>
      <c r="AO71" s="301" t="e">
        <f aca="false">IF($A71="N/A"," ",IF(AH71&lt;=$AJ$2,AA71,0))</f>
        <v>#NAME?</v>
      </c>
      <c r="AP71" s="301" t="e">
        <f aca="false">IF($A71="N/A"," ",IF(AI71&lt;=$AJ$2,AB71,0))</f>
        <v>#NAME?</v>
      </c>
      <c r="AQ71" s="301" t="e">
        <f aca="false">IF($A71="N/A"," ",IF(AJ71&lt;=$AJ$2,AC71,0))</f>
        <v>#NAME?</v>
      </c>
      <c r="AR71" s="300"/>
      <c r="AS71" s="288" t="e">
        <f aca="false">IF($A71="N/A"," ",IF(AND(AD71=$AJ$2+1,AK71=0),MIN($AR$75,W71),0))</f>
        <v>#NAME?</v>
      </c>
      <c r="AT71" s="302" t="e">
        <f aca="false">IF($A71="N/A"," ",IF(AND(AE71=$AJ$2+1,AL71=0),MIN($AR$75,X71),0))</f>
        <v>#NAME?</v>
      </c>
      <c r="AU71" s="302" t="e">
        <f aca="false">IF($A71="N/A"," ",IF(AND(AF71=$AJ$2+1,AM71=0),MIN($AR$75,Y71),0))</f>
        <v>#NAME?</v>
      </c>
      <c r="AV71" s="302" t="e">
        <f aca="false">IF($A71="N/A"," ",IF(AND(AG71=$AJ$2+1,AN71=0),MIN($AR$75,Z71),0))</f>
        <v>#NAME?</v>
      </c>
      <c r="AW71" s="302" t="e">
        <f aca="false">IF($A71="N/A"," ",IF(AND(AH71=$AJ$2+1,AO71=0),MIN($AR$75,AA71),0))</f>
        <v>#NAME?</v>
      </c>
      <c r="AX71" s="302" t="e">
        <f aca="false">IF($A71="N/A"," ",IF(AND(AI71=$AJ$2+1,AP71=0),MIN($AR$75,AB71),0))</f>
        <v>#NAME?</v>
      </c>
      <c r="AY71" s="302" t="e">
        <f aca="false">IF($A71="N/A"," ",IF(AND(AJ71=$AJ$2+1,AQ71=0),MIN($AR$75,AC71),0))</f>
        <v>#NAME?</v>
      </c>
      <c r="AZ71" s="300"/>
      <c r="BA71" s="291" t="n">
        <f aca="false">IF($A71="N/A"," ",(IF(MONTH(A71)&gt;=4,IF(MONTH(A71)&lt;=10,Inputs!$F$13,Inputs!$F$14),Inputs!$F$14))*$BW71)</f>
        <v>180</v>
      </c>
      <c r="BB71" s="292" t="e">
        <f aca="false">IF($A71="N/A"," ",(IF(AK71&gt;0,($BA71*(8*(VLOOKUP($A71,NumberofDaysTable,2)))*P71),0)+IF(AS71&gt;0,($BA71*((AS71))*P71),0)))</f>
        <v>#NAME?</v>
      </c>
      <c r="BC71" s="292" t="e">
        <f aca="false">IF($A71="N/A"," ",(IF(AL71&gt;0,($BA71*(8*(VLOOKUP($A71,NumberofDaysTable,2)))*Q71),0)+IF(AT71&gt;0,($BA71*((AT71))*Q71),0)))</f>
        <v>#NAME?</v>
      </c>
      <c r="BD71" s="292" t="e">
        <f aca="false">IF($A71="N/A"," ",(IF(AM71&gt;0,($BA71*(8*(VLOOKUP($A71,NumberofDaysTable,3)))*R71),0)+IF(AU71&gt;0,($BA71*((AU71))*R71),0)))</f>
        <v>#NAME?</v>
      </c>
      <c r="BE71" s="292" t="e">
        <f aca="false">IF($A71="N/A"," ",(IF(AN71&gt;0,($BA71*(8*(VLOOKUP($A71,NumberofDaysTable,3)))*S71),0)+IF(AV71&gt;0,($BA71*((AV71))*S71),0)))</f>
        <v>#NAME?</v>
      </c>
      <c r="BF71" s="292" t="e">
        <f aca="false">IF($A71="N/A"," ",(IF(AO71&gt;0,($BA71*(8*(VLOOKUP($A71,NumberofDaysTable,4)+VLOOKUP($A71,NumberofDaysTable,5)))*T71),0)+IF(AW71&gt;0,($BA71*((AW71))*T71),0)))</f>
        <v>#NAME?</v>
      </c>
      <c r="BG71" s="292" t="e">
        <f aca="false">IF($A71="N/A"," ",(IF(AP71&gt;0,($BA71*(8*(VLOOKUP($A71,NumberofDaysTable,4)+VLOOKUP($A71,NumberofDaysTable,5)))*U71),0)+IF(AX71&gt;0,($BA71*((AX71))*U71),0)))</f>
        <v>#NAME?</v>
      </c>
      <c r="BH71" s="292" t="e">
        <f aca="false">IF($A71="N/A"," ",($BA71*AQ71*V71))</f>
        <v>#NAME?</v>
      </c>
      <c r="BI71" s="292" t="e">
        <f aca="false">IF($A71="N/A"," ",SUM(BB71:BH71))</f>
        <v>#NAME?</v>
      </c>
      <c r="BJ71" s="293" t="e">
        <f aca="false">IF($A71="N/A"," ",(H71*(SUM(AK71:AQ71)+SUM(AS71:AY71))*BA71))</f>
        <v>#NAME?</v>
      </c>
      <c r="BK71" s="293" t="e">
        <f aca="false">IF($A71="N/A"," ",((C71*D71)*(SUM($AK71:$AQ71)+SUM($AS71:$AY71))*$BA71))</f>
        <v>#N/A</v>
      </c>
      <c r="BL71" s="293" t="e">
        <f aca="false">IF($A71="N/A"," ",(F71*(SUM($AK71:$AQ71)+SUM($AS71:$AY71))*$BA71))</f>
        <v>#NAME?</v>
      </c>
      <c r="BM71" s="293" t="e">
        <f aca="false">IF($A71="N/A"," ",(G71*(SUM($AK71:$AQ71)+SUM($AS71:$AY71))*$BA71))</f>
        <v>#NAME?</v>
      </c>
      <c r="BN71" s="294" t="n">
        <f aca="false">IF(A71="N/A"," ",(VLOOKUP(A71,PowerVolTable,(IF('Pricing Inputs'!$AT$3=2,7,IF('Pricing Inputs'!$AT$3=1,6,8))),FALSE())))</f>
        <v>0.309551064046875</v>
      </c>
      <c r="BO71" s="294" t="n">
        <f aca="false">IF(A71="N/A"," ",(VLOOKUP(A71,IntraPowerVol,(IF('Pricing Inputs'!$AT$3=2,3,IF('Pricing Inputs'!$AT$3=1,2,4))),FALSE())*VLOOKUP(MONTH($A71),Inputs!$A$28:$B$39,2)))</f>
        <v>3.45</v>
      </c>
      <c r="BP71" s="295" t="n">
        <f aca="false">IF($A71="N/A"," ",(IF(DateToday&gt;$A71,$BO71,((($BN71^2)*((($A71-1)-DateToday)/((EOMONTH($A71,0)+1)-DateToday-15)))+((($BO71)^2)*((15)/((EOMONTH($A71,0)+1)-DateToday-15))))^0.5)))</f>
        <v>3.45</v>
      </c>
      <c r="BQ71" s="294" t="e">
        <f aca="false">IF($A71="N/A"," ",(VLOOKUP($A71,GasVolTable,(IF('Pricing Inputs'!$AT$3=2,6,IF('Pricing Inputs'!$AT$3=1,7,5))),FALSE())))</f>
        <v>#N/A</v>
      </c>
      <c r="BR71" s="294" t="e">
        <f aca="false">IF($A71="N/A"," ",(VLOOKUP($A71,OmicronVol,(IF('Pricing Inputs'!$AT$3=2,3,IF('Pricing Inputs'!$AT$3=1,4,2))),FALSE())))</f>
        <v>#N/A</v>
      </c>
      <c r="BS71" s="295" t="e">
        <f aca="false">IF($A71="N/A"," ",IF('Pricing Inputs'!$AN$3=1,(IF(DateToday&gt;$A71,$BR71,((($BQ71^2)*((($A71-1)-DateToday)/((EOMONTH($A71,0)+1)-DateToday-15)))+((($BR71)^2)*((15)/((EOMONTH($A71,0)+1)-DateToday-15))))^0.5)),0.0001))</f>
        <v>#N/A</v>
      </c>
      <c r="BT71" s="294" t="n">
        <f aca="false">IF($A71="N/A"," ",IF('Pricing Inputs'!$AN$3=1,(VLOOKUP($A71,CorrelationTable,2,FALSE())),0))</f>
        <v>0.9</v>
      </c>
      <c r="BU71" s="296" t="e">
        <f aca="false">IF($A71="N/A"," ",F71+G71+(D71*(VLOOKUP($A71,'Gas Curves'!$B$17:$P$310,14,FALSE()))))</f>
        <v>#N/A</v>
      </c>
      <c r="BV71" s="294" t="n">
        <f aca="false">IF($A71="N/A"," ",IF('Pricing Inputs'!$AW$3=1,0,(VLOOKUP($A71,InterestRatesTable,2))))</f>
        <v>0</v>
      </c>
      <c r="BW71" s="297" t="n">
        <f aca="false">IF($A71="N/A"," ",(1+BV71/2)^(-2*((EOMONTH(A71,0)+20)-DateToday)/365.25))</f>
        <v>1</v>
      </c>
    </row>
    <row r="72" customFormat="false" ht="12.75" hidden="false" customHeight="false" outlineLevel="0" collapsed="false">
      <c r="A72" s="272" t="n">
        <f aca="false">IF(A71="N/A","N/A",IF(EDATE(A71,1)&gt;Inputs!$K$3,"N/A",EDATE(A71,1)))</f>
        <v>38961</v>
      </c>
      <c r="B72" s="273" t="n">
        <f aca="false">IF(A72="N/A"," ",YEAR(A72))</f>
        <v>2006</v>
      </c>
      <c r="C72" s="274" t="e">
        <f aca="false">IF(A72="N/A"," ",VLOOKUP(A72,ScaledPrice,10))</f>
        <v>#N/A</v>
      </c>
      <c r="D72" s="275" t="n">
        <f aca="false">IF(A72="N/A"," ",(VLOOKUP(MONTH($A72),Inputs!$A$14:$B$25,2))/1000)</f>
        <v>10.5</v>
      </c>
      <c r="E72" s="276" t="e">
        <f aca="false">IF($A72="N/A"," ",C72*D72)</f>
        <v>#N/A</v>
      </c>
      <c r="F72" s="277" t="n">
        <f aca="false">IF(A72="N/A"," ",Inputs!$F$6)</f>
        <v>2</v>
      </c>
      <c r="G72" s="277" t="n">
        <f aca="false">IF(A72="N/A"," ",Inputs!$F$9/IF(AND('Pricing Inputs'!$AQ$3&gt;=4,'Pricing Inputs'!$AQ$3&lt;=6),16,IF(AND('Pricing Inputs'!$AQ$3&gt;=7,'Pricing Inputs'!$AQ$3&lt;=9),8,24))/(BA72/BW72))</f>
        <v>0</v>
      </c>
      <c r="H72" s="278" t="e">
        <f aca="false">IF(A72="N/A"," ",(C72*D72)+F72+G72)</f>
        <v>#N/A</v>
      </c>
      <c r="I72" s="279" t="n">
        <f aca="false">VLOOKUP(A72,ScaledPrice,(IF(AND('Pricing Inputs'!$AQ$3&gt;=1,'Pricing Inputs'!$AQ$3&lt;=6),2,4)))</f>
        <v>36.0211350777288</v>
      </c>
      <c r="J72" s="279" t="n">
        <f aca="false">IF(A72="N/A"," ",IF(AND('Pricing Inputs'!$AQ$3&gt;=1,'Pricing Inputs'!$AQ$3&lt;=6),I72,(VLOOKUP(A72,ScaledPrice,2))*(2-(VLOOKUP(A72,ScaledPrice,3)))))</f>
        <v>29.6788649222712</v>
      </c>
      <c r="K72" s="279" t="n">
        <f aca="false">IF(A72="N/A"," ",IF(OR('Pricing Inputs'!$AQ$3=2,'Pricing Inputs'!$AQ$3=3,'Pricing Inputs'!$AQ$3=5,'Pricing Inputs'!$AQ$3=6,'Pricing Inputs'!$AQ$3=8,'Pricing Inputs'!$AQ$3=9),VLOOKUP(A72,ScaledPrice,IF(AND('Pricing Inputs'!$AQ$3&gt;=2,'Pricing Inputs'!$AQ$3&lt;=6),5,6)),0))</f>
        <v>25.7740258682458</v>
      </c>
      <c r="L72" s="279" t="n">
        <f aca="false">IF(A72="N/A"," ",IF(OR('Pricing Inputs'!$AQ$3=2,'Pricing Inputs'!$AQ$3=3,'Pricing Inputs'!$AQ$3=5,'Pricing Inputs'!$AQ$3=6,'Pricing Inputs'!$AQ$3=8,'Pricing Inputs'!$AQ$3=9),IF(AND('Pricing Inputs'!$AQ$3&gt;=2,'Pricing Inputs'!$AQ$3&lt;=6),K72,(VLOOKUP(A72,ScaledPrice,5))*(2-(VLOOKUP(A72,ScaledPrice,3)))),0))</f>
        <v>21.2359724532874</v>
      </c>
      <c r="M72" s="279" t="n">
        <f aca="false">IF(A72="N/A"," ",IF(OR('Pricing Inputs'!$AQ$3=3,'Pricing Inputs'!$AQ$3=6,'Pricing Inputs'!$AQ$3=9),(VLOOKUP(A72,ScaledPrice,IF(AND('Pricing Inputs'!$AQ$3&gt;=3,'Pricing Inputs'!$AQ$3&lt;=6),7,8))),0))</f>
        <v>26.3168110156923</v>
      </c>
      <c r="N72" s="279" t="n">
        <f aca="false">IF(A72="N/A"," ",IF(OR('Pricing Inputs'!$AQ$3=3,'Pricing Inputs'!$AQ$3=6,'Pricing Inputs'!$AQ$3=9),IF(AND('Pricing Inputs'!$AQ$3&gt;=3,'Pricing Inputs'!$AQ$3&lt;=6),M72,(VLOOKUP(A72,ScaledPrice,7))*(2-(VLOOKUP(A72,ScaledPrice,3)))),0))</f>
        <v>21.6831889843077</v>
      </c>
      <c r="O72" s="279" t="n">
        <f aca="false">IF(A72="N/A"," ",IF(AND('Pricing Inputs'!$AQ$3&gt;=1,'Pricing Inputs'!$AQ$3&lt;=3),VLOOKUP(A72,ScaledPrice,9),0))</f>
        <v>0</v>
      </c>
      <c r="P72" s="280" t="e">
        <f aca="false">IF($A72="N/A"," ",IF('Pricing Inputs'!$AN$8=2,(I72-H72),IF('Pricing Inputs'!$AN$3=2,IF((I72-$H72)&gt;0,I72-$H72,0),(xSPRDOPT(I72,$E72,$BU72,0,$BP72,$BS72,$BT72,($A72-Inputs!$D$1)+15,1,0)))))</f>
        <v>#NAME?</v>
      </c>
      <c r="Q72" s="280" t="e">
        <f aca="false">IF($A72="N/A"," ",IF('Pricing Inputs'!$AN$8=2,(J72-$H72),IF('Pricing Inputs'!$AN$3=2,IF((J72-$H72)&gt;0,J72-$H72,0),(xSPRDOPT(J72,$E72,$BU72,0,$BP72,$BS72,$BT72,($A72-Inputs!$D$1)+15,1,0)))))</f>
        <v>#NAME?</v>
      </c>
      <c r="R72" s="280" t="e">
        <f aca="false">IF($A72="N/A"," ",IF('Pricing Inputs'!$AN$8=2,(K72-$H72),IF('Pricing Inputs'!$AN$3=2,IF((K72-$H72)&gt;0,K72-$H72,0),(xSPRDOPT(K72,$E72,$BU72,0,$BP72,$BS72,$BT72,($A72-Inputs!$D$1)+15,1,0)))))</f>
        <v>#NAME?</v>
      </c>
      <c r="S72" s="280" t="e">
        <f aca="false">IF($A72="N/A"," ",IF('Pricing Inputs'!$AN$8=2,(L72-$H72),IF('Pricing Inputs'!$AN$3=2,IF((L72-$H72)&gt;0,L72-$H72,0),(xSPRDOPT(L72,$E72,$BU72,0,$BP72,$BS72,$BT72,($A72-Inputs!$D$1)+15,1,0)))))</f>
        <v>#NAME?</v>
      </c>
      <c r="T72" s="280" t="e">
        <f aca="false">IF($A72="N/A"," ",IF('Pricing Inputs'!$AN$8=2,(M72-$H72),IF('Pricing Inputs'!$AN$3=2,IF((M72-$H72)&gt;0,M72-$H72,0),(xSPRDOPT(M72,$E72,$BU72,0,$BP72,$BS72,$BT72,($A72-Inputs!$D$1)+15,1,0)))))</f>
        <v>#NAME?</v>
      </c>
      <c r="U72" s="280" t="e">
        <f aca="false">IF($A72="N/A"," ",IF('Pricing Inputs'!$AN$8=2,(N72-$H72),IF('Pricing Inputs'!$AN$3=2,IF((N72-$H72)&gt;0,N72-$H72,0),(xSPRDOPT(N72,$E72,$BU72,0,$BP72,$BS72,$BT72,($A72-Inputs!$D$1)+15,1,0)))))</f>
        <v>#NAME?</v>
      </c>
      <c r="V72" s="281" t="e">
        <f aca="false">IF($A72="N/A"," ",(IF('Pricing Inputs'!$AN$8=2,(O72-$H72),IF((O72-$H72)&lt;=0,0,(O72-$H72)))))</f>
        <v>#N/A</v>
      </c>
      <c r="W72" s="282" t="e">
        <f aca="false">IF($A72="N/A"," ",IF(0&lt;&gt;P72,IF('Pricing Inputs'!$AN$3=2,8*VLOOKUP($A72,NumberofDaysTable,2),(xSPRDOPT(I72,$E72,$BU72,0,$BP72,$BS72,$BT72,$A72-Inputs!$D$1,1,1))*(8*VLOOKUP($A72,NumberofDaysTable,2))),0))</f>
        <v>#NAME?</v>
      </c>
      <c r="X72" s="282" t="e">
        <f aca="false">IF($A72="N/A"," ",IF(Q72&lt;&gt;0,IF('Pricing Inputs'!$AN$3=2,8*VLOOKUP($A72,NumberofDaysTable,2),(xSPRDOPT(J72,$E72,$BU72,0,$BP72,$BS72,$BT72,$A72-Inputs!$D$1,1,1))*(8*VLOOKUP($A72,NumberofDaysTable,2))),0))</f>
        <v>#NAME?</v>
      </c>
      <c r="Y72" s="282" t="e">
        <f aca="false">IF($A72="N/A"," ",IF(R72&lt;&gt;0,IF('Pricing Inputs'!$AN$3=2,8*VLOOKUP($A72,NumberofDaysTable,3),(xSPRDOPT(K72,$E72,$BU72,0,$BP72,$BS72,$BT72,$A72-Inputs!$D$1,1,1))*(8*VLOOKUP($A72,NumberofDaysTable,3))),0))</f>
        <v>#NAME?</v>
      </c>
      <c r="Z72" s="282" t="e">
        <f aca="false">IF($A72="N/A"," ",IF(S72&lt;&gt;0,IF('Pricing Inputs'!$AN$3=2,8*VLOOKUP($A72,NumberofDaysTable,3),(xSPRDOPT(L72,$E72,$BU72,0,$BP72,$BS72,$BT72,$A72-Inputs!$D$1,1,1))*(8*VLOOKUP($A72,NumberofDaysTable,3))),0))</f>
        <v>#NAME?</v>
      </c>
      <c r="AA72" s="282" t="e">
        <f aca="false">IF($A72="N/A"," ",IF(T72&lt;&gt;0,IF('Pricing Inputs'!$AN$3=2,8*VLOOKUP($A72,NumberofDaysTable,4),(xSPRDOPT(M72,$E72,$BU72,0,$BP72,$BS72,$BT72,$A72-Inputs!$D$1,1,1))*(8*VLOOKUP($A72,NumberofDaysTable,4))),0))</f>
        <v>#NAME?</v>
      </c>
      <c r="AB72" s="282" t="e">
        <f aca="false">IF($A72="N/A"," ",IF(U72&lt;&gt;0,IF('Pricing Inputs'!$AN$3=2,8*VLOOKUP($A72,NumberofDaysTable,4),(xSPRDOPT(N72,$E72,$BU72,0,$BP72,$BS72,$BT72,$A72-Inputs!$D$1,1,1))*(8*VLOOKUP($A72,NumberofDaysTable,4))),0))</f>
        <v>#NAME?</v>
      </c>
      <c r="AC72" s="282" t="e">
        <f aca="false">IF($A72="N/A"," ",(IF(V72&lt;&gt;0,(8*VLOOKUP($A72,NumberofDaysTable,6)),0)))</f>
        <v>#N/A</v>
      </c>
      <c r="AD72" s="298" t="e">
        <f aca="false">IF($A72="N/A"," ",RANK(P72,$P$64:$V$75))</f>
        <v>#NAME?</v>
      </c>
      <c r="AE72" s="299" t="e">
        <f aca="false">IF($A72="N/A"," ",RANK(Q72,$P$64:$V$75))</f>
        <v>#NAME?</v>
      </c>
      <c r="AF72" s="299" t="e">
        <f aca="false">IF($A72="N/A"," ",RANK(R72,$P$64:$V$75))</f>
        <v>#NAME?</v>
      </c>
      <c r="AG72" s="299" t="e">
        <f aca="false">IF($A72="N/A"," ",RANK(S72,$P$64:$V$75))</f>
        <v>#NAME?</v>
      </c>
      <c r="AH72" s="299" t="e">
        <f aca="false">IF($A72="N/A"," ",RANK(T72,$P$64:$V$75))</f>
        <v>#NAME?</v>
      </c>
      <c r="AI72" s="299" t="e">
        <f aca="false">IF($A72="N/A"," ",RANK(U72,$P$64:$V$75))</f>
        <v>#NAME?</v>
      </c>
      <c r="AJ72" s="300" t="e">
        <f aca="false">IF($A72="N/A"," ",RANK(V72,$P$64:$V$75))</f>
        <v>#NAME?</v>
      </c>
      <c r="AK72" s="286" t="e">
        <f aca="false">IF($A72="N/A"," ",IF(AD72&lt;=$AJ$2,W72,0))</f>
        <v>#NAME?</v>
      </c>
      <c r="AL72" s="301" t="e">
        <f aca="false">IF($A72="N/A"," ",IF(AE72&lt;=$AJ$2,X72,0))</f>
        <v>#NAME?</v>
      </c>
      <c r="AM72" s="301" t="e">
        <f aca="false">IF($A72="N/A"," ",IF(AF72&lt;=$AJ$2,Y72,0))</f>
        <v>#NAME?</v>
      </c>
      <c r="AN72" s="301" t="e">
        <f aca="false">IF($A72="N/A"," ",IF(AG72&lt;=$AJ$2,Z72,0))</f>
        <v>#NAME?</v>
      </c>
      <c r="AO72" s="301" t="e">
        <f aca="false">IF($A72="N/A"," ",IF(AH72&lt;=$AJ$2,AA72,0))</f>
        <v>#NAME?</v>
      </c>
      <c r="AP72" s="301" t="e">
        <f aca="false">IF($A72="N/A"," ",IF(AI72&lt;=$AJ$2,AB72,0))</f>
        <v>#NAME?</v>
      </c>
      <c r="AQ72" s="301" t="e">
        <f aca="false">IF($A72="N/A"," ",IF(AJ72&lt;=$AJ$2,AC72,0))</f>
        <v>#NAME?</v>
      </c>
      <c r="AR72" s="300"/>
      <c r="AS72" s="288" t="e">
        <f aca="false">IF($A72="N/A"," ",IF(AND(AD72=$AJ$2+1,AK72=0),MIN($AR$75,W72),0))</f>
        <v>#NAME?</v>
      </c>
      <c r="AT72" s="302" t="e">
        <f aca="false">IF($A72="N/A"," ",IF(AND(AE72=$AJ$2+1,AL72=0),MIN($AR$75,X72),0))</f>
        <v>#NAME?</v>
      </c>
      <c r="AU72" s="302" t="e">
        <f aca="false">IF($A72="N/A"," ",IF(AND(AF72=$AJ$2+1,AM72=0),MIN($AR$75,Y72),0))</f>
        <v>#NAME?</v>
      </c>
      <c r="AV72" s="302" t="e">
        <f aca="false">IF($A72="N/A"," ",IF(AND(AG72=$AJ$2+1,AN72=0),MIN($AR$75,Z72),0))</f>
        <v>#NAME?</v>
      </c>
      <c r="AW72" s="302" t="e">
        <f aca="false">IF($A72="N/A"," ",IF(AND(AH72=$AJ$2+1,AO72=0),MIN($AR$75,AA72),0))</f>
        <v>#NAME?</v>
      </c>
      <c r="AX72" s="302" t="e">
        <f aca="false">IF($A72="N/A"," ",IF(AND(AI72=$AJ$2+1,AP72=0),MIN($AR$75,AB72),0))</f>
        <v>#NAME?</v>
      </c>
      <c r="AY72" s="302" t="e">
        <f aca="false">IF($A72="N/A"," ",IF(AND(AJ72=$AJ$2+1,AQ72=0),MIN($AR$75,AC72),0))</f>
        <v>#NAME?</v>
      </c>
      <c r="AZ72" s="300"/>
      <c r="BA72" s="291" t="n">
        <f aca="false">IF($A72="N/A"," ",(IF(MONTH(A72)&gt;=4,IF(MONTH(A72)&lt;=10,Inputs!$F$13,Inputs!$F$14),Inputs!$F$14))*$BW72)</f>
        <v>180</v>
      </c>
      <c r="BB72" s="292" t="e">
        <f aca="false">IF($A72="N/A"," ",(IF(AK72&gt;0,($BA72*(8*(VLOOKUP($A72,NumberofDaysTable,2)))*P72),0)+IF(AS72&gt;0,($BA72*((AS72))*P72),0)))</f>
        <v>#NAME?</v>
      </c>
      <c r="BC72" s="292" t="e">
        <f aca="false">IF($A72="N/A"," ",(IF(AL72&gt;0,($BA72*(8*(VLOOKUP($A72,NumberofDaysTable,2)))*Q72),0)+IF(AT72&gt;0,($BA72*((AT72))*Q72),0)))</f>
        <v>#NAME?</v>
      </c>
      <c r="BD72" s="292" t="e">
        <f aca="false">IF($A72="N/A"," ",(IF(AM72&gt;0,($BA72*(8*(VLOOKUP($A72,NumberofDaysTable,3)))*R72),0)+IF(AU72&gt;0,($BA72*((AU72))*R72),0)))</f>
        <v>#NAME?</v>
      </c>
      <c r="BE72" s="292" t="e">
        <f aca="false">IF($A72="N/A"," ",(IF(AN72&gt;0,($BA72*(8*(VLOOKUP($A72,NumberofDaysTable,3)))*S72),0)+IF(AV72&gt;0,($BA72*((AV72))*S72),0)))</f>
        <v>#NAME?</v>
      </c>
      <c r="BF72" s="292" t="e">
        <f aca="false">IF($A72="N/A"," ",(IF(AO72&gt;0,($BA72*(8*(VLOOKUP($A72,NumberofDaysTable,4)+VLOOKUP($A72,NumberofDaysTable,5)))*T72),0)+IF(AW72&gt;0,($BA72*((AW72))*T72),0)))</f>
        <v>#NAME?</v>
      </c>
      <c r="BG72" s="292" t="e">
        <f aca="false">IF($A72="N/A"," ",(IF(AP72&gt;0,($BA72*(8*(VLOOKUP($A72,NumberofDaysTable,4)+VLOOKUP($A72,NumberofDaysTable,5)))*U72),0)+IF(AX72&gt;0,($BA72*((AX72))*U72),0)))</f>
        <v>#NAME?</v>
      </c>
      <c r="BH72" s="292" t="e">
        <f aca="false">IF($A72="N/A"," ",($BA72*AQ72*V72))</f>
        <v>#NAME?</v>
      </c>
      <c r="BI72" s="292" t="e">
        <f aca="false">IF($A72="N/A"," ",SUM(BB72:BH72))</f>
        <v>#NAME?</v>
      </c>
      <c r="BJ72" s="293" t="e">
        <f aca="false">IF($A72="N/A"," ",(H72*(SUM(AK72:AQ72)+SUM(AS72:AY72))*BA72))</f>
        <v>#NAME?</v>
      </c>
      <c r="BK72" s="293" t="e">
        <f aca="false">IF($A72="N/A"," ",((C72*D72)*(SUM($AK72:$AQ72)+SUM($AS72:$AY72))*$BA72))</f>
        <v>#N/A</v>
      </c>
      <c r="BL72" s="293" t="e">
        <f aca="false">IF($A72="N/A"," ",(F72*(SUM($AK72:$AQ72)+SUM($AS72:$AY72))*$BA72))</f>
        <v>#NAME?</v>
      </c>
      <c r="BM72" s="293" t="e">
        <f aca="false">IF($A72="N/A"," ",(G72*(SUM($AK72:$AQ72)+SUM($AS72:$AY72))*$BA72))</f>
        <v>#NAME?</v>
      </c>
      <c r="BN72" s="294" t="n">
        <f aca="false">IF(A72="N/A"," ",(VLOOKUP(A72,PowerVolTable,(IF('Pricing Inputs'!$AT$3=2,7,IF('Pricing Inputs'!$AT$3=1,6,8))),FALSE())))</f>
        <v>0.205090637484375</v>
      </c>
      <c r="BO72" s="294" t="n">
        <f aca="false">IF(A72="N/A"," ",(VLOOKUP(A72,IntraPowerVol,(IF('Pricing Inputs'!$AT$3=2,3,IF('Pricing Inputs'!$AT$3=1,2,4))),FALSE())*VLOOKUP(MONTH($A72),Inputs!$A$28:$B$39,2)))</f>
        <v>1.725</v>
      </c>
      <c r="BP72" s="295" t="n">
        <f aca="false">IF($A72="N/A"," ",(IF(DateToday&gt;$A72,$BO72,((($BN72^2)*((($A72-1)-DateToday)/((EOMONTH($A72,0)+1)-DateToday-15)))+((($BO72)^2)*((15)/((EOMONTH($A72,0)+1)-DateToday-15))))^0.5)))</f>
        <v>1.725</v>
      </c>
      <c r="BQ72" s="294" t="e">
        <f aca="false">IF($A72="N/A"," ",(VLOOKUP($A72,GasVolTable,(IF('Pricing Inputs'!$AT$3=2,6,IF('Pricing Inputs'!$AT$3=1,7,5))),FALSE())))</f>
        <v>#N/A</v>
      </c>
      <c r="BR72" s="294" t="e">
        <f aca="false">IF($A72="N/A"," ",(VLOOKUP($A72,OmicronVol,(IF('Pricing Inputs'!$AT$3=2,3,IF('Pricing Inputs'!$AT$3=1,4,2))),FALSE())))</f>
        <v>#N/A</v>
      </c>
      <c r="BS72" s="295" t="e">
        <f aca="false">IF($A72="N/A"," ",IF('Pricing Inputs'!$AN$3=1,(IF(DateToday&gt;$A72,$BR72,((($BQ72^2)*((($A72-1)-DateToday)/((EOMONTH($A72,0)+1)-DateToday-15)))+((($BR72)^2)*((15)/((EOMONTH($A72,0)+1)-DateToday-15))))^0.5)),0.0001))</f>
        <v>#N/A</v>
      </c>
      <c r="BT72" s="294" t="n">
        <f aca="false">IF($A72="N/A"," ",IF('Pricing Inputs'!$AN$3=1,(VLOOKUP($A72,CorrelationTable,2,FALSE())),0))</f>
        <v>0.9</v>
      </c>
      <c r="BU72" s="296" t="e">
        <f aca="false">IF($A72="N/A"," ",F72+G72+(D72*(VLOOKUP($A72,'Gas Curves'!$B$17:$P$310,14,FALSE()))))</f>
        <v>#N/A</v>
      </c>
      <c r="BV72" s="294" t="n">
        <f aca="false">IF($A72="N/A"," ",IF('Pricing Inputs'!$AW$3=1,0,(VLOOKUP($A72,InterestRatesTable,2))))</f>
        <v>0</v>
      </c>
      <c r="BW72" s="297" t="n">
        <f aca="false">IF($A72="N/A"," ",(1+BV72/2)^(-2*((EOMONTH(A72,0)+20)-DateToday)/365.25))</f>
        <v>1</v>
      </c>
    </row>
    <row r="73" customFormat="false" ht="12.75" hidden="false" customHeight="false" outlineLevel="0" collapsed="false">
      <c r="A73" s="272" t="n">
        <f aca="false">IF(A72="N/A","N/A",IF(EDATE(A72,1)&gt;Inputs!$K$3,"N/A",EDATE(A72,1)))</f>
        <v>38991</v>
      </c>
      <c r="B73" s="273" t="n">
        <f aca="false">IF(A73="N/A"," ",YEAR(A73))</f>
        <v>2006</v>
      </c>
      <c r="C73" s="274" t="e">
        <f aca="false">IF(A73="N/A"," ",VLOOKUP(A73,ScaledPrice,10))</f>
        <v>#N/A</v>
      </c>
      <c r="D73" s="275" t="n">
        <f aca="false">IF(A73="N/A"," ",(VLOOKUP(MONTH($A73),Inputs!$A$14:$B$25,2))/1000)</f>
        <v>10.5</v>
      </c>
      <c r="E73" s="276" t="e">
        <f aca="false">IF($A73="N/A"," ",C73*D73)</f>
        <v>#N/A</v>
      </c>
      <c r="F73" s="277" t="n">
        <f aca="false">IF(A73="N/A"," ",Inputs!$F$6)</f>
        <v>2</v>
      </c>
      <c r="G73" s="277" t="n">
        <f aca="false">IF(A73="N/A"," ",Inputs!$F$9/IF(AND('Pricing Inputs'!$AQ$3&gt;=4,'Pricing Inputs'!$AQ$3&lt;=6),16,IF(AND('Pricing Inputs'!$AQ$3&gt;=7,'Pricing Inputs'!$AQ$3&lt;=9),8,24))/(BA73/BW73))</f>
        <v>0</v>
      </c>
      <c r="H73" s="278" t="e">
        <f aca="false">IF(A73="N/A"," ",(C73*D73)+F73+G73)</f>
        <v>#N/A</v>
      </c>
      <c r="I73" s="279" t="n">
        <f aca="false">VLOOKUP(A73,ScaledPrice,(IF(AND('Pricing Inputs'!$AQ$3&gt;=1,'Pricing Inputs'!$AQ$3&lt;=6),2,4)))</f>
        <v>30.199905</v>
      </c>
      <c r="J73" s="279" t="n">
        <f aca="false">IF(A73="N/A"," ",IF(AND('Pricing Inputs'!$AQ$3&gt;=1,'Pricing Inputs'!$AQ$3&lt;=6),I73,(VLOOKUP(A73,ScaledPrice,2))*(2-(VLOOKUP(A73,ScaledPrice,3)))))</f>
        <v>31.000095</v>
      </c>
      <c r="K73" s="279" t="n">
        <f aca="false">IF(A73="N/A"," ",IF(OR('Pricing Inputs'!$AQ$3=2,'Pricing Inputs'!$AQ$3=3,'Pricing Inputs'!$AQ$3=5,'Pricing Inputs'!$AQ$3=6,'Pricing Inputs'!$AQ$3=8,'Pricing Inputs'!$AQ$3=9),VLOOKUP(A73,ScaledPrice,IF(AND('Pricing Inputs'!$AQ$3&gt;=2,'Pricing Inputs'!$AQ$3&lt;=6),5,6)),0))</f>
        <v>23.291923567915</v>
      </c>
      <c r="L73" s="279" t="n">
        <f aca="false">IF(A73="N/A"," ",IF(OR('Pricing Inputs'!$AQ$3=2,'Pricing Inputs'!$AQ$3=3,'Pricing Inputs'!$AQ$3=5,'Pricing Inputs'!$AQ$3=6,'Pricing Inputs'!$AQ$3=8,'Pricing Inputs'!$AQ$3=9),IF(AND('Pricing Inputs'!$AQ$3&gt;=2,'Pricing Inputs'!$AQ$3&lt;=6),K73,(VLOOKUP(A73,ScaledPrice,5))*(2-(VLOOKUP(A73,ScaledPrice,3)))),0))</f>
        <v>23.9090766457081</v>
      </c>
      <c r="M73" s="279" t="n">
        <f aca="false">IF(A73="N/A"," ",IF(OR('Pricing Inputs'!$AQ$3=3,'Pricing Inputs'!$AQ$3=6,'Pricing Inputs'!$AQ$3=9),(VLOOKUP(A73,ScaledPrice,IF(AND('Pricing Inputs'!$AQ$3&gt;=3,'Pricing Inputs'!$AQ$3&lt;=6),7,8))),0))</f>
        <v>21.3185667593479</v>
      </c>
      <c r="N73" s="279" t="n">
        <f aca="false">IF(A73="N/A"," ",IF(OR('Pricing Inputs'!$AQ$3=3,'Pricing Inputs'!$AQ$3=6,'Pricing Inputs'!$AQ$3=9),IF(AND('Pricing Inputs'!$AQ$3&gt;=3,'Pricing Inputs'!$AQ$3&lt;=6),M73,(VLOOKUP(A73,ScaledPrice,7))*(2-(VLOOKUP(A73,ScaledPrice,3)))),0))</f>
        <v>21.8834329049587</v>
      </c>
      <c r="O73" s="279" t="n">
        <f aca="false">IF(A73="N/A"," ",IF(AND('Pricing Inputs'!$AQ$3&gt;=1,'Pricing Inputs'!$AQ$3&lt;=3),VLOOKUP(A73,ScaledPrice,9),0))</f>
        <v>0</v>
      </c>
      <c r="P73" s="280" t="e">
        <f aca="false">IF($A73="N/A"," ",IF('Pricing Inputs'!$AN$8=2,(I73-H73),IF('Pricing Inputs'!$AN$3=2,IF((I73-$H73)&gt;0,I73-$H73,0),(xSPRDOPT(I73,$E73,$BU73,0,$BP73,$BS73,$BT73,($A73-Inputs!$D$1)+15,1,0)))))</f>
        <v>#NAME?</v>
      </c>
      <c r="Q73" s="280" t="e">
        <f aca="false">IF($A73="N/A"," ",IF('Pricing Inputs'!$AN$8=2,(J73-$H73),IF('Pricing Inputs'!$AN$3=2,IF((J73-$H73)&gt;0,J73-$H73,0),(xSPRDOPT(J73,$E73,$BU73,0,$BP73,$BS73,$BT73,($A73-Inputs!$D$1)+15,1,0)))))</f>
        <v>#NAME?</v>
      </c>
      <c r="R73" s="280" t="e">
        <f aca="false">IF($A73="N/A"," ",IF('Pricing Inputs'!$AN$8=2,(K73-$H73),IF('Pricing Inputs'!$AN$3=2,IF((K73-$H73)&gt;0,K73-$H73,0),(xSPRDOPT(K73,$E73,$BU73,0,$BP73,$BS73,$BT73,($A73-Inputs!$D$1)+15,1,0)))))</f>
        <v>#NAME?</v>
      </c>
      <c r="S73" s="280" t="e">
        <f aca="false">IF($A73="N/A"," ",IF('Pricing Inputs'!$AN$8=2,(L73-$H73),IF('Pricing Inputs'!$AN$3=2,IF((L73-$H73)&gt;0,L73-$H73,0),(xSPRDOPT(L73,$E73,$BU73,0,$BP73,$BS73,$BT73,($A73-Inputs!$D$1)+15,1,0)))))</f>
        <v>#NAME?</v>
      </c>
      <c r="T73" s="280" t="e">
        <f aca="false">IF($A73="N/A"," ",IF('Pricing Inputs'!$AN$8=2,(M73-$H73),IF('Pricing Inputs'!$AN$3=2,IF((M73-$H73)&gt;0,M73-$H73,0),(xSPRDOPT(M73,$E73,$BU73,0,$BP73,$BS73,$BT73,($A73-Inputs!$D$1)+15,1,0)))))</f>
        <v>#NAME?</v>
      </c>
      <c r="U73" s="280" t="e">
        <f aca="false">IF($A73="N/A"," ",IF('Pricing Inputs'!$AN$8=2,(N73-$H73),IF('Pricing Inputs'!$AN$3=2,IF((N73-$H73)&gt;0,N73-$H73,0),(xSPRDOPT(N73,$E73,$BU73,0,$BP73,$BS73,$BT73,($A73-Inputs!$D$1)+15,1,0)))))</f>
        <v>#NAME?</v>
      </c>
      <c r="V73" s="281" t="e">
        <f aca="false">IF($A73="N/A"," ",(IF('Pricing Inputs'!$AN$8=2,(O73-$H73),IF((O73-$H73)&lt;=0,0,(O73-$H73)))))</f>
        <v>#N/A</v>
      </c>
      <c r="W73" s="282" t="e">
        <f aca="false">IF($A73="N/A"," ",IF(0&lt;&gt;P73,IF('Pricing Inputs'!$AN$3=2,8*VLOOKUP($A73,NumberofDaysTable,2),(xSPRDOPT(I73,$E73,$BU73,0,$BP73,$BS73,$BT73,$A73-Inputs!$D$1,1,1))*(8*VLOOKUP($A73,NumberofDaysTable,2))),0))</f>
        <v>#NAME?</v>
      </c>
      <c r="X73" s="282" t="e">
        <f aca="false">IF($A73="N/A"," ",IF(Q73&lt;&gt;0,IF('Pricing Inputs'!$AN$3=2,8*VLOOKUP($A73,NumberofDaysTable,2),(xSPRDOPT(J73,$E73,$BU73,0,$BP73,$BS73,$BT73,$A73-Inputs!$D$1,1,1))*(8*VLOOKUP($A73,NumberofDaysTable,2))),0))</f>
        <v>#NAME?</v>
      </c>
      <c r="Y73" s="282" t="e">
        <f aca="false">IF($A73="N/A"," ",IF(R73&lt;&gt;0,IF('Pricing Inputs'!$AN$3=2,8*VLOOKUP($A73,NumberofDaysTable,3),(xSPRDOPT(K73,$E73,$BU73,0,$BP73,$BS73,$BT73,$A73-Inputs!$D$1,1,1))*(8*VLOOKUP($A73,NumberofDaysTable,3))),0))</f>
        <v>#NAME?</v>
      </c>
      <c r="Z73" s="282" t="e">
        <f aca="false">IF($A73="N/A"," ",IF(S73&lt;&gt;0,IF('Pricing Inputs'!$AN$3=2,8*VLOOKUP($A73,NumberofDaysTable,3),(xSPRDOPT(L73,$E73,$BU73,0,$BP73,$BS73,$BT73,$A73-Inputs!$D$1,1,1))*(8*VLOOKUP($A73,NumberofDaysTable,3))),0))</f>
        <v>#NAME?</v>
      </c>
      <c r="AA73" s="282" t="e">
        <f aca="false">IF($A73="N/A"," ",IF(T73&lt;&gt;0,IF('Pricing Inputs'!$AN$3=2,8*VLOOKUP($A73,NumberofDaysTable,4),(xSPRDOPT(M73,$E73,$BU73,0,$BP73,$BS73,$BT73,$A73-Inputs!$D$1,1,1))*(8*VLOOKUP($A73,NumberofDaysTable,4))),0))</f>
        <v>#NAME?</v>
      </c>
      <c r="AB73" s="282" t="e">
        <f aca="false">IF($A73="N/A"," ",IF(U73&lt;&gt;0,IF('Pricing Inputs'!$AN$3=2,8*VLOOKUP($A73,NumberofDaysTable,4),(xSPRDOPT(N73,$E73,$BU73,0,$BP73,$BS73,$BT73,$A73-Inputs!$D$1,1,1))*(8*VLOOKUP($A73,NumberofDaysTable,4))),0))</f>
        <v>#NAME?</v>
      </c>
      <c r="AC73" s="282" t="e">
        <f aca="false">IF($A73="N/A"," ",(IF(V73&lt;&gt;0,(8*VLOOKUP($A73,NumberofDaysTable,6)),0)))</f>
        <v>#N/A</v>
      </c>
      <c r="AD73" s="298" t="e">
        <f aca="false">IF($A73="N/A"," ",RANK(P73,$P$64:$V$75))</f>
        <v>#NAME?</v>
      </c>
      <c r="AE73" s="299" t="e">
        <f aca="false">IF($A73="N/A"," ",RANK(Q73,$P$64:$V$75))</f>
        <v>#NAME?</v>
      </c>
      <c r="AF73" s="299" t="e">
        <f aca="false">IF($A73="N/A"," ",RANK(R73,$P$64:$V$75))</f>
        <v>#NAME?</v>
      </c>
      <c r="AG73" s="299" t="e">
        <f aca="false">IF($A73="N/A"," ",RANK(S73,$P$64:$V$75))</f>
        <v>#NAME?</v>
      </c>
      <c r="AH73" s="299" t="e">
        <f aca="false">IF($A73="N/A"," ",RANK(T73,$P$64:$V$75))</f>
        <v>#NAME?</v>
      </c>
      <c r="AI73" s="299" t="e">
        <f aca="false">IF($A73="N/A"," ",RANK(U73,$P$64:$V$75))</f>
        <v>#NAME?</v>
      </c>
      <c r="AJ73" s="300" t="e">
        <f aca="false">IF($A73="N/A"," ",RANK(V73,$P$64:$V$75))</f>
        <v>#NAME?</v>
      </c>
      <c r="AK73" s="286" t="e">
        <f aca="false">IF($A73="N/A"," ",IF(AD73&lt;=$AJ$2,W73,0))</f>
        <v>#NAME?</v>
      </c>
      <c r="AL73" s="301" t="e">
        <f aca="false">IF($A73="N/A"," ",IF(AE73&lt;=$AJ$2,X73,0))</f>
        <v>#NAME?</v>
      </c>
      <c r="AM73" s="301" t="e">
        <f aca="false">IF($A73="N/A"," ",IF(AF73&lt;=$AJ$2,Y73,0))</f>
        <v>#NAME?</v>
      </c>
      <c r="AN73" s="301" t="e">
        <f aca="false">IF($A73="N/A"," ",IF(AG73&lt;=$AJ$2,Z73,0))</f>
        <v>#NAME?</v>
      </c>
      <c r="AO73" s="301" t="e">
        <f aca="false">IF($A73="N/A"," ",IF(AH73&lt;=$AJ$2,AA73,0))</f>
        <v>#NAME?</v>
      </c>
      <c r="AP73" s="301" t="e">
        <f aca="false">IF($A73="N/A"," ",IF(AI73&lt;=$AJ$2,AB73,0))</f>
        <v>#NAME?</v>
      </c>
      <c r="AQ73" s="301" t="e">
        <f aca="false">IF($A73="N/A"," ",IF(AJ73&lt;=$AJ$2,AC73,0))</f>
        <v>#NAME?</v>
      </c>
      <c r="AR73" s="304" t="s">
        <v>1301</v>
      </c>
      <c r="AS73" s="288" t="e">
        <f aca="false">IF($A73="N/A"," ",IF(AND(AD73=$AJ$2+1,AK73=0),MIN($AR$75,W73),0))</f>
        <v>#NAME?</v>
      </c>
      <c r="AT73" s="302" t="e">
        <f aca="false">IF($A73="N/A"," ",IF(AND(AE73=$AJ$2+1,AL73=0),MIN($AR$75,X73),0))</f>
        <v>#NAME?</v>
      </c>
      <c r="AU73" s="302" t="e">
        <f aca="false">IF($A73="N/A"," ",IF(AND(AF73=$AJ$2+1,AM73=0),MIN($AR$75,Y73),0))</f>
        <v>#NAME?</v>
      </c>
      <c r="AV73" s="302" t="e">
        <f aca="false">IF($A73="N/A"," ",IF(AND(AG73=$AJ$2+1,AN73=0),MIN($AR$75,Z73),0))</f>
        <v>#NAME?</v>
      </c>
      <c r="AW73" s="302" t="e">
        <f aca="false">IF($A73="N/A"," ",IF(AND(AH73=$AJ$2+1,AO73=0),MIN($AR$75,AA73),0))</f>
        <v>#NAME?</v>
      </c>
      <c r="AX73" s="302" t="e">
        <f aca="false">IF($A73="N/A"," ",IF(AND(AI73=$AJ$2+1,AP73=0),MIN($AR$75,AB73),0))</f>
        <v>#NAME?</v>
      </c>
      <c r="AY73" s="302" t="e">
        <f aca="false">IF($A73="N/A"," ",IF(AND(AJ73=$AJ$2+1,AQ73=0),MIN($AR$75,AC73),0))</f>
        <v>#NAME?</v>
      </c>
      <c r="AZ73" s="303" t="s">
        <v>1328</v>
      </c>
      <c r="BA73" s="291" t="n">
        <f aca="false">IF($A73="N/A"," ",(IF(MONTH(A73)&gt;=4,IF(MONTH(A73)&lt;=10,Inputs!$F$13,Inputs!$F$14),Inputs!$F$14))*$BW73)</f>
        <v>180</v>
      </c>
      <c r="BB73" s="292" t="e">
        <f aca="false">IF($A73="N/A"," ",(IF(AK73&gt;0,($BA73*(8*(VLOOKUP($A73,NumberofDaysTable,2)))*P73),0)+IF(AS73&gt;0,($BA73*((AS73))*P73),0)))</f>
        <v>#NAME?</v>
      </c>
      <c r="BC73" s="292" t="e">
        <f aca="false">IF($A73="N/A"," ",(IF(AL73&gt;0,($BA73*(8*(VLOOKUP($A73,NumberofDaysTable,2)))*Q73),0)+IF(AT73&gt;0,($BA73*((AT73))*Q73),0)))</f>
        <v>#NAME?</v>
      </c>
      <c r="BD73" s="292" t="e">
        <f aca="false">IF($A73="N/A"," ",(IF(AM73&gt;0,($BA73*(8*(VLOOKUP($A73,NumberofDaysTable,3)))*R73),0)+IF(AU73&gt;0,($BA73*((AU73))*R73),0)))</f>
        <v>#NAME?</v>
      </c>
      <c r="BE73" s="292" t="e">
        <f aca="false">IF($A73="N/A"," ",(IF(AN73&gt;0,($BA73*(8*(VLOOKUP($A73,NumberofDaysTable,3)))*S73),0)+IF(AV73&gt;0,($BA73*((AV73))*S73),0)))</f>
        <v>#NAME?</v>
      </c>
      <c r="BF73" s="292" t="e">
        <f aca="false">IF($A73="N/A"," ",(IF(AO73&gt;0,($BA73*(8*(VLOOKUP($A73,NumberofDaysTable,4)+VLOOKUP($A73,NumberofDaysTable,5)))*T73),0)+IF(AW73&gt;0,($BA73*((AW73))*T73),0)))</f>
        <v>#NAME?</v>
      </c>
      <c r="BG73" s="292" t="e">
        <f aca="false">IF($A73="N/A"," ",(IF(AP73&gt;0,($BA73*(8*(VLOOKUP($A73,NumberofDaysTable,4)+VLOOKUP($A73,NumberofDaysTable,5)))*U73),0)+IF(AX73&gt;0,($BA73*((AX73))*U73),0)))</f>
        <v>#NAME?</v>
      </c>
      <c r="BH73" s="292" t="e">
        <f aca="false">IF($A73="N/A"," ",($BA73*AQ73*V73))</f>
        <v>#NAME?</v>
      </c>
      <c r="BI73" s="292" t="e">
        <f aca="false">IF($A73="N/A"," ",SUM(BB73:BH73))</f>
        <v>#NAME?</v>
      </c>
      <c r="BJ73" s="293" t="e">
        <f aca="false">IF($A73="N/A"," ",(H73*(SUM(AK73:AQ73)+SUM(AS73:AY73))*BA73))</f>
        <v>#NAME?</v>
      </c>
      <c r="BK73" s="293" t="e">
        <f aca="false">IF($A73="N/A"," ",((C73*D73)*(SUM($AK73:$AQ73)+SUM($AS73:$AY73))*$BA73))</f>
        <v>#N/A</v>
      </c>
      <c r="BL73" s="293" t="e">
        <f aca="false">IF($A73="N/A"," ",(F73*(SUM($AK73:$AQ73)+SUM($AS73:$AY73))*$BA73))</f>
        <v>#NAME?</v>
      </c>
      <c r="BM73" s="293" t="e">
        <f aca="false">IF($A73="N/A"," ",(G73*(SUM($AK73:$AQ73)+SUM($AS73:$AY73))*$BA73))</f>
        <v>#NAME?</v>
      </c>
      <c r="BN73" s="294" t="n">
        <f aca="false">IF(A73="N/A"," ",(VLOOKUP(A73,PowerVolTable,(IF('Pricing Inputs'!$AT$3=2,7,IF('Pricing Inputs'!$AT$3=1,6,8))),FALSE())))</f>
        <v>0.18733236496875</v>
      </c>
      <c r="BO73" s="294" t="n">
        <f aca="false">IF(A73="N/A"," ",(VLOOKUP(A73,IntraPowerVol,(IF('Pricing Inputs'!$AT$3=2,3,IF('Pricing Inputs'!$AT$3=1,2,4))),FALSE())*VLOOKUP(MONTH($A73),Inputs!$A$28:$B$39,2)))</f>
        <v>1.265</v>
      </c>
      <c r="BP73" s="295" t="n">
        <f aca="false">IF($A73="N/A"," ",(IF(DateToday&gt;$A73,$BO73,((($BN73^2)*((($A73-1)-DateToday)/((EOMONTH($A73,0)+1)-DateToday-15)))+((($BO73)^2)*((15)/((EOMONTH($A73,0)+1)-DateToday-15))))^0.5)))</f>
        <v>1.265</v>
      </c>
      <c r="BQ73" s="294" t="e">
        <f aca="false">IF($A73="N/A"," ",(VLOOKUP($A73,GasVolTable,(IF('Pricing Inputs'!$AT$3=2,6,IF('Pricing Inputs'!$AT$3=1,7,5))),FALSE())))</f>
        <v>#N/A</v>
      </c>
      <c r="BR73" s="294" t="e">
        <f aca="false">IF($A73="N/A"," ",(VLOOKUP($A73,OmicronVol,(IF('Pricing Inputs'!$AT$3=2,3,IF('Pricing Inputs'!$AT$3=1,4,2))),FALSE())))</f>
        <v>#N/A</v>
      </c>
      <c r="BS73" s="295" t="e">
        <f aca="false">IF($A73="N/A"," ",IF('Pricing Inputs'!$AN$3=1,(IF(DateToday&gt;$A73,$BR73,((($BQ73^2)*((($A73-1)-DateToday)/((EOMONTH($A73,0)+1)-DateToday-15)))+((($BR73)^2)*((15)/((EOMONTH($A73,0)+1)-DateToday-15))))^0.5)),0.0001))</f>
        <v>#N/A</v>
      </c>
      <c r="BT73" s="294" t="n">
        <f aca="false">IF($A73="N/A"," ",IF('Pricing Inputs'!$AN$3=1,(VLOOKUP($A73,CorrelationTable,2,FALSE())),0))</f>
        <v>0.9</v>
      </c>
      <c r="BU73" s="296" t="e">
        <f aca="false">IF($A73="N/A"," ",F73+G73+(D73*(VLOOKUP($A73,'Gas Curves'!$B$17:$P$310,14,FALSE()))))</f>
        <v>#N/A</v>
      </c>
      <c r="BV73" s="294" t="n">
        <f aca="false">IF($A73="N/A"," ",IF('Pricing Inputs'!$AW$3=1,0,(VLOOKUP($A73,InterestRatesTable,2))))</f>
        <v>0</v>
      </c>
      <c r="BW73" s="297" t="n">
        <f aca="false">IF($A73="N/A"," ",(1+BV73/2)^(-2*((EOMONTH(A73,0)+20)-DateToday)/365.25))</f>
        <v>1</v>
      </c>
    </row>
    <row r="74" customFormat="false" ht="12.75" hidden="false" customHeight="false" outlineLevel="0" collapsed="false">
      <c r="A74" s="272" t="n">
        <f aca="false">IF(A73="N/A","N/A",IF(EDATE(A73,1)&gt;Inputs!$K$3,"N/A",EDATE(A73,1)))</f>
        <v>39022</v>
      </c>
      <c r="B74" s="273" t="n">
        <f aca="false">IF(A74="N/A"," ",YEAR(A74))</f>
        <v>2006</v>
      </c>
      <c r="C74" s="274" t="e">
        <f aca="false">IF(A74="N/A"," ",VLOOKUP(A74,ScaledPrice,10))</f>
        <v>#N/A</v>
      </c>
      <c r="D74" s="275" t="n">
        <f aca="false">IF(A74="N/A"," ",(VLOOKUP(MONTH($A74),Inputs!$A$14:$B$25,2))/1000)</f>
        <v>10.5</v>
      </c>
      <c r="E74" s="276" t="e">
        <f aca="false">IF($A74="N/A"," ",C74*D74)</f>
        <v>#N/A</v>
      </c>
      <c r="F74" s="277" t="n">
        <f aca="false">IF(A74="N/A"," ",Inputs!$F$6)</f>
        <v>2</v>
      </c>
      <c r="G74" s="277" t="n">
        <f aca="false">IF(A74="N/A"," ",Inputs!$F$9/IF(AND('Pricing Inputs'!$AQ$3&gt;=4,'Pricing Inputs'!$AQ$3&lt;=6),16,IF(AND('Pricing Inputs'!$AQ$3&gt;=7,'Pricing Inputs'!$AQ$3&lt;=9),8,24))/(BA74/BW74))</f>
        <v>0</v>
      </c>
      <c r="H74" s="278" t="e">
        <f aca="false">IF(A74="N/A"," ",(C74*D74)+F74+G74)</f>
        <v>#N/A</v>
      </c>
      <c r="I74" s="279" t="n">
        <f aca="false">VLOOKUP(A74,ScaledPrice,(IF(AND('Pricing Inputs'!$AQ$3&gt;=1,'Pricing Inputs'!$AQ$3&lt;=6),2,4)))</f>
        <v>30.641244375</v>
      </c>
      <c r="J74" s="279" t="n">
        <f aca="false">IF(A74="N/A"," ",IF(AND('Pricing Inputs'!$AQ$3&gt;=1,'Pricing Inputs'!$AQ$3&lt;=6),I74,(VLOOKUP(A74,ScaledPrice,2))*(2-(VLOOKUP(A74,ScaledPrice,3)))))</f>
        <v>31.308755625</v>
      </c>
      <c r="K74" s="279" t="n">
        <f aca="false">IF(A74="N/A"," ",IF(OR('Pricing Inputs'!$AQ$3=2,'Pricing Inputs'!$AQ$3=3,'Pricing Inputs'!$AQ$3=5,'Pricing Inputs'!$AQ$3=6,'Pricing Inputs'!$AQ$3=8,'Pricing Inputs'!$AQ$3=9),VLOOKUP(A74,ScaledPrice,IF(AND('Pricing Inputs'!$AQ$3&gt;=2,'Pricing Inputs'!$AQ$3&lt;=6),5,6)),0))</f>
        <v>24.3396353885651</v>
      </c>
      <c r="L74" s="279" t="n">
        <f aca="false">IF(A74="N/A"," ",IF(OR('Pricing Inputs'!$AQ$3=2,'Pricing Inputs'!$AQ$3=3,'Pricing Inputs'!$AQ$3=5,'Pricing Inputs'!$AQ$3=6,'Pricing Inputs'!$AQ$3=8,'Pricing Inputs'!$AQ$3=9),IF(AND('Pricing Inputs'!$AQ$3&gt;=2,'Pricing Inputs'!$AQ$3&lt;=6),K74,(VLOOKUP(A74,ScaledPrice,5))*(2-(VLOOKUP(A74,ScaledPrice,3)))),0))</f>
        <v>24.8698677852631</v>
      </c>
      <c r="M74" s="279" t="n">
        <f aca="false">IF(A74="N/A"," ",IF(OR('Pricing Inputs'!$AQ$3=3,'Pricing Inputs'!$AQ$3=6,'Pricing Inputs'!$AQ$3=9),(VLOOKUP(A74,ScaledPrice,IF(AND('Pricing Inputs'!$AQ$3&gt;=3,'Pricing Inputs'!$AQ$3&lt;=6),7,8))),0))</f>
        <v>22.3609363313675</v>
      </c>
      <c r="N74" s="279" t="n">
        <f aca="false">IF(A74="N/A"," ",IF(OR('Pricing Inputs'!$AQ$3=3,'Pricing Inputs'!$AQ$3=6,'Pricing Inputs'!$AQ$3=9),IF(AND('Pricing Inputs'!$AQ$3&gt;=3,'Pricing Inputs'!$AQ$3&lt;=6),M74,(VLOOKUP(A74,ScaledPrice,7))*(2-(VLOOKUP(A74,ScaledPrice,3)))),0))</f>
        <v>22.8480633024216</v>
      </c>
      <c r="O74" s="279" t="n">
        <f aca="false">IF(A74="N/A"," ",IF(AND('Pricing Inputs'!$AQ$3&gt;=1,'Pricing Inputs'!$AQ$3&lt;=3),VLOOKUP(A74,ScaledPrice,9),0))</f>
        <v>0</v>
      </c>
      <c r="P74" s="280" t="e">
        <f aca="false">IF($A74="N/A"," ",IF('Pricing Inputs'!$AN$8=2,(I74-H74),IF('Pricing Inputs'!$AN$3=2,IF((I74-$H74)&gt;0,I74-$H74,0),(xSPRDOPT(I74,$E74,$BU74,0,$BP74,$BS74,$BT74,($A74-Inputs!$D$1)+15,1,0)))))</f>
        <v>#NAME?</v>
      </c>
      <c r="Q74" s="280" t="e">
        <f aca="false">IF($A74="N/A"," ",IF('Pricing Inputs'!$AN$8=2,(J74-$H74),IF('Pricing Inputs'!$AN$3=2,IF((J74-$H74)&gt;0,J74-$H74,0),(xSPRDOPT(J74,$E74,$BU74,0,$BP74,$BS74,$BT74,($A74-Inputs!$D$1)+15,1,0)))))</f>
        <v>#NAME?</v>
      </c>
      <c r="R74" s="280" t="e">
        <f aca="false">IF($A74="N/A"," ",IF('Pricing Inputs'!$AN$8=2,(K74-$H74),IF('Pricing Inputs'!$AN$3=2,IF((K74-$H74)&gt;0,K74-$H74,0),(xSPRDOPT(K74,$E74,$BU74,0,$BP74,$BS74,$BT74,($A74-Inputs!$D$1)+15,1,0)))))</f>
        <v>#NAME?</v>
      </c>
      <c r="S74" s="280" t="e">
        <f aca="false">IF($A74="N/A"," ",IF('Pricing Inputs'!$AN$8=2,(L74-$H74),IF('Pricing Inputs'!$AN$3=2,IF((L74-$H74)&gt;0,L74-$H74,0),(xSPRDOPT(L74,$E74,$BU74,0,$BP74,$BS74,$BT74,($A74-Inputs!$D$1)+15,1,0)))))</f>
        <v>#NAME?</v>
      </c>
      <c r="T74" s="280" t="e">
        <f aca="false">IF($A74="N/A"," ",IF('Pricing Inputs'!$AN$8=2,(M74-$H74),IF('Pricing Inputs'!$AN$3=2,IF((M74-$H74)&gt;0,M74-$H74,0),(xSPRDOPT(M74,$E74,$BU74,0,$BP74,$BS74,$BT74,($A74-Inputs!$D$1)+15,1,0)))))</f>
        <v>#NAME?</v>
      </c>
      <c r="U74" s="280" t="e">
        <f aca="false">IF($A74="N/A"," ",IF('Pricing Inputs'!$AN$8=2,(N74-$H74),IF('Pricing Inputs'!$AN$3=2,IF((N74-$H74)&gt;0,N74-$H74,0),(xSPRDOPT(N74,$E74,$BU74,0,$BP74,$BS74,$BT74,($A74-Inputs!$D$1)+15,1,0)))))</f>
        <v>#NAME?</v>
      </c>
      <c r="V74" s="281" t="e">
        <f aca="false">IF($A74="N/A"," ",(IF('Pricing Inputs'!$AN$8=2,(O74-$H74),IF((O74-$H74)&lt;=0,0,(O74-$H74)))))</f>
        <v>#N/A</v>
      </c>
      <c r="W74" s="282" t="e">
        <f aca="false">IF($A74="N/A"," ",IF(0&lt;&gt;P74,IF('Pricing Inputs'!$AN$3=2,8*VLOOKUP($A74,NumberofDaysTable,2),(xSPRDOPT(I74,$E74,$BU74,0,$BP74,$BS74,$BT74,$A74-Inputs!$D$1,1,1))*(8*VLOOKUP($A74,NumberofDaysTable,2))),0))</f>
        <v>#NAME?</v>
      </c>
      <c r="X74" s="282" t="e">
        <f aca="false">IF($A74="N/A"," ",IF(Q74&lt;&gt;0,IF('Pricing Inputs'!$AN$3=2,8*VLOOKUP($A74,NumberofDaysTable,2),(xSPRDOPT(J74,$E74,$BU74,0,$BP74,$BS74,$BT74,$A74-Inputs!$D$1,1,1))*(8*VLOOKUP($A74,NumberofDaysTable,2))),0))</f>
        <v>#NAME?</v>
      </c>
      <c r="Y74" s="282" t="e">
        <f aca="false">IF($A74="N/A"," ",IF(R74&lt;&gt;0,IF('Pricing Inputs'!$AN$3=2,8*VLOOKUP($A74,NumberofDaysTable,3),(xSPRDOPT(K74,$E74,$BU74,0,$BP74,$BS74,$BT74,$A74-Inputs!$D$1,1,1))*(8*VLOOKUP($A74,NumberofDaysTable,3))),0))</f>
        <v>#NAME?</v>
      </c>
      <c r="Z74" s="282" t="e">
        <f aca="false">IF($A74="N/A"," ",IF(S74&lt;&gt;0,IF('Pricing Inputs'!$AN$3=2,8*VLOOKUP($A74,NumberofDaysTable,3),(xSPRDOPT(L74,$E74,$BU74,0,$BP74,$BS74,$BT74,$A74-Inputs!$D$1,1,1))*(8*VLOOKUP($A74,NumberofDaysTable,3))),0))</f>
        <v>#NAME?</v>
      </c>
      <c r="AA74" s="282" t="e">
        <f aca="false">IF($A74="N/A"," ",IF(T74&lt;&gt;0,IF('Pricing Inputs'!$AN$3=2,8*VLOOKUP($A74,NumberofDaysTable,4),(xSPRDOPT(M74,$E74,$BU74,0,$BP74,$BS74,$BT74,$A74-Inputs!$D$1,1,1))*(8*VLOOKUP($A74,NumberofDaysTable,4))),0))</f>
        <v>#NAME?</v>
      </c>
      <c r="AB74" s="282" t="e">
        <f aca="false">IF($A74="N/A"," ",IF(U74&lt;&gt;0,IF('Pricing Inputs'!$AN$3=2,8*VLOOKUP($A74,NumberofDaysTable,4),(xSPRDOPT(N74,$E74,$BU74,0,$BP74,$BS74,$BT74,$A74-Inputs!$D$1,1,1))*(8*VLOOKUP($A74,NumberofDaysTable,4))),0))</f>
        <v>#NAME?</v>
      </c>
      <c r="AC74" s="282" t="e">
        <f aca="false">IF($A74="N/A"," ",(IF(V74&lt;&gt;0,(8*VLOOKUP($A74,NumberofDaysTable,6)),0)))</f>
        <v>#N/A</v>
      </c>
      <c r="AD74" s="298" t="e">
        <f aca="false">IF($A74="N/A"," ",RANK(P74,$P$64:$V$75))</f>
        <v>#NAME?</v>
      </c>
      <c r="AE74" s="299" t="e">
        <f aca="false">IF($A74="N/A"," ",RANK(Q74,$P$64:$V$75))</f>
        <v>#NAME?</v>
      </c>
      <c r="AF74" s="299" t="e">
        <f aca="false">IF($A74="N/A"," ",RANK(R74,$P$64:$V$75))</f>
        <v>#NAME?</v>
      </c>
      <c r="AG74" s="299" t="e">
        <f aca="false">IF($A74="N/A"," ",RANK(S74,$P$64:$V$75))</f>
        <v>#NAME?</v>
      </c>
      <c r="AH74" s="299" t="e">
        <f aca="false">IF($A74="N/A"," ",RANK(T74,$P$64:$V$75))</f>
        <v>#NAME?</v>
      </c>
      <c r="AI74" s="299" t="e">
        <f aca="false">IF($A74="N/A"," ",RANK(U74,$P$64:$V$75))</f>
        <v>#NAME?</v>
      </c>
      <c r="AJ74" s="300" t="e">
        <f aca="false">IF($A74="N/A"," ",RANK(V74,$P$64:$V$75))</f>
        <v>#NAME?</v>
      </c>
      <c r="AK74" s="286" t="e">
        <f aca="false">IF($A74="N/A"," ",IF(AD74&lt;=$AJ$2,W74,0))</f>
        <v>#NAME?</v>
      </c>
      <c r="AL74" s="301" t="e">
        <f aca="false">IF($A74="N/A"," ",IF(AE74&lt;=$AJ$2,X74,0))</f>
        <v>#NAME?</v>
      </c>
      <c r="AM74" s="301" t="e">
        <f aca="false">IF($A74="N/A"," ",IF(AF74&lt;=$AJ$2,Y74,0))</f>
        <v>#NAME?</v>
      </c>
      <c r="AN74" s="301" t="e">
        <f aca="false">IF($A74="N/A"," ",IF(AG74&lt;=$AJ$2,Z74,0))</f>
        <v>#NAME?</v>
      </c>
      <c r="AO74" s="301" t="e">
        <f aca="false">IF($A74="N/A"," ",IF(AH74&lt;=$AJ$2,AA74,0))</f>
        <v>#NAME?</v>
      </c>
      <c r="AP74" s="301" t="e">
        <f aca="false">IF($A74="N/A"," ",IF(AI74&lt;=$AJ$2,AB74,0))</f>
        <v>#NAME?</v>
      </c>
      <c r="AQ74" s="301" t="e">
        <f aca="false">IF($A74="N/A"," ",IF(AJ74&lt;=$AJ$2,AC74,0))</f>
        <v>#NAME?</v>
      </c>
      <c r="AR74" s="300" t="e">
        <f aca="false">SUM(AK64:AQ75)</f>
        <v>#NAME?</v>
      </c>
      <c r="AS74" s="288" t="e">
        <f aca="false">IF($A74="N/A"," ",IF(AND(AD74=$AJ$2+1,AK74=0),MIN($AR$75,W74),0))</f>
        <v>#NAME?</v>
      </c>
      <c r="AT74" s="302" t="e">
        <f aca="false">IF($A74="N/A"," ",IF(AND(AE74=$AJ$2+1,AL74=0),MIN($AR$75,X74),0))</f>
        <v>#NAME?</v>
      </c>
      <c r="AU74" s="302" t="e">
        <f aca="false">IF($A74="N/A"," ",IF(AND(AF74=$AJ$2+1,AM74=0),MIN($AR$75,Y74),0))</f>
        <v>#NAME?</v>
      </c>
      <c r="AV74" s="302" t="e">
        <f aca="false">IF($A74="N/A"," ",IF(AND(AG74=$AJ$2+1,AN74=0),MIN($AR$75,Z74),0))</f>
        <v>#NAME?</v>
      </c>
      <c r="AW74" s="302" t="e">
        <f aca="false">IF($A74="N/A"," ",IF(AND(AH74=$AJ$2+1,AO74=0),MIN($AR$75,AA74),0))</f>
        <v>#NAME?</v>
      </c>
      <c r="AX74" s="302" t="e">
        <f aca="false">IF($A74="N/A"," ",IF(AND(AI74=$AJ$2+1,AP74=0),MIN($AR$75,AB74),0))</f>
        <v>#NAME?</v>
      </c>
      <c r="AY74" s="302" t="e">
        <f aca="false">IF($A74="N/A"," ",IF(AND(AJ74=$AJ$2+1,AQ74=0),MIN($AR$75,AC74),0))</f>
        <v>#NAME?</v>
      </c>
      <c r="AZ74" s="300" t="e">
        <f aca="false">SUM(AS64:AY75)</f>
        <v>#NAME?</v>
      </c>
      <c r="BA74" s="291" t="n">
        <f aca="false">IF($A74="N/A"," ",(IF(MONTH(A74)&gt;=4,IF(MONTH(A74)&lt;=10,Inputs!$F$13,Inputs!$F$14),Inputs!$F$14))*$BW74)</f>
        <v>180</v>
      </c>
      <c r="BB74" s="292" t="e">
        <f aca="false">IF($A74="N/A"," ",(IF(AK74&gt;0,($BA74*(8*(VLOOKUP($A74,NumberofDaysTable,2)))*P74),0)+IF(AS74&gt;0,($BA74*((AS74))*P74),0)))</f>
        <v>#NAME?</v>
      </c>
      <c r="BC74" s="292" t="e">
        <f aca="false">IF($A74="N/A"," ",(IF(AL74&gt;0,($BA74*(8*(VLOOKUP($A74,NumberofDaysTable,2)))*Q74),0)+IF(AT74&gt;0,($BA74*((AT74))*Q74),0)))</f>
        <v>#NAME?</v>
      </c>
      <c r="BD74" s="292" t="e">
        <f aca="false">IF($A74="N/A"," ",(IF(AM74&gt;0,($BA74*(8*(VLOOKUP($A74,NumberofDaysTable,3)))*R74),0)+IF(AU74&gt;0,($BA74*((AU74))*R74),0)))</f>
        <v>#NAME?</v>
      </c>
      <c r="BE74" s="292" t="e">
        <f aca="false">IF($A74="N/A"," ",(IF(AN74&gt;0,($BA74*(8*(VLOOKUP($A74,NumberofDaysTable,3)))*S74),0)+IF(AV74&gt;0,($BA74*((AV74))*S74),0)))</f>
        <v>#NAME?</v>
      </c>
      <c r="BF74" s="292" t="e">
        <f aca="false">IF($A74="N/A"," ",(IF(AO74&gt;0,($BA74*(8*(VLOOKUP($A74,NumberofDaysTable,4)+VLOOKUP($A74,NumberofDaysTable,5)))*T74),0)+IF(AW74&gt;0,($BA74*((AW74))*T74),0)))</f>
        <v>#NAME?</v>
      </c>
      <c r="BG74" s="292" t="e">
        <f aca="false">IF($A74="N/A"," ",(IF(AP74&gt;0,($BA74*(8*(VLOOKUP($A74,NumberofDaysTable,4)+VLOOKUP($A74,NumberofDaysTable,5)))*U74),0)+IF(AX74&gt;0,($BA74*((AX74))*U74),0)))</f>
        <v>#NAME?</v>
      </c>
      <c r="BH74" s="292" t="e">
        <f aca="false">IF($A74="N/A"," ",($BA74*AQ74*V74))</f>
        <v>#NAME?</v>
      </c>
      <c r="BI74" s="292" t="e">
        <f aca="false">IF($A74="N/A"," ",SUM(BB74:BH74))</f>
        <v>#NAME?</v>
      </c>
      <c r="BJ74" s="293" t="e">
        <f aca="false">IF($A74="N/A"," ",(H74*(SUM(AK74:AQ74)+SUM(AS74:AY74))*BA74))</f>
        <v>#NAME?</v>
      </c>
      <c r="BK74" s="293" t="e">
        <f aca="false">IF($A74="N/A"," ",((C74*D74)*(SUM($AK74:$AQ74)+SUM($AS74:$AY74))*$BA74))</f>
        <v>#N/A</v>
      </c>
      <c r="BL74" s="293" t="e">
        <f aca="false">IF($A74="N/A"," ",(F74*(SUM($AK74:$AQ74)+SUM($AS74:$AY74))*$BA74))</f>
        <v>#NAME?</v>
      </c>
      <c r="BM74" s="293" t="e">
        <f aca="false">IF($A74="N/A"," ",(G74*(SUM($AK74:$AQ74)+SUM($AS74:$AY74))*$BA74))</f>
        <v>#NAME?</v>
      </c>
      <c r="BN74" s="294" t="n">
        <f aca="false">IF(A74="N/A"," ",(VLOOKUP(A74,PowerVolTable,(IF('Pricing Inputs'!$AT$3=2,7,IF('Pricing Inputs'!$AT$3=1,6,8))),FALSE())))</f>
        <v>0.18733236496875</v>
      </c>
      <c r="BO74" s="294" t="n">
        <f aca="false">IF(A74="N/A"," ",(VLOOKUP(A74,IntraPowerVol,(IF('Pricing Inputs'!$AT$3=2,3,IF('Pricing Inputs'!$AT$3=1,2,4))),FALSE())*VLOOKUP(MONTH($A74),Inputs!$A$28:$B$39,2)))</f>
        <v>1.4375</v>
      </c>
      <c r="BP74" s="295" t="n">
        <f aca="false">IF($A74="N/A"," ",(IF(DateToday&gt;$A74,$BO74,((($BN74^2)*((($A74-1)-DateToday)/((EOMONTH($A74,0)+1)-DateToday-15)))+((($BO74)^2)*((15)/((EOMONTH($A74,0)+1)-DateToday-15))))^0.5)))</f>
        <v>1.4375</v>
      </c>
      <c r="BQ74" s="294" t="e">
        <f aca="false">IF($A74="N/A"," ",(VLOOKUP($A74,GasVolTable,(IF('Pricing Inputs'!$AT$3=2,6,IF('Pricing Inputs'!$AT$3=1,7,5))),FALSE())))</f>
        <v>#N/A</v>
      </c>
      <c r="BR74" s="294" t="e">
        <f aca="false">IF($A74="N/A"," ",(VLOOKUP($A74,OmicronVol,(IF('Pricing Inputs'!$AT$3=2,3,IF('Pricing Inputs'!$AT$3=1,4,2))),FALSE())))</f>
        <v>#N/A</v>
      </c>
      <c r="BS74" s="295" t="e">
        <f aca="false">IF($A74="N/A"," ",IF('Pricing Inputs'!$AN$3=1,(IF(DateToday&gt;$A74,$BR74,((($BQ74^2)*((($A74-1)-DateToday)/((EOMONTH($A74,0)+1)-DateToday-15)))+((($BR74)^2)*((15)/((EOMONTH($A74,0)+1)-DateToday-15))))^0.5)),0.0001))</f>
        <v>#N/A</v>
      </c>
      <c r="BT74" s="294" t="n">
        <f aca="false">IF($A74="N/A"," ",IF('Pricing Inputs'!$AN$3=1,(VLOOKUP($A74,CorrelationTable,2,FALSE())),0))</f>
        <v>0.9</v>
      </c>
      <c r="BU74" s="296" t="e">
        <f aca="false">IF($A74="N/A"," ",F74+G74+(D74*(VLOOKUP($A74,'Gas Curves'!$B$17:$P$310,14,FALSE()))))</f>
        <v>#N/A</v>
      </c>
      <c r="BV74" s="294" t="n">
        <f aca="false">IF($A74="N/A"," ",IF('Pricing Inputs'!$AW$3=1,0,(VLOOKUP($A74,InterestRatesTable,2))))</f>
        <v>0</v>
      </c>
      <c r="BW74" s="297" t="n">
        <f aca="false">IF($A74="N/A"," ",(1+BV74/2)^(-2*((EOMONTH(A74,0)+20)-DateToday)/365.25))</f>
        <v>1</v>
      </c>
    </row>
    <row r="75" customFormat="false" ht="12.75" hidden="false" customHeight="false" outlineLevel="0" collapsed="false">
      <c r="A75" s="272" t="n">
        <f aca="false">IF(A74="N/A","N/A",IF(EDATE(A74,1)&gt;Inputs!$K$3,"N/A",EDATE(A74,1)))</f>
        <v>39052</v>
      </c>
      <c r="B75" s="273" t="n">
        <f aca="false">IF(A75="N/A"," ",YEAR(A75))</f>
        <v>2006</v>
      </c>
      <c r="C75" s="274" t="e">
        <f aca="false">IF(A75="N/A"," ",VLOOKUP(A75,ScaledPrice,10))</f>
        <v>#N/A</v>
      </c>
      <c r="D75" s="275" t="n">
        <f aca="false">IF(A75="N/A"," ",(VLOOKUP(MONTH($A75),Inputs!$A$14:$B$25,2))/1000)</f>
        <v>10.5</v>
      </c>
      <c r="E75" s="276" t="e">
        <f aca="false">IF($A75="N/A"," ",C75*D75)</f>
        <v>#N/A</v>
      </c>
      <c r="F75" s="277" t="n">
        <f aca="false">IF(A75="N/A"," ",Inputs!$F$6)</f>
        <v>2</v>
      </c>
      <c r="G75" s="277" t="n">
        <f aca="false">IF(A75="N/A"," ",Inputs!$F$9/IF(AND('Pricing Inputs'!$AQ$3&gt;=4,'Pricing Inputs'!$AQ$3&lt;=6),16,IF(AND('Pricing Inputs'!$AQ$3&gt;=7,'Pricing Inputs'!$AQ$3&lt;=9),8,24))/(BA75/BW75))</f>
        <v>0</v>
      </c>
      <c r="H75" s="278" t="e">
        <f aca="false">IF(A75="N/A"," ",(C75*D75)+F75+G75)</f>
        <v>#N/A</v>
      </c>
      <c r="I75" s="279" t="n">
        <f aca="false">VLOOKUP(A75,ScaledPrice,(IF(AND('Pricing Inputs'!$AQ$3&gt;=1,'Pricing Inputs'!$AQ$3&lt;=6),2,4)))</f>
        <v>30.1873248827916</v>
      </c>
      <c r="J75" s="279" t="n">
        <f aca="false">IF(A75="N/A"," ",IF(AND('Pricing Inputs'!$AQ$3&gt;=1,'Pricing Inputs'!$AQ$3&lt;=6),I75,(VLOOKUP(A75,ScaledPrice,2))*(2-(VLOOKUP(A75,ScaledPrice,3)))))</f>
        <v>31.5126751172084</v>
      </c>
      <c r="K75" s="279" t="n">
        <f aca="false">IF(A75="N/A"," ",IF(OR('Pricing Inputs'!$AQ$3=2,'Pricing Inputs'!$AQ$3=3,'Pricing Inputs'!$AQ$3=5,'Pricing Inputs'!$AQ$3=6,'Pricing Inputs'!$AQ$3=8,'Pricing Inputs'!$AQ$3=9),VLOOKUP(A75,ScaledPrice,IF(AND('Pricing Inputs'!$AQ$3&gt;=2,'Pricing Inputs'!$AQ$3&lt;=6),5,6)),0))</f>
        <v>25.4953225755534</v>
      </c>
      <c r="L75" s="279" t="n">
        <f aca="false">IF(A75="N/A"," ",IF(OR('Pricing Inputs'!$AQ$3=2,'Pricing Inputs'!$AQ$3=3,'Pricing Inputs'!$AQ$3=5,'Pricing Inputs'!$AQ$3=6,'Pricing Inputs'!$AQ$3=8,'Pricing Inputs'!$AQ$3=9),IF(AND('Pricing Inputs'!$AQ$3&gt;=2,'Pricing Inputs'!$AQ$3&lt;=6),K75,(VLOOKUP(A75,ScaledPrice,5))*(2-(VLOOKUP(A75,ScaledPrice,3)))),0))</f>
        <v>26.6146742201009</v>
      </c>
      <c r="M75" s="279" t="n">
        <f aca="false">IF(A75="N/A"," ",IF(OR('Pricing Inputs'!$AQ$3=3,'Pricing Inputs'!$AQ$3=6,'Pricing Inputs'!$AQ$3=9),(VLOOKUP(A75,ScaledPrice,IF(AND('Pricing Inputs'!$AQ$3&gt;=3,'Pricing Inputs'!$AQ$3&lt;=6),7,8))),0))</f>
        <v>22.0656127415186</v>
      </c>
      <c r="N75" s="279" t="n">
        <f aca="false">IF(A75="N/A"," ",IF(OR('Pricing Inputs'!$AQ$3=3,'Pricing Inputs'!$AQ$3=6,'Pricing Inputs'!$AQ$3=9),IF(AND('Pricing Inputs'!$AQ$3&gt;=3,'Pricing Inputs'!$AQ$3&lt;=6),M75,(VLOOKUP(A75,ScaledPrice,7))*(2-(VLOOKUP(A75,ScaledPrice,3)))),0))</f>
        <v>23.0343857326025</v>
      </c>
      <c r="O75" s="279" t="n">
        <f aca="false">IF(A75="N/A"," ",IF(AND('Pricing Inputs'!$AQ$3&gt;=1,'Pricing Inputs'!$AQ$3&lt;=3),VLOOKUP(A75,ScaledPrice,9),0))</f>
        <v>0</v>
      </c>
      <c r="P75" s="280" t="e">
        <f aca="false">IF($A75="N/A"," ",IF('Pricing Inputs'!$AN$8=2,(I75-H75),IF('Pricing Inputs'!$AN$3=2,IF((I75-$H75)&gt;0,I75-$H75,0),(xSPRDOPT(I75,$E75,$BU75,0,$BP75,$BS75,$BT75,($A75-Inputs!$D$1)+15,1,0)))))</f>
        <v>#NAME?</v>
      </c>
      <c r="Q75" s="280" t="e">
        <f aca="false">IF($A75="N/A"," ",IF('Pricing Inputs'!$AN$8=2,(J75-$H75),IF('Pricing Inputs'!$AN$3=2,IF((J75-$H75)&gt;0,J75-$H75,0),(xSPRDOPT(J75,$E75,$BU75,0,$BP75,$BS75,$BT75,($A75-Inputs!$D$1)+15,1,0)))))</f>
        <v>#NAME?</v>
      </c>
      <c r="R75" s="280" t="e">
        <f aca="false">IF($A75="N/A"," ",IF('Pricing Inputs'!$AN$8=2,(K75-$H75),IF('Pricing Inputs'!$AN$3=2,IF((K75-$H75)&gt;0,K75-$H75,0),(xSPRDOPT(K75,$E75,$BU75,0,$BP75,$BS75,$BT75,($A75-Inputs!$D$1)+15,1,0)))))</f>
        <v>#NAME?</v>
      </c>
      <c r="S75" s="280" t="e">
        <f aca="false">IF($A75="N/A"," ",IF('Pricing Inputs'!$AN$8=2,(L75-$H75),IF('Pricing Inputs'!$AN$3=2,IF((L75-$H75)&gt;0,L75-$H75,0),(xSPRDOPT(L75,$E75,$BU75,0,$BP75,$BS75,$BT75,($A75-Inputs!$D$1)+15,1,0)))))</f>
        <v>#NAME?</v>
      </c>
      <c r="T75" s="280" t="e">
        <f aca="false">IF($A75="N/A"," ",IF('Pricing Inputs'!$AN$8=2,(M75-$H75),IF('Pricing Inputs'!$AN$3=2,IF((M75-$H75)&gt;0,M75-$H75,0),(xSPRDOPT(M75,$E75,$BU75,0,$BP75,$BS75,$BT75,($A75-Inputs!$D$1)+15,1,0)))))</f>
        <v>#NAME?</v>
      </c>
      <c r="U75" s="280" t="e">
        <f aca="false">IF($A75="N/A"," ",IF('Pricing Inputs'!$AN$8=2,(N75-$H75),IF('Pricing Inputs'!$AN$3=2,IF((N75-$H75)&gt;0,N75-$H75,0),(xSPRDOPT(N75,$E75,$BU75,0,$BP75,$BS75,$BT75,($A75-Inputs!$D$1)+15,1,0)))))</f>
        <v>#NAME?</v>
      </c>
      <c r="V75" s="281" t="e">
        <f aca="false">IF($A75="N/A"," ",(IF('Pricing Inputs'!$AN$8=2,(O75-$H75),IF((O75-$H75)&lt;=0,0,(O75-$H75)))))</f>
        <v>#N/A</v>
      </c>
      <c r="W75" s="282" t="e">
        <f aca="false">IF($A75="N/A"," ",IF(0&lt;&gt;P75,IF('Pricing Inputs'!$AN$3=2,8*VLOOKUP($A75,NumberofDaysTable,2),(xSPRDOPT(I75,$E75,$BU75,0,$BP75,$BS75,$BT75,$A75-Inputs!$D$1,1,1))*(8*VLOOKUP($A75,NumberofDaysTable,2))),0))</f>
        <v>#NAME?</v>
      </c>
      <c r="X75" s="282" t="e">
        <f aca="false">IF($A75="N/A"," ",IF(Q75&lt;&gt;0,IF('Pricing Inputs'!$AN$3=2,8*VLOOKUP($A75,NumberofDaysTable,2),(xSPRDOPT(J75,$E75,$BU75,0,$BP75,$BS75,$BT75,$A75-Inputs!$D$1,1,1))*(8*VLOOKUP($A75,NumberofDaysTable,2))),0))</f>
        <v>#NAME?</v>
      </c>
      <c r="Y75" s="282" t="e">
        <f aca="false">IF($A75="N/A"," ",IF(R75&lt;&gt;0,IF('Pricing Inputs'!$AN$3=2,8*VLOOKUP($A75,NumberofDaysTable,3),(xSPRDOPT(K75,$E75,$BU75,0,$BP75,$BS75,$BT75,$A75-Inputs!$D$1,1,1))*(8*VLOOKUP($A75,NumberofDaysTable,3))),0))</f>
        <v>#NAME?</v>
      </c>
      <c r="Z75" s="282" t="e">
        <f aca="false">IF($A75="N/A"," ",IF(S75&lt;&gt;0,IF('Pricing Inputs'!$AN$3=2,8*VLOOKUP($A75,NumberofDaysTable,3),(xSPRDOPT(L75,$E75,$BU75,0,$BP75,$BS75,$BT75,$A75-Inputs!$D$1,1,1))*(8*VLOOKUP($A75,NumberofDaysTable,3))),0))</f>
        <v>#NAME?</v>
      </c>
      <c r="AA75" s="282" t="e">
        <f aca="false">IF($A75="N/A"," ",IF(T75&lt;&gt;0,IF('Pricing Inputs'!$AN$3=2,8*VLOOKUP($A75,NumberofDaysTable,4),(xSPRDOPT(M75,$E75,$BU75,0,$BP75,$BS75,$BT75,$A75-Inputs!$D$1,1,1))*(8*VLOOKUP($A75,NumberofDaysTable,4))),0))</f>
        <v>#NAME?</v>
      </c>
      <c r="AB75" s="282" t="e">
        <f aca="false">IF($A75="N/A"," ",IF(U75&lt;&gt;0,IF('Pricing Inputs'!$AN$3=2,8*VLOOKUP($A75,NumberofDaysTable,4),(xSPRDOPT(N75,$E75,$BU75,0,$BP75,$BS75,$BT75,$A75-Inputs!$D$1,1,1))*(8*VLOOKUP($A75,NumberofDaysTable,4))),0))</f>
        <v>#NAME?</v>
      </c>
      <c r="AC75" s="282" t="e">
        <f aca="false">IF($A75="N/A"," ",(IF(V75&lt;&gt;0,(8*VLOOKUP($A75,NumberofDaysTable,6)),0)))</f>
        <v>#N/A</v>
      </c>
      <c r="AD75" s="305" t="e">
        <f aca="false">IF($A75="N/A"," ",RANK(P75,$P$64:$V$75))</f>
        <v>#NAME?</v>
      </c>
      <c r="AE75" s="306" t="e">
        <f aca="false">IF($A75="N/A"," ",RANK(Q75,$P$64:$V$75))</f>
        <v>#NAME?</v>
      </c>
      <c r="AF75" s="306" t="e">
        <f aca="false">IF($A75="N/A"," ",RANK(R75,$P$64:$V$75))</f>
        <v>#NAME?</v>
      </c>
      <c r="AG75" s="306" t="e">
        <f aca="false">IF($A75="N/A"," ",RANK(S75,$P$64:$V$75))</f>
        <v>#NAME?</v>
      </c>
      <c r="AH75" s="306" t="e">
        <f aca="false">IF($A75="N/A"," ",RANK(T75,$P$64:$V$75))</f>
        <v>#NAME?</v>
      </c>
      <c r="AI75" s="306" t="e">
        <f aca="false">IF($A75="N/A"," ",RANK(U75,$P$64:$V$75))</f>
        <v>#NAME?</v>
      </c>
      <c r="AJ75" s="307" t="e">
        <f aca="false">IF($A75="N/A"," ",RANK(V75,$P$64:$V$75))</f>
        <v>#NAME?</v>
      </c>
      <c r="AK75" s="308" t="e">
        <f aca="false">IF($A75="N/A"," ",IF(AD75&lt;=$AJ$2,W75,0))</f>
        <v>#NAME?</v>
      </c>
      <c r="AL75" s="309" t="e">
        <f aca="false">IF($A75="N/A"," ",IF(AE75&lt;=$AJ$2,X75,0))</f>
        <v>#NAME?</v>
      </c>
      <c r="AM75" s="309" t="e">
        <f aca="false">IF($A75="N/A"," ",IF(AF75&lt;=$AJ$2,Y75,0))</f>
        <v>#NAME?</v>
      </c>
      <c r="AN75" s="309" t="e">
        <f aca="false">IF($A75="N/A"," ",IF(AG75&lt;=$AJ$2,Z75,0))</f>
        <v>#NAME?</v>
      </c>
      <c r="AO75" s="309" t="e">
        <f aca="false">IF($A75="N/A"," ",IF(AH75&lt;=$AJ$2,AA75,0))</f>
        <v>#NAME?</v>
      </c>
      <c r="AP75" s="309" t="e">
        <f aca="false">IF($A75="N/A"," ",IF(AI75&lt;=$AJ$2,AB75,0))</f>
        <v>#NAME?</v>
      </c>
      <c r="AQ75" s="309" t="e">
        <f aca="false">IF($A75="N/A"," ",IF(AJ75&lt;=$AJ$2,AC75,0))</f>
        <v>#NAME?</v>
      </c>
      <c r="AR75" s="307" t="e">
        <f aca="false">IF(($AP$2-AR74)&gt;=0,$AP$2-AR74,0)</f>
        <v>#NAME?</v>
      </c>
      <c r="AS75" s="310" t="e">
        <f aca="false">IF($A75="N/A"," ",IF(AND(AD75=$AJ$2+1,AK75=0),MIN($AR$75,W75),0))</f>
        <v>#NAME?</v>
      </c>
      <c r="AT75" s="311" t="e">
        <f aca="false">IF($A75="N/A"," ",IF(AND(AE75=$AJ$2+1,AL75=0),MIN($AR$75,X75),0))</f>
        <v>#NAME?</v>
      </c>
      <c r="AU75" s="311" t="e">
        <f aca="false">IF($A75="N/A"," ",IF(AND(AF75=$AJ$2+1,AM75=0),MIN($AR$75,Y75),0))</f>
        <v>#NAME?</v>
      </c>
      <c r="AV75" s="311" t="e">
        <f aca="false">IF($A75="N/A"," ",IF(AND(AG75=$AJ$2+1,AN75=0),MIN($AR$75,Z75),0))</f>
        <v>#NAME?</v>
      </c>
      <c r="AW75" s="311" t="e">
        <f aca="false">IF($A75="N/A"," ",IF(AND(AH75=$AJ$2+1,AO75=0),MIN($AR$75,AA75),0))</f>
        <v>#NAME?</v>
      </c>
      <c r="AX75" s="311" t="e">
        <f aca="false">IF($A75="N/A"," ",IF(AND(AI75=$AJ$2+1,AP75=0),MIN($AR$75,AB75),0))</f>
        <v>#NAME?</v>
      </c>
      <c r="AY75" s="311" t="e">
        <f aca="false">IF($A75="N/A"," ",IF(AND(AJ75=$AJ$2+1,AQ75=0),MIN($AR$75,AC75),0))</f>
        <v>#NAME?</v>
      </c>
      <c r="AZ75" s="312" t="e">
        <f aca="false">AR74+AZ74</f>
        <v>#NAME?</v>
      </c>
      <c r="BA75" s="291" t="n">
        <f aca="false">IF($A75="N/A"," ",(IF(MONTH(A75)&gt;=4,IF(MONTH(A75)&lt;=10,Inputs!$F$13,Inputs!$F$14),Inputs!$F$14))*$BW75)</f>
        <v>180</v>
      </c>
      <c r="BB75" s="292" t="e">
        <f aca="false">IF($A75="N/A"," ",(IF(AK75&gt;0,($BA75*(8*(VLOOKUP($A75,NumberofDaysTable,2)))*P75),0)+IF(AS75&gt;0,($BA75*((AS75))*P75),0)))</f>
        <v>#NAME?</v>
      </c>
      <c r="BC75" s="292" t="e">
        <f aca="false">IF($A75="N/A"," ",(IF(AL75&gt;0,($BA75*(8*(VLOOKUP($A75,NumberofDaysTable,2)))*Q75),0)+IF(AT75&gt;0,($BA75*((AT75))*Q75),0)))</f>
        <v>#NAME?</v>
      </c>
      <c r="BD75" s="292" t="e">
        <f aca="false">IF($A75="N/A"," ",(IF(AM75&gt;0,($BA75*(8*(VLOOKUP($A75,NumberofDaysTable,3)))*R75),0)+IF(AU75&gt;0,($BA75*((AU75))*R75),0)))</f>
        <v>#NAME?</v>
      </c>
      <c r="BE75" s="292" t="e">
        <f aca="false">IF($A75="N/A"," ",(IF(AN75&gt;0,($BA75*(8*(VLOOKUP($A75,NumberofDaysTable,3)))*S75),0)+IF(AV75&gt;0,($BA75*((AV75))*S75),0)))</f>
        <v>#NAME?</v>
      </c>
      <c r="BF75" s="292" t="e">
        <f aca="false">IF($A75="N/A"," ",(IF(AO75&gt;0,($BA75*(8*(VLOOKUP($A75,NumberofDaysTable,4)+VLOOKUP($A75,NumberofDaysTable,5)))*T75),0)+IF(AW75&gt;0,($BA75*((AW75))*T75),0)))</f>
        <v>#NAME?</v>
      </c>
      <c r="BG75" s="292" t="e">
        <f aca="false">IF($A75="N/A"," ",(IF(AP75&gt;0,($BA75*(8*(VLOOKUP($A75,NumberofDaysTable,4)+VLOOKUP($A75,NumberofDaysTable,5)))*U75),0)+IF(AX75&gt;0,($BA75*((AX75))*U75),0)))</f>
        <v>#NAME?</v>
      </c>
      <c r="BH75" s="292" t="e">
        <f aca="false">IF($A75="N/A"," ",($BA75*AQ75*V75))</f>
        <v>#NAME?</v>
      </c>
      <c r="BI75" s="292" t="e">
        <f aca="false">IF($A75="N/A"," ",SUM(BB75:BH75))</f>
        <v>#NAME?</v>
      </c>
      <c r="BJ75" s="293" t="e">
        <f aca="false">IF($A75="N/A"," ",(H75*(SUM(AK75:AQ75)+SUM(AS75:AY75))*BA75))</f>
        <v>#NAME?</v>
      </c>
      <c r="BK75" s="293" t="e">
        <f aca="false">IF($A75="N/A"," ",((C75*D75)*(SUM($AK75:$AQ75)+SUM($AS75:$AY75))*$BA75))</f>
        <v>#N/A</v>
      </c>
      <c r="BL75" s="293" t="e">
        <f aca="false">IF($A75="N/A"," ",(F75*(SUM($AK75:$AQ75)+SUM($AS75:$AY75))*$BA75))</f>
        <v>#NAME?</v>
      </c>
      <c r="BM75" s="293" t="e">
        <f aca="false">IF($A75="N/A"," ",(G75*(SUM($AK75:$AQ75)+SUM($AS75:$AY75))*$BA75))</f>
        <v>#NAME?</v>
      </c>
      <c r="BN75" s="294" t="n">
        <f aca="false">IF(A75="N/A"," ",(VLOOKUP(A75,PowerVolTable,(IF('Pricing Inputs'!$AT$3=2,7,IF('Pricing Inputs'!$AT$3=1,6,8))),FALSE())))</f>
        <v>0.19401783226875</v>
      </c>
      <c r="BO75" s="294" t="n">
        <f aca="false">IF(A75="N/A"," ",(VLOOKUP(A75,IntraPowerVol,(IF('Pricing Inputs'!$AT$3=2,3,IF('Pricing Inputs'!$AT$3=1,2,4))),FALSE())*VLOOKUP(MONTH($A75),Inputs!$A$28:$B$39,2)))</f>
        <v>1.4375</v>
      </c>
      <c r="BP75" s="295" t="n">
        <f aca="false">IF($A75="N/A"," ",(IF(DateToday&gt;$A75,$BO75,((($BN75^2)*((($A75-1)-DateToday)/((EOMONTH($A75,0)+1)-DateToday-15)))+((($BO75)^2)*((15)/((EOMONTH($A75,0)+1)-DateToday-15))))^0.5)))</f>
        <v>1.4375</v>
      </c>
      <c r="BQ75" s="294" t="e">
        <f aca="false">IF($A75="N/A"," ",(VLOOKUP($A75,GasVolTable,(IF('Pricing Inputs'!$AT$3=2,6,IF('Pricing Inputs'!$AT$3=1,7,5))),FALSE())))</f>
        <v>#N/A</v>
      </c>
      <c r="BR75" s="294" t="e">
        <f aca="false">IF($A75="N/A"," ",(VLOOKUP($A75,OmicronVol,(IF('Pricing Inputs'!$AT$3=2,3,IF('Pricing Inputs'!$AT$3=1,4,2))),FALSE())))</f>
        <v>#N/A</v>
      </c>
      <c r="BS75" s="295" t="e">
        <f aca="false">IF($A75="N/A"," ",IF('Pricing Inputs'!$AN$3=1,(IF(DateToday&gt;$A75,$BR75,((($BQ75^2)*((($A75-1)-DateToday)/((EOMONTH($A75,0)+1)-DateToday-15)))+((($BR75)^2)*((15)/((EOMONTH($A75,0)+1)-DateToday-15))))^0.5)),0.0001))</f>
        <v>#N/A</v>
      </c>
      <c r="BT75" s="294" t="n">
        <f aca="false">IF($A75="N/A"," ",IF('Pricing Inputs'!$AN$3=1,(VLOOKUP($A75,CorrelationTable,2,FALSE())),0))</f>
        <v>0.9</v>
      </c>
      <c r="BU75" s="296" t="e">
        <f aca="false">IF($A75="N/A"," ",F75+G75+(D75*(VLOOKUP($A75,'Gas Curves'!$B$17:$P$310,14,FALSE()))))</f>
        <v>#N/A</v>
      </c>
      <c r="BV75" s="294" t="n">
        <f aca="false">IF($A75="N/A"," ",IF('Pricing Inputs'!$AW$3=1,0,(VLOOKUP($A75,InterestRatesTable,2))))</f>
        <v>0</v>
      </c>
      <c r="BW75" s="297" t="n">
        <f aca="false">IF($A75="N/A"," ",(1+BV75/2)^(-2*((EOMONTH(A75,0)+20)-DateToday)/365.25))</f>
        <v>1</v>
      </c>
    </row>
    <row r="76" customFormat="false" ht="12.75" hidden="false" customHeight="false" outlineLevel="0" collapsed="false">
      <c r="A76" s="272" t="n">
        <f aca="false">IF(A75="N/A","N/A",IF(EDATE(A75,1)&gt;Inputs!$K$3,"N/A",EDATE(A75,1)))</f>
        <v>39083</v>
      </c>
      <c r="B76" s="273" t="n">
        <f aca="false">IF(A76="N/A"," ",YEAR(A76))</f>
        <v>2007</v>
      </c>
      <c r="C76" s="274" t="e">
        <f aca="false">IF(A76="N/A"," ",VLOOKUP(A76,ScaledPrice,10))</f>
        <v>#N/A</v>
      </c>
      <c r="D76" s="275" t="n">
        <f aca="false">IF(A76="N/A"," ",(VLOOKUP(MONTH($A76),Inputs!$A$14:$B$25,2))/1000)</f>
        <v>10.5</v>
      </c>
      <c r="E76" s="276" t="e">
        <f aca="false">IF($A76="N/A"," ",C76*D76)</f>
        <v>#N/A</v>
      </c>
      <c r="F76" s="277" t="n">
        <f aca="false">IF(A76="N/A"," ",Inputs!$F$6)</f>
        <v>2</v>
      </c>
      <c r="G76" s="277" t="n">
        <f aca="false">IF(A76="N/A"," ",Inputs!$F$9/IF(AND('Pricing Inputs'!$AQ$3&gt;=4,'Pricing Inputs'!$AQ$3&lt;=6),16,IF(AND('Pricing Inputs'!$AQ$3&gt;=7,'Pricing Inputs'!$AQ$3&lt;=9),8,24))/(BA76/BW76))</f>
        <v>0</v>
      </c>
      <c r="H76" s="278" t="e">
        <f aca="false">IF(A76="N/A"," ",(C76*D76)+F76+G76)</f>
        <v>#N/A</v>
      </c>
      <c r="I76" s="279" t="n">
        <f aca="false">VLOOKUP(A76,ScaledPrice,(IF(AND('Pricing Inputs'!$AQ$3&gt;=1,'Pricing Inputs'!$AQ$3&lt;=6),2,4)))</f>
        <v>35.8099361694067</v>
      </c>
      <c r="J76" s="279" t="n">
        <f aca="false">IF(A76="N/A"," ",IF(AND('Pricing Inputs'!$AQ$3&gt;=1,'Pricing Inputs'!$AQ$3&lt;=6),I76,(VLOOKUP(A76,ScaledPrice,2))*(2-(VLOOKUP(A76,ScaledPrice,3)))))</f>
        <v>38.0900638305933</v>
      </c>
      <c r="K76" s="279" t="n">
        <f aca="false">IF(A76="N/A"," ",IF(OR('Pricing Inputs'!$AQ$3=2,'Pricing Inputs'!$AQ$3=3,'Pricing Inputs'!$AQ$3=5,'Pricing Inputs'!$AQ$3=6,'Pricing Inputs'!$AQ$3=8,'Pricing Inputs'!$AQ$3=9),VLOOKUP(A76,ScaledPrice,IF(AND('Pricing Inputs'!$AQ$3&gt;=2,'Pricing Inputs'!$AQ$3&lt;=6),5,6)),0))</f>
        <v>28.5401299159704</v>
      </c>
      <c r="L76" s="279" t="n">
        <f aca="false">IF(A76="N/A"," ",IF(OR('Pricing Inputs'!$AQ$3=2,'Pricing Inputs'!$AQ$3=3,'Pricing Inputs'!$AQ$3=5,'Pricing Inputs'!$AQ$3=6,'Pricing Inputs'!$AQ$3=8,'Pricing Inputs'!$AQ$3=9),IF(AND('Pricing Inputs'!$AQ$3&gt;=2,'Pricing Inputs'!$AQ$3&lt;=6),K76,(VLOOKUP(A76,ScaledPrice,5))*(2-(VLOOKUP(A76,ScaledPrice,3)))),0))</f>
        <v>30.3573668796839</v>
      </c>
      <c r="M76" s="279" t="n">
        <f aca="false">IF(A76="N/A"," ",IF(OR('Pricing Inputs'!$AQ$3=3,'Pricing Inputs'!$AQ$3=6,'Pricing Inputs'!$AQ$3=9),(VLOOKUP(A76,ScaledPrice,IF(AND('Pricing Inputs'!$AQ$3&gt;=3,'Pricing Inputs'!$AQ$3&lt;=6),7,8))),0))</f>
        <v>27.0900472595265</v>
      </c>
      <c r="N76" s="279" t="n">
        <f aca="false">IF(A76="N/A"," ",IF(OR('Pricing Inputs'!$AQ$3=3,'Pricing Inputs'!$AQ$3=6,'Pricing Inputs'!$AQ$3=9),IF(AND('Pricing Inputs'!$AQ$3&gt;=3,'Pricing Inputs'!$AQ$3&lt;=6),M76,(VLOOKUP(A76,ScaledPrice,7))*(2-(VLOOKUP(A76,ScaledPrice,3)))),0))</f>
        <v>28.8149530456493</v>
      </c>
      <c r="O76" s="279" t="n">
        <f aca="false">IF(A76="N/A"," ",IF(AND('Pricing Inputs'!$AQ$3&gt;=1,'Pricing Inputs'!$AQ$3&lt;=3),VLOOKUP(A76,ScaledPrice,9),0))</f>
        <v>0</v>
      </c>
      <c r="P76" s="280" t="e">
        <f aca="false">IF($A76="N/A"," ",IF('Pricing Inputs'!$AN$8=2,(I76-H76),IF('Pricing Inputs'!$AN$3=2,IF((I76-$H76)&gt;0,I76-$H76,0),(xSPRDOPT(I76,$E76,$BU76,0,$BP76,$BS76,$BT76,($A76-Inputs!$D$1)+15,1,0)))))</f>
        <v>#NAME?</v>
      </c>
      <c r="Q76" s="280" t="e">
        <f aca="false">IF($A76="N/A"," ",IF('Pricing Inputs'!$AN$8=2,(J76-$H76),IF('Pricing Inputs'!$AN$3=2,IF((J76-$H76)&gt;0,J76-$H76,0),(xSPRDOPT(J76,$E76,$BU76,0,$BP76,$BS76,$BT76,($A76-Inputs!$D$1)+15,1,0)))))</f>
        <v>#NAME?</v>
      </c>
      <c r="R76" s="280" t="e">
        <f aca="false">IF($A76="N/A"," ",IF('Pricing Inputs'!$AN$8=2,(K76-$H76),IF('Pricing Inputs'!$AN$3=2,IF((K76-$H76)&gt;0,K76-$H76,0),(xSPRDOPT(K76,$E76,$BU76,0,$BP76,$BS76,$BT76,($A76-Inputs!$D$1)+15,1,0)))))</f>
        <v>#NAME?</v>
      </c>
      <c r="S76" s="280" t="e">
        <f aca="false">IF($A76="N/A"," ",IF('Pricing Inputs'!$AN$8=2,(L76-$H76),IF('Pricing Inputs'!$AN$3=2,IF((L76-$H76)&gt;0,L76-$H76,0),(xSPRDOPT(L76,$E76,$BU76,0,$BP76,$BS76,$BT76,($A76-Inputs!$D$1)+15,1,0)))))</f>
        <v>#NAME?</v>
      </c>
      <c r="T76" s="280" t="e">
        <f aca="false">IF($A76="N/A"," ",IF('Pricing Inputs'!$AN$8=2,(M76-$H76),IF('Pricing Inputs'!$AN$3=2,IF((M76-$H76)&gt;0,M76-$H76,0),(xSPRDOPT(M76,$E76,$BU76,0,$BP76,$BS76,$BT76,($A76-Inputs!$D$1)+15,1,0)))))</f>
        <v>#NAME?</v>
      </c>
      <c r="U76" s="280" t="e">
        <f aca="false">IF($A76="N/A"," ",IF('Pricing Inputs'!$AN$8=2,(N76-$H76),IF('Pricing Inputs'!$AN$3=2,IF((N76-$H76)&gt;0,N76-$H76,0),(xSPRDOPT(N76,$E76,$BU76,0,$BP76,$BS76,$BT76,($A76-Inputs!$D$1)+15,1,0)))))</f>
        <v>#NAME?</v>
      </c>
      <c r="V76" s="281" t="e">
        <f aca="false">IF($A76="N/A"," ",(IF('Pricing Inputs'!$AN$8=2,(O76-$H76),IF((O76-$H76)&lt;=0,0,(O76-$H76)))))</f>
        <v>#N/A</v>
      </c>
      <c r="W76" s="282" t="e">
        <f aca="false">IF($A76="N/A"," ",IF(0&lt;&gt;P76,IF('Pricing Inputs'!$AN$3=2,8*VLOOKUP($A76,NumberofDaysTable,2),(xSPRDOPT(I76,$E76,$BU76,0,$BP76,$BS76,$BT76,$A76-Inputs!$D$1,1,1))*(8*VLOOKUP($A76,NumberofDaysTable,2))),0))</f>
        <v>#NAME?</v>
      </c>
      <c r="X76" s="282" t="e">
        <f aca="false">IF($A76="N/A"," ",IF(Q76&lt;&gt;0,IF('Pricing Inputs'!$AN$3=2,8*VLOOKUP($A76,NumberofDaysTable,2),(xSPRDOPT(J76,$E76,$BU76,0,$BP76,$BS76,$BT76,$A76-Inputs!$D$1,1,1))*(8*VLOOKUP($A76,NumberofDaysTable,2))),0))</f>
        <v>#NAME?</v>
      </c>
      <c r="Y76" s="282" t="e">
        <f aca="false">IF($A76="N/A"," ",IF(R76&lt;&gt;0,IF('Pricing Inputs'!$AN$3=2,8*VLOOKUP($A76,NumberofDaysTable,3),(xSPRDOPT(K76,$E76,$BU76,0,$BP76,$BS76,$BT76,$A76-Inputs!$D$1,1,1))*(8*VLOOKUP($A76,NumberofDaysTable,3))),0))</f>
        <v>#NAME?</v>
      </c>
      <c r="Z76" s="282" t="e">
        <f aca="false">IF($A76="N/A"," ",IF(S76&lt;&gt;0,IF('Pricing Inputs'!$AN$3=2,8*VLOOKUP($A76,NumberofDaysTable,3),(xSPRDOPT(L76,$E76,$BU76,0,$BP76,$BS76,$BT76,$A76-Inputs!$D$1,1,1))*(8*VLOOKUP($A76,NumberofDaysTable,3))),0))</f>
        <v>#NAME?</v>
      </c>
      <c r="AA76" s="282" t="e">
        <f aca="false">IF($A76="N/A"," ",IF(T76&lt;&gt;0,IF('Pricing Inputs'!$AN$3=2,8*VLOOKUP($A76,NumberofDaysTable,4),(xSPRDOPT(M76,$E76,$BU76,0,$BP76,$BS76,$BT76,$A76-Inputs!$D$1,1,1))*(8*VLOOKUP($A76,NumberofDaysTable,4))),0))</f>
        <v>#NAME?</v>
      </c>
      <c r="AB76" s="282" t="e">
        <f aca="false">IF($A76="N/A"," ",IF(U76&lt;&gt;0,IF('Pricing Inputs'!$AN$3=2,8*VLOOKUP($A76,NumberofDaysTable,4),(xSPRDOPT(N76,$E76,$BU76,0,$BP76,$BS76,$BT76,$A76-Inputs!$D$1,1,1))*(8*VLOOKUP($A76,NumberofDaysTable,4))),0))</f>
        <v>#NAME?</v>
      </c>
      <c r="AC76" s="282" t="e">
        <f aca="false">IF($A76="N/A"," ",(IF(V76&lt;&gt;0,(8*VLOOKUP($A76,NumberofDaysTable,6)),0)))</f>
        <v>#N/A</v>
      </c>
      <c r="AD76" s="283" t="e">
        <f aca="false">IF($A76="N/A"," ",RANK(P76,$P$76:$V$87))</f>
        <v>#NAME?</v>
      </c>
      <c r="AE76" s="284" t="e">
        <f aca="false">IF($A76="N/A"," ",RANK(Q76,$P$76:$V$87))</f>
        <v>#NAME?</v>
      </c>
      <c r="AF76" s="284" t="e">
        <f aca="false">IF($A76="N/A"," ",RANK(R76,$P$76:$V$87))</f>
        <v>#NAME?</v>
      </c>
      <c r="AG76" s="284" t="e">
        <f aca="false">IF($A76="N/A"," ",RANK(S76,$P$76:$V$87))</f>
        <v>#NAME?</v>
      </c>
      <c r="AH76" s="284" t="e">
        <f aca="false">IF($A76="N/A"," ",RANK(T76,$P$76:$V$87))</f>
        <v>#NAME?</v>
      </c>
      <c r="AI76" s="284" t="e">
        <f aca="false">IF($A76="N/A"," ",RANK(U76,$P$76:$V$87))</f>
        <v>#NAME?</v>
      </c>
      <c r="AJ76" s="285" t="e">
        <f aca="false">IF($A76="N/A"," ",RANK(V76,$P$76:$V$87))</f>
        <v>#NAME?</v>
      </c>
      <c r="AK76" s="313" t="e">
        <f aca="false">IF($A76="N/A"," ",IF(AD76&lt;=$AJ$2,W76,0))</f>
        <v>#NAME?</v>
      </c>
      <c r="AL76" s="287" t="e">
        <f aca="false">IF($A76="N/A"," ",IF(AE76&lt;=$AJ$2,X76,0))</f>
        <v>#NAME?</v>
      </c>
      <c r="AM76" s="287" t="e">
        <f aca="false">IF($A76="N/A"," ",IF(AF76&lt;=$AJ$2,Y76,0))</f>
        <v>#NAME?</v>
      </c>
      <c r="AN76" s="287" t="e">
        <f aca="false">IF($A76="N/A"," ",IF(AG76&lt;=$AJ$2,Z76,0))</f>
        <v>#NAME?</v>
      </c>
      <c r="AO76" s="287" t="e">
        <f aca="false">IF($A76="N/A"," ",IF(AH76&lt;=$AJ$2,AA76,0))</f>
        <v>#NAME?</v>
      </c>
      <c r="AP76" s="287" t="e">
        <f aca="false">IF($A76="N/A"," ",IF(AI76&lt;=$AJ$2,AB76,0))</f>
        <v>#NAME?</v>
      </c>
      <c r="AQ76" s="287" t="e">
        <f aca="false">IF($A76="N/A"," ",IF(AJ76&lt;=$AJ$2,AC76,0))</f>
        <v>#NAME?</v>
      </c>
      <c r="AR76" s="285"/>
      <c r="AS76" s="314" t="e">
        <f aca="false">IF($A76="N/A"," ",IF(AND(AD76=$AJ$2+1,AK76=0),MIN($AR$87,W76),0))</f>
        <v>#NAME?</v>
      </c>
      <c r="AT76" s="289" t="e">
        <f aca="false">IF($A76="N/A"," ",IF(AND(AE76=$AJ$2+1,AL76=0),MIN($AR$87,X76),0))</f>
        <v>#NAME?</v>
      </c>
      <c r="AU76" s="289" t="e">
        <f aca="false">IF($A76="N/A"," ",IF(AND(AF76=$AJ$2+1,AM76=0),MIN($AR$87,Y76),0))</f>
        <v>#NAME?</v>
      </c>
      <c r="AV76" s="289" t="e">
        <f aca="false">IF($A76="N/A"," ",IF(AND(AG76=$AJ$2+1,AN76=0),MIN($AR$87,Z76),0))</f>
        <v>#NAME?</v>
      </c>
      <c r="AW76" s="289" t="e">
        <f aca="false">IF($A76="N/A"," ",IF(AND(AH76=$AJ$2+1,AO76=0),MIN($AR$87,AA76),0))</f>
        <v>#NAME?</v>
      </c>
      <c r="AX76" s="289" t="e">
        <f aca="false">IF($A76="N/A"," ",IF(AND(AI76=$AJ$2+1,AP76=0),MIN($AR$87,AB76),0))</f>
        <v>#NAME?</v>
      </c>
      <c r="AY76" s="289" t="e">
        <f aca="false">IF($A76="N/A"," ",IF(AND(AJ76=$AJ$2+1,AQ76=0),MIN($AR$87,AC76),0))</f>
        <v>#NAME?</v>
      </c>
      <c r="AZ76" s="285"/>
      <c r="BA76" s="291" t="n">
        <f aca="false">IF($A76="N/A"," ",(IF(MONTH(A76)&gt;=4,IF(MONTH(A76)&lt;=10,Inputs!$F$13,Inputs!$F$14),Inputs!$F$14))*$BW76)</f>
        <v>180</v>
      </c>
      <c r="BB76" s="292" t="e">
        <f aca="false">IF($A76="N/A"," ",(IF(AK76&gt;0,($BA76*(8*(VLOOKUP($A76,NumberofDaysTable,2)))*P76),0)+IF(AS76&gt;0,($BA76*((AS76))*P76),0)))</f>
        <v>#NAME?</v>
      </c>
      <c r="BC76" s="292" t="e">
        <f aca="false">IF($A76="N/A"," ",(IF(AL76&gt;0,($BA76*(8*(VLOOKUP($A76,NumberofDaysTable,2)))*Q76),0)+IF(AT76&gt;0,($BA76*((AT76))*Q76),0)))</f>
        <v>#NAME?</v>
      </c>
      <c r="BD76" s="292" t="e">
        <f aca="false">IF($A76="N/A"," ",(IF(AM76&gt;0,($BA76*(8*(VLOOKUP($A76,NumberofDaysTable,3)))*R76),0)+IF(AU76&gt;0,($BA76*((AU76))*R76),0)))</f>
        <v>#NAME?</v>
      </c>
      <c r="BE76" s="292" t="e">
        <f aca="false">IF($A76="N/A"," ",(IF(AN76&gt;0,($BA76*(8*(VLOOKUP($A76,NumberofDaysTable,3)))*S76),0)+IF(AV76&gt;0,($BA76*((AV76))*S76),0)))</f>
        <v>#NAME?</v>
      </c>
      <c r="BF76" s="292" t="e">
        <f aca="false">IF($A76="N/A"," ",(IF(AO76&gt;0,($BA76*(8*(VLOOKUP($A76,NumberofDaysTable,4)+VLOOKUP($A76,NumberofDaysTable,5)))*T76),0)+IF(AW76&gt;0,($BA76*((AW76))*T76),0)))</f>
        <v>#NAME?</v>
      </c>
      <c r="BG76" s="292" t="e">
        <f aca="false">IF($A76="N/A"," ",(IF(AP76&gt;0,($BA76*(8*(VLOOKUP($A76,NumberofDaysTable,4)+VLOOKUP($A76,NumberofDaysTable,5)))*U76),0)+IF(AX76&gt;0,($BA76*((AX76))*U76),0)))</f>
        <v>#NAME?</v>
      </c>
      <c r="BH76" s="292" t="e">
        <f aca="false">IF($A76="N/A"," ",($BA76*AQ76*V76))</f>
        <v>#NAME?</v>
      </c>
      <c r="BI76" s="292" t="e">
        <f aca="false">IF($A76="N/A"," ",SUM(BB76:BH76))</f>
        <v>#NAME?</v>
      </c>
      <c r="BJ76" s="293" t="e">
        <f aca="false">IF($A76="N/A"," ",(H76*(SUM(AK76:AQ76)+SUM(AS76:AY76))*BA76))</f>
        <v>#NAME?</v>
      </c>
      <c r="BK76" s="293" t="e">
        <f aca="false">IF($A76="N/A"," ",((C76*D76)*(SUM($AK76:$AQ76)+SUM($AS76:$AY76))*$BA76))</f>
        <v>#N/A</v>
      </c>
      <c r="BL76" s="293" t="e">
        <f aca="false">IF($A76="N/A"," ",(F76*(SUM($AK76:$AQ76)+SUM($AS76:$AY76))*$BA76))</f>
        <v>#NAME?</v>
      </c>
      <c r="BM76" s="293" t="e">
        <f aca="false">IF($A76="N/A"," ",(G76*(SUM($AK76:$AQ76)+SUM($AS76:$AY76))*$BA76))</f>
        <v>#NAME?</v>
      </c>
      <c r="BN76" s="294" t="n">
        <f aca="false">IF(A76="N/A"," ",(VLOOKUP(A76,PowerVolTable,(IF('Pricing Inputs'!$AT$3=2,7,IF('Pricing Inputs'!$AT$3=1,6,8))),FALSE())))</f>
        <v>0.2087660969375</v>
      </c>
      <c r="BO76" s="294" t="n">
        <f aca="false">IF(A76="N/A"," ",(VLOOKUP(A76,IntraPowerVol,(IF('Pricing Inputs'!$AT$3=2,3,IF('Pricing Inputs'!$AT$3=1,2,4))),FALSE())*VLOOKUP(MONTH($A76),Inputs!$A$28:$B$39,2)))</f>
        <v>2.3</v>
      </c>
      <c r="BP76" s="295" t="n">
        <f aca="false">IF($A76="N/A"," ",(IF(DateToday&gt;$A76,$BO76,((($BN76^2)*((($A76-1)-DateToday)/((EOMONTH($A76,0)+1)-DateToday-15)))+((($BO76)^2)*((15)/((EOMONTH($A76,0)+1)-DateToday-15))))^0.5)))</f>
        <v>2.3</v>
      </c>
      <c r="BQ76" s="294" t="e">
        <f aca="false">IF($A76="N/A"," ",(VLOOKUP($A76,GasVolTable,(IF('Pricing Inputs'!$AT$3=2,6,IF('Pricing Inputs'!$AT$3=1,7,5))),FALSE())))</f>
        <v>#N/A</v>
      </c>
      <c r="BR76" s="294" t="e">
        <f aca="false">IF($A76="N/A"," ",(VLOOKUP($A76,OmicronVol,(IF('Pricing Inputs'!$AT$3=2,3,IF('Pricing Inputs'!$AT$3=1,4,2))),FALSE())))</f>
        <v>#N/A</v>
      </c>
      <c r="BS76" s="295" t="e">
        <f aca="false">IF($A76="N/A"," ",IF('Pricing Inputs'!$AN$3=1,(IF(DateToday&gt;$A76,$BR76,((($BQ76^2)*((($A76-1)-DateToday)/((EOMONTH($A76,0)+1)-DateToday-15)))+((($BR76)^2)*((15)/((EOMONTH($A76,0)+1)-DateToday-15))))^0.5)),0.0001))</f>
        <v>#N/A</v>
      </c>
      <c r="BT76" s="294" t="n">
        <f aca="false">IF($A76="N/A"," ",IF('Pricing Inputs'!$AN$3=1,(VLOOKUP($A76,CorrelationTable,2,FALSE())),0))</f>
        <v>0.9</v>
      </c>
      <c r="BU76" s="296" t="e">
        <f aca="false">IF($A76="N/A"," ",F76+G76+(D76*(VLOOKUP($A76,'Gas Curves'!$B$17:$P$310,14,FALSE()))))</f>
        <v>#N/A</v>
      </c>
      <c r="BV76" s="294" t="n">
        <f aca="false">IF($A76="N/A"," ",IF('Pricing Inputs'!$AW$3=1,0,(VLOOKUP($A76,InterestRatesTable,2))))</f>
        <v>0</v>
      </c>
      <c r="BW76" s="297" t="n">
        <f aca="false">IF($A76="N/A"," ",(1+BV76/2)^(-2*((EOMONTH(A76,0)+20)-DateToday)/365.25))</f>
        <v>1</v>
      </c>
    </row>
    <row r="77" customFormat="false" ht="12.75" hidden="false" customHeight="false" outlineLevel="0" collapsed="false">
      <c r="A77" s="272" t="n">
        <f aca="false">IF(A76="N/A","N/A",IF(EDATE(A76,1)&gt;Inputs!$K$3,"N/A",EDATE(A76,1)))</f>
        <v>39114</v>
      </c>
      <c r="B77" s="273" t="n">
        <f aca="false">IF(A77="N/A"," ",YEAR(A77))</f>
        <v>2007</v>
      </c>
      <c r="C77" s="274" t="e">
        <f aca="false">IF(A77="N/A"," ",VLOOKUP(A77,ScaledPrice,10))</f>
        <v>#N/A</v>
      </c>
      <c r="D77" s="275" t="n">
        <f aca="false">IF(A77="N/A"," ",(VLOOKUP(MONTH($A77),Inputs!$A$14:$B$25,2))/1000)</f>
        <v>10.5</v>
      </c>
      <c r="E77" s="276" t="e">
        <f aca="false">IF($A77="N/A"," ",C77*D77)</f>
        <v>#N/A</v>
      </c>
      <c r="F77" s="277" t="n">
        <f aca="false">IF(A77="N/A"," ",Inputs!$F$6)</f>
        <v>2</v>
      </c>
      <c r="G77" s="277" t="n">
        <f aca="false">IF(A77="N/A"," ",Inputs!$F$9/IF(AND('Pricing Inputs'!$AQ$3&gt;=4,'Pricing Inputs'!$AQ$3&lt;=6),16,IF(AND('Pricing Inputs'!$AQ$3&gt;=7,'Pricing Inputs'!$AQ$3&lt;=9),8,24))/(BA77/BW77))</f>
        <v>0</v>
      </c>
      <c r="H77" s="278" t="e">
        <f aca="false">IF(A77="N/A"," ",(C77*D77)+F77+G77)</f>
        <v>#N/A</v>
      </c>
      <c r="I77" s="279" t="n">
        <f aca="false">VLOOKUP(A77,ScaledPrice,(IF(AND('Pricing Inputs'!$AQ$3&gt;=1,'Pricing Inputs'!$AQ$3&lt;=6),2,4)))</f>
        <v>35.8099361694067</v>
      </c>
      <c r="J77" s="279" t="n">
        <f aca="false">IF(A77="N/A"," ",IF(AND('Pricing Inputs'!$AQ$3&gt;=1,'Pricing Inputs'!$AQ$3&lt;=6),I77,(VLOOKUP(A77,ScaledPrice,2))*(2-(VLOOKUP(A77,ScaledPrice,3)))))</f>
        <v>38.0900638305933</v>
      </c>
      <c r="K77" s="279" t="n">
        <f aca="false">IF(A77="N/A"," ",IF(OR('Pricing Inputs'!$AQ$3=2,'Pricing Inputs'!$AQ$3=3,'Pricing Inputs'!$AQ$3=5,'Pricing Inputs'!$AQ$3=6,'Pricing Inputs'!$AQ$3=8,'Pricing Inputs'!$AQ$3=9),VLOOKUP(A77,ScaledPrice,IF(AND('Pricing Inputs'!$AQ$3&gt;=2,'Pricing Inputs'!$AQ$3&lt;=6),5,6)),0))</f>
        <v>27.5685629830351</v>
      </c>
      <c r="L77" s="279" t="n">
        <f aca="false">IF(A77="N/A"," ",IF(OR('Pricing Inputs'!$AQ$3=2,'Pricing Inputs'!$AQ$3=3,'Pricing Inputs'!$AQ$3=5,'Pricing Inputs'!$AQ$3=6,'Pricing Inputs'!$AQ$3=8,'Pricing Inputs'!$AQ$3=9),IF(AND('Pricing Inputs'!$AQ$3&gt;=2,'Pricing Inputs'!$AQ$3&lt;=6),K77,(VLOOKUP(A77,ScaledPrice,5))*(2-(VLOOKUP(A77,ScaledPrice,3)))),0))</f>
        <v>29.3239373221407</v>
      </c>
      <c r="M77" s="279" t="n">
        <f aca="false">IF(A77="N/A"," ",IF(OR('Pricing Inputs'!$AQ$3=3,'Pricing Inputs'!$AQ$3=6,'Pricing Inputs'!$AQ$3=9),(VLOOKUP(A77,ScaledPrice,IF(AND('Pricing Inputs'!$AQ$3&gt;=3,'Pricing Inputs'!$AQ$3&lt;=6),7,8))),0))</f>
        <v>25.1469093269583</v>
      </c>
      <c r="N77" s="279" t="n">
        <f aca="false">IF(A77="N/A"," ",IF(OR('Pricing Inputs'!$AQ$3=3,'Pricing Inputs'!$AQ$3=6,'Pricing Inputs'!$AQ$3=9),IF(AND('Pricing Inputs'!$AQ$3&gt;=3,'Pricing Inputs'!$AQ$3&lt;=6),M77,(VLOOKUP(A77,ScaledPrice,7))*(2-(VLOOKUP(A77,ScaledPrice,3)))),0))</f>
        <v>26.7480896049264</v>
      </c>
      <c r="O77" s="279" t="n">
        <f aca="false">IF(A77="N/A"," ",IF(AND('Pricing Inputs'!$AQ$3&gt;=1,'Pricing Inputs'!$AQ$3&lt;=3),VLOOKUP(A77,ScaledPrice,9),0))</f>
        <v>0</v>
      </c>
      <c r="P77" s="280" t="e">
        <f aca="false">IF($A77="N/A"," ",IF('Pricing Inputs'!$AN$8=2,(I77-H77),IF('Pricing Inputs'!$AN$3=2,IF((I77-$H77)&gt;0,I77-$H77,0),(xSPRDOPT(I77,$E77,$BU77,0,$BP77,$BS77,$BT77,($A77-Inputs!$D$1)+15,1,0)))))</f>
        <v>#NAME?</v>
      </c>
      <c r="Q77" s="280" t="e">
        <f aca="false">IF($A77="N/A"," ",IF('Pricing Inputs'!$AN$8=2,(J77-$H77),IF('Pricing Inputs'!$AN$3=2,IF((J77-$H77)&gt;0,J77-$H77,0),(xSPRDOPT(J77,$E77,$BU77,0,$BP77,$BS77,$BT77,($A77-Inputs!$D$1)+15,1,0)))))</f>
        <v>#NAME?</v>
      </c>
      <c r="R77" s="280" t="e">
        <f aca="false">IF($A77="N/A"," ",IF('Pricing Inputs'!$AN$8=2,(K77-$H77),IF('Pricing Inputs'!$AN$3=2,IF((K77-$H77)&gt;0,K77-$H77,0),(xSPRDOPT(K77,$E77,$BU77,0,$BP77,$BS77,$BT77,($A77-Inputs!$D$1)+15,1,0)))))</f>
        <v>#NAME?</v>
      </c>
      <c r="S77" s="280" t="e">
        <f aca="false">IF($A77="N/A"," ",IF('Pricing Inputs'!$AN$8=2,(L77-$H77),IF('Pricing Inputs'!$AN$3=2,IF((L77-$H77)&gt;0,L77-$H77,0),(xSPRDOPT(L77,$E77,$BU77,0,$BP77,$BS77,$BT77,($A77-Inputs!$D$1)+15,1,0)))))</f>
        <v>#NAME?</v>
      </c>
      <c r="T77" s="280" t="e">
        <f aca="false">IF($A77="N/A"," ",IF('Pricing Inputs'!$AN$8=2,(M77-$H77),IF('Pricing Inputs'!$AN$3=2,IF((M77-$H77)&gt;0,M77-$H77,0),(xSPRDOPT(M77,$E77,$BU77,0,$BP77,$BS77,$BT77,($A77-Inputs!$D$1)+15,1,0)))))</f>
        <v>#NAME?</v>
      </c>
      <c r="U77" s="280" t="e">
        <f aca="false">IF($A77="N/A"," ",IF('Pricing Inputs'!$AN$8=2,(N77-$H77),IF('Pricing Inputs'!$AN$3=2,IF((N77-$H77)&gt;0,N77-$H77,0),(xSPRDOPT(N77,$E77,$BU77,0,$BP77,$BS77,$BT77,($A77-Inputs!$D$1)+15,1,0)))))</f>
        <v>#NAME?</v>
      </c>
      <c r="V77" s="281" t="e">
        <f aca="false">IF($A77="N/A"," ",(IF('Pricing Inputs'!$AN$8=2,(O77-$H77),IF((O77-$H77)&lt;=0,0,(O77-$H77)))))</f>
        <v>#N/A</v>
      </c>
      <c r="W77" s="282" t="e">
        <f aca="false">IF($A77="N/A"," ",IF(0&lt;&gt;P77,IF('Pricing Inputs'!$AN$3=2,8*VLOOKUP($A77,NumberofDaysTable,2),(xSPRDOPT(I77,$E77,$BU77,0,$BP77,$BS77,$BT77,$A77-Inputs!$D$1,1,1))*(8*VLOOKUP($A77,NumberofDaysTable,2))),0))</f>
        <v>#NAME?</v>
      </c>
      <c r="X77" s="282" t="e">
        <f aca="false">IF($A77="N/A"," ",IF(Q77&lt;&gt;0,IF('Pricing Inputs'!$AN$3=2,8*VLOOKUP($A77,NumberofDaysTable,2),(xSPRDOPT(J77,$E77,$BU77,0,$BP77,$BS77,$BT77,$A77-Inputs!$D$1,1,1))*(8*VLOOKUP($A77,NumberofDaysTable,2))),0))</f>
        <v>#NAME?</v>
      </c>
      <c r="Y77" s="282" t="e">
        <f aca="false">IF($A77="N/A"," ",IF(R77&lt;&gt;0,IF('Pricing Inputs'!$AN$3=2,8*VLOOKUP($A77,NumberofDaysTable,3),(xSPRDOPT(K77,$E77,$BU77,0,$BP77,$BS77,$BT77,$A77-Inputs!$D$1,1,1))*(8*VLOOKUP($A77,NumberofDaysTable,3))),0))</f>
        <v>#NAME?</v>
      </c>
      <c r="Z77" s="282" t="e">
        <f aca="false">IF($A77="N/A"," ",IF(S77&lt;&gt;0,IF('Pricing Inputs'!$AN$3=2,8*VLOOKUP($A77,NumberofDaysTable,3),(xSPRDOPT(L77,$E77,$BU77,0,$BP77,$BS77,$BT77,$A77-Inputs!$D$1,1,1))*(8*VLOOKUP($A77,NumberofDaysTable,3))),0))</f>
        <v>#NAME?</v>
      </c>
      <c r="AA77" s="282" t="e">
        <f aca="false">IF($A77="N/A"," ",IF(T77&lt;&gt;0,IF('Pricing Inputs'!$AN$3=2,8*VLOOKUP($A77,NumberofDaysTable,4),(xSPRDOPT(M77,$E77,$BU77,0,$BP77,$BS77,$BT77,$A77-Inputs!$D$1,1,1))*(8*VLOOKUP($A77,NumberofDaysTable,4))),0))</f>
        <v>#NAME?</v>
      </c>
      <c r="AB77" s="282" t="e">
        <f aca="false">IF($A77="N/A"," ",IF(U77&lt;&gt;0,IF('Pricing Inputs'!$AN$3=2,8*VLOOKUP($A77,NumberofDaysTable,4),(xSPRDOPT(N77,$E77,$BU77,0,$BP77,$BS77,$BT77,$A77-Inputs!$D$1,1,1))*(8*VLOOKUP($A77,NumberofDaysTable,4))),0))</f>
        <v>#NAME?</v>
      </c>
      <c r="AC77" s="282" t="e">
        <f aca="false">IF($A77="N/A"," ",(IF(V77&lt;&gt;0,(8*VLOOKUP($A77,NumberofDaysTable,6)),0)))</f>
        <v>#N/A</v>
      </c>
      <c r="AD77" s="298" t="e">
        <f aca="false">IF($A77="N/A"," ",RANK(P77,$P$76:$V$87))</f>
        <v>#NAME?</v>
      </c>
      <c r="AE77" s="299" t="e">
        <f aca="false">IF($A77="N/A"," ",RANK(Q77,$P$76:$V$87))</f>
        <v>#NAME?</v>
      </c>
      <c r="AF77" s="299" t="e">
        <f aca="false">IF($A77="N/A"," ",RANK(R77,$P$76:$V$87))</f>
        <v>#NAME?</v>
      </c>
      <c r="AG77" s="299" t="e">
        <f aca="false">IF($A77="N/A"," ",RANK(S77,$P$76:$V$87))</f>
        <v>#NAME?</v>
      </c>
      <c r="AH77" s="299" t="e">
        <f aca="false">IF($A77="N/A"," ",RANK(T77,$P$76:$V$87))</f>
        <v>#NAME?</v>
      </c>
      <c r="AI77" s="299" t="e">
        <f aca="false">IF($A77="N/A"," ",RANK(U77,$P$76:$V$87))</f>
        <v>#NAME?</v>
      </c>
      <c r="AJ77" s="300" t="e">
        <f aca="false">IF($A77="N/A"," ",RANK(V77,$P$76:$V$87))</f>
        <v>#NAME?</v>
      </c>
      <c r="AK77" s="286" t="e">
        <f aca="false">IF($A77="N/A"," ",IF(AD77&lt;=$AJ$2,W77,0))</f>
        <v>#NAME?</v>
      </c>
      <c r="AL77" s="301" t="e">
        <f aca="false">IF($A77="N/A"," ",IF(AE77&lt;=$AJ$2,X77,0))</f>
        <v>#NAME?</v>
      </c>
      <c r="AM77" s="301" t="e">
        <f aca="false">IF($A77="N/A"," ",IF(AF77&lt;=$AJ$2,Y77,0))</f>
        <v>#NAME?</v>
      </c>
      <c r="AN77" s="301" t="e">
        <f aca="false">IF($A77="N/A"," ",IF(AG77&lt;=$AJ$2,Z77,0))</f>
        <v>#NAME?</v>
      </c>
      <c r="AO77" s="301" t="e">
        <f aca="false">IF($A77="N/A"," ",IF(AH77&lt;=$AJ$2,AA77,0))</f>
        <v>#NAME?</v>
      </c>
      <c r="AP77" s="301" t="e">
        <f aca="false">IF($A77="N/A"," ",IF(AI77&lt;=$AJ$2,AB77,0))</f>
        <v>#NAME?</v>
      </c>
      <c r="AQ77" s="301" t="e">
        <f aca="false">IF($A77="N/A"," ",IF(AJ77&lt;=$AJ$2,AC77,0))</f>
        <v>#NAME?</v>
      </c>
      <c r="AR77" s="300"/>
      <c r="AS77" s="288" t="e">
        <f aca="false">IF($A77="N/A"," ",IF(AND(AD77=$AJ$2+1,AK77=0),MIN($AR$87,W77),0))</f>
        <v>#NAME?</v>
      </c>
      <c r="AT77" s="302" t="e">
        <f aca="false">IF($A77="N/A"," ",IF(AND(AE77=$AJ$2+1,AL77=0),MIN($AR$87,X77),0))</f>
        <v>#NAME?</v>
      </c>
      <c r="AU77" s="302" t="e">
        <f aca="false">IF($A77="N/A"," ",IF(AND(AF77=$AJ$2+1,AM77=0),MIN($AR$87,Y77),0))</f>
        <v>#NAME?</v>
      </c>
      <c r="AV77" s="302" t="e">
        <f aca="false">IF($A77="N/A"," ",IF(AND(AG77=$AJ$2+1,AN77=0),MIN($AR$87,Z77),0))</f>
        <v>#NAME?</v>
      </c>
      <c r="AW77" s="302" t="e">
        <f aca="false">IF($A77="N/A"," ",IF(AND(AH77=$AJ$2+1,AO77=0),MIN($AR$87,AA77),0))</f>
        <v>#NAME?</v>
      </c>
      <c r="AX77" s="302" t="e">
        <f aca="false">IF($A77="N/A"," ",IF(AND(AI77=$AJ$2+1,AP77=0),MIN($AR$87,AB77),0))</f>
        <v>#NAME?</v>
      </c>
      <c r="AY77" s="302" t="e">
        <f aca="false">IF($A77="N/A"," ",IF(AND(AJ77=$AJ$2+1,AQ77=0),MIN($AR$87,AC77),0))</f>
        <v>#NAME?</v>
      </c>
      <c r="AZ77" s="300"/>
      <c r="BA77" s="291" t="n">
        <f aca="false">IF($A77="N/A"," ",(IF(MONTH(A77)&gt;=4,IF(MONTH(A77)&lt;=10,Inputs!$F$13,Inputs!$F$14),Inputs!$F$14))*$BW77)</f>
        <v>180</v>
      </c>
      <c r="BB77" s="292" t="e">
        <f aca="false">IF($A77="N/A"," ",(IF(AK77&gt;0,($BA77*(8*(VLOOKUP($A77,NumberofDaysTable,2)))*P77),0)+IF(AS77&gt;0,($BA77*((AS77))*P77),0)))</f>
        <v>#NAME?</v>
      </c>
      <c r="BC77" s="292" t="e">
        <f aca="false">IF($A77="N/A"," ",(IF(AL77&gt;0,($BA77*(8*(VLOOKUP($A77,NumberofDaysTable,2)))*Q77),0)+IF(AT77&gt;0,($BA77*((AT77))*Q77),0)))</f>
        <v>#NAME?</v>
      </c>
      <c r="BD77" s="292" t="e">
        <f aca="false">IF($A77="N/A"," ",(IF(AM77&gt;0,($BA77*(8*(VLOOKUP($A77,NumberofDaysTable,3)))*R77),0)+IF(AU77&gt;0,($BA77*((AU77))*R77),0)))</f>
        <v>#NAME?</v>
      </c>
      <c r="BE77" s="292" t="e">
        <f aca="false">IF($A77="N/A"," ",(IF(AN77&gt;0,($BA77*(8*(VLOOKUP($A77,NumberofDaysTable,3)))*S77),0)+IF(AV77&gt;0,($BA77*((AV77))*S77),0)))</f>
        <v>#NAME?</v>
      </c>
      <c r="BF77" s="292" t="e">
        <f aca="false">IF($A77="N/A"," ",(IF(AO77&gt;0,($BA77*(8*(VLOOKUP($A77,NumberofDaysTable,4)+VLOOKUP($A77,NumberofDaysTable,5)))*T77),0)+IF(AW77&gt;0,($BA77*((AW77))*T77),0)))</f>
        <v>#NAME?</v>
      </c>
      <c r="BG77" s="292" t="e">
        <f aca="false">IF($A77="N/A"," ",(IF(AP77&gt;0,($BA77*(8*(VLOOKUP($A77,NumberofDaysTable,4)+VLOOKUP($A77,NumberofDaysTable,5)))*U77),0)+IF(AX77&gt;0,($BA77*((AX77))*U77),0)))</f>
        <v>#NAME?</v>
      </c>
      <c r="BH77" s="292" t="e">
        <f aca="false">IF($A77="N/A"," ",($BA77*AQ77*V77))</f>
        <v>#NAME?</v>
      </c>
      <c r="BI77" s="292" t="e">
        <f aca="false">IF($A77="N/A"," ",SUM(BB77:BH77))</f>
        <v>#NAME?</v>
      </c>
      <c r="BJ77" s="293" t="e">
        <f aca="false">IF($A77="N/A"," ",(H77*(SUM(AK77:AQ77)+SUM(AS77:AY77))*BA77))</f>
        <v>#NAME?</v>
      </c>
      <c r="BK77" s="293" t="e">
        <f aca="false">IF($A77="N/A"," ",((C77*D77)*(SUM($AK77:$AQ77)+SUM($AS77:$AY77))*$BA77))</f>
        <v>#N/A</v>
      </c>
      <c r="BL77" s="293" t="e">
        <f aca="false">IF($A77="N/A"," ",(F77*(SUM($AK77:$AQ77)+SUM($AS77:$AY77))*$BA77))</f>
        <v>#NAME?</v>
      </c>
      <c r="BM77" s="293" t="e">
        <f aca="false">IF($A77="N/A"," ",(G77*(SUM($AK77:$AQ77)+SUM($AS77:$AY77))*$BA77))</f>
        <v>#NAME?</v>
      </c>
      <c r="BN77" s="294" t="n">
        <f aca="false">IF(A77="N/A"," ",(VLOOKUP(A77,PowerVolTable,(IF('Pricing Inputs'!$AT$3=2,7,IF('Pricing Inputs'!$AT$3=1,6,8))),FALSE())))</f>
        <v>0.20141517803125</v>
      </c>
      <c r="BO77" s="294" t="n">
        <f aca="false">IF(A77="N/A"," ",(VLOOKUP(A77,IntraPowerVol,(IF('Pricing Inputs'!$AT$3=2,3,IF('Pricing Inputs'!$AT$3=1,2,4))),FALSE())*VLOOKUP(MONTH($A77),Inputs!$A$28:$B$39,2)))</f>
        <v>2.3</v>
      </c>
      <c r="BP77" s="295" t="n">
        <f aca="false">IF($A77="N/A"," ",(IF(DateToday&gt;$A77,$BO77,((($BN77^2)*((($A77-1)-DateToday)/((EOMONTH($A77,0)+1)-DateToday-15)))+((($BO77)^2)*((15)/((EOMONTH($A77,0)+1)-DateToday-15))))^0.5)))</f>
        <v>2.3</v>
      </c>
      <c r="BQ77" s="294" t="e">
        <f aca="false">IF($A77="N/A"," ",(VLOOKUP($A77,GasVolTable,(IF('Pricing Inputs'!$AT$3=2,6,IF('Pricing Inputs'!$AT$3=1,7,5))),FALSE())))</f>
        <v>#N/A</v>
      </c>
      <c r="BR77" s="294" t="e">
        <f aca="false">IF($A77="N/A"," ",(VLOOKUP($A77,OmicronVol,(IF('Pricing Inputs'!$AT$3=2,3,IF('Pricing Inputs'!$AT$3=1,4,2))),FALSE())))</f>
        <v>#N/A</v>
      </c>
      <c r="BS77" s="295" t="e">
        <f aca="false">IF($A77="N/A"," ",IF('Pricing Inputs'!$AN$3=1,(IF(DateToday&gt;$A77,$BR77,((($BQ77^2)*((($A77-1)-DateToday)/((EOMONTH($A77,0)+1)-DateToday-15)))+((($BR77)^2)*((15)/((EOMONTH($A77,0)+1)-DateToday-15))))^0.5)),0.0001))</f>
        <v>#N/A</v>
      </c>
      <c r="BT77" s="294" t="n">
        <f aca="false">IF($A77="N/A"," ",IF('Pricing Inputs'!$AN$3=1,(VLOOKUP($A77,CorrelationTable,2,FALSE())),0))</f>
        <v>0.9</v>
      </c>
      <c r="BU77" s="296" t="e">
        <f aca="false">IF($A77="N/A"," ",F77+G77+(D77*(VLOOKUP($A77,'Gas Curves'!$B$17:$P$310,14,FALSE()))))</f>
        <v>#N/A</v>
      </c>
      <c r="BV77" s="294" t="n">
        <f aca="false">IF($A77="N/A"," ",IF('Pricing Inputs'!$AW$3=1,0,(VLOOKUP($A77,InterestRatesTable,2))))</f>
        <v>0</v>
      </c>
      <c r="BW77" s="297" t="n">
        <f aca="false">IF($A77="N/A"," ",(1+BV77/2)^(-2*((EOMONTH(A77,0)+20)-DateToday)/365.25))</f>
        <v>1</v>
      </c>
    </row>
    <row r="78" customFormat="false" ht="12.75" hidden="false" customHeight="false" outlineLevel="0" collapsed="false">
      <c r="A78" s="272" t="n">
        <f aca="false">IF(A77="N/A","N/A",IF(EDATE(A77,1)&gt;Inputs!$K$3,"N/A",EDATE(A77,1)))</f>
        <v>39142</v>
      </c>
      <c r="B78" s="273" t="n">
        <f aca="false">IF(A78="N/A"," ",YEAR(A78))</f>
        <v>2007</v>
      </c>
      <c r="C78" s="274" t="e">
        <f aca="false">IF(A78="N/A"," ",VLOOKUP(A78,ScaledPrice,10))</f>
        <v>#N/A</v>
      </c>
      <c r="D78" s="275" t="n">
        <f aca="false">IF(A78="N/A"," ",(VLOOKUP(MONTH($A78),Inputs!$A$14:$B$25,2))/1000)</f>
        <v>10.5</v>
      </c>
      <c r="E78" s="276" t="e">
        <f aca="false">IF($A78="N/A"," ",C78*D78)</f>
        <v>#N/A</v>
      </c>
      <c r="F78" s="277" t="n">
        <f aca="false">IF(A78="N/A"," ",Inputs!$F$6)</f>
        <v>2</v>
      </c>
      <c r="G78" s="277" t="n">
        <f aca="false">IF(A78="N/A"," ",Inputs!$F$9/IF(AND('Pricing Inputs'!$AQ$3&gt;=4,'Pricing Inputs'!$AQ$3&lt;=6),16,IF(AND('Pricing Inputs'!$AQ$3&gt;=7,'Pricing Inputs'!$AQ$3&lt;=9),8,24))/(BA78/BW78))</f>
        <v>0</v>
      </c>
      <c r="H78" s="278" t="e">
        <f aca="false">IF(A78="N/A"," ",(C78*D78)+F78+G78)</f>
        <v>#N/A</v>
      </c>
      <c r="I78" s="279" t="n">
        <f aca="false">VLOOKUP(A78,ScaledPrice,(IF(AND('Pricing Inputs'!$AQ$3&gt;=1,'Pricing Inputs'!$AQ$3&lt;=6),2,4)))</f>
        <v>32.25878</v>
      </c>
      <c r="J78" s="279" t="n">
        <f aca="false">IF(A78="N/A"," ",IF(AND('Pricing Inputs'!$AQ$3&gt;=1,'Pricing Inputs'!$AQ$3&lt;=6),I78,(VLOOKUP(A78,ScaledPrice,2))*(2-(VLOOKUP(A78,ScaledPrice,3)))))</f>
        <v>34.14122</v>
      </c>
      <c r="K78" s="279" t="n">
        <f aca="false">IF(A78="N/A"," ",IF(OR('Pricing Inputs'!$AQ$3=2,'Pricing Inputs'!$AQ$3=3,'Pricing Inputs'!$AQ$3=5,'Pricing Inputs'!$AQ$3=6,'Pricing Inputs'!$AQ$3=8,'Pricing Inputs'!$AQ$3=9),VLOOKUP(A78,ScaledPrice,IF(AND('Pricing Inputs'!$AQ$3&gt;=2,'Pricing Inputs'!$AQ$3&lt;=6),5,6)),0))</f>
        <v>21.0214044520187</v>
      </c>
      <c r="L78" s="279" t="n">
        <f aca="false">IF(A78="N/A"," ",IF(OR('Pricing Inputs'!$AQ$3=2,'Pricing Inputs'!$AQ$3=3,'Pricing Inputs'!$AQ$3=5,'Pricing Inputs'!$AQ$3=6,'Pricing Inputs'!$AQ$3=8,'Pricing Inputs'!$AQ$3=9),IF(AND('Pricing Inputs'!$AQ$3&gt;=2,'Pricing Inputs'!$AQ$3&lt;=6),K78,(VLOOKUP(A78,ScaledPrice,5))*(2-(VLOOKUP(A78,ScaledPrice,3)))),0))</f>
        <v>22.2480947545242</v>
      </c>
      <c r="M78" s="279" t="n">
        <f aca="false">IF(A78="N/A"," ",IF(OR('Pricing Inputs'!$AQ$3=3,'Pricing Inputs'!$AQ$3=6,'Pricing Inputs'!$AQ$3=9),(VLOOKUP(A78,ScaledPrice,IF(AND('Pricing Inputs'!$AQ$3&gt;=3,'Pricing Inputs'!$AQ$3&lt;=6),7,8))),0))</f>
        <v>20.6616503575134</v>
      </c>
      <c r="N78" s="279" t="n">
        <f aca="false">IF(A78="N/A"," ",IF(OR('Pricing Inputs'!$AQ$3=3,'Pricing Inputs'!$AQ$3=6,'Pricing Inputs'!$AQ$3=9),IF(AND('Pricing Inputs'!$AQ$3&gt;=3,'Pricing Inputs'!$AQ$3&lt;=6),M78,(VLOOKUP(A78,ScaledPrice,7))*(2-(VLOOKUP(A78,ScaledPrice,3)))),0))</f>
        <v>21.8673474452209</v>
      </c>
      <c r="O78" s="279" t="n">
        <f aca="false">IF(A78="N/A"," ",IF(AND('Pricing Inputs'!$AQ$3&gt;=1,'Pricing Inputs'!$AQ$3&lt;=3),VLOOKUP(A78,ScaledPrice,9),0))</f>
        <v>0</v>
      </c>
      <c r="P78" s="280" t="e">
        <f aca="false">IF($A78="N/A"," ",IF('Pricing Inputs'!$AN$8=2,(I78-H78),IF('Pricing Inputs'!$AN$3=2,IF((I78-$H78)&gt;0,I78-$H78,0),(xSPRDOPT(I78,$E78,$BU78,0,$BP78,$BS78,$BT78,($A78-Inputs!$D$1)+15,1,0)))))</f>
        <v>#NAME?</v>
      </c>
      <c r="Q78" s="280" t="e">
        <f aca="false">IF($A78="N/A"," ",IF('Pricing Inputs'!$AN$8=2,(J78-$H78),IF('Pricing Inputs'!$AN$3=2,IF((J78-$H78)&gt;0,J78-$H78,0),(xSPRDOPT(J78,$E78,$BU78,0,$BP78,$BS78,$BT78,($A78-Inputs!$D$1)+15,1,0)))))</f>
        <v>#NAME?</v>
      </c>
      <c r="R78" s="280" t="e">
        <f aca="false">IF($A78="N/A"," ",IF('Pricing Inputs'!$AN$8=2,(K78-$H78),IF('Pricing Inputs'!$AN$3=2,IF((K78-$H78)&gt;0,K78-$H78,0),(xSPRDOPT(K78,$E78,$BU78,0,$BP78,$BS78,$BT78,($A78-Inputs!$D$1)+15,1,0)))))</f>
        <v>#NAME?</v>
      </c>
      <c r="S78" s="280" t="e">
        <f aca="false">IF($A78="N/A"," ",IF('Pricing Inputs'!$AN$8=2,(L78-$H78),IF('Pricing Inputs'!$AN$3=2,IF((L78-$H78)&gt;0,L78-$H78,0),(xSPRDOPT(L78,$E78,$BU78,0,$BP78,$BS78,$BT78,($A78-Inputs!$D$1)+15,1,0)))))</f>
        <v>#NAME?</v>
      </c>
      <c r="T78" s="280" t="e">
        <f aca="false">IF($A78="N/A"," ",IF('Pricing Inputs'!$AN$8=2,(M78-$H78),IF('Pricing Inputs'!$AN$3=2,IF((M78-$H78)&gt;0,M78-$H78,0),(xSPRDOPT(M78,$E78,$BU78,0,$BP78,$BS78,$BT78,($A78-Inputs!$D$1)+15,1,0)))))</f>
        <v>#NAME?</v>
      </c>
      <c r="U78" s="280" t="e">
        <f aca="false">IF($A78="N/A"," ",IF('Pricing Inputs'!$AN$8=2,(N78-$H78),IF('Pricing Inputs'!$AN$3=2,IF((N78-$H78)&gt;0,N78-$H78,0),(xSPRDOPT(N78,$E78,$BU78,0,$BP78,$BS78,$BT78,($A78-Inputs!$D$1)+15,1,0)))))</f>
        <v>#NAME?</v>
      </c>
      <c r="V78" s="281" t="e">
        <f aca="false">IF($A78="N/A"," ",(IF('Pricing Inputs'!$AN$8=2,(O78-$H78),IF((O78-$H78)&lt;=0,0,(O78-$H78)))))</f>
        <v>#N/A</v>
      </c>
      <c r="W78" s="282" t="e">
        <f aca="false">IF($A78="N/A"," ",IF(0&lt;&gt;P78,IF('Pricing Inputs'!$AN$3=2,8*VLOOKUP($A78,NumberofDaysTable,2),(xSPRDOPT(I78,$E78,$BU78,0,$BP78,$BS78,$BT78,$A78-Inputs!$D$1,1,1))*(8*VLOOKUP($A78,NumberofDaysTable,2))),0))</f>
        <v>#NAME?</v>
      </c>
      <c r="X78" s="282" t="e">
        <f aca="false">IF($A78="N/A"," ",IF(Q78&lt;&gt;0,IF('Pricing Inputs'!$AN$3=2,8*VLOOKUP($A78,NumberofDaysTable,2),(xSPRDOPT(J78,$E78,$BU78,0,$BP78,$BS78,$BT78,$A78-Inputs!$D$1,1,1))*(8*VLOOKUP($A78,NumberofDaysTable,2))),0))</f>
        <v>#NAME?</v>
      </c>
      <c r="Y78" s="282" t="e">
        <f aca="false">IF($A78="N/A"," ",IF(R78&lt;&gt;0,IF('Pricing Inputs'!$AN$3=2,8*VLOOKUP($A78,NumberofDaysTable,3),(xSPRDOPT(K78,$E78,$BU78,0,$BP78,$BS78,$BT78,$A78-Inputs!$D$1,1,1))*(8*VLOOKUP($A78,NumberofDaysTable,3))),0))</f>
        <v>#NAME?</v>
      </c>
      <c r="Z78" s="282" t="e">
        <f aca="false">IF($A78="N/A"," ",IF(S78&lt;&gt;0,IF('Pricing Inputs'!$AN$3=2,8*VLOOKUP($A78,NumberofDaysTable,3),(xSPRDOPT(L78,$E78,$BU78,0,$BP78,$BS78,$BT78,$A78-Inputs!$D$1,1,1))*(8*VLOOKUP($A78,NumberofDaysTable,3))),0))</f>
        <v>#NAME?</v>
      </c>
      <c r="AA78" s="282" t="e">
        <f aca="false">IF($A78="N/A"," ",IF(T78&lt;&gt;0,IF('Pricing Inputs'!$AN$3=2,8*VLOOKUP($A78,NumberofDaysTable,4),(xSPRDOPT(M78,$E78,$BU78,0,$BP78,$BS78,$BT78,$A78-Inputs!$D$1,1,1))*(8*VLOOKUP($A78,NumberofDaysTable,4))),0))</f>
        <v>#NAME?</v>
      </c>
      <c r="AB78" s="282" t="e">
        <f aca="false">IF($A78="N/A"," ",IF(U78&lt;&gt;0,IF('Pricing Inputs'!$AN$3=2,8*VLOOKUP($A78,NumberofDaysTable,4),(xSPRDOPT(N78,$E78,$BU78,0,$BP78,$BS78,$BT78,$A78-Inputs!$D$1,1,1))*(8*VLOOKUP($A78,NumberofDaysTable,4))),0))</f>
        <v>#NAME?</v>
      </c>
      <c r="AC78" s="282" t="e">
        <f aca="false">IF($A78="N/A"," ",(IF(V78&lt;&gt;0,(8*VLOOKUP($A78,NumberofDaysTable,6)),0)))</f>
        <v>#N/A</v>
      </c>
      <c r="AD78" s="298" t="e">
        <f aca="false">IF($A78="N/A"," ",RANK(P78,$P$76:$V$87))</f>
        <v>#NAME?</v>
      </c>
      <c r="AE78" s="299" t="e">
        <f aca="false">IF($A78="N/A"," ",RANK(Q78,$P$76:$V$87))</f>
        <v>#NAME?</v>
      </c>
      <c r="AF78" s="299" t="e">
        <f aca="false">IF($A78="N/A"," ",RANK(R78,$P$76:$V$87))</f>
        <v>#NAME?</v>
      </c>
      <c r="AG78" s="299" t="e">
        <f aca="false">IF($A78="N/A"," ",RANK(S78,$P$76:$V$87))</f>
        <v>#NAME?</v>
      </c>
      <c r="AH78" s="299" t="e">
        <f aca="false">IF($A78="N/A"," ",RANK(T78,$P$76:$V$87))</f>
        <v>#NAME?</v>
      </c>
      <c r="AI78" s="299" t="e">
        <f aca="false">IF($A78="N/A"," ",RANK(U78,$P$76:$V$87))</f>
        <v>#NAME?</v>
      </c>
      <c r="AJ78" s="300" t="e">
        <f aca="false">IF($A78="N/A"," ",RANK(V78,$P$76:$V$87))</f>
        <v>#NAME?</v>
      </c>
      <c r="AK78" s="286" t="e">
        <f aca="false">IF($A78="N/A"," ",IF(AD78&lt;=$AJ$2,W78,0))</f>
        <v>#NAME?</v>
      </c>
      <c r="AL78" s="301" t="e">
        <f aca="false">IF($A78="N/A"," ",IF(AE78&lt;=$AJ$2,X78,0))</f>
        <v>#NAME?</v>
      </c>
      <c r="AM78" s="301" t="e">
        <f aca="false">IF($A78="N/A"," ",IF(AF78&lt;=$AJ$2,Y78,0))</f>
        <v>#NAME?</v>
      </c>
      <c r="AN78" s="301" t="e">
        <f aca="false">IF($A78="N/A"," ",IF(AG78&lt;=$AJ$2,Z78,0))</f>
        <v>#NAME?</v>
      </c>
      <c r="AO78" s="301" t="e">
        <f aca="false">IF($A78="N/A"," ",IF(AH78&lt;=$AJ$2,AA78,0))</f>
        <v>#NAME?</v>
      </c>
      <c r="AP78" s="301" t="e">
        <f aca="false">IF($A78="N/A"," ",IF(AI78&lt;=$AJ$2,AB78,0))</f>
        <v>#NAME?</v>
      </c>
      <c r="AQ78" s="301" t="e">
        <f aca="false">IF($A78="N/A"," ",IF(AJ78&lt;=$AJ$2,AC78,0))</f>
        <v>#NAME?</v>
      </c>
      <c r="AR78" s="300"/>
      <c r="AS78" s="288" t="e">
        <f aca="false">IF($A78="N/A"," ",IF(AND(AD78=$AJ$2+1,AK78=0),MIN($AR$87,W78),0))</f>
        <v>#NAME?</v>
      </c>
      <c r="AT78" s="302" t="e">
        <f aca="false">IF($A78="N/A"," ",IF(AND(AE78=$AJ$2+1,AL78=0),MIN($AR$87,X78),0))</f>
        <v>#NAME?</v>
      </c>
      <c r="AU78" s="302" t="e">
        <f aca="false">IF($A78="N/A"," ",IF(AND(AF78=$AJ$2+1,AM78=0),MIN($AR$87,Y78),0))</f>
        <v>#NAME?</v>
      </c>
      <c r="AV78" s="302" t="e">
        <f aca="false">IF($A78="N/A"," ",IF(AND(AG78=$AJ$2+1,AN78=0),MIN($AR$87,Z78),0))</f>
        <v>#NAME?</v>
      </c>
      <c r="AW78" s="302" t="e">
        <f aca="false">IF($A78="N/A"," ",IF(AND(AH78=$AJ$2+1,AO78=0),MIN($AR$87,AA78),0))</f>
        <v>#NAME?</v>
      </c>
      <c r="AX78" s="302" t="e">
        <f aca="false">IF($A78="N/A"," ",IF(AND(AI78=$AJ$2+1,AP78=0),MIN($AR$87,AB78),0))</f>
        <v>#NAME?</v>
      </c>
      <c r="AY78" s="302" t="e">
        <f aca="false">IF($A78="N/A"," ",IF(AND(AJ78=$AJ$2+1,AQ78=0),MIN($AR$87,AC78),0))</f>
        <v>#NAME?</v>
      </c>
      <c r="AZ78" s="300"/>
      <c r="BA78" s="291" t="n">
        <f aca="false">IF($A78="N/A"," ",(IF(MONTH(A78)&gt;=4,IF(MONTH(A78)&lt;=10,Inputs!$F$13,Inputs!$F$14),Inputs!$F$14))*$BW78)</f>
        <v>180</v>
      </c>
      <c r="BB78" s="292" t="e">
        <f aca="false">IF($A78="N/A"," ",(IF(AK78&gt;0,($BA78*(8*(VLOOKUP($A78,NumberofDaysTable,2)))*P78),0)+IF(AS78&gt;0,($BA78*((AS78))*P78),0)))</f>
        <v>#NAME?</v>
      </c>
      <c r="BC78" s="292" t="e">
        <f aca="false">IF($A78="N/A"," ",(IF(AL78&gt;0,($BA78*(8*(VLOOKUP($A78,NumberofDaysTable,2)))*Q78),0)+IF(AT78&gt;0,($BA78*((AT78))*Q78),0)))</f>
        <v>#NAME?</v>
      </c>
      <c r="BD78" s="292" t="e">
        <f aca="false">IF($A78="N/A"," ",(IF(AM78&gt;0,($BA78*(8*(VLOOKUP($A78,NumberofDaysTable,3)))*R78),0)+IF(AU78&gt;0,($BA78*((AU78))*R78),0)))</f>
        <v>#NAME?</v>
      </c>
      <c r="BE78" s="292" t="e">
        <f aca="false">IF($A78="N/A"," ",(IF(AN78&gt;0,($BA78*(8*(VLOOKUP($A78,NumberofDaysTable,3)))*S78),0)+IF(AV78&gt;0,($BA78*((AV78))*S78),0)))</f>
        <v>#NAME?</v>
      </c>
      <c r="BF78" s="292" t="e">
        <f aca="false">IF($A78="N/A"," ",(IF(AO78&gt;0,($BA78*(8*(VLOOKUP($A78,NumberofDaysTable,4)+VLOOKUP($A78,NumberofDaysTable,5)))*T78),0)+IF(AW78&gt;0,($BA78*((AW78))*T78),0)))</f>
        <v>#NAME?</v>
      </c>
      <c r="BG78" s="292" t="e">
        <f aca="false">IF($A78="N/A"," ",(IF(AP78&gt;0,($BA78*(8*(VLOOKUP($A78,NumberofDaysTable,4)+VLOOKUP($A78,NumberofDaysTable,5)))*U78),0)+IF(AX78&gt;0,($BA78*((AX78))*U78),0)))</f>
        <v>#NAME?</v>
      </c>
      <c r="BH78" s="292" t="e">
        <f aca="false">IF($A78="N/A"," ",($BA78*AQ78*V78))</f>
        <v>#NAME?</v>
      </c>
      <c r="BI78" s="292" t="e">
        <f aca="false">IF($A78="N/A"," ",SUM(BB78:BH78))</f>
        <v>#NAME?</v>
      </c>
      <c r="BJ78" s="293" t="e">
        <f aca="false">IF($A78="N/A"," ",(H78*(SUM(AK78:AQ78)+SUM(AS78:AY78))*BA78))</f>
        <v>#NAME?</v>
      </c>
      <c r="BK78" s="293" t="e">
        <f aca="false">IF($A78="N/A"," ",((C78*D78)*(SUM($AK78:$AQ78)+SUM($AS78:$AY78))*$BA78))</f>
        <v>#N/A</v>
      </c>
      <c r="BL78" s="293" t="e">
        <f aca="false">IF($A78="N/A"," ",(F78*(SUM($AK78:$AQ78)+SUM($AS78:$AY78))*$BA78))</f>
        <v>#NAME?</v>
      </c>
      <c r="BM78" s="293" t="e">
        <f aca="false">IF($A78="N/A"," ",(G78*(SUM($AK78:$AQ78)+SUM($AS78:$AY78))*$BA78))</f>
        <v>#NAME?</v>
      </c>
      <c r="BN78" s="294" t="n">
        <f aca="false">IF(A78="N/A"," ",(VLOOKUP(A78,PowerVolTable,(IF('Pricing Inputs'!$AT$3=2,7,IF('Pricing Inputs'!$AT$3=1,6,8))),FALSE())))</f>
        <v>0.196324666688672</v>
      </c>
      <c r="BO78" s="294" t="n">
        <f aca="false">IF(A78="N/A"," ",(VLOOKUP(A78,IntraPowerVol,(IF('Pricing Inputs'!$AT$3=2,3,IF('Pricing Inputs'!$AT$3=1,2,4))),FALSE())*VLOOKUP(MONTH($A78),Inputs!$A$28:$B$39,2)))</f>
        <v>1.495</v>
      </c>
      <c r="BP78" s="295" t="n">
        <f aca="false">IF($A78="N/A"," ",(IF(DateToday&gt;$A78,$BO78,((($BN78^2)*((($A78-1)-DateToday)/((EOMONTH($A78,0)+1)-DateToday-15)))+((($BO78)^2)*((15)/((EOMONTH($A78,0)+1)-DateToday-15))))^0.5)))</f>
        <v>1.495</v>
      </c>
      <c r="BQ78" s="294" t="e">
        <f aca="false">IF($A78="N/A"," ",(VLOOKUP($A78,GasVolTable,(IF('Pricing Inputs'!$AT$3=2,6,IF('Pricing Inputs'!$AT$3=1,7,5))),FALSE())))</f>
        <v>#N/A</v>
      </c>
      <c r="BR78" s="294" t="e">
        <f aca="false">IF($A78="N/A"," ",(VLOOKUP($A78,OmicronVol,(IF('Pricing Inputs'!$AT$3=2,3,IF('Pricing Inputs'!$AT$3=1,4,2))),FALSE())))</f>
        <v>#N/A</v>
      </c>
      <c r="BS78" s="295" t="e">
        <f aca="false">IF($A78="N/A"," ",IF('Pricing Inputs'!$AN$3=1,(IF(DateToday&gt;$A78,$BR78,((($BQ78^2)*((($A78-1)-DateToday)/((EOMONTH($A78,0)+1)-DateToday-15)))+((($BR78)^2)*((15)/((EOMONTH($A78,0)+1)-DateToday-15))))^0.5)),0.0001))</f>
        <v>#N/A</v>
      </c>
      <c r="BT78" s="294" t="n">
        <f aca="false">IF($A78="N/A"," ",IF('Pricing Inputs'!$AN$3=1,(VLOOKUP($A78,CorrelationTable,2,FALSE())),0))</f>
        <v>0.9</v>
      </c>
      <c r="BU78" s="296" t="e">
        <f aca="false">IF($A78="N/A"," ",F78+G78+(D78*(VLOOKUP($A78,'Gas Curves'!$B$17:$P$310,14,FALSE()))))</f>
        <v>#N/A</v>
      </c>
      <c r="BV78" s="294" t="n">
        <f aca="false">IF($A78="N/A"," ",IF('Pricing Inputs'!$AW$3=1,0,(VLOOKUP($A78,InterestRatesTable,2))))</f>
        <v>0</v>
      </c>
      <c r="BW78" s="297" t="n">
        <f aca="false">IF($A78="N/A"," ",(1+BV78/2)^(-2*((EOMONTH(A78,0)+20)-DateToday)/365.25))</f>
        <v>1</v>
      </c>
    </row>
    <row r="79" customFormat="false" ht="12.75" hidden="false" customHeight="false" outlineLevel="0" collapsed="false">
      <c r="A79" s="272" t="n">
        <f aca="false">IF(A78="N/A","N/A",IF(EDATE(A78,1)&gt;Inputs!$K$3,"N/A",EDATE(A78,1)))</f>
        <v>39173</v>
      </c>
      <c r="B79" s="273" t="n">
        <f aca="false">IF(A79="N/A"," ",YEAR(A79))</f>
        <v>2007</v>
      </c>
      <c r="C79" s="274" t="e">
        <f aca="false">IF(A79="N/A"," ",VLOOKUP(A79,ScaledPrice,10))</f>
        <v>#N/A</v>
      </c>
      <c r="D79" s="275" t="n">
        <f aca="false">IF(A79="N/A"," ",(VLOOKUP(MONTH($A79),Inputs!$A$14:$B$25,2))/1000)</f>
        <v>10.5</v>
      </c>
      <c r="E79" s="276" t="e">
        <f aca="false">IF($A79="N/A"," ",C79*D79)</f>
        <v>#N/A</v>
      </c>
      <c r="F79" s="277" t="n">
        <f aca="false">IF(A79="N/A"," ",Inputs!$F$6)</f>
        <v>2</v>
      </c>
      <c r="G79" s="277" t="n">
        <f aca="false">IF(A79="N/A"," ",Inputs!$F$9/IF(AND('Pricing Inputs'!$AQ$3&gt;=4,'Pricing Inputs'!$AQ$3&lt;=6),16,IF(AND('Pricing Inputs'!$AQ$3&gt;=7,'Pricing Inputs'!$AQ$3&lt;=9),8,24))/(BA79/BW79))</f>
        <v>0</v>
      </c>
      <c r="H79" s="278" t="e">
        <f aca="false">IF(A79="N/A"," ",(C79*D79)+F79+G79)</f>
        <v>#N/A</v>
      </c>
      <c r="I79" s="279" t="n">
        <f aca="false">VLOOKUP(A79,ScaledPrice,(IF(AND('Pricing Inputs'!$AQ$3&gt;=1,'Pricing Inputs'!$AQ$3&lt;=6),2,4)))</f>
        <v>29.5533988678991</v>
      </c>
      <c r="J79" s="279" t="n">
        <f aca="false">IF(A79="N/A"," ",IF(AND('Pricing Inputs'!$AQ$3&gt;=1,'Pricing Inputs'!$AQ$3&lt;=6),I79,(VLOOKUP(A79,ScaledPrice,2))*(2-(VLOOKUP(A79,ScaledPrice,3)))))</f>
        <v>34.3466011321009</v>
      </c>
      <c r="K79" s="279" t="n">
        <f aca="false">IF(A79="N/A"," ",IF(OR('Pricing Inputs'!$AQ$3=2,'Pricing Inputs'!$AQ$3=3,'Pricing Inputs'!$AQ$3=5,'Pricing Inputs'!$AQ$3=6,'Pricing Inputs'!$AQ$3=8,'Pricing Inputs'!$AQ$3=9),VLOOKUP(A79,ScaledPrice,IF(AND('Pricing Inputs'!$AQ$3&gt;=2,'Pricing Inputs'!$AQ$3&lt;=6),5,6)),0))</f>
        <v>20.643442511841</v>
      </c>
      <c r="L79" s="279" t="n">
        <f aca="false">IF(A79="N/A"," ",IF(OR('Pricing Inputs'!$AQ$3=2,'Pricing Inputs'!$AQ$3=3,'Pricing Inputs'!$AQ$3=5,'Pricing Inputs'!$AQ$3=6,'Pricing Inputs'!$AQ$3=8,'Pricing Inputs'!$AQ$3=9),IF(AND('Pricing Inputs'!$AQ$3&gt;=2,'Pricing Inputs'!$AQ$3&lt;=6),K79,(VLOOKUP(A79,ScaledPrice,5))*(2-(VLOOKUP(A79,ScaledPrice,3)))),0))</f>
        <v>23.9915580985106</v>
      </c>
      <c r="M79" s="279" t="n">
        <f aca="false">IF(A79="N/A"," ",IF(OR('Pricing Inputs'!$AQ$3=3,'Pricing Inputs'!$AQ$3=6,'Pricing Inputs'!$AQ$3=9),(VLOOKUP(A79,ScaledPrice,IF(AND('Pricing Inputs'!$AQ$3&gt;=3,'Pricing Inputs'!$AQ$3&lt;=6),7,8))),0))</f>
        <v>19.4571429774433</v>
      </c>
      <c r="N79" s="279" t="n">
        <f aca="false">IF(A79="N/A"," ",IF(OR('Pricing Inputs'!$AQ$3=3,'Pricing Inputs'!$AQ$3=6,'Pricing Inputs'!$AQ$3=9),IF(AND('Pricing Inputs'!$AQ$3&gt;=3,'Pricing Inputs'!$AQ$3&lt;=6),M79,(VLOOKUP(A79,ScaledPrice,7))*(2-(VLOOKUP(A79,ScaledPrice,3)))),0))</f>
        <v>22.612855191502</v>
      </c>
      <c r="O79" s="279" t="n">
        <f aca="false">IF(A79="N/A"," ",IF(AND('Pricing Inputs'!$AQ$3&gt;=1,'Pricing Inputs'!$AQ$3&lt;=3),VLOOKUP(A79,ScaledPrice,9),0))</f>
        <v>0</v>
      </c>
      <c r="P79" s="280" t="e">
        <f aca="false">IF($A79="N/A"," ",IF('Pricing Inputs'!$AN$8=2,(I79-H79),IF('Pricing Inputs'!$AN$3=2,IF((I79-$H79)&gt;0,I79-$H79,0),(xSPRDOPT(I79,$E79,$BU79,0,$BP79,$BS79,$BT79,($A79-Inputs!$D$1)+15,1,0)))))</f>
        <v>#NAME?</v>
      </c>
      <c r="Q79" s="280" t="e">
        <f aca="false">IF($A79="N/A"," ",IF('Pricing Inputs'!$AN$8=2,(J79-$H79),IF('Pricing Inputs'!$AN$3=2,IF((J79-$H79)&gt;0,J79-$H79,0),(xSPRDOPT(J79,$E79,$BU79,0,$BP79,$BS79,$BT79,($A79-Inputs!$D$1)+15,1,0)))))</f>
        <v>#NAME?</v>
      </c>
      <c r="R79" s="280" t="e">
        <f aca="false">IF($A79="N/A"," ",IF('Pricing Inputs'!$AN$8=2,(K79-$H79),IF('Pricing Inputs'!$AN$3=2,IF((K79-$H79)&gt;0,K79-$H79,0),(xSPRDOPT(K79,$E79,$BU79,0,$BP79,$BS79,$BT79,($A79-Inputs!$D$1)+15,1,0)))))</f>
        <v>#NAME?</v>
      </c>
      <c r="S79" s="280" t="e">
        <f aca="false">IF($A79="N/A"," ",IF('Pricing Inputs'!$AN$8=2,(L79-$H79),IF('Pricing Inputs'!$AN$3=2,IF((L79-$H79)&gt;0,L79-$H79,0),(xSPRDOPT(L79,$E79,$BU79,0,$BP79,$BS79,$BT79,($A79-Inputs!$D$1)+15,1,0)))))</f>
        <v>#NAME?</v>
      </c>
      <c r="T79" s="280" t="e">
        <f aca="false">IF($A79="N/A"," ",IF('Pricing Inputs'!$AN$8=2,(M79-$H79),IF('Pricing Inputs'!$AN$3=2,IF((M79-$H79)&gt;0,M79-$H79,0),(xSPRDOPT(M79,$E79,$BU79,0,$BP79,$BS79,$BT79,($A79-Inputs!$D$1)+15,1,0)))))</f>
        <v>#NAME?</v>
      </c>
      <c r="U79" s="280" t="e">
        <f aca="false">IF($A79="N/A"," ",IF('Pricing Inputs'!$AN$8=2,(N79-$H79),IF('Pricing Inputs'!$AN$3=2,IF((N79-$H79)&gt;0,N79-$H79,0),(xSPRDOPT(N79,$E79,$BU79,0,$BP79,$BS79,$BT79,($A79-Inputs!$D$1)+15,1,0)))))</f>
        <v>#NAME?</v>
      </c>
      <c r="V79" s="281" t="e">
        <f aca="false">IF($A79="N/A"," ",(IF('Pricing Inputs'!$AN$8=2,(O79-$H79),IF((O79-$H79)&lt;=0,0,(O79-$H79)))))</f>
        <v>#N/A</v>
      </c>
      <c r="W79" s="282" t="e">
        <f aca="false">IF($A79="N/A"," ",IF(0&lt;&gt;P79,IF('Pricing Inputs'!$AN$3=2,8*VLOOKUP($A79,NumberofDaysTable,2),(xSPRDOPT(I79,$E79,$BU79,0,$BP79,$BS79,$BT79,$A79-Inputs!$D$1,1,1))*(8*VLOOKUP($A79,NumberofDaysTable,2))),0))</f>
        <v>#NAME?</v>
      </c>
      <c r="X79" s="282" t="e">
        <f aca="false">IF($A79="N/A"," ",IF(Q79&lt;&gt;0,IF('Pricing Inputs'!$AN$3=2,8*VLOOKUP($A79,NumberofDaysTable,2),(xSPRDOPT(J79,$E79,$BU79,0,$BP79,$BS79,$BT79,$A79-Inputs!$D$1,1,1))*(8*VLOOKUP($A79,NumberofDaysTable,2))),0))</f>
        <v>#NAME?</v>
      </c>
      <c r="Y79" s="282" t="e">
        <f aca="false">IF($A79="N/A"," ",IF(R79&lt;&gt;0,IF('Pricing Inputs'!$AN$3=2,8*VLOOKUP($A79,NumberofDaysTable,3),(xSPRDOPT(K79,$E79,$BU79,0,$BP79,$BS79,$BT79,$A79-Inputs!$D$1,1,1))*(8*VLOOKUP($A79,NumberofDaysTable,3))),0))</f>
        <v>#NAME?</v>
      </c>
      <c r="Z79" s="282" t="e">
        <f aca="false">IF($A79="N/A"," ",IF(S79&lt;&gt;0,IF('Pricing Inputs'!$AN$3=2,8*VLOOKUP($A79,NumberofDaysTable,3),(xSPRDOPT(L79,$E79,$BU79,0,$BP79,$BS79,$BT79,$A79-Inputs!$D$1,1,1))*(8*VLOOKUP($A79,NumberofDaysTable,3))),0))</f>
        <v>#NAME?</v>
      </c>
      <c r="AA79" s="282" t="e">
        <f aca="false">IF($A79="N/A"," ",IF(T79&lt;&gt;0,IF('Pricing Inputs'!$AN$3=2,8*VLOOKUP($A79,NumberofDaysTable,4),(xSPRDOPT(M79,$E79,$BU79,0,$BP79,$BS79,$BT79,$A79-Inputs!$D$1,1,1))*(8*VLOOKUP($A79,NumberofDaysTable,4))),0))</f>
        <v>#NAME?</v>
      </c>
      <c r="AB79" s="282" t="e">
        <f aca="false">IF($A79="N/A"," ",IF(U79&lt;&gt;0,IF('Pricing Inputs'!$AN$3=2,8*VLOOKUP($A79,NumberofDaysTable,4),(xSPRDOPT(N79,$E79,$BU79,0,$BP79,$BS79,$BT79,$A79-Inputs!$D$1,1,1))*(8*VLOOKUP($A79,NumberofDaysTable,4))),0))</f>
        <v>#NAME?</v>
      </c>
      <c r="AC79" s="282" t="e">
        <f aca="false">IF($A79="N/A"," ",(IF(V79&lt;&gt;0,(8*VLOOKUP($A79,NumberofDaysTable,6)),0)))</f>
        <v>#N/A</v>
      </c>
      <c r="AD79" s="298" t="e">
        <f aca="false">IF($A79="N/A"," ",RANK(P79,$P$76:$V$87))</f>
        <v>#NAME?</v>
      </c>
      <c r="AE79" s="299" t="e">
        <f aca="false">IF($A79="N/A"," ",RANK(Q79,$P$76:$V$87))</f>
        <v>#NAME?</v>
      </c>
      <c r="AF79" s="299" t="e">
        <f aca="false">IF($A79="N/A"," ",RANK(R79,$P$76:$V$87))</f>
        <v>#NAME?</v>
      </c>
      <c r="AG79" s="299" t="e">
        <f aca="false">IF($A79="N/A"," ",RANK(S79,$P$76:$V$87))</f>
        <v>#NAME?</v>
      </c>
      <c r="AH79" s="299" t="e">
        <f aca="false">IF($A79="N/A"," ",RANK(T79,$P$76:$V$87))</f>
        <v>#NAME?</v>
      </c>
      <c r="AI79" s="299" t="e">
        <f aca="false">IF($A79="N/A"," ",RANK(U79,$P$76:$V$87))</f>
        <v>#NAME?</v>
      </c>
      <c r="AJ79" s="300" t="e">
        <f aca="false">IF($A79="N/A"," ",RANK(V79,$P$76:$V$87))</f>
        <v>#NAME?</v>
      </c>
      <c r="AK79" s="286" t="e">
        <f aca="false">IF($A79="N/A"," ",IF(AD79&lt;=$AJ$2,W79,0))</f>
        <v>#NAME?</v>
      </c>
      <c r="AL79" s="301" t="e">
        <f aca="false">IF($A79="N/A"," ",IF(AE79&lt;=$AJ$2,X79,0))</f>
        <v>#NAME?</v>
      </c>
      <c r="AM79" s="301" t="e">
        <f aca="false">IF($A79="N/A"," ",IF(AF79&lt;=$AJ$2,Y79,0))</f>
        <v>#NAME?</v>
      </c>
      <c r="AN79" s="301" t="e">
        <f aca="false">IF($A79="N/A"," ",IF(AG79&lt;=$AJ$2,Z79,0))</f>
        <v>#NAME?</v>
      </c>
      <c r="AO79" s="301" t="e">
        <f aca="false">IF($A79="N/A"," ",IF(AH79&lt;=$AJ$2,AA79,0))</f>
        <v>#NAME?</v>
      </c>
      <c r="AP79" s="301" t="e">
        <f aca="false">IF($A79="N/A"," ",IF(AI79&lt;=$AJ$2,AB79,0))</f>
        <v>#NAME?</v>
      </c>
      <c r="AQ79" s="301" t="e">
        <f aca="false">IF($A79="N/A"," ",IF(AJ79&lt;=$AJ$2,AC79,0))</f>
        <v>#NAME?</v>
      </c>
      <c r="AR79" s="300"/>
      <c r="AS79" s="288" t="e">
        <f aca="false">IF($A79="N/A"," ",IF(AND(AD79=$AJ$2+1,AK79=0),MIN($AR$87,W79),0))</f>
        <v>#NAME?</v>
      </c>
      <c r="AT79" s="302" t="e">
        <f aca="false">IF($A79="N/A"," ",IF(AND(AE79=$AJ$2+1,AL79=0),MIN($AR$87,X79),0))</f>
        <v>#NAME?</v>
      </c>
      <c r="AU79" s="302" t="e">
        <f aca="false">IF($A79="N/A"," ",IF(AND(AF79=$AJ$2+1,AM79=0),MIN($AR$87,Y79),0))</f>
        <v>#NAME?</v>
      </c>
      <c r="AV79" s="302" t="e">
        <f aca="false">IF($A79="N/A"," ",IF(AND(AG79=$AJ$2+1,AN79=0),MIN($AR$87,Z79),0))</f>
        <v>#NAME?</v>
      </c>
      <c r="AW79" s="302" t="e">
        <f aca="false">IF($A79="N/A"," ",IF(AND(AH79=$AJ$2+1,AO79=0),MIN($AR$87,AA79),0))</f>
        <v>#NAME?</v>
      </c>
      <c r="AX79" s="302" t="e">
        <f aca="false">IF($A79="N/A"," ",IF(AND(AI79=$AJ$2+1,AP79=0),MIN($AR$87,AB79),0))</f>
        <v>#NAME?</v>
      </c>
      <c r="AY79" s="302" t="e">
        <f aca="false">IF($A79="N/A"," ",IF(AND(AJ79=$AJ$2+1,AQ79=0),MIN($AR$87,AC79),0))</f>
        <v>#NAME?</v>
      </c>
      <c r="AZ79" s="300"/>
      <c r="BA79" s="291" t="n">
        <f aca="false">IF($A79="N/A"," ",(IF(MONTH(A79)&gt;=4,IF(MONTH(A79)&lt;=10,Inputs!$F$13,Inputs!$F$14),Inputs!$F$14))*$BW79)</f>
        <v>180</v>
      </c>
      <c r="BB79" s="292" t="e">
        <f aca="false">IF($A79="N/A"," ",(IF(AK79&gt;0,($BA79*(8*(VLOOKUP($A79,NumberofDaysTable,2)))*P79),0)+IF(AS79&gt;0,($BA79*((AS79))*P79),0)))</f>
        <v>#NAME?</v>
      </c>
      <c r="BC79" s="292" t="e">
        <f aca="false">IF($A79="N/A"," ",(IF(AL79&gt;0,($BA79*(8*(VLOOKUP($A79,NumberofDaysTable,2)))*Q79),0)+IF(AT79&gt;0,($BA79*((AT79))*Q79),0)))</f>
        <v>#NAME?</v>
      </c>
      <c r="BD79" s="292" t="e">
        <f aca="false">IF($A79="N/A"," ",(IF(AM79&gt;0,($BA79*(8*(VLOOKUP($A79,NumberofDaysTable,3)))*R79),0)+IF(AU79&gt;0,($BA79*((AU79))*R79),0)))</f>
        <v>#NAME?</v>
      </c>
      <c r="BE79" s="292" t="e">
        <f aca="false">IF($A79="N/A"," ",(IF(AN79&gt;0,($BA79*(8*(VLOOKUP($A79,NumberofDaysTable,3)))*S79),0)+IF(AV79&gt;0,($BA79*((AV79))*S79),0)))</f>
        <v>#NAME?</v>
      </c>
      <c r="BF79" s="292" t="e">
        <f aca="false">IF($A79="N/A"," ",(IF(AO79&gt;0,($BA79*(8*(VLOOKUP($A79,NumberofDaysTable,4)+VLOOKUP($A79,NumberofDaysTable,5)))*T79),0)+IF(AW79&gt;0,($BA79*((AW79))*T79),0)))</f>
        <v>#NAME?</v>
      </c>
      <c r="BG79" s="292" t="e">
        <f aca="false">IF($A79="N/A"," ",(IF(AP79&gt;0,($BA79*(8*(VLOOKUP($A79,NumberofDaysTable,4)+VLOOKUP($A79,NumberofDaysTable,5)))*U79),0)+IF(AX79&gt;0,($BA79*((AX79))*U79),0)))</f>
        <v>#NAME?</v>
      </c>
      <c r="BH79" s="292" t="e">
        <f aca="false">IF($A79="N/A"," ",($BA79*AQ79*V79))</f>
        <v>#NAME?</v>
      </c>
      <c r="BI79" s="292" t="e">
        <f aca="false">IF($A79="N/A"," ",SUM(BB79:BH79))</f>
        <v>#NAME?</v>
      </c>
      <c r="BJ79" s="293" t="e">
        <f aca="false">IF($A79="N/A"," ",(H79*(SUM(AK79:AQ79)+SUM(AS79:AY79))*BA79))</f>
        <v>#NAME?</v>
      </c>
      <c r="BK79" s="293" t="e">
        <f aca="false">IF($A79="N/A"," ",((C79*D79)*(SUM($AK79:$AQ79)+SUM($AS79:$AY79))*$BA79))</f>
        <v>#N/A</v>
      </c>
      <c r="BL79" s="293" t="e">
        <f aca="false">IF($A79="N/A"," ",(F79*(SUM($AK79:$AQ79)+SUM($AS79:$AY79))*$BA79))</f>
        <v>#NAME?</v>
      </c>
      <c r="BM79" s="293" t="e">
        <f aca="false">IF($A79="N/A"," ",(G79*(SUM($AK79:$AQ79)+SUM($AS79:$AY79))*$BA79))</f>
        <v>#NAME?</v>
      </c>
      <c r="BN79" s="294" t="n">
        <f aca="false">IF(A79="N/A"," ",(VLOOKUP(A79,PowerVolTable,(IF('Pricing Inputs'!$AT$3=2,7,IF('Pricing Inputs'!$AT$3=1,6,8))),FALSE())))</f>
        <v>0.174988624563281</v>
      </c>
      <c r="BO79" s="294" t="n">
        <f aca="false">IF(A79="N/A"," ",(VLOOKUP(A79,IntraPowerVol,(IF('Pricing Inputs'!$AT$3=2,3,IF('Pricing Inputs'!$AT$3=1,2,4))),FALSE())*VLOOKUP(MONTH($A79),Inputs!$A$28:$B$39,2)))</f>
        <v>1.265</v>
      </c>
      <c r="BP79" s="295" t="n">
        <f aca="false">IF($A79="N/A"," ",(IF(DateToday&gt;$A79,$BO79,((($BN79^2)*((($A79-1)-DateToday)/((EOMONTH($A79,0)+1)-DateToday-15)))+((($BO79)^2)*((15)/((EOMONTH($A79,0)+1)-DateToday-15))))^0.5)))</f>
        <v>1.265</v>
      </c>
      <c r="BQ79" s="294" t="e">
        <f aca="false">IF($A79="N/A"," ",(VLOOKUP($A79,GasVolTable,(IF('Pricing Inputs'!$AT$3=2,6,IF('Pricing Inputs'!$AT$3=1,7,5))),FALSE())))</f>
        <v>#N/A</v>
      </c>
      <c r="BR79" s="294" t="e">
        <f aca="false">IF($A79="N/A"," ",(VLOOKUP($A79,OmicronVol,(IF('Pricing Inputs'!$AT$3=2,3,IF('Pricing Inputs'!$AT$3=1,4,2))),FALSE())))</f>
        <v>#N/A</v>
      </c>
      <c r="BS79" s="295" t="e">
        <f aca="false">IF($A79="N/A"," ",IF('Pricing Inputs'!$AN$3=1,(IF(DateToday&gt;$A79,$BR79,((($BQ79^2)*((($A79-1)-DateToday)/((EOMONTH($A79,0)+1)-DateToday-15)))+((($BR79)^2)*((15)/((EOMONTH($A79,0)+1)-DateToday-15))))^0.5)),0.0001))</f>
        <v>#N/A</v>
      </c>
      <c r="BT79" s="294" t="n">
        <f aca="false">IF($A79="N/A"," ",IF('Pricing Inputs'!$AN$3=1,(VLOOKUP($A79,CorrelationTable,2,FALSE())),0))</f>
        <v>0.9</v>
      </c>
      <c r="BU79" s="296" t="e">
        <f aca="false">IF($A79="N/A"," ",F79+G79+(D79*(VLOOKUP($A79,'Gas Curves'!$B$17:$P$310,14,FALSE()))))</f>
        <v>#N/A</v>
      </c>
      <c r="BV79" s="294" t="n">
        <f aca="false">IF($A79="N/A"," ",IF('Pricing Inputs'!$AW$3=1,0,(VLOOKUP($A79,InterestRatesTable,2))))</f>
        <v>0</v>
      </c>
      <c r="BW79" s="297" t="n">
        <f aca="false">IF($A79="N/A"," ",(1+BV79/2)^(-2*((EOMONTH(A79,0)+20)-DateToday)/365.25))</f>
        <v>1</v>
      </c>
    </row>
    <row r="80" customFormat="false" ht="12.75" hidden="false" customHeight="false" outlineLevel="0" collapsed="false">
      <c r="A80" s="272" t="n">
        <f aca="false">IF(A79="N/A","N/A",IF(EDATE(A79,1)&gt;Inputs!$K$3,"N/A",EDATE(A79,1)))</f>
        <v>39203</v>
      </c>
      <c r="B80" s="273" t="n">
        <f aca="false">IF(A80="N/A"," ",YEAR(A80))</f>
        <v>2007</v>
      </c>
      <c r="C80" s="274" t="e">
        <f aca="false">IF(A80="N/A"," ",VLOOKUP(A80,ScaledPrice,10))</f>
        <v>#N/A</v>
      </c>
      <c r="D80" s="275" t="n">
        <f aca="false">IF(A80="N/A"," ",(VLOOKUP(MONTH($A80),Inputs!$A$14:$B$25,2))/1000)</f>
        <v>10.5</v>
      </c>
      <c r="E80" s="276" t="e">
        <f aca="false">IF($A80="N/A"," ",C80*D80)</f>
        <v>#N/A</v>
      </c>
      <c r="F80" s="277" t="n">
        <f aca="false">IF(A80="N/A"," ",Inputs!$F$6)</f>
        <v>2</v>
      </c>
      <c r="G80" s="277" t="n">
        <f aca="false">IF(A80="N/A"," ",Inputs!$F$9/IF(AND('Pricing Inputs'!$AQ$3&gt;=4,'Pricing Inputs'!$AQ$3&lt;=6),16,IF(AND('Pricing Inputs'!$AQ$3&gt;=7,'Pricing Inputs'!$AQ$3&lt;=9),8,24))/(BA80/BW80))</f>
        <v>0</v>
      </c>
      <c r="H80" s="278" t="e">
        <f aca="false">IF(A80="N/A"," ",(C80*D80)+F80+G80)</f>
        <v>#N/A</v>
      </c>
      <c r="I80" s="279" t="n">
        <f aca="false">VLOOKUP(A80,ScaledPrice,(IF(AND('Pricing Inputs'!$AQ$3&gt;=1,'Pricing Inputs'!$AQ$3&lt;=6),2,4)))</f>
        <v>33.0114679321313</v>
      </c>
      <c r="J80" s="279" t="n">
        <f aca="false">IF(A80="N/A"," ",IF(AND('Pricing Inputs'!$AQ$3&gt;=1,'Pricing Inputs'!$AQ$3&lt;=6),I80,(VLOOKUP(A80,ScaledPrice,2))*(2-(VLOOKUP(A80,ScaledPrice,3)))))</f>
        <v>34.8885320678687</v>
      </c>
      <c r="K80" s="279" t="n">
        <f aca="false">IF(A80="N/A"," ",IF(OR('Pricing Inputs'!$AQ$3=2,'Pricing Inputs'!$AQ$3=3,'Pricing Inputs'!$AQ$3=5,'Pricing Inputs'!$AQ$3=6,'Pricing Inputs'!$AQ$3=8,'Pricing Inputs'!$AQ$3=9),VLOOKUP(A80,ScaledPrice,IF(AND('Pricing Inputs'!$AQ$3&gt;=2,'Pricing Inputs'!$AQ$3&lt;=6),5,6)),0))</f>
        <v>21.8123639736704</v>
      </c>
      <c r="L80" s="279" t="n">
        <f aca="false">IF(A80="N/A"," ",IF(OR('Pricing Inputs'!$AQ$3=2,'Pricing Inputs'!$AQ$3=3,'Pricing Inputs'!$AQ$3=5,'Pricing Inputs'!$AQ$3=6,'Pricing Inputs'!$AQ$3=8,'Pricing Inputs'!$AQ$3=9),IF(AND('Pricing Inputs'!$AQ$3&gt;=2,'Pricing Inputs'!$AQ$3&lt;=6),K80,(VLOOKUP(A80,ScaledPrice,5))*(2-(VLOOKUP(A80,ScaledPrice,3)))),0))</f>
        <v>23.0526361789175</v>
      </c>
      <c r="M80" s="279" t="n">
        <f aca="false">IF(A80="N/A"," ",IF(OR('Pricing Inputs'!$AQ$3=3,'Pricing Inputs'!$AQ$3=6,'Pricing Inputs'!$AQ$3=9),(VLOOKUP(A80,ScaledPrice,IF(AND('Pricing Inputs'!$AQ$3&gt;=3,'Pricing Inputs'!$AQ$3&lt;=6),7,8))),0))</f>
        <v>20.9688453137168</v>
      </c>
      <c r="N80" s="279" t="n">
        <f aca="false">IF(A80="N/A"," ",IF(OR('Pricing Inputs'!$AQ$3=3,'Pricing Inputs'!$AQ$3=6,'Pricing Inputs'!$AQ$3=9),IF(AND('Pricing Inputs'!$AQ$3&gt;=3,'Pricing Inputs'!$AQ$3&lt;=6),M80,(VLOOKUP(A80,ScaledPrice,7))*(2-(VLOOKUP(A80,ScaledPrice,3)))),0))</f>
        <v>22.1611542285195</v>
      </c>
      <c r="O80" s="279" t="n">
        <f aca="false">IF(A80="N/A"," ",IF(AND('Pricing Inputs'!$AQ$3&gt;=1,'Pricing Inputs'!$AQ$3&lt;=3),VLOOKUP(A80,ScaledPrice,9),0))</f>
        <v>0</v>
      </c>
      <c r="P80" s="280" t="e">
        <f aca="false">IF($A80="N/A"," ",IF('Pricing Inputs'!$AN$8=2,(I80-H80),IF('Pricing Inputs'!$AN$3=2,IF((I80-$H80)&gt;0,I80-$H80,0),(xSPRDOPT(I80,$E80,$BU80,0,$BP80,$BS80,$BT80,($A80-Inputs!$D$1)+15,1,0)))))</f>
        <v>#NAME?</v>
      </c>
      <c r="Q80" s="280" t="e">
        <f aca="false">IF($A80="N/A"," ",IF('Pricing Inputs'!$AN$8=2,(J80-$H80),IF('Pricing Inputs'!$AN$3=2,IF((J80-$H80)&gt;0,J80-$H80,0),(xSPRDOPT(J80,$E80,$BU80,0,$BP80,$BS80,$BT80,($A80-Inputs!$D$1)+15,1,0)))))</f>
        <v>#NAME?</v>
      </c>
      <c r="R80" s="280" t="e">
        <f aca="false">IF($A80="N/A"," ",IF('Pricing Inputs'!$AN$8=2,(K80-$H80),IF('Pricing Inputs'!$AN$3=2,IF((K80-$H80)&gt;0,K80-$H80,0),(xSPRDOPT(K80,$E80,$BU80,0,$BP80,$BS80,$BT80,($A80-Inputs!$D$1)+15,1,0)))))</f>
        <v>#NAME?</v>
      </c>
      <c r="S80" s="280" t="e">
        <f aca="false">IF($A80="N/A"," ",IF('Pricing Inputs'!$AN$8=2,(L80-$H80),IF('Pricing Inputs'!$AN$3=2,IF((L80-$H80)&gt;0,L80-$H80,0),(xSPRDOPT(L80,$E80,$BU80,0,$BP80,$BS80,$BT80,($A80-Inputs!$D$1)+15,1,0)))))</f>
        <v>#NAME?</v>
      </c>
      <c r="T80" s="280" t="e">
        <f aca="false">IF($A80="N/A"," ",IF('Pricing Inputs'!$AN$8=2,(M80-$H80),IF('Pricing Inputs'!$AN$3=2,IF((M80-$H80)&gt;0,M80-$H80,0),(xSPRDOPT(M80,$E80,$BU80,0,$BP80,$BS80,$BT80,($A80-Inputs!$D$1)+15,1,0)))))</f>
        <v>#NAME?</v>
      </c>
      <c r="U80" s="280" t="e">
        <f aca="false">IF($A80="N/A"," ",IF('Pricing Inputs'!$AN$8=2,(N80-$H80),IF('Pricing Inputs'!$AN$3=2,IF((N80-$H80)&gt;0,N80-$H80,0),(xSPRDOPT(N80,$E80,$BU80,0,$BP80,$BS80,$BT80,($A80-Inputs!$D$1)+15,1,0)))))</f>
        <v>#NAME?</v>
      </c>
      <c r="V80" s="281" t="e">
        <f aca="false">IF($A80="N/A"," ",(IF('Pricing Inputs'!$AN$8=2,(O80-$H80),IF((O80-$H80)&lt;=0,0,(O80-$H80)))))</f>
        <v>#N/A</v>
      </c>
      <c r="W80" s="282" t="e">
        <f aca="false">IF($A80="N/A"," ",IF(0&lt;&gt;P80,IF('Pricing Inputs'!$AN$3=2,8*VLOOKUP($A80,NumberofDaysTable,2),(xSPRDOPT(I80,$E80,$BU80,0,$BP80,$BS80,$BT80,$A80-Inputs!$D$1,1,1))*(8*VLOOKUP($A80,NumberofDaysTable,2))),0))</f>
        <v>#NAME?</v>
      </c>
      <c r="X80" s="282" t="e">
        <f aca="false">IF($A80="N/A"," ",IF(Q80&lt;&gt;0,IF('Pricing Inputs'!$AN$3=2,8*VLOOKUP($A80,NumberofDaysTable,2),(xSPRDOPT(J80,$E80,$BU80,0,$BP80,$BS80,$BT80,$A80-Inputs!$D$1,1,1))*(8*VLOOKUP($A80,NumberofDaysTable,2))),0))</f>
        <v>#NAME?</v>
      </c>
      <c r="Y80" s="282" t="e">
        <f aca="false">IF($A80="N/A"," ",IF(R80&lt;&gt;0,IF('Pricing Inputs'!$AN$3=2,8*VLOOKUP($A80,NumberofDaysTable,3),(xSPRDOPT(K80,$E80,$BU80,0,$BP80,$BS80,$BT80,$A80-Inputs!$D$1,1,1))*(8*VLOOKUP($A80,NumberofDaysTable,3))),0))</f>
        <v>#NAME?</v>
      </c>
      <c r="Z80" s="282" t="e">
        <f aca="false">IF($A80="N/A"," ",IF(S80&lt;&gt;0,IF('Pricing Inputs'!$AN$3=2,8*VLOOKUP($A80,NumberofDaysTable,3),(xSPRDOPT(L80,$E80,$BU80,0,$BP80,$BS80,$BT80,$A80-Inputs!$D$1,1,1))*(8*VLOOKUP($A80,NumberofDaysTable,3))),0))</f>
        <v>#NAME?</v>
      </c>
      <c r="AA80" s="282" t="e">
        <f aca="false">IF($A80="N/A"," ",IF(T80&lt;&gt;0,IF('Pricing Inputs'!$AN$3=2,8*VLOOKUP($A80,NumberofDaysTable,4),(xSPRDOPT(M80,$E80,$BU80,0,$BP80,$BS80,$BT80,$A80-Inputs!$D$1,1,1))*(8*VLOOKUP($A80,NumberofDaysTable,4))),0))</f>
        <v>#NAME?</v>
      </c>
      <c r="AB80" s="282" t="e">
        <f aca="false">IF($A80="N/A"," ",IF(U80&lt;&gt;0,IF('Pricing Inputs'!$AN$3=2,8*VLOOKUP($A80,NumberofDaysTable,4),(xSPRDOPT(N80,$E80,$BU80,0,$BP80,$BS80,$BT80,$A80-Inputs!$D$1,1,1))*(8*VLOOKUP($A80,NumberofDaysTable,4))),0))</f>
        <v>#NAME?</v>
      </c>
      <c r="AC80" s="282" t="e">
        <f aca="false">IF($A80="N/A"," ",(IF(V80&lt;&gt;0,(8*VLOOKUP($A80,NumberofDaysTable,6)),0)))</f>
        <v>#N/A</v>
      </c>
      <c r="AD80" s="298" t="e">
        <f aca="false">IF($A80="N/A"," ",RANK(P80,$P$76:$V$87))</f>
        <v>#NAME?</v>
      </c>
      <c r="AE80" s="299" t="e">
        <f aca="false">IF($A80="N/A"," ",RANK(Q80,$P$76:$V$87))</f>
        <v>#NAME?</v>
      </c>
      <c r="AF80" s="299" t="e">
        <f aca="false">IF($A80="N/A"," ",RANK(R80,$P$76:$V$87))</f>
        <v>#NAME?</v>
      </c>
      <c r="AG80" s="299" t="e">
        <f aca="false">IF($A80="N/A"," ",RANK(S80,$P$76:$V$87))</f>
        <v>#NAME?</v>
      </c>
      <c r="AH80" s="299" t="e">
        <f aca="false">IF($A80="N/A"," ",RANK(T80,$P$76:$V$87))</f>
        <v>#NAME?</v>
      </c>
      <c r="AI80" s="299" t="e">
        <f aca="false">IF($A80="N/A"," ",RANK(U80,$P$76:$V$87))</f>
        <v>#NAME?</v>
      </c>
      <c r="AJ80" s="300" t="e">
        <f aca="false">IF($A80="N/A"," ",RANK(V80,$P$76:$V$87))</f>
        <v>#NAME?</v>
      </c>
      <c r="AK80" s="286" t="e">
        <f aca="false">IF($A80="N/A"," ",IF(AD80&lt;=$AJ$2,W80,0))</f>
        <v>#NAME?</v>
      </c>
      <c r="AL80" s="301" t="e">
        <f aca="false">IF($A80="N/A"," ",IF(AE80&lt;=$AJ$2,X80,0))</f>
        <v>#NAME?</v>
      </c>
      <c r="AM80" s="301" t="e">
        <f aca="false">IF($A80="N/A"," ",IF(AF80&lt;=$AJ$2,Y80,0))</f>
        <v>#NAME?</v>
      </c>
      <c r="AN80" s="301" t="e">
        <f aca="false">IF($A80="N/A"," ",IF(AG80&lt;=$AJ$2,Z80,0))</f>
        <v>#NAME?</v>
      </c>
      <c r="AO80" s="301" t="e">
        <f aca="false">IF($A80="N/A"," ",IF(AH80&lt;=$AJ$2,AA80,0))</f>
        <v>#NAME?</v>
      </c>
      <c r="AP80" s="301" t="e">
        <f aca="false">IF($A80="N/A"," ",IF(AI80&lt;=$AJ$2,AB80,0))</f>
        <v>#NAME?</v>
      </c>
      <c r="AQ80" s="301" t="e">
        <f aca="false">IF($A80="N/A"," ",IF(AJ80&lt;=$AJ$2,AC80,0))</f>
        <v>#NAME?</v>
      </c>
      <c r="AR80" s="300"/>
      <c r="AS80" s="288" t="e">
        <f aca="false">IF($A80="N/A"," ",IF(AND(AD80=$AJ$2+1,AK80=0),MIN($AR$87,W80),0))</f>
        <v>#NAME?</v>
      </c>
      <c r="AT80" s="302" t="e">
        <f aca="false">IF($A80="N/A"," ",IF(AND(AE80=$AJ$2+1,AL80=0),MIN($AR$87,X80),0))</f>
        <v>#NAME?</v>
      </c>
      <c r="AU80" s="302" t="e">
        <f aca="false">IF($A80="N/A"," ",IF(AND(AF80=$AJ$2+1,AM80=0),MIN($AR$87,Y80),0))</f>
        <v>#NAME?</v>
      </c>
      <c r="AV80" s="302" t="e">
        <f aca="false">IF($A80="N/A"," ",IF(AND(AG80=$AJ$2+1,AN80=0),MIN($AR$87,Z80),0))</f>
        <v>#NAME?</v>
      </c>
      <c r="AW80" s="302" t="e">
        <f aca="false">IF($A80="N/A"," ",IF(AND(AH80=$AJ$2+1,AO80=0),MIN($AR$87,AA80),0))</f>
        <v>#NAME?</v>
      </c>
      <c r="AX80" s="302" t="e">
        <f aca="false">IF($A80="N/A"," ",IF(AND(AI80=$AJ$2+1,AP80=0),MIN($AR$87,AB80),0))</f>
        <v>#NAME?</v>
      </c>
      <c r="AY80" s="302" t="e">
        <f aca="false">IF($A80="N/A"," ",IF(AND(AJ80=$AJ$2+1,AQ80=0),MIN($AR$87,AC80),0))</f>
        <v>#NAME?</v>
      </c>
      <c r="AZ80" s="300"/>
      <c r="BA80" s="291" t="n">
        <f aca="false">IF($A80="N/A"," ",(IF(MONTH(A80)&gt;=4,IF(MONTH(A80)&lt;=10,Inputs!$F$13,Inputs!$F$14),Inputs!$F$14))*$BW80)</f>
        <v>180</v>
      </c>
      <c r="BB80" s="292" t="e">
        <f aca="false">IF($A80="N/A"," ",(IF(AK80&gt;0,($BA80*(8*(VLOOKUP($A80,NumberofDaysTable,2)))*P80),0)+IF(AS80&gt;0,($BA80*((AS80))*P80),0)))</f>
        <v>#NAME?</v>
      </c>
      <c r="BC80" s="292" t="e">
        <f aca="false">IF($A80="N/A"," ",(IF(AL80&gt;0,($BA80*(8*(VLOOKUP($A80,NumberofDaysTable,2)))*Q80),0)+IF(AT80&gt;0,($BA80*((AT80))*Q80),0)))</f>
        <v>#NAME?</v>
      </c>
      <c r="BD80" s="292" t="e">
        <f aca="false">IF($A80="N/A"," ",(IF(AM80&gt;0,($BA80*(8*(VLOOKUP($A80,NumberofDaysTable,3)))*R80),0)+IF(AU80&gt;0,($BA80*((AU80))*R80),0)))</f>
        <v>#NAME?</v>
      </c>
      <c r="BE80" s="292" t="e">
        <f aca="false">IF($A80="N/A"," ",(IF(AN80&gt;0,($BA80*(8*(VLOOKUP($A80,NumberofDaysTable,3)))*S80),0)+IF(AV80&gt;0,($BA80*((AV80))*S80),0)))</f>
        <v>#NAME?</v>
      </c>
      <c r="BF80" s="292" t="e">
        <f aca="false">IF($A80="N/A"," ",(IF(AO80&gt;0,($BA80*(8*(VLOOKUP($A80,NumberofDaysTable,4)+VLOOKUP($A80,NumberofDaysTable,5)))*T80),0)+IF(AW80&gt;0,($BA80*((AW80))*T80),0)))</f>
        <v>#NAME?</v>
      </c>
      <c r="BG80" s="292" t="e">
        <f aca="false">IF($A80="N/A"," ",(IF(AP80&gt;0,($BA80*(8*(VLOOKUP($A80,NumberofDaysTable,4)+VLOOKUP($A80,NumberofDaysTable,5)))*U80),0)+IF(AX80&gt;0,($BA80*((AX80))*U80),0)))</f>
        <v>#NAME?</v>
      </c>
      <c r="BH80" s="292" t="e">
        <f aca="false">IF($A80="N/A"," ",($BA80*AQ80*V80))</f>
        <v>#NAME?</v>
      </c>
      <c r="BI80" s="292" t="e">
        <f aca="false">IF($A80="N/A"," ",SUM(BB80:BH80))</f>
        <v>#NAME?</v>
      </c>
      <c r="BJ80" s="293" t="e">
        <f aca="false">IF($A80="N/A"," ",(H80*(SUM(AK80:AQ80)+SUM(AS80:AY80))*BA80))</f>
        <v>#NAME?</v>
      </c>
      <c r="BK80" s="293" t="e">
        <f aca="false">IF($A80="N/A"," ",((C80*D80)*(SUM($AK80:$AQ80)+SUM($AS80:$AY80))*$BA80))</f>
        <v>#N/A</v>
      </c>
      <c r="BL80" s="293" t="e">
        <f aca="false">IF($A80="N/A"," ",(F80*(SUM($AK80:$AQ80)+SUM($AS80:$AY80))*$BA80))</f>
        <v>#NAME?</v>
      </c>
      <c r="BM80" s="293" t="e">
        <f aca="false">IF($A80="N/A"," ",(G80*(SUM($AK80:$AQ80)+SUM($AS80:$AY80))*$BA80))</f>
        <v>#NAME?</v>
      </c>
      <c r="BN80" s="294" t="n">
        <f aca="false">IF(A80="N/A"," ",(VLOOKUP(A80,PowerVolTable,(IF('Pricing Inputs'!$AT$3=2,7,IF('Pricing Inputs'!$AT$3=1,6,8))),FALSE())))</f>
        <v>0.201451932625781</v>
      </c>
      <c r="BO80" s="294" t="n">
        <f aca="false">IF(A80="N/A"," ",(VLOOKUP(A80,IntraPowerVol,(IF('Pricing Inputs'!$AT$3=2,3,IF('Pricing Inputs'!$AT$3=1,2,4))),FALSE())*VLOOKUP(MONTH($A80),Inputs!$A$28:$B$39,2)))</f>
        <v>1.265</v>
      </c>
      <c r="BP80" s="295" t="n">
        <f aca="false">IF($A80="N/A"," ",(IF(DateToday&gt;$A80,$BO80,((($BN80^2)*((($A80-1)-DateToday)/((EOMONTH($A80,0)+1)-DateToday-15)))+((($BO80)^2)*((15)/((EOMONTH($A80,0)+1)-DateToday-15))))^0.5)))</f>
        <v>1.265</v>
      </c>
      <c r="BQ80" s="294" t="e">
        <f aca="false">IF($A80="N/A"," ",(VLOOKUP($A80,GasVolTable,(IF('Pricing Inputs'!$AT$3=2,6,IF('Pricing Inputs'!$AT$3=1,7,5))),FALSE())))</f>
        <v>#N/A</v>
      </c>
      <c r="BR80" s="294" t="e">
        <f aca="false">IF($A80="N/A"," ",(VLOOKUP($A80,OmicronVol,(IF('Pricing Inputs'!$AT$3=2,3,IF('Pricing Inputs'!$AT$3=1,4,2))),FALSE())))</f>
        <v>#N/A</v>
      </c>
      <c r="BS80" s="295" t="e">
        <f aca="false">IF($A80="N/A"," ",IF('Pricing Inputs'!$AN$3=1,(IF(DateToday&gt;$A80,$BR80,((($BQ80^2)*((($A80-1)-DateToday)/((EOMONTH($A80,0)+1)-DateToday-15)))+((($BR80)^2)*((15)/((EOMONTH($A80,0)+1)-DateToday-15))))^0.5)),0.0001))</f>
        <v>#N/A</v>
      </c>
      <c r="BT80" s="294" t="n">
        <f aca="false">IF($A80="N/A"," ",IF('Pricing Inputs'!$AN$3=1,(VLOOKUP($A80,CorrelationTable,2,FALSE())),0))</f>
        <v>0.9</v>
      </c>
      <c r="BU80" s="296" t="e">
        <f aca="false">IF($A80="N/A"," ",F80+G80+(D80*(VLOOKUP($A80,'Gas Curves'!$B$17:$P$310,14,FALSE()))))</f>
        <v>#N/A</v>
      </c>
      <c r="BV80" s="294" t="n">
        <f aca="false">IF($A80="N/A"," ",IF('Pricing Inputs'!$AW$3=1,0,(VLOOKUP($A80,InterestRatesTable,2))))</f>
        <v>0</v>
      </c>
      <c r="BW80" s="297" t="n">
        <f aca="false">IF($A80="N/A"," ",(1+BV80/2)^(-2*((EOMONTH(A80,0)+20)-DateToday)/365.25))</f>
        <v>1</v>
      </c>
    </row>
    <row r="81" customFormat="false" ht="12.75" hidden="false" customHeight="false" outlineLevel="0" collapsed="false">
      <c r="A81" s="272" t="n">
        <f aca="false">IF(A80="N/A","N/A",IF(EDATE(A80,1)&gt;Inputs!$K$3,"N/A",EDATE(A80,1)))</f>
        <v>39234</v>
      </c>
      <c r="B81" s="273" t="n">
        <f aca="false">IF(A81="N/A"," ",YEAR(A81))</f>
        <v>2007</v>
      </c>
      <c r="C81" s="274" t="e">
        <f aca="false">IF(A81="N/A"," ",VLOOKUP(A81,ScaledPrice,10))</f>
        <v>#N/A</v>
      </c>
      <c r="D81" s="275" t="n">
        <f aca="false">IF(A81="N/A"," ",(VLOOKUP(MONTH($A81),Inputs!$A$14:$B$25,2))/1000)</f>
        <v>10.5</v>
      </c>
      <c r="E81" s="276" t="e">
        <f aca="false">IF($A81="N/A"," ",C81*D81)</f>
        <v>#N/A</v>
      </c>
      <c r="F81" s="277" t="n">
        <f aca="false">IF(A81="N/A"," ",Inputs!$F$6)</f>
        <v>2</v>
      </c>
      <c r="G81" s="277" t="n">
        <f aca="false">IF(A81="N/A"," ",Inputs!$F$9/IF(AND('Pricing Inputs'!$AQ$3&gt;=4,'Pricing Inputs'!$AQ$3&lt;=6),16,IF(AND('Pricing Inputs'!$AQ$3&gt;=7,'Pricing Inputs'!$AQ$3&lt;=9),8,24))/(BA81/BW81))</f>
        <v>0</v>
      </c>
      <c r="H81" s="278" t="e">
        <f aca="false">IF(A81="N/A"," ",(C81*D81)+F81+G81)</f>
        <v>#N/A</v>
      </c>
      <c r="I81" s="279" t="n">
        <f aca="false">VLOOKUP(A81,ScaledPrice,(IF(AND('Pricing Inputs'!$AQ$3&gt;=1,'Pricing Inputs'!$AQ$3&lt;=6),2,4)))</f>
        <v>56.4444910455899</v>
      </c>
      <c r="J81" s="279" t="n">
        <f aca="false">IF(A81="N/A"," ",IF(AND('Pricing Inputs'!$AQ$3&gt;=1,'Pricing Inputs'!$AQ$3&lt;=6),I81,(VLOOKUP(A81,ScaledPrice,2))*(2-(VLOOKUP(A81,ScaledPrice,3)))))</f>
        <v>42.5555089544101</v>
      </c>
      <c r="K81" s="279" t="n">
        <f aca="false">IF(A81="N/A"," ",IF(OR('Pricing Inputs'!$AQ$3=2,'Pricing Inputs'!$AQ$3=3,'Pricing Inputs'!$AQ$3=5,'Pricing Inputs'!$AQ$3=6,'Pricing Inputs'!$AQ$3=8,'Pricing Inputs'!$AQ$3=9),VLOOKUP(A81,ScaledPrice,IF(AND('Pricing Inputs'!$AQ$3&gt;=2,'Pricing Inputs'!$AQ$3&lt;=6),5,6)),0))</f>
        <v>30.6268380299694</v>
      </c>
      <c r="L81" s="279" t="n">
        <f aca="false">IF(A81="N/A"," ",IF(OR('Pricing Inputs'!$AQ$3=2,'Pricing Inputs'!$AQ$3=3,'Pricing Inputs'!$AQ$3=5,'Pricing Inputs'!$AQ$3=6,'Pricing Inputs'!$AQ$3=8,'Pricing Inputs'!$AQ$3=9),IF(AND('Pricing Inputs'!$AQ$3&gt;=2,'Pricing Inputs'!$AQ$3&lt;=6),K81,(VLOOKUP(A81,ScaledPrice,5))*(2-(VLOOKUP(A81,ScaledPrice,3)))),0))</f>
        <v>23.0906622752064</v>
      </c>
      <c r="M81" s="279" t="n">
        <f aca="false">IF(A81="N/A"," ",IF(OR('Pricing Inputs'!$AQ$3=3,'Pricing Inputs'!$AQ$3=6,'Pricing Inputs'!$AQ$3=9),(VLOOKUP(A81,ScaledPrice,IF(AND('Pricing Inputs'!$AQ$3&gt;=3,'Pricing Inputs'!$AQ$3&lt;=6),7,8))),0))</f>
        <v>23.1964047122561</v>
      </c>
      <c r="N81" s="279" t="n">
        <f aca="false">IF(A81="N/A"," ",IF(OR('Pricing Inputs'!$AQ$3=3,'Pricing Inputs'!$AQ$3=6,'Pricing Inputs'!$AQ$3=9),IF(AND('Pricing Inputs'!$AQ$3&gt;=3,'Pricing Inputs'!$AQ$3&lt;=6),M81,(VLOOKUP(A81,ScaledPrice,7))*(2-(VLOOKUP(A81,ScaledPrice,3)))),0))</f>
        <v>17.4885943722166</v>
      </c>
      <c r="O81" s="279" t="n">
        <f aca="false">IF(A81="N/A"," ",IF(AND('Pricing Inputs'!$AQ$3&gt;=1,'Pricing Inputs'!$AQ$3&lt;=3),VLOOKUP(A81,ScaledPrice,9),0))</f>
        <v>0</v>
      </c>
      <c r="P81" s="280" t="e">
        <f aca="false">IF($A81="N/A"," ",IF('Pricing Inputs'!$AN$8=2,(I81-H81),IF('Pricing Inputs'!$AN$3=2,IF((I81-$H81)&gt;0,I81-$H81,0),(xSPRDOPT(I81,$E81,$BU81,0,$BP81,$BS81,$BT81,($A81-Inputs!$D$1)+15,1,0)))))</f>
        <v>#NAME?</v>
      </c>
      <c r="Q81" s="280" t="e">
        <f aca="false">IF($A81="N/A"," ",IF('Pricing Inputs'!$AN$8=2,(J81-$H81),IF('Pricing Inputs'!$AN$3=2,IF((J81-$H81)&gt;0,J81-$H81,0),(xSPRDOPT(J81,$E81,$BU81,0,$BP81,$BS81,$BT81,($A81-Inputs!$D$1)+15,1,0)))))</f>
        <v>#NAME?</v>
      </c>
      <c r="R81" s="280" t="e">
        <f aca="false">IF($A81="N/A"," ",IF('Pricing Inputs'!$AN$8=2,(K81-$H81),IF('Pricing Inputs'!$AN$3=2,IF((K81-$H81)&gt;0,K81-$H81,0),(xSPRDOPT(K81,$E81,$BU81,0,$BP81,$BS81,$BT81,($A81-Inputs!$D$1)+15,1,0)))))</f>
        <v>#NAME?</v>
      </c>
      <c r="S81" s="280" t="e">
        <f aca="false">IF($A81="N/A"," ",IF('Pricing Inputs'!$AN$8=2,(L81-$H81),IF('Pricing Inputs'!$AN$3=2,IF((L81-$H81)&gt;0,L81-$H81,0),(xSPRDOPT(L81,$E81,$BU81,0,$BP81,$BS81,$BT81,($A81-Inputs!$D$1)+15,1,0)))))</f>
        <v>#NAME?</v>
      </c>
      <c r="T81" s="280" t="e">
        <f aca="false">IF($A81="N/A"," ",IF('Pricing Inputs'!$AN$8=2,(M81-$H81),IF('Pricing Inputs'!$AN$3=2,IF((M81-$H81)&gt;0,M81-$H81,0),(xSPRDOPT(M81,$E81,$BU81,0,$BP81,$BS81,$BT81,($A81-Inputs!$D$1)+15,1,0)))))</f>
        <v>#NAME?</v>
      </c>
      <c r="U81" s="280" t="e">
        <f aca="false">IF($A81="N/A"," ",IF('Pricing Inputs'!$AN$8=2,(N81-$H81),IF('Pricing Inputs'!$AN$3=2,IF((N81-$H81)&gt;0,N81-$H81,0),(xSPRDOPT(N81,$E81,$BU81,0,$BP81,$BS81,$BT81,($A81-Inputs!$D$1)+15,1,0)))))</f>
        <v>#NAME?</v>
      </c>
      <c r="V81" s="281" t="e">
        <f aca="false">IF($A81="N/A"," ",(IF('Pricing Inputs'!$AN$8=2,(O81-$H81),IF((O81-$H81)&lt;=0,0,(O81-$H81)))))</f>
        <v>#N/A</v>
      </c>
      <c r="W81" s="282" t="e">
        <f aca="false">IF($A81="N/A"," ",IF(0&lt;&gt;P81,IF('Pricing Inputs'!$AN$3=2,8*VLOOKUP($A81,NumberofDaysTable,2),(xSPRDOPT(I81,$E81,$BU81,0,$BP81,$BS81,$BT81,$A81-Inputs!$D$1,1,1))*(8*VLOOKUP($A81,NumberofDaysTable,2))),0))</f>
        <v>#NAME?</v>
      </c>
      <c r="X81" s="282" t="e">
        <f aca="false">IF($A81="N/A"," ",IF(Q81&lt;&gt;0,IF('Pricing Inputs'!$AN$3=2,8*VLOOKUP($A81,NumberofDaysTable,2),(xSPRDOPT(J81,$E81,$BU81,0,$BP81,$BS81,$BT81,$A81-Inputs!$D$1,1,1))*(8*VLOOKUP($A81,NumberofDaysTable,2))),0))</f>
        <v>#NAME?</v>
      </c>
      <c r="Y81" s="282" t="e">
        <f aca="false">IF($A81="N/A"," ",IF(R81&lt;&gt;0,IF('Pricing Inputs'!$AN$3=2,8*VLOOKUP($A81,NumberofDaysTable,3),(xSPRDOPT(K81,$E81,$BU81,0,$BP81,$BS81,$BT81,$A81-Inputs!$D$1,1,1))*(8*VLOOKUP($A81,NumberofDaysTable,3))),0))</f>
        <v>#NAME?</v>
      </c>
      <c r="Z81" s="282" t="e">
        <f aca="false">IF($A81="N/A"," ",IF(S81&lt;&gt;0,IF('Pricing Inputs'!$AN$3=2,8*VLOOKUP($A81,NumberofDaysTable,3),(xSPRDOPT(L81,$E81,$BU81,0,$BP81,$BS81,$BT81,$A81-Inputs!$D$1,1,1))*(8*VLOOKUP($A81,NumberofDaysTable,3))),0))</f>
        <v>#NAME?</v>
      </c>
      <c r="AA81" s="282" t="e">
        <f aca="false">IF($A81="N/A"," ",IF(T81&lt;&gt;0,IF('Pricing Inputs'!$AN$3=2,8*VLOOKUP($A81,NumberofDaysTable,4),(xSPRDOPT(M81,$E81,$BU81,0,$BP81,$BS81,$BT81,$A81-Inputs!$D$1,1,1))*(8*VLOOKUP($A81,NumberofDaysTable,4))),0))</f>
        <v>#NAME?</v>
      </c>
      <c r="AB81" s="282" t="e">
        <f aca="false">IF($A81="N/A"," ",IF(U81&lt;&gt;0,IF('Pricing Inputs'!$AN$3=2,8*VLOOKUP($A81,NumberofDaysTable,4),(xSPRDOPT(N81,$E81,$BU81,0,$BP81,$BS81,$BT81,$A81-Inputs!$D$1,1,1))*(8*VLOOKUP($A81,NumberofDaysTable,4))),0))</f>
        <v>#NAME?</v>
      </c>
      <c r="AC81" s="282" t="e">
        <f aca="false">IF($A81="N/A"," ",(IF(V81&lt;&gt;0,(8*VLOOKUP($A81,NumberofDaysTable,6)),0)))</f>
        <v>#N/A</v>
      </c>
      <c r="AD81" s="298" t="e">
        <f aca="false">IF($A81="N/A"," ",RANK(P81,$P$76:$V$87))</f>
        <v>#NAME?</v>
      </c>
      <c r="AE81" s="299" t="e">
        <f aca="false">IF($A81="N/A"," ",RANK(Q81,$P$76:$V$87))</f>
        <v>#NAME?</v>
      </c>
      <c r="AF81" s="299" t="e">
        <f aca="false">IF($A81="N/A"," ",RANK(R81,$P$76:$V$87))</f>
        <v>#NAME?</v>
      </c>
      <c r="AG81" s="299" t="e">
        <f aca="false">IF($A81="N/A"," ",RANK(S81,$P$76:$V$87))</f>
        <v>#NAME?</v>
      </c>
      <c r="AH81" s="299" t="e">
        <f aca="false">IF($A81="N/A"," ",RANK(T81,$P$76:$V$87))</f>
        <v>#NAME?</v>
      </c>
      <c r="AI81" s="299" t="e">
        <f aca="false">IF($A81="N/A"," ",RANK(U81,$P$76:$V$87))</f>
        <v>#NAME?</v>
      </c>
      <c r="AJ81" s="300" t="e">
        <f aca="false">IF($A81="N/A"," ",RANK(V81,$P$76:$V$87))</f>
        <v>#NAME?</v>
      </c>
      <c r="AK81" s="286" t="e">
        <f aca="false">IF($A81="N/A"," ",IF(AD81&lt;=$AJ$2,W81,0))</f>
        <v>#NAME?</v>
      </c>
      <c r="AL81" s="301" t="e">
        <f aca="false">IF($A81="N/A"," ",IF(AE81&lt;=$AJ$2,X81,0))</f>
        <v>#NAME?</v>
      </c>
      <c r="AM81" s="301" t="e">
        <f aca="false">IF($A81="N/A"," ",IF(AF81&lt;=$AJ$2,Y81,0))</f>
        <v>#NAME?</v>
      </c>
      <c r="AN81" s="301" t="e">
        <f aca="false">IF($A81="N/A"," ",IF(AG81&lt;=$AJ$2,Z81,0))</f>
        <v>#NAME?</v>
      </c>
      <c r="AO81" s="301" t="e">
        <f aca="false">IF($A81="N/A"," ",IF(AH81&lt;=$AJ$2,AA81,0))</f>
        <v>#NAME?</v>
      </c>
      <c r="AP81" s="301" t="e">
        <f aca="false">IF($A81="N/A"," ",IF(AI81&lt;=$AJ$2,AB81,0))</f>
        <v>#NAME?</v>
      </c>
      <c r="AQ81" s="301" t="e">
        <f aca="false">IF($A81="N/A"," ",IF(AJ81&lt;=$AJ$2,AC81,0))</f>
        <v>#NAME?</v>
      </c>
      <c r="AR81" s="300"/>
      <c r="AS81" s="288" t="e">
        <f aca="false">IF($A81="N/A"," ",IF(AND(AD81=$AJ$2+1,AK81=0),MIN($AR$87,W81),0))</f>
        <v>#NAME?</v>
      </c>
      <c r="AT81" s="302" t="e">
        <f aca="false">IF($A81="N/A"," ",IF(AND(AE81=$AJ$2+1,AL81=0),MIN($AR$87,X81),0))</f>
        <v>#NAME?</v>
      </c>
      <c r="AU81" s="302" t="e">
        <f aca="false">IF($A81="N/A"," ",IF(AND(AF81=$AJ$2+1,AM81=0),MIN($AR$87,Y81),0))</f>
        <v>#NAME?</v>
      </c>
      <c r="AV81" s="302" t="e">
        <f aca="false">IF($A81="N/A"," ",IF(AND(AG81=$AJ$2+1,AN81=0),MIN($AR$87,Z81),0))</f>
        <v>#NAME?</v>
      </c>
      <c r="AW81" s="302" t="e">
        <f aca="false">IF($A81="N/A"," ",IF(AND(AH81=$AJ$2+1,AO81=0),MIN($AR$87,AA81),0))</f>
        <v>#NAME?</v>
      </c>
      <c r="AX81" s="302" t="e">
        <f aca="false">IF($A81="N/A"," ",IF(AND(AI81=$AJ$2+1,AP81=0),MIN($AR$87,AB81),0))</f>
        <v>#NAME?</v>
      </c>
      <c r="AY81" s="302" t="e">
        <f aca="false">IF($A81="N/A"," ",IF(AND(AJ81=$AJ$2+1,AQ81=0),MIN($AR$87,AC81),0))</f>
        <v>#NAME?</v>
      </c>
      <c r="AZ81" s="300"/>
      <c r="BA81" s="291" t="n">
        <f aca="false">IF($A81="N/A"," ",(IF(MONTH(A81)&gt;=4,IF(MONTH(A81)&lt;=10,Inputs!$F$13,Inputs!$F$14),Inputs!$F$14))*$BW81)</f>
        <v>180</v>
      </c>
      <c r="BB81" s="292" t="e">
        <f aca="false">IF($A81="N/A"," ",(IF(AK81&gt;0,($BA81*(8*(VLOOKUP($A81,NumberofDaysTable,2)))*P81),0)+IF(AS81&gt;0,($BA81*((AS81))*P81),0)))</f>
        <v>#NAME?</v>
      </c>
      <c r="BC81" s="292" t="e">
        <f aca="false">IF($A81="N/A"," ",(IF(AL81&gt;0,($BA81*(8*(VLOOKUP($A81,NumberofDaysTable,2)))*Q81),0)+IF(AT81&gt;0,($BA81*((AT81))*Q81),0)))</f>
        <v>#NAME?</v>
      </c>
      <c r="BD81" s="292" t="e">
        <f aca="false">IF($A81="N/A"," ",(IF(AM81&gt;0,($BA81*(8*(VLOOKUP($A81,NumberofDaysTable,3)))*R81),0)+IF(AU81&gt;0,($BA81*((AU81))*R81),0)))</f>
        <v>#NAME?</v>
      </c>
      <c r="BE81" s="292" t="e">
        <f aca="false">IF($A81="N/A"," ",(IF(AN81&gt;0,($BA81*(8*(VLOOKUP($A81,NumberofDaysTable,3)))*S81),0)+IF(AV81&gt;0,($BA81*((AV81))*S81),0)))</f>
        <v>#NAME?</v>
      </c>
      <c r="BF81" s="292" t="e">
        <f aca="false">IF($A81="N/A"," ",(IF(AO81&gt;0,($BA81*(8*(VLOOKUP($A81,NumberofDaysTable,4)+VLOOKUP($A81,NumberofDaysTable,5)))*T81),0)+IF(AW81&gt;0,($BA81*((AW81))*T81),0)))</f>
        <v>#NAME?</v>
      </c>
      <c r="BG81" s="292" t="e">
        <f aca="false">IF($A81="N/A"," ",(IF(AP81&gt;0,($BA81*(8*(VLOOKUP($A81,NumberofDaysTable,4)+VLOOKUP($A81,NumberofDaysTable,5)))*U81),0)+IF(AX81&gt;0,($BA81*((AX81))*U81),0)))</f>
        <v>#NAME?</v>
      </c>
      <c r="BH81" s="292" t="e">
        <f aca="false">IF($A81="N/A"," ",($BA81*AQ81*V81))</f>
        <v>#NAME?</v>
      </c>
      <c r="BI81" s="292" t="e">
        <f aca="false">IF($A81="N/A"," ",SUM(BB81:BH81))</f>
        <v>#NAME?</v>
      </c>
      <c r="BJ81" s="293" t="e">
        <f aca="false">IF($A81="N/A"," ",(H81*(SUM(AK81:AQ81)+SUM(AS81:AY81))*BA81))</f>
        <v>#NAME?</v>
      </c>
      <c r="BK81" s="293" t="e">
        <f aca="false">IF($A81="N/A"," ",((C81*D81)*(SUM($AK81:$AQ81)+SUM($AS81:$AY81))*$BA81))</f>
        <v>#N/A</v>
      </c>
      <c r="BL81" s="293" t="e">
        <f aca="false">IF($A81="N/A"," ",(F81*(SUM($AK81:$AQ81)+SUM($AS81:$AY81))*$BA81))</f>
        <v>#NAME?</v>
      </c>
      <c r="BM81" s="293" t="e">
        <f aca="false">IF($A81="N/A"," ",(G81*(SUM($AK81:$AQ81)+SUM($AS81:$AY81))*$BA81))</f>
        <v>#NAME?</v>
      </c>
      <c r="BN81" s="294" t="n">
        <f aca="false">IF(A81="N/A"," ",(VLOOKUP(A81,PowerVolTable,(IF('Pricing Inputs'!$AT$3=2,7,IF('Pricing Inputs'!$AT$3=1,6,8))),FALSE())))</f>
        <v>0.252559196321484</v>
      </c>
      <c r="BO81" s="294" t="n">
        <f aca="false">IF(A81="N/A"," ",(VLOOKUP(A81,IntraPowerVol,(IF('Pricing Inputs'!$AT$3=2,3,IF('Pricing Inputs'!$AT$3=1,2,4))),FALSE())*VLOOKUP(MONTH($A81),Inputs!$A$28:$B$39,2)))</f>
        <v>2.3</v>
      </c>
      <c r="BP81" s="295" t="n">
        <f aca="false">IF($A81="N/A"," ",(IF(DateToday&gt;$A81,$BO81,((($BN81^2)*((($A81-1)-DateToday)/((EOMONTH($A81,0)+1)-DateToday-15)))+((($BO81)^2)*((15)/((EOMONTH($A81,0)+1)-DateToday-15))))^0.5)))</f>
        <v>2.3</v>
      </c>
      <c r="BQ81" s="294" t="e">
        <f aca="false">IF($A81="N/A"," ",(VLOOKUP($A81,GasVolTable,(IF('Pricing Inputs'!$AT$3=2,6,IF('Pricing Inputs'!$AT$3=1,7,5))),FALSE())))</f>
        <v>#N/A</v>
      </c>
      <c r="BR81" s="294" t="e">
        <f aca="false">IF($A81="N/A"," ",(VLOOKUP($A81,OmicronVol,(IF('Pricing Inputs'!$AT$3=2,3,IF('Pricing Inputs'!$AT$3=1,4,2))),FALSE())))</f>
        <v>#N/A</v>
      </c>
      <c r="BS81" s="295" t="e">
        <f aca="false">IF($A81="N/A"," ",IF('Pricing Inputs'!$AN$3=1,(IF(DateToday&gt;$A81,$BR81,((($BQ81^2)*((($A81-1)-DateToday)/((EOMONTH($A81,0)+1)-DateToday-15)))+((($BR81)^2)*((15)/((EOMONTH($A81,0)+1)-DateToday-15))))^0.5)),0.0001))</f>
        <v>#N/A</v>
      </c>
      <c r="BT81" s="294" t="n">
        <f aca="false">IF($A81="N/A"," ",IF('Pricing Inputs'!$AN$3=1,(VLOOKUP($A81,CorrelationTable,2,FALSE())),0))</f>
        <v>0.9</v>
      </c>
      <c r="BU81" s="296" t="e">
        <f aca="false">IF($A81="N/A"," ",F81+G81+(D81*(VLOOKUP($A81,'Gas Curves'!$B$17:$P$310,14,FALSE()))))</f>
        <v>#N/A</v>
      </c>
      <c r="BV81" s="294" t="n">
        <f aca="false">IF($A81="N/A"," ",IF('Pricing Inputs'!$AW$3=1,0,(VLOOKUP($A81,InterestRatesTable,2))))</f>
        <v>0</v>
      </c>
      <c r="BW81" s="297" t="n">
        <f aca="false">IF($A81="N/A"," ",(1+BV81/2)^(-2*((EOMONTH(A81,0)+20)-DateToday)/365.25))</f>
        <v>1</v>
      </c>
    </row>
    <row r="82" customFormat="false" ht="12.75" hidden="false" customHeight="false" outlineLevel="0" collapsed="false">
      <c r="A82" s="272" t="n">
        <f aca="false">IF(A81="N/A","N/A",IF(EDATE(A81,1)&gt;Inputs!$K$3,"N/A",EDATE(A81,1)))</f>
        <v>39264</v>
      </c>
      <c r="B82" s="273" t="n">
        <f aca="false">IF(A82="N/A"," ",YEAR(A82))</f>
        <v>2007</v>
      </c>
      <c r="C82" s="274" t="e">
        <f aca="false">IF(A82="N/A"," ",VLOOKUP(A82,ScaledPrice,10))</f>
        <v>#N/A</v>
      </c>
      <c r="D82" s="275" t="n">
        <f aca="false">IF(A82="N/A"," ",(VLOOKUP(MONTH($A82),Inputs!$A$14:$B$25,2))/1000)</f>
        <v>10.5</v>
      </c>
      <c r="E82" s="276" t="e">
        <f aca="false">IF($A82="N/A"," ",C82*D82)</f>
        <v>#N/A</v>
      </c>
      <c r="F82" s="277" t="n">
        <f aca="false">IF(A82="N/A"," ",Inputs!$F$6)</f>
        <v>2</v>
      </c>
      <c r="G82" s="277" t="n">
        <f aca="false">IF(A82="N/A"," ",Inputs!$F$9/IF(AND('Pricing Inputs'!$AQ$3&gt;=4,'Pricing Inputs'!$AQ$3&lt;=6),16,IF(AND('Pricing Inputs'!$AQ$3&gt;=7,'Pricing Inputs'!$AQ$3&lt;=9),8,24))/(BA82/BW82))</f>
        <v>0</v>
      </c>
      <c r="H82" s="278" t="e">
        <f aca="false">IF(A82="N/A"," ",(C82*D82)+F82+G82)</f>
        <v>#N/A</v>
      </c>
      <c r="I82" s="279" t="n">
        <f aca="false">VLOOKUP(A82,ScaledPrice,(IF(AND('Pricing Inputs'!$AQ$3&gt;=1,'Pricing Inputs'!$AQ$3&lt;=6),2,4)))</f>
        <v>84.6082089340205</v>
      </c>
      <c r="J82" s="279" t="n">
        <f aca="false">IF(A82="N/A"," ",IF(AND('Pricing Inputs'!$AQ$3&gt;=1,'Pricing Inputs'!$AQ$3&lt;=6),I82,(VLOOKUP(A82,ScaledPrice,2))*(2-(VLOOKUP(A82,ScaledPrice,3)))))</f>
        <v>57.3917910659795</v>
      </c>
      <c r="K82" s="279" t="n">
        <f aca="false">IF(A82="N/A"," ",IF(OR('Pricing Inputs'!$AQ$3=2,'Pricing Inputs'!$AQ$3=3,'Pricing Inputs'!$AQ$3=5,'Pricing Inputs'!$AQ$3=6,'Pricing Inputs'!$AQ$3=8,'Pricing Inputs'!$AQ$3=9),VLOOKUP(A82,ScaledPrice,IF(AND('Pricing Inputs'!$AQ$3&gt;=2,'Pricing Inputs'!$AQ$3&lt;=6),5,6)),0))</f>
        <v>47.7395855130629</v>
      </c>
      <c r="L82" s="279" t="n">
        <f aca="false">IF(A82="N/A"," ",IF(OR('Pricing Inputs'!$AQ$3=2,'Pricing Inputs'!$AQ$3=3,'Pricing Inputs'!$AQ$3=5,'Pricing Inputs'!$AQ$3=6,'Pricing Inputs'!$AQ$3=8,'Pricing Inputs'!$AQ$3=9),IF(AND('Pricing Inputs'!$AQ$3&gt;=2,'Pricing Inputs'!$AQ$3&lt;=6),K82,(VLOOKUP(A82,ScaledPrice,5))*(2-(VLOOKUP(A82,ScaledPrice,3)))),0))</f>
        <v>32.3829135714098</v>
      </c>
      <c r="M82" s="279" t="n">
        <f aca="false">IF(A82="N/A"," ",IF(OR('Pricing Inputs'!$AQ$3=3,'Pricing Inputs'!$AQ$3=6,'Pricing Inputs'!$AQ$3=9),(VLOOKUP(A82,ScaledPrice,IF(AND('Pricing Inputs'!$AQ$3&gt;=3,'Pricing Inputs'!$AQ$3&lt;=6),7,8))),0))</f>
        <v>35.2107184266523</v>
      </c>
      <c r="N82" s="279" t="n">
        <f aca="false">IF(A82="N/A"," ",IF(OR('Pricing Inputs'!$AQ$3=3,'Pricing Inputs'!$AQ$3=6,'Pricing Inputs'!$AQ$3=9),IF(AND('Pricing Inputs'!$AQ$3&gt;=3,'Pricing Inputs'!$AQ$3&lt;=6),M82,(VLOOKUP(A82,ScaledPrice,7))*(2-(VLOOKUP(A82,ScaledPrice,3)))),0))</f>
        <v>23.8842805052325</v>
      </c>
      <c r="O82" s="279" t="n">
        <f aca="false">IF(A82="N/A"," ",IF(AND('Pricing Inputs'!$AQ$3&gt;=1,'Pricing Inputs'!$AQ$3&lt;=3),VLOOKUP(A82,ScaledPrice,9),0))</f>
        <v>0</v>
      </c>
      <c r="P82" s="280" t="e">
        <f aca="false">IF($A82="N/A"," ",IF('Pricing Inputs'!$AN$8=2,(I82-H82),IF('Pricing Inputs'!$AN$3=2,IF((I82-$H82)&gt;0,I82-$H82,0),(xSPRDOPT(I82,$E82,$BU82,0,$BP82,$BS82,$BT82,($A82-Inputs!$D$1)+15,1,0)))))</f>
        <v>#NAME?</v>
      </c>
      <c r="Q82" s="280" t="e">
        <f aca="false">IF($A82="N/A"," ",IF('Pricing Inputs'!$AN$8=2,(J82-$H82),IF('Pricing Inputs'!$AN$3=2,IF((J82-$H82)&gt;0,J82-$H82,0),(xSPRDOPT(J82,$E82,$BU82,0,$BP82,$BS82,$BT82,($A82-Inputs!$D$1)+15,1,0)))))</f>
        <v>#NAME?</v>
      </c>
      <c r="R82" s="280" t="e">
        <f aca="false">IF($A82="N/A"," ",IF('Pricing Inputs'!$AN$8=2,(K82-$H82),IF('Pricing Inputs'!$AN$3=2,IF((K82-$H82)&gt;0,K82-$H82,0),(xSPRDOPT(K82,$E82,$BU82,0,$BP82,$BS82,$BT82,($A82-Inputs!$D$1)+15,1,0)))))</f>
        <v>#NAME?</v>
      </c>
      <c r="S82" s="280" t="e">
        <f aca="false">IF($A82="N/A"," ",IF('Pricing Inputs'!$AN$8=2,(L82-$H82),IF('Pricing Inputs'!$AN$3=2,IF((L82-$H82)&gt;0,L82-$H82,0),(xSPRDOPT(L82,$E82,$BU82,0,$BP82,$BS82,$BT82,($A82-Inputs!$D$1)+15,1,0)))))</f>
        <v>#NAME?</v>
      </c>
      <c r="T82" s="280" t="e">
        <f aca="false">IF($A82="N/A"," ",IF('Pricing Inputs'!$AN$8=2,(M82-$H82),IF('Pricing Inputs'!$AN$3=2,IF((M82-$H82)&gt;0,M82-$H82,0),(xSPRDOPT(M82,$E82,$BU82,0,$BP82,$BS82,$BT82,($A82-Inputs!$D$1)+15,1,0)))))</f>
        <v>#NAME?</v>
      </c>
      <c r="U82" s="280" t="e">
        <f aca="false">IF($A82="N/A"," ",IF('Pricing Inputs'!$AN$8=2,(N82-$H82),IF('Pricing Inputs'!$AN$3=2,IF((N82-$H82)&gt;0,N82-$H82,0),(xSPRDOPT(N82,$E82,$BU82,0,$BP82,$BS82,$BT82,($A82-Inputs!$D$1)+15,1,0)))))</f>
        <v>#NAME?</v>
      </c>
      <c r="V82" s="281" t="e">
        <f aca="false">IF($A82="N/A"," ",(IF('Pricing Inputs'!$AN$8=2,(O82-$H82),IF((O82-$H82)&lt;=0,0,(O82-$H82)))))</f>
        <v>#N/A</v>
      </c>
      <c r="W82" s="282" t="e">
        <f aca="false">IF($A82="N/A"," ",IF(0&lt;&gt;P82,IF('Pricing Inputs'!$AN$3=2,8*VLOOKUP($A82,NumberofDaysTable,2),(xSPRDOPT(I82,$E82,$BU82,0,$BP82,$BS82,$BT82,$A82-Inputs!$D$1,1,1))*(8*VLOOKUP($A82,NumberofDaysTable,2))),0))</f>
        <v>#NAME?</v>
      </c>
      <c r="X82" s="282" t="e">
        <f aca="false">IF($A82="N/A"," ",IF(Q82&lt;&gt;0,IF('Pricing Inputs'!$AN$3=2,8*VLOOKUP($A82,NumberofDaysTable,2),(xSPRDOPT(J82,$E82,$BU82,0,$BP82,$BS82,$BT82,$A82-Inputs!$D$1,1,1))*(8*VLOOKUP($A82,NumberofDaysTable,2))),0))</f>
        <v>#NAME?</v>
      </c>
      <c r="Y82" s="282" t="e">
        <f aca="false">IF($A82="N/A"," ",IF(R82&lt;&gt;0,IF('Pricing Inputs'!$AN$3=2,8*VLOOKUP($A82,NumberofDaysTable,3),(xSPRDOPT(K82,$E82,$BU82,0,$BP82,$BS82,$BT82,$A82-Inputs!$D$1,1,1))*(8*VLOOKUP($A82,NumberofDaysTable,3))),0))</f>
        <v>#NAME?</v>
      </c>
      <c r="Z82" s="282" t="e">
        <f aca="false">IF($A82="N/A"," ",IF(S82&lt;&gt;0,IF('Pricing Inputs'!$AN$3=2,8*VLOOKUP($A82,NumberofDaysTable,3),(xSPRDOPT(L82,$E82,$BU82,0,$BP82,$BS82,$BT82,$A82-Inputs!$D$1,1,1))*(8*VLOOKUP($A82,NumberofDaysTable,3))),0))</f>
        <v>#NAME?</v>
      </c>
      <c r="AA82" s="282" t="e">
        <f aca="false">IF($A82="N/A"," ",IF(T82&lt;&gt;0,IF('Pricing Inputs'!$AN$3=2,8*VLOOKUP($A82,NumberofDaysTable,4),(xSPRDOPT(M82,$E82,$BU82,0,$BP82,$BS82,$BT82,$A82-Inputs!$D$1,1,1))*(8*VLOOKUP($A82,NumberofDaysTable,4))),0))</f>
        <v>#NAME?</v>
      </c>
      <c r="AB82" s="282" t="e">
        <f aca="false">IF($A82="N/A"," ",IF(U82&lt;&gt;0,IF('Pricing Inputs'!$AN$3=2,8*VLOOKUP($A82,NumberofDaysTable,4),(xSPRDOPT(N82,$E82,$BU82,0,$BP82,$BS82,$BT82,$A82-Inputs!$D$1,1,1))*(8*VLOOKUP($A82,NumberofDaysTable,4))),0))</f>
        <v>#NAME?</v>
      </c>
      <c r="AC82" s="282" t="e">
        <f aca="false">IF($A82="N/A"," ",(IF(V82&lt;&gt;0,(8*VLOOKUP($A82,NumberofDaysTable,6)),0)))</f>
        <v>#N/A</v>
      </c>
      <c r="AD82" s="298" t="e">
        <f aca="false">IF($A82="N/A"," ",RANK(P82,$P$76:$V$87))</f>
        <v>#NAME?</v>
      </c>
      <c r="AE82" s="299" t="e">
        <f aca="false">IF($A82="N/A"," ",RANK(Q82,$P$76:$V$87))</f>
        <v>#NAME?</v>
      </c>
      <c r="AF82" s="299" t="e">
        <f aca="false">IF($A82="N/A"," ",RANK(R82,$P$76:$V$87))</f>
        <v>#NAME?</v>
      </c>
      <c r="AG82" s="299" t="e">
        <f aca="false">IF($A82="N/A"," ",RANK(S82,$P$76:$V$87))</f>
        <v>#NAME?</v>
      </c>
      <c r="AH82" s="299" t="e">
        <f aca="false">IF($A82="N/A"," ",RANK(T82,$P$76:$V$87))</f>
        <v>#NAME?</v>
      </c>
      <c r="AI82" s="299" t="e">
        <f aca="false">IF($A82="N/A"," ",RANK(U82,$P$76:$V$87))</f>
        <v>#NAME?</v>
      </c>
      <c r="AJ82" s="300" t="e">
        <f aca="false">IF($A82="N/A"," ",RANK(V82,$P$76:$V$87))</f>
        <v>#NAME?</v>
      </c>
      <c r="AK82" s="286" t="e">
        <f aca="false">IF($A82="N/A"," ",IF(AD82&lt;=$AJ$2,W82,0))</f>
        <v>#NAME?</v>
      </c>
      <c r="AL82" s="301" t="e">
        <f aca="false">IF($A82="N/A"," ",IF(AE82&lt;=$AJ$2,X82,0))</f>
        <v>#NAME?</v>
      </c>
      <c r="AM82" s="301" t="e">
        <f aca="false">IF($A82="N/A"," ",IF(AF82&lt;=$AJ$2,Y82,0))</f>
        <v>#NAME?</v>
      </c>
      <c r="AN82" s="301" t="e">
        <f aca="false">IF($A82="N/A"," ",IF(AG82&lt;=$AJ$2,Z82,0))</f>
        <v>#NAME?</v>
      </c>
      <c r="AO82" s="301" t="e">
        <f aca="false">IF($A82="N/A"," ",IF(AH82&lt;=$AJ$2,AA82,0))</f>
        <v>#NAME?</v>
      </c>
      <c r="AP82" s="301" t="e">
        <f aca="false">IF($A82="N/A"," ",IF(AI82&lt;=$AJ$2,AB82,0))</f>
        <v>#NAME?</v>
      </c>
      <c r="AQ82" s="301" t="e">
        <f aca="false">IF($A82="N/A"," ",IF(AJ82&lt;=$AJ$2,AC82,0))</f>
        <v>#NAME?</v>
      </c>
      <c r="AR82" s="300"/>
      <c r="AS82" s="288" t="e">
        <f aca="false">IF($A82="N/A"," ",IF(AND(AD82=$AJ$2+1,AK82=0),MIN($AR$87,W82),0))</f>
        <v>#NAME?</v>
      </c>
      <c r="AT82" s="302" t="e">
        <f aca="false">IF($A82="N/A"," ",IF(AND(AE82=$AJ$2+1,AL82=0),MIN($AR$87,X82),0))</f>
        <v>#NAME?</v>
      </c>
      <c r="AU82" s="302" t="e">
        <f aca="false">IF($A82="N/A"," ",IF(AND(AF82=$AJ$2+1,AM82=0),MIN($AR$87,Y82),0))</f>
        <v>#NAME?</v>
      </c>
      <c r="AV82" s="302" t="e">
        <f aca="false">IF($A82="N/A"," ",IF(AND(AG82=$AJ$2+1,AN82=0),MIN($AR$87,Z82),0))</f>
        <v>#NAME?</v>
      </c>
      <c r="AW82" s="302" t="e">
        <f aca="false">IF($A82="N/A"," ",IF(AND(AH82=$AJ$2+1,AO82=0),MIN($AR$87,AA82),0))</f>
        <v>#NAME?</v>
      </c>
      <c r="AX82" s="302" t="e">
        <f aca="false">IF($A82="N/A"," ",IF(AND(AI82=$AJ$2+1,AP82=0),MIN($AR$87,AB82),0))</f>
        <v>#NAME?</v>
      </c>
      <c r="AY82" s="302" t="e">
        <f aca="false">IF($A82="N/A"," ",IF(AND(AJ82=$AJ$2+1,AQ82=0),MIN($AR$87,AC82),0))</f>
        <v>#NAME?</v>
      </c>
      <c r="AZ82" s="300"/>
      <c r="BA82" s="291" t="n">
        <f aca="false">IF($A82="N/A"," ",(IF(MONTH(A82)&gt;=4,IF(MONTH(A82)&lt;=10,Inputs!$F$13,Inputs!$F$14),Inputs!$F$14))*$BW82)</f>
        <v>180</v>
      </c>
      <c r="BB82" s="292" t="e">
        <f aca="false">IF($A82="N/A"," ",(IF(AK82&gt;0,($BA82*(8*(VLOOKUP($A82,NumberofDaysTable,2)))*P82),0)+IF(AS82&gt;0,($BA82*((AS82))*P82),0)))</f>
        <v>#NAME?</v>
      </c>
      <c r="BC82" s="292" t="e">
        <f aca="false">IF($A82="N/A"," ",(IF(AL82&gt;0,($BA82*(8*(VLOOKUP($A82,NumberofDaysTable,2)))*Q82),0)+IF(AT82&gt;0,($BA82*((AT82))*Q82),0)))</f>
        <v>#NAME?</v>
      </c>
      <c r="BD82" s="292" t="e">
        <f aca="false">IF($A82="N/A"," ",(IF(AM82&gt;0,($BA82*(8*(VLOOKUP($A82,NumberofDaysTable,3)))*R82),0)+IF(AU82&gt;0,($BA82*((AU82))*R82),0)))</f>
        <v>#NAME?</v>
      </c>
      <c r="BE82" s="292" t="e">
        <f aca="false">IF($A82="N/A"," ",(IF(AN82&gt;0,($BA82*(8*(VLOOKUP($A82,NumberofDaysTable,3)))*S82),0)+IF(AV82&gt;0,($BA82*((AV82))*S82),0)))</f>
        <v>#NAME?</v>
      </c>
      <c r="BF82" s="292" t="e">
        <f aca="false">IF($A82="N/A"," ",(IF(AO82&gt;0,($BA82*(8*(VLOOKUP($A82,NumberofDaysTable,4)+VLOOKUP($A82,NumberofDaysTable,5)))*T82),0)+IF(AW82&gt;0,($BA82*((AW82))*T82),0)))</f>
        <v>#NAME?</v>
      </c>
      <c r="BG82" s="292" t="e">
        <f aca="false">IF($A82="N/A"," ",(IF(AP82&gt;0,($BA82*(8*(VLOOKUP($A82,NumberofDaysTable,4)+VLOOKUP($A82,NumberofDaysTable,5)))*U82),0)+IF(AX82&gt;0,($BA82*((AX82))*U82),0)))</f>
        <v>#NAME?</v>
      </c>
      <c r="BH82" s="292" t="e">
        <f aca="false">IF($A82="N/A"," ",($BA82*AQ82*V82))</f>
        <v>#NAME?</v>
      </c>
      <c r="BI82" s="292" t="e">
        <f aca="false">IF($A82="N/A"," ",SUM(BB82:BH82))</f>
        <v>#NAME?</v>
      </c>
      <c r="BJ82" s="293" t="e">
        <f aca="false">IF($A82="N/A"," ",(H82*(SUM(AK82:AQ82)+SUM(AS82:AY82))*BA82))</f>
        <v>#NAME?</v>
      </c>
      <c r="BK82" s="293" t="e">
        <f aca="false">IF($A82="N/A"," ",((C82*D82)*(SUM($AK82:$AQ82)+SUM($AS82:$AY82))*$BA82))</f>
        <v>#N/A</v>
      </c>
      <c r="BL82" s="293" t="e">
        <f aca="false">IF($A82="N/A"," ",(F82*(SUM($AK82:$AQ82)+SUM($AS82:$AY82))*$BA82))</f>
        <v>#NAME?</v>
      </c>
      <c r="BM82" s="293" t="e">
        <f aca="false">IF($A82="N/A"," ",(G82*(SUM($AK82:$AQ82)+SUM($AS82:$AY82))*$BA82))</f>
        <v>#NAME?</v>
      </c>
      <c r="BN82" s="294" t="n">
        <f aca="false">IF(A82="N/A"," ",(VLOOKUP(A82,PowerVolTable,(IF('Pricing Inputs'!$AT$3=2,7,IF('Pricing Inputs'!$AT$3=1,6,8))),FALSE())))</f>
        <v>0.298869985430859</v>
      </c>
      <c r="BO82" s="294" t="n">
        <f aca="false">IF(A82="N/A"," ",(VLOOKUP(A82,IntraPowerVol,(IF('Pricing Inputs'!$AT$3=2,3,IF('Pricing Inputs'!$AT$3=1,2,4))),FALSE())*VLOOKUP(MONTH($A82),Inputs!$A$28:$B$39,2)))</f>
        <v>3.45</v>
      </c>
      <c r="BP82" s="295" t="n">
        <f aca="false">IF($A82="N/A"," ",(IF(DateToday&gt;$A82,$BO82,((($BN82^2)*((($A82-1)-DateToday)/((EOMONTH($A82,0)+1)-DateToday-15)))+((($BO82)^2)*((15)/((EOMONTH($A82,0)+1)-DateToday-15))))^0.5)))</f>
        <v>3.45</v>
      </c>
      <c r="BQ82" s="294" t="e">
        <f aca="false">IF($A82="N/A"," ",(VLOOKUP($A82,GasVolTable,(IF('Pricing Inputs'!$AT$3=2,6,IF('Pricing Inputs'!$AT$3=1,7,5))),FALSE())))</f>
        <v>#N/A</v>
      </c>
      <c r="BR82" s="294" t="e">
        <f aca="false">IF($A82="N/A"," ",(VLOOKUP($A82,OmicronVol,(IF('Pricing Inputs'!$AT$3=2,3,IF('Pricing Inputs'!$AT$3=1,4,2))),FALSE())))</f>
        <v>#N/A</v>
      </c>
      <c r="BS82" s="295" t="e">
        <f aca="false">IF($A82="N/A"," ",IF('Pricing Inputs'!$AN$3=1,(IF(DateToday&gt;$A82,$BR82,((($BQ82^2)*((($A82-1)-DateToday)/((EOMONTH($A82,0)+1)-DateToday-15)))+((($BR82)^2)*((15)/((EOMONTH($A82,0)+1)-DateToday-15))))^0.5)),0.0001))</f>
        <v>#N/A</v>
      </c>
      <c r="BT82" s="294" t="n">
        <f aca="false">IF($A82="N/A"," ",IF('Pricing Inputs'!$AN$3=1,(VLOOKUP($A82,CorrelationTable,2,FALSE())),0))</f>
        <v>0.9</v>
      </c>
      <c r="BU82" s="296" t="e">
        <f aca="false">IF($A82="N/A"," ",F82+G82+(D82*(VLOOKUP($A82,'Gas Curves'!$B$17:$P$310,14,FALSE()))))</f>
        <v>#N/A</v>
      </c>
      <c r="BV82" s="294" t="n">
        <f aca="false">IF($A82="N/A"," ",IF('Pricing Inputs'!$AW$3=1,0,(VLOOKUP($A82,InterestRatesTable,2))))</f>
        <v>0</v>
      </c>
      <c r="BW82" s="297" t="n">
        <f aca="false">IF($A82="N/A"," ",(1+BV82/2)^(-2*((EOMONTH(A82,0)+20)-DateToday)/365.25))</f>
        <v>1</v>
      </c>
    </row>
    <row r="83" customFormat="false" ht="12.75" hidden="false" customHeight="false" outlineLevel="0" collapsed="false">
      <c r="A83" s="272" t="n">
        <f aca="false">IF(A82="N/A","N/A",IF(EDATE(A82,1)&gt;Inputs!$K$3,"N/A",EDATE(A82,1)))</f>
        <v>39295</v>
      </c>
      <c r="B83" s="273" t="n">
        <f aca="false">IF(A83="N/A"," ",YEAR(A83))</f>
        <v>2007</v>
      </c>
      <c r="C83" s="274" t="e">
        <f aca="false">IF(A83="N/A"," ",VLOOKUP(A83,ScaledPrice,10))</f>
        <v>#N/A</v>
      </c>
      <c r="D83" s="275" t="n">
        <f aca="false">IF(A83="N/A"," ",(VLOOKUP(MONTH($A83),Inputs!$A$14:$B$25,2))/1000)</f>
        <v>10.5</v>
      </c>
      <c r="E83" s="276" t="e">
        <f aca="false">IF($A83="N/A"," ",C83*D83)</f>
        <v>#N/A</v>
      </c>
      <c r="F83" s="277" t="n">
        <f aca="false">IF(A83="N/A"," ",Inputs!$F$6)</f>
        <v>2</v>
      </c>
      <c r="G83" s="277" t="n">
        <f aca="false">IF(A83="N/A"," ",Inputs!$F$9/IF(AND('Pricing Inputs'!$AQ$3&gt;=4,'Pricing Inputs'!$AQ$3&lt;=6),16,IF(AND('Pricing Inputs'!$AQ$3&gt;=7,'Pricing Inputs'!$AQ$3&lt;=9),8,24))/(BA83/BW83))</f>
        <v>0</v>
      </c>
      <c r="H83" s="278" t="e">
        <f aca="false">IF(A83="N/A"," ",(C83*D83)+F83+G83)</f>
        <v>#N/A</v>
      </c>
      <c r="I83" s="279" t="n">
        <f aca="false">VLOOKUP(A83,ScaledPrice,(IF(AND('Pricing Inputs'!$AQ$3&gt;=1,'Pricing Inputs'!$AQ$3&lt;=6),2,4)))</f>
        <v>73.7437750664922</v>
      </c>
      <c r="J83" s="279" t="n">
        <f aca="false">IF(A83="N/A"," ",IF(AND('Pricing Inputs'!$AQ$3&gt;=1,'Pricing Inputs'!$AQ$3&lt;=6),I83,(VLOOKUP(A83,ScaledPrice,2))*(2-(VLOOKUP(A83,ScaledPrice,3)))))</f>
        <v>59.2562249335078</v>
      </c>
      <c r="K83" s="279" t="n">
        <f aca="false">IF(A83="N/A"," ",IF(OR('Pricing Inputs'!$AQ$3=2,'Pricing Inputs'!$AQ$3=3,'Pricing Inputs'!$AQ$3=5,'Pricing Inputs'!$AQ$3=6,'Pricing Inputs'!$AQ$3=8,'Pricing Inputs'!$AQ$3=9),VLOOKUP(A83,ScaledPrice,IF(AND('Pricing Inputs'!$AQ$3&gt;=2,'Pricing Inputs'!$AQ$3&lt;=6),5,6)),0))</f>
        <v>46.9326444020628</v>
      </c>
      <c r="L83" s="279" t="n">
        <f aca="false">IF(A83="N/A"," ",IF(OR('Pricing Inputs'!$AQ$3=2,'Pricing Inputs'!$AQ$3=3,'Pricing Inputs'!$AQ$3=5,'Pricing Inputs'!$AQ$3=6,'Pricing Inputs'!$AQ$3=8,'Pricing Inputs'!$AQ$3=9),IF(AND('Pricing Inputs'!$AQ$3&gt;=2,'Pricing Inputs'!$AQ$3&lt;=6),K83,(VLOOKUP(A83,ScaledPrice,5))*(2-(VLOOKUP(A83,ScaledPrice,3)))),0))</f>
        <v>37.7123537668826</v>
      </c>
      <c r="M83" s="279" t="n">
        <f aca="false">IF(A83="N/A"," ",IF(OR('Pricing Inputs'!$AQ$3=3,'Pricing Inputs'!$AQ$3=6,'Pricing Inputs'!$AQ$3=9),(VLOOKUP(A83,ScaledPrice,IF(AND('Pricing Inputs'!$AQ$3&gt;=3,'Pricing Inputs'!$AQ$3&lt;=6),7,8))),0))</f>
        <v>34.4267001327442</v>
      </c>
      <c r="N83" s="279" t="n">
        <f aca="false">IF(A83="N/A"," ",IF(OR('Pricing Inputs'!$AQ$3=3,'Pricing Inputs'!$AQ$3=6,'Pricing Inputs'!$AQ$3=9),IF(AND('Pricing Inputs'!$AQ$3&gt;=3,'Pricing Inputs'!$AQ$3&lt;=6),M83,(VLOOKUP(A83,ScaledPrice,7))*(2-(VLOOKUP(A83,ScaledPrice,3)))),0))</f>
        <v>27.6633015457226</v>
      </c>
      <c r="O83" s="279" t="n">
        <f aca="false">IF(A83="N/A"," ",IF(AND('Pricing Inputs'!$AQ$3&gt;=1,'Pricing Inputs'!$AQ$3&lt;=3),VLOOKUP(A83,ScaledPrice,9),0))</f>
        <v>0</v>
      </c>
      <c r="P83" s="280" t="e">
        <f aca="false">IF($A83="N/A"," ",IF('Pricing Inputs'!$AN$8=2,(I83-H83),IF('Pricing Inputs'!$AN$3=2,IF((I83-$H83)&gt;0,I83-$H83,0),(xSPRDOPT(I83,$E83,$BU83,0,$BP83,$BS83,$BT83,($A83-Inputs!$D$1)+15,1,0)))))</f>
        <v>#NAME?</v>
      </c>
      <c r="Q83" s="280" t="e">
        <f aca="false">IF($A83="N/A"," ",IF('Pricing Inputs'!$AN$8=2,(J83-$H83),IF('Pricing Inputs'!$AN$3=2,IF((J83-$H83)&gt;0,J83-$H83,0),(xSPRDOPT(J83,$E83,$BU83,0,$BP83,$BS83,$BT83,($A83-Inputs!$D$1)+15,1,0)))))</f>
        <v>#NAME?</v>
      </c>
      <c r="R83" s="280" t="e">
        <f aca="false">IF($A83="N/A"," ",IF('Pricing Inputs'!$AN$8=2,(K83-$H83),IF('Pricing Inputs'!$AN$3=2,IF((K83-$H83)&gt;0,K83-$H83,0),(xSPRDOPT(K83,$E83,$BU83,0,$BP83,$BS83,$BT83,($A83-Inputs!$D$1)+15,1,0)))))</f>
        <v>#NAME?</v>
      </c>
      <c r="S83" s="280" t="e">
        <f aca="false">IF($A83="N/A"," ",IF('Pricing Inputs'!$AN$8=2,(L83-$H83),IF('Pricing Inputs'!$AN$3=2,IF((L83-$H83)&gt;0,L83-$H83,0),(xSPRDOPT(L83,$E83,$BU83,0,$BP83,$BS83,$BT83,($A83-Inputs!$D$1)+15,1,0)))))</f>
        <v>#NAME?</v>
      </c>
      <c r="T83" s="280" t="e">
        <f aca="false">IF($A83="N/A"," ",IF('Pricing Inputs'!$AN$8=2,(M83-$H83),IF('Pricing Inputs'!$AN$3=2,IF((M83-$H83)&gt;0,M83-$H83,0),(xSPRDOPT(M83,$E83,$BU83,0,$BP83,$BS83,$BT83,($A83-Inputs!$D$1)+15,1,0)))))</f>
        <v>#NAME?</v>
      </c>
      <c r="U83" s="280" t="e">
        <f aca="false">IF($A83="N/A"," ",IF('Pricing Inputs'!$AN$8=2,(N83-$H83),IF('Pricing Inputs'!$AN$3=2,IF((N83-$H83)&gt;0,N83-$H83,0),(xSPRDOPT(N83,$E83,$BU83,0,$BP83,$BS83,$BT83,($A83-Inputs!$D$1)+15,1,0)))))</f>
        <v>#NAME?</v>
      </c>
      <c r="V83" s="281" t="e">
        <f aca="false">IF($A83="N/A"," ",(IF('Pricing Inputs'!$AN$8=2,(O83-$H83),IF((O83-$H83)&lt;=0,0,(O83-$H83)))))</f>
        <v>#N/A</v>
      </c>
      <c r="W83" s="282" t="e">
        <f aca="false">IF($A83="N/A"," ",IF(0&lt;&gt;P83,IF('Pricing Inputs'!$AN$3=2,8*VLOOKUP($A83,NumberofDaysTable,2),(xSPRDOPT(I83,$E83,$BU83,0,$BP83,$BS83,$BT83,$A83-Inputs!$D$1,1,1))*(8*VLOOKUP($A83,NumberofDaysTable,2))),0))</f>
        <v>#NAME?</v>
      </c>
      <c r="X83" s="282" t="e">
        <f aca="false">IF($A83="N/A"," ",IF(Q83&lt;&gt;0,IF('Pricing Inputs'!$AN$3=2,8*VLOOKUP($A83,NumberofDaysTable,2),(xSPRDOPT(J83,$E83,$BU83,0,$BP83,$BS83,$BT83,$A83-Inputs!$D$1,1,1))*(8*VLOOKUP($A83,NumberofDaysTable,2))),0))</f>
        <v>#NAME?</v>
      </c>
      <c r="Y83" s="282" t="e">
        <f aca="false">IF($A83="N/A"," ",IF(R83&lt;&gt;0,IF('Pricing Inputs'!$AN$3=2,8*VLOOKUP($A83,NumberofDaysTable,3),(xSPRDOPT(K83,$E83,$BU83,0,$BP83,$BS83,$BT83,$A83-Inputs!$D$1,1,1))*(8*VLOOKUP($A83,NumberofDaysTable,3))),0))</f>
        <v>#NAME?</v>
      </c>
      <c r="Z83" s="282" t="e">
        <f aca="false">IF($A83="N/A"," ",IF(S83&lt;&gt;0,IF('Pricing Inputs'!$AN$3=2,8*VLOOKUP($A83,NumberofDaysTable,3),(xSPRDOPT(L83,$E83,$BU83,0,$BP83,$BS83,$BT83,$A83-Inputs!$D$1,1,1))*(8*VLOOKUP($A83,NumberofDaysTable,3))),0))</f>
        <v>#NAME?</v>
      </c>
      <c r="AA83" s="282" t="e">
        <f aca="false">IF($A83="N/A"," ",IF(T83&lt;&gt;0,IF('Pricing Inputs'!$AN$3=2,8*VLOOKUP($A83,NumberofDaysTable,4),(xSPRDOPT(M83,$E83,$BU83,0,$BP83,$BS83,$BT83,$A83-Inputs!$D$1,1,1))*(8*VLOOKUP($A83,NumberofDaysTable,4))),0))</f>
        <v>#NAME?</v>
      </c>
      <c r="AB83" s="282" t="e">
        <f aca="false">IF($A83="N/A"," ",IF(U83&lt;&gt;0,IF('Pricing Inputs'!$AN$3=2,8*VLOOKUP($A83,NumberofDaysTable,4),(xSPRDOPT(N83,$E83,$BU83,0,$BP83,$BS83,$BT83,$A83-Inputs!$D$1,1,1))*(8*VLOOKUP($A83,NumberofDaysTable,4))),0))</f>
        <v>#NAME?</v>
      </c>
      <c r="AC83" s="282" t="e">
        <f aca="false">IF($A83="N/A"," ",(IF(V83&lt;&gt;0,(8*VLOOKUP($A83,NumberofDaysTable,6)),0)))</f>
        <v>#N/A</v>
      </c>
      <c r="AD83" s="298" t="e">
        <f aca="false">IF($A83="N/A"," ",RANK(P83,$P$76:$V$87))</f>
        <v>#NAME?</v>
      </c>
      <c r="AE83" s="299" t="e">
        <f aca="false">IF($A83="N/A"," ",RANK(Q83,$P$76:$V$87))</f>
        <v>#NAME?</v>
      </c>
      <c r="AF83" s="299" t="e">
        <f aca="false">IF($A83="N/A"," ",RANK(R83,$P$76:$V$87))</f>
        <v>#NAME?</v>
      </c>
      <c r="AG83" s="299" t="e">
        <f aca="false">IF($A83="N/A"," ",RANK(S83,$P$76:$V$87))</f>
        <v>#NAME?</v>
      </c>
      <c r="AH83" s="299" t="e">
        <f aca="false">IF($A83="N/A"," ",RANK(T83,$P$76:$V$87))</f>
        <v>#NAME?</v>
      </c>
      <c r="AI83" s="299" t="e">
        <f aca="false">IF($A83="N/A"," ",RANK(U83,$P$76:$V$87))</f>
        <v>#NAME?</v>
      </c>
      <c r="AJ83" s="300" t="e">
        <f aca="false">IF($A83="N/A"," ",RANK(V83,$P$76:$V$87))</f>
        <v>#NAME?</v>
      </c>
      <c r="AK83" s="286" t="e">
        <f aca="false">IF($A83="N/A"," ",IF(AD83&lt;=$AJ$2,W83,0))</f>
        <v>#NAME?</v>
      </c>
      <c r="AL83" s="301" t="e">
        <f aca="false">IF($A83="N/A"," ",IF(AE83&lt;=$AJ$2,X83,0))</f>
        <v>#NAME?</v>
      </c>
      <c r="AM83" s="301" t="e">
        <f aca="false">IF($A83="N/A"," ",IF(AF83&lt;=$AJ$2,Y83,0))</f>
        <v>#NAME?</v>
      </c>
      <c r="AN83" s="301" t="e">
        <f aca="false">IF($A83="N/A"," ",IF(AG83&lt;=$AJ$2,Z83,0))</f>
        <v>#NAME?</v>
      </c>
      <c r="AO83" s="301" t="e">
        <f aca="false">IF($A83="N/A"," ",IF(AH83&lt;=$AJ$2,AA83,0))</f>
        <v>#NAME?</v>
      </c>
      <c r="AP83" s="301" t="e">
        <f aca="false">IF($A83="N/A"," ",IF(AI83&lt;=$AJ$2,AB83,0))</f>
        <v>#NAME?</v>
      </c>
      <c r="AQ83" s="301" t="e">
        <f aca="false">IF($A83="N/A"," ",IF(AJ83&lt;=$AJ$2,AC83,0))</f>
        <v>#NAME?</v>
      </c>
      <c r="AR83" s="300"/>
      <c r="AS83" s="288" t="e">
        <f aca="false">IF($A83="N/A"," ",IF(AND(AD83=$AJ$2+1,AK83=0),MIN($AR$87,W83),0))</f>
        <v>#NAME?</v>
      </c>
      <c r="AT83" s="302" t="e">
        <f aca="false">IF($A83="N/A"," ",IF(AND(AE83=$AJ$2+1,AL83=0),MIN($AR$87,X83),0))</f>
        <v>#NAME?</v>
      </c>
      <c r="AU83" s="302" t="e">
        <f aca="false">IF($A83="N/A"," ",IF(AND(AF83=$AJ$2+1,AM83=0),MIN($AR$87,Y83),0))</f>
        <v>#NAME?</v>
      </c>
      <c r="AV83" s="302" t="e">
        <f aca="false">IF($A83="N/A"," ",IF(AND(AG83=$AJ$2+1,AN83=0),MIN($AR$87,Z83),0))</f>
        <v>#NAME?</v>
      </c>
      <c r="AW83" s="302" t="e">
        <f aca="false">IF($A83="N/A"," ",IF(AND(AH83=$AJ$2+1,AO83=0),MIN($AR$87,AA83),0))</f>
        <v>#NAME?</v>
      </c>
      <c r="AX83" s="302" t="e">
        <f aca="false">IF($A83="N/A"," ",IF(AND(AI83=$AJ$2+1,AP83=0),MIN($AR$87,AB83),0))</f>
        <v>#NAME?</v>
      </c>
      <c r="AY83" s="302" t="e">
        <f aca="false">IF($A83="N/A"," ",IF(AND(AJ83=$AJ$2+1,AQ83=0),MIN($AR$87,AC83),0))</f>
        <v>#NAME?</v>
      </c>
      <c r="AZ83" s="300"/>
      <c r="BA83" s="291" t="n">
        <f aca="false">IF($A83="N/A"," ",(IF(MONTH(A83)&gt;=4,IF(MONTH(A83)&lt;=10,Inputs!$F$13,Inputs!$F$14),Inputs!$F$14))*$BW83)</f>
        <v>180</v>
      </c>
      <c r="BB83" s="292" t="e">
        <f aca="false">IF($A83="N/A"," ",(IF(AK83&gt;0,($BA83*(8*(VLOOKUP($A83,NumberofDaysTable,2)))*P83),0)+IF(AS83&gt;0,($BA83*((AS83))*P83),0)))</f>
        <v>#NAME?</v>
      </c>
      <c r="BC83" s="292" t="e">
        <f aca="false">IF($A83="N/A"," ",(IF(AL83&gt;0,($BA83*(8*(VLOOKUP($A83,NumberofDaysTable,2)))*Q83),0)+IF(AT83&gt;0,($BA83*((AT83))*Q83),0)))</f>
        <v>#NAME?</v>
      </c>
      <c r="BD83" s="292" t="e">
        <f aca="false">IF($A83="N/A"," ",(IF(AM83&gt;0,($BA83*(8*(VLOOKUP($A83,NumberofDaysTable,3)))*R83),0)+IF(AU83&gt;0,($BA83*((AU83))*R83),0)))</f>
        <v>#NAME?</v>
      </c>
      <c r="BE83" s="292" t="e">
        <f aca="false">IF($A83="N/A"," ",(IF(AN83&gt;0,($BA83*(8*(VLOOKUP($A83,NumberofDaysTable,3)))*S83),0)+IF(AV83&gt;0,($BA83*((AV83))*S83),0)))</f>
        <v>#NAME?</v>
      </c>
      <c r="BF83" s="292" t="e">
        <f aca="false">IF($A83="N/A"," ",(IF(AO83&gt;0,($BA83*(8*(VLOOKUP($A83,NumberofDaysTable,4)+VLOOKUP($A83,NumberofDaysTable,5)))*T83),0)+IF(AW83&gt;0,($BA83*((AW83))*T83),0)))</f>
        <v>#NAME?</v>
      </c>
      <c r="BG83" s="292" t="e">
        <f aca="false">IF($A83="N/A"," ",(IF(AP83&gt;0,($BA83*(8*(VLOOKUP($A83,NumberofDaysTable,4)+VLOOKUP($A83,NumberofDaysTable,5)))*U83),0)+IF(AX83&gt;0,($BA83*((AX83))*U83),0)))</f>
        <v>#NAME?</v>
      </c>
      <c r="BH83" s="292" t="e">
        <f aca="false">IF($A83="N/A"," ",($BA83*AQ83*V83))</f>
        <v>#NAME?</v>
      </c>
      <c r="BI83" s="292" t="e">
        <f aca="false">IF($A83="N/A"," ",SUM(BB83:BH83))</f>
        <v>#NAME?</v>
      </c>
      <c r="BJ83" s="293" t="e">
        <f aca="false">IF($A83="N/A"," ",(H83*(SUM(AK83:AQ83)+SUM(AS83:AY83))*BA83))</f>
        <v>#NAME?</v>
      </c>
      <c r="BK83" s="293" t="e">
        <f aca="false">IF($A83="N/A"," ",((C83*D83)*(SUM($AK83:$AQ83)+SUM($AS83:$AY83))*$BA83))</f>
        <v>#N/A</v>
      </c>
      <c r="BL83" s="293" t="e">
        <f aca="false">IF($A83="N/A"," ",(F83*(SUM($AK83:$AQ83)+SUM($AS83:$AY83))*$BA83))</f>
        <v>#NAME?</v>
      </c>
      <c r="BM83" s="293" t="e">
        <f aca="false">IF($A83="N/A"," ",(G83*(SUM($AK83:$AQ83)+SUM($AS83:$AY83))*$BA83))</f>
        <v>#NAME?</v>
      </c>
      <c r="BN83" s="294" t="n">
        <f aca="false">IF(A83="N/A"," ",(VLOOKUP(A83,PowerVolTable,(IF('Pricing Inputs'!$AT$3=2,7,IF('Pricing Inputs'!$AT$3=1,6,8))),FALSE())))</f>
        <v>0.294073510844531</v>
      </c>
      <c r="BO83" s="294" t="n">
        <f aca="false">IF(A83="N/A"," ",(VLOOKUP(A83,IntraPowerVol,(IF('Pricing Inputs'!$AT$3=2,3,IF('Pricing Inputs'!$AT$3=1,2,4))),FALSE())*VLOOKUP(MONTH($A83),Inputs!$A$28:$B$39,2)))</f>
        <v>3.45</v>
      </c>
      <c r="BP83" s="295" t="n">
        <f aca="false">IF($A83="N/A"," ",(IF(DateToday&gt;$A83,$BO83,((($BN83^2)*((($A83-1)-DateToday)/((EOMONTH($A83,0)+1)-DateToday-15)))+((($BO83)^2)*((15)/((EOMONTH($A83,0)+1)-DateToday-15))))^0.5)))</f>
        <v>3.45</v>
      </c>
      <c r="BQ83" s="294" t="e">
        <f aca="false">IF($A83="N/A"," ",(VLOOKUP($A83,GasVolTable,(IF('Pricing Inputs'!$AT$3=2,6,IF('Pricing Inputs'!$AT$3=1,7,5))),FALSE())))</f>
        <v>#N/A</v>
      </c>
      <c r="BR83" s="294" t="e">
        <f aca="false">IF($A83="N/A"," ",(VLOOKUP($A83,OmicronVol,(IF('Pricing Inputs'!$AT$3=2,3,IF('Pricing Inputs'!$AT$3=1,4,2))),FALSE())))</f>
        <v>#N/A</v>
      </c>
      <c r="BS83" s="295" t="e">
        <f aca="false">IF($A83="N/A"," ",IF('Pricing Inputs'!$AN$3=1,(IF(DateToday&gt;$A83,$BR83,((($BQ83^2)*((($A83-1)-DateToday)/((EOMONTH($A83,0)+1)-DateToday-15)))+((($BR83)^2)*((15)/((EOMONTH($A83,0)+1)-DateToday-15))))^0.5)),0.0001))</f>
        <v>#N/A</v>
      </c>
      <c r="BT83" s="294" t="n">
        <f aca="false">IF($A83="N/A"," ",IF('Pricing Inputs'!$AN$3=1,(VLOOKUP($A83,CorrelationTable,2,FALSE())),0))</f>
        <v>0.9</v>
      </c>
      <c r="BU83" s="296" t="e">
        <f aca="false">IF($A83="N/A"," ",F83+G83+(D83*(VLOOKUP($A83,'Gas Curves'!$B$17:$P$310,14,FALSE()))))</f>
        <v>#N/A</v>
      </c>
      <c r="BV83" s="294" t="n">
        <f aca="false">IF($A83="N/A"," ",IF('Pricing Inputs'!$AW$3=1,0,(VLOOKUP($A83,InterestRatesTable,2))))</f>
        <v>0</v>
      </c>
      <c r="BW83" s="297" t="n">
        <f aca="false">IF($A83="N/A"," ",(1+BV83/2)^(-2*((EOMONTH(A83,0)+20)-DateToday)/365.25))</f>
        <v>1</v>
      </c>
    </row>
    <row r="84" customFormat="false" ht="12.75" hidden="false" customHeight="false" outlineLevel="0" collapsed="false">
      <c r="A84" s="272" t="n">
        <f aca="false">IF(A83="N/A","N/A",IF(EDATE(A83,1)&gt;Inputs!$K$3,"N/A",EDATE(A83,1)))</f>
        <v>39326</v>
      </c>
      <c r="B84" s="273" t="n">
        <f aca="false">IF(A84="N/A"," ",YEAR(A84))</f>
        <v>2007</v>
      </c>
      <c r="C84" s="274" t="e">
        <f aca="false">IF(A84="N/A"," ",VLOOKUP(A84,ScaledPrice,10))</f>
        <v>#N/A</v>
      </c>
      <c r="D84" s="275" t="n">
        <f aca="false">IF(A84="N/A"," ",(VLOOKUP(MONTH($A84),Inputs!$A$14:$B$25,2))/1000)</f>
        <v>10.5</v>
      </c>
      <c r="E84" s="276" t="e">
        <f aca="false">IF($A84="N/A"," ",C84*D84)</f>
        <v>#N/A</v>
      </c>
      <c r="F84" s="277" t="n">
        <f aca="false">IF(A84="N/A"," ",Inputs!$F$6)</f>
        <v>2</v>
      </c>
      <c r="G84" s="277" t="n">
        <f aca="false">IF(A84="N/A"," ",Inputs!$F$9/IF(AND('Pricing Inputs'!$AQ$3&gt;=4,'Pricing Inputs'!$AQ$3&lt;=6),16,IF(AND('Pricing Inputs'!$AQ$3&gt;=7,'Pricing Inputs'!$AQ$3&lt;=9),8,24))/(BA84/BW84))</f>
        <v>0</v>
      </c>
      <c r="H84" s="278" t="e">
        <f aca="false">IF(A84="N/A"," ",(C84*D84)+F84+G84)</f>
        <v>#N/A</v>
      </c>
      <c r="I84" s="279" t="n">
        <f aca="false">VLOOKUP(A84,ScaledPrice,(IF(AND('Pricing Inputs'!$AQ$3&gt;=1,'Pricing Inputs'!$AQ$3&lt;=6),2,4)))</f>
        <v>36.1307884569608</v>
      </c>
      <c r="J84" s="279" t="n">
        <f aca="false">IF(A84="N/A"," ",IF(AND('Pricing Inputs'!$AQ$3&gt;=1,'Pricing Inputs'!$AQ$3&lt;=6),I84,(VLOOKUP(A84,ScaledPrice,2))*(2-(VLOOKUP(A84,ScaledPrice,3)))))</f>
        <v>29.7692115430392</v>
      </c>
      <c r="K84" s="279" t="n">
        <f aca="false">IF(A84="N/A"," ",IF(OR('Pricing Inputs'!$AQ$3=2,'Pricing Inputs'!$AQ$3=3,'Pricing Inputs'!$AQ$3=5,'Pricing Inputs'!$AQ$3=6,'Pricing Inputs'!$AQ$3=8,'Pricing Inputs'!$AQ$3=9),VLOOKUP(A84,ScaledPrice,IF(AND('Pricing Inputs'!$AQ$3&gt;=2,'Pricing Inputs'!$AQ$3&lt;=6),5,6)),0))</f>
        <v>25.9933326267099</v>
      </c>
      <c r="L84" s="279" t="n">
        <f aca="false">IF(A84="N/A"," ",IF(OR('Pricing Inputs'!$AQ$3=2,'Pricing Inputs'!$AQ$3=3,'Pricing Inputs'!$AQ$3=5,'Pricing Inputs'!$AQ$3=6,'Pricing Inputs'!$AQ$3=8,'Pricing Inputs'!$AQ$3=9),IF(AND('Pricing Inputs'!$AQ$3&gt;=2,'Pricing Inputs'!$AQ$3&lt;=6),K84,(VLOOKUP(A84,ScaledPrice,5))*(2-(VLOOKUP(A84,ScaledPrice,3)))),0))</f>
        <v>21.4166656948233</v>
      </c>
      <c r="M84" s="279" t="n">
        <f aca="false">IF(A84="N/A"," ",IF(OR('Pricing Inputs'!$AQ$3=3,'Pricing Inputs'!$AQ$3=6,'Pricing Inputs'!$AQ$3=9),(VLOOKUP(A84,ScaledPrice,IF(AND('Pricing Inputs'!$AQ$3&gt;=3,'Pricing Inputs'!$AQ$3&lt;=6),7,8))),0))</f>
        <v>26.5361177741564</v>
      </c>
      <c r="N84" s="279" t="n">
        <f aca="false">IF(A84="N/A"," ",IF(OR('Pricing Inputs'!$AQ$3=3,'Pricing Inputs'!$AQ$3=6,'Pricing Inputs'!$AQ$3=9),IF(AND('Pricing Inputs'!$AQ$3&gt;=3,'Pricing Inputs'!$AQ$3&lt;=6),M84,(VLOOKUP(A84,ScaledPrice,7))*(2-(VLOOKUP(A84,ScaledPrice,3)))),0))</f>
        <v>21.8638822258436</v>
      </c>
      <c r="O84" s="279" t="n">
        <f aca="false">IF(A84="N/A"," ",IF(AND('Pricing Inputs'!$AQ$3&gt;=1,'Pricing Inputs'!$AQ$3&lt;=3),VLOOKUP(A84,ScaledPrice,9),0))</f>
        <v>0</v>
      </c>
      <c r="P84" s="280" t="e">
        <f aca="false">IF($A84="N/A"," ",IF('Pricing Inputs'!$AN$8=2,(I84-H84),IF('Pricing Inputs'!$AN$3=2,IF((I84-$H84)&gt;0,I84-$H84,0),(xSPRDOPT(I84,$E84,$BU84,0,$BP84,$BS84,$BT84,($A84-Inputs!$D$1)+15,1,0)))))</f>
        <v>#NAME?</v>
      </c>
      <c r="Q84" s="280" t="e">
        <f aca="false">IF($A84="N/A"," ",IF('Pricing Inputs'!$AN$8=2,(J84-$H84),IF('Pricing Inputs'!$AN$3=2,IF((J84-$H84)&gt;0,J84-$H84,0),(xSPRDOPT(J84,$E84,$BU84,0,$BP84,$BS84,$BT84,($A84-Inputs!$D$1)+15,1,0)))))</f>
        <v>#NAME?</v>
      </c>
      <c r="R84" s="280" t="e">
        <f aca="false">IF($A84="N/A"," ",IF('Pricing Inputs'!$AN$8=2,(K84-$H84),IF('Pricing Inputs'!$AN$3=2,IF((K84-$H84)&gt;0,K84-$H84,0),(xSPRDOPT(K84,$E84,$BU84,0,$BP84,$BS84,$BT84,($A84-Inputs!$D$1)+15,1,0)))))</f>
        <v>#NAME?</v>
      </c>
      <c r="S84" s="280" t="e">
        <f aca="false">IF($A84="N/A"," ",IF('Pricing Inputs'!$AN$8=2,(L84-$H84),IF('Pricing Inputs'!$AN$3=2,IF((L84-$H84)&gt;0,L84-$H84,0),(xSPRDOPT(L84,$E84,$BU84,0,$BP84,$BS84,$BT84,($A84-Inputs!$D$1)+15,1,0)))))</f>
        <v>#NAME?</v>
      </c>
      <c r="T84" s="280" t="e">
        <f aca="false">IF($A84="N/A"," ",IF('Pricing Inputs'!$AN$8=2,(M84-$H84),IF('Pricing Inputs'!$AN$3=2,IF((M84-$H84)&gt;0,M84-$H84,0),(xSPRDOPT(M84,$E84,$BU84,0,$BP84,$BS84,$BT84,($A84-Inputs!$D$1)+15,1,0)))))</f>
        <v>#NAME?</v>
      </c>
      <c r="U84" s="280" t="e">
        <f aca="false">IF($A84="N/A"," ",IF('Pricing Inputs'!$AN$8=2,(N84-$H84),IF('Pricing Inputs'!$AN$3=2,IF((N84-$H84)&gt;0,N84-$H84,0),(xSPRDOPT(N84,$E84,$BU84,0,$BP84,$BS84,$BT84,($A84-Inputs!$D$1)+15,1,0)))))</f>
        <v>#NAME?</v>
      </c>
      <c r="V84" s="281" t="e">
        <f aca="false">IF($A84="N/A"," ",(IF('Pricing Inputs'!$AN$8=2,(O84-$H84),IF((O84-$H84)&lt;=0,0,(O84-$H84)))))</f>
        <v>#N/A</v>
      </c>
      <c r="W84" s="282" t="e">
        <f aca="false">IF($A84="N/A"," ",IF(0&lt;&gt;P84,IF('Pricing Inputs'!$AN$3=2,8*VLOOKUP($A84,NumberofDaysTable,2),(xSPRDOPT(I84,$E84,$BU84,0,$BP84,$BS84,$BT84,$A84-Inputs!$D$1,1,1))*(8*VLOOKUP($A84,NumberofDaysTable,2))),0))</f>
        <v>#NAME?</v>
      </c>
      <c r="X84" s="282" t="e">
        <f aca="false">IF($A84="N/A"," ",IF(Q84&lt;&gt;0,IF('Pricing Inputs'!$AN$3=2,8*VLOOKUP($A84,NumberofDaysTable,2),(xSPRDOPT(J84,$E84,$BU84,0,$BP84,$BS84,$BT84,$A84-Inputs!$D$1,1,1))*(8*VLOOKUP($A84,NumberofDaysTable,2))),0))</f>
        <v>#NAME?</v>
      </c>
      <c r="Y84" s="282" t="e">
        <f aca="false">IF($A84="N/A"," ",IF(R84&lt;&gt;0,IF('Pricing Inputs'!$AN$3=2,8*VLOOKUP($A84,NumberofDaysTable,3),(xSPRDOPT(K84,$E84,$BU84,0,$BP84,$BS84,$BT84,$A84-Inputs!$D$1,1,1))*(8*VLOOKUP($A84,NumberofDaysTable,3))),0))</f>
        <v>#NAME?</v>
      </c>
      <c r="Z84" s="282" t="e">
        <f aca="false">IF($A84="N/A"," ",IF(S84&lt;&gt;0,IF('Pricing Inputs'!$AN$3=2,8*VLOOKUP($A84,NumberofDaysTable,3),(xSPRDOPT(L84,$E84,$BU84,0,$BP84,$BS84,$BT84,$A84-Inputs!$D$1,1,1))*(8*VLOOKUP($A84,NumberofDaysTable,3))),0))</f>
        <v>#NAME?</v>
      </c>
      <c r="AA84" s="282" t="e">
        <f aca="false">IF($A84="N/A"," ",IF(T84&lt;&gt;0,IF('Pricing Inputs'!$AN$3=2,8*VLOOKUP($A84,NumberofDaysTable,4),(xSPRDOPT(M84,$E84,$BU84,0,$BP84,$BS84,$BT84,$A84-Inputs!$D$1,1,1))*(8*VLOOKUP($A84,NumberofDaysTable,4))),0))</f>
        <v>#NAME?</v>
      </c>
      <c r="AB84" s="282" t="e">
        <f aca="false">IF($A84="N/A"," ",IF(U84&lt;&gt;0,IF('Pricing Inputs'!$AN$3=2,8*VLOOKUP($A84,NumberofDaysTable,4),(xSPRDOPT(N84,$E84,$BU84,0,$BP84,$BS84,$BT84,$A84-Inputs!$D$1,1,1))*(8*VLOOKUP($A84,NumberofDaysTable,4))),0))</f>
        <v>#NAME?</v>
      </c>
      <c r="AC84" s="282" t="e">
        <f aca="false">IF($A84="N/A"," ",(IF(V84&lt;&gt;0,(8*VLOOKUP($A84,NumberofDaysTable,6)),0)))</f>
        <v>#N/A</v>
      </c>
      <c r="AD84" s="298" t="e">
        <f aca="false">IF($A84="N/A"," ",RANK(P84,$P$76:$V$87))</f>
        <v>#NAME?</v>
      </c>
      <c r="AE84" s="299" t="e">
        <f aca="false">IF($A84="N/A"," ",RANK(Q84,$P$76:$V$87))</f>
        <v>#NAME?</v>
      </c>
      <c r="AF84" s="299" t="e">
        <f aca="false">IF($A84="N/A"," ",RANK(R84,$P$76:$V$87))</f>
        <v>#NAME?</v>
      </c>
      <c r="AG84" s="299" t="e">
        <f aca="false">IF($A84="N/A"," ",RANK(S84,$P$76:$V$87))</f>
        <v>#NAME?</v>
      </c>
      <c r="AH84" s="299" t="e">
        <f aca="false">IF($A84="N/A"," ",RANK(T84,$P$76:$V$87))</f>
        <v>#NAME?</v>
      </c>
      <c r="AI84" s="299" t="e">
        <f aca="false">IF($A84="N/A"," ",RANK(U84,$P$76:$V$87))</f>
        <v>#NAME?</v>
      </c>
      <c r="AJ84" s="300" t="e">
        <f aca="false">IF($A84="N/A"," ",RANK(V84,$P$76:$V$87))</f>
        <v>#NAME?</v>
      </c>
      <c r="AK84" s="286" t="e">
        <f aca="false">IF($A84="N/A"," ",IF(AD84&lt;=$AJ$2,W84,0))</f>
        <v>#NAME?</v>
      </c>
      <c r="AL84" s="301" t="e">
        <f aca="false">IF($A84="N/A"," ",IF(AE84&lt;=$AJ$2,X84,0))</f>
        <v>#NAME?</v>
      </c>
      <c r="AM84" s="301" t="e">
        <f aca="false">IF($A84="N/A"," ",IF(AF84&lt;=$AJ$2,Y84,0))</f>
        <v>#NAME?</v>
      </c>
      <c r="AN84" s="301" t="e">
        <f aca="false">IF($A84="N/A"," ",IF(AG84&lt;=$AJ$2,Z84,0))</f>
        <v>#NAME?</v>
      </c>
      <c r="AO84" s="301" t="e">
        <f aca="false">IF($A84="N/A"," ",IF(AH84&lt;=$AJ$2,AA84,0))</f>
        <v>#NAME?</v>
      </c>
      <c r="AP84" s="301" t="e">
        <f aca="false">IF($A84="N/A"," ",IF(AI84&lt;=$AJ$2,AB84,0))</f>
        <v>#NAME?</v>
      </c>
      <c r="AQ84" s="301" t="e">
        <f aca="false">IF($A84="N/A"," ",IF(AJ84&lt;=$AJ$2,AC84,0))</f>
        <v>#NAME?</v>
      </c>
      <c r="AR84" s="300"/>
      <c r="AS84" s="288" t="e">
        <f aca="false">IF($A84="N/A"," ",IF(AND(AD84=$AJ$2+1,AK84=0),MIN($AR$87,W84),0))</f>
        <v>#NAME?</v>
      </c>
      <c r="AT84" s="302" t="e">
        <f aca="false">IF($A84="N/A"," ",IF(AND(AE84=$AJ$2+1,AL84=0),MIN($AR$87,X84),0))</f>
        <v>#NAME?</v>
      </c>
      <c r="AU84" s="302" t="e">
        <f aca="false">IF($A84="N/A"," ",IF(AND(AF84=$AJ$2+1,AM84=0),MIN($AR$87,Y84),0))</f>
        <v>#NAME?</v>
      </c>
      <c r="AV84" s="302" t="e">
        <f aca="false">IF($A84="N/A"," ",IF(AND(AG84=$AJ$2+1,AN84=0),MIN($AR$87,Z84),0))</f>
        <v>#NAME?</v>
      </c>
      <c r="AW84" s="302" t="e">
        <f aca="false">IF($A84="N/A"," ",IF(AND(AH84=$AJ$2+1,AO84=0),MIN($AR$87,AA84),0))</f>
        <v>#NAME?</v>
      </c>
      <c r="AX84" s="302" t="e">
        <f aca="false">IF($A84="N/A"," ",IF(AND(AI84=$AJ$2+1,AP84=0),MIN($AR$87,AB84),0))</f>
        <v>#NAME?</v>
      </c>
      <c r="AY84" s="302" t="e">
        <f aca="false">IF($A84="N/A"," ",IF(AND(AJ84=$AJ$2+1,AQ84=0),MIN($AR$87,AC84),0))</f>
        <v>#NAME?</v>
      </c>
      <c r="AZ84" s="300"/>
      <c r="BA84" s="291" t="n">
        <f aca="false">IF($A84="N/A"," ",(IF(MONTH(A84)&gt;=4,IF(MONTH(A84)&lt;=10,Inputs!$F$13,Inputs!$F$14),Inputs!$F$14))*$BW84)</f>
        <v>180</v>
      </c>
      <c r="BB84" s="292" t="e">
        <f aca="false">IF($A84="N/A"," ",(IF(AK84&gt;0,($BA84*(8*(VLOOKUP($A84,NumberofDaysTable,2)))*P84),0)+IF(AS84&gt;0,($BA84*((AS84))*P84),0)))</f>
        <v>#NAME?</v>
      </c>
      <c r="BC84" s="292" t="e">
        <f aca="false">IF($A84="N/A"," ",(IF(AL84&gt;0,($BA84*(8*(VLOOKUP($A84,NumberofDaysTable,2)))*Q84),0)+IF(AT84&gt;0,($BA84*((AT84))*Q84),0)))</f>
        <v>#NAME?</v>
      </c>
      <c r="BD84" s="292" t="e">
        <f aca="false">IF($A84="N/A"," ",(IF(AM84&gt;0,($BA84*(8*(VLOOKUP($A84,NumberofDaysTable,3)))*R84),0)+IF(AU84&gt;0,($BA84*((AU84))*R84),0)))</f>
        <v>#NAME?</v>
      </c>
      <c r="BE84" s="292" t="e">
        <f aca="false">IF($A84="N/A"," ",(IF(AN84&gt;0,($BA84*(8*(VLOOKUP($A84,NumberofDaysTable,3)))*S84),0)+IF(AV84&gt;0,($BA84*((AV84))*S84),0)))</f>
        <v>#NAME?</v>
      </c>
      <c r="BF84" s="292" t="e">
        <f aca="false">IF($A84="N/A"," ",(IF(AO84&gt;0,($BA84*(8*(VLOOKUP($A84,NumberofDaysTable,4)+VLOOKUP($A84,NumberofDaysTable,5)))*T84),0)+IF(AW84&gt;0,($BA84*((AW84))*T84),0)))</f>
        <v>#NAME?</v>
      </c>
      <c r="BG84" s="292" t="e">
        <f aca="false">IF($A84="N/A"," ",(IF(AP84&gt;0,($BA84*(8*(VLOOKUP($A84,NumberofDaysTable,4)+VLOOKUP($A84,NumberofDaysTable,5)))*U84),0)+IF(AX84&gt;0,($BA84*((AX84))*U84),0)))</f>
        <v>#NAME?</v>
      </c>
      <c r="BH84" s="292" t="e">
        <f aca="false">IF($A84="N/A"," ",($BA84*AQ84*V84))</f>
        <v>#NAME?</v>
      </c>
      <c r="BI84" s="292" t="e">
        <f aca="false">IF($A84="N/A"," ",SUM(BB84:BH84))</f>
        <v>#NAME?</v>
      </c>
      <c r="BJ84" s="293" t="e">
        <f aca="false">IF($A84="N/A"," ",(H84*(SUM(AK84:AQ84)+SUM(AS84:AY84))*BA84))</f>
        <v>#NAME?</v>
      </c>
      <c r="BK84" s="293" t="e">
        <f aca="false">IF($A84="N/A"," ",((C84*D84)*(SUM($AK84:$AQ84)+SUM($AS84:$AY84))*$BA84))</f>
        <v>#N/A</v>
      </c>
      <c r="BL84" s="293" t="e">
        <f aca="false">IF($A84="N/A"," ",(F84*(SUM($AK84:$AQ84)+SUM($AS84:$AY84))*$BA84))</f>
        <v>#NAME?</v>
      </c>
      <c r="BM84" s="293" t="e">
        <f aca="false">IF($A84="N/A"," ",(G84*(SUM($AK84:$AQ84)+SUM($AS84:$AY84))*$BA84))</f>
        <v>#NAME?</v>
      </c>
      <c r="BN84" s="294" t="n">
        <f aca="false">IF(A84="N/A"," ",(VLOOKUP(A84,PowerVolTable,(IF('Pricing Inputs'!$AT$3=2,7,IF('Pricing Inputs'!$AT$3=1,6,8))),FALSE())))</f>
        <v>0.194836105610156</v>
      </c>
      <c r="BO84" s="294" t="n">
        <f aca="false">IF(A84="N/A"," ",(VLOOKUP(A84,IntraPowerVol,(IF('Pricing Inputs'!$AT$3=2,3,IF('Pricing Inputs'!$AT$3=1,2,4))),FALSE())*VLOOKUP(MONTH($A84),Inputs!$A$28:$B$39,2)))</f>
        <v>1.725</v>
      </c>
      <c r="BP84" s="295" t="n">
        <f aca="false">IF($A84="N/A"," ",(IF(DateToday&gt;$A84,$BO84,((($BN84^2)*((($A84-1)-DateToday)/((EOMONTH($A84,0)+1)-DateToday-15)))+((($BO84)^2)*((15)/((EOMONTH($A84,0)+1)-DateToday-15))))^0.5)))</f>
        <v>1.725</v>
      </c>
      <c r="BQ84" s="294" t="e">
        <f aca="false">IF($A84="N/A"," ",(VLOOKUP($A84,GasVolTable,(IF('Pricing Inputs'!$AT$3=2,6,IF('Pricing Inputs'!$AT$3=1,7,5))),FALSE())))</f>
        <v>#N/A</v>
      </c>
      <c r="BR84" s="294" t="e">
        <f aca="false">IF($A84="N/A"," ",(VLOOKUP($A84,OmicronVol,(IF('Pricing Inputs'!$AT$3=2,3,IF('Pricing Inputs'!$AT$3=1,4,2))),FALSE())))</f>
        <v>#N/A</v>
      </c>
      <c r="BS84" s="295" t="e">
        <f aca="false">IF($A84="N/A"," ",IF('Pricing Inputs'!$AN$3=1,(IF(DateToday&gt;$A84,$BR84,((($BQ84^2)*((($A84-1)-DateToday)/((EOMONTH($A84,0)+1)-DateToday-15)))+((($BR84)^2)*((15)/((EOMONTH($A84,0)+1)-DateToday-15))))^0.5)),0.0001))</f>
        <v>#N/A</v>
      </c>
      <c r="BT84" s="294" t="n">
        <f aca="false">IF($A84="N/A"," ",IF('Pricing Inputs'!$AN$3=1,(VLOOKUP($A84,CorrelationTable,2,FALSE())),0))</f>
        <v>0.9</v>
      </c>
      <c r="BU84" s="296" t="e">
        <f aca="false">IF($A84="N/A"," ",F84+G84+(D84*(VLOOKUP($A84,'Gas Curves'!$B$17:$P$310,14,FALSE()))))</f>
        <v>#N/A</v>
      </c>
      <c r="BV84" s="294" t="n">
        <f aca="false">IF($A84="N/A"," ",IF('Pricing Inputs'!$AW$3=1,0,(VLOOKUP($A84,InterestRatesTable,2))))</f>
        <v>0</v>
      </c>
      <c r="BW84" s="297" t="n">
        <f aca="false">IF($A84="N/A"," ",(1+BV84/2)^(-2*((EOMONTH(A84,0)+20)-DateToday)/365.25))</f>
        <v>1</v>
      </c>
    </row>
    <row r="85" customFormat="false" ht="12.75" hidden="false" customHeight="false" outlineLevel="0" collapsed="false">
      <c r="A85" s="272" t="n">
        <f aca="false">IF(A84="N/A","N/A",IF(EDATE(A84,1)&gt;Inputs!$K$3,"N/A",EDATE(A84,1)))</f>
        <v>39356</v>
      </c>
      <c r="B85" s="273" t="n">
        <f aca="false">IF(A85="N/A"," ",YEAR(A85))</f>
        <v>2007</v>
      </c>
      <c r="C85" s="274" t="e">
        <f aca="false">IF(A85="N/A"," ",VLOOKUP(A85,ScaledPrice,10))</f>
        <v>#N/A</v>
      </c>
      <c r="D85" s="275" t="n">
        <f aca="false">IF(A85="N/A"," ",(VLOOKUP(MONTH($A85),Inputs!$A$14:$B$25,2))/1000)</f>
        <v>10.5</v>
      </c>
      <c r="E85" s="276" t="e">
        <f aca="false">IF($A85="N/A"," ",C85*D85)</f>
        <v>#N/A</v>
      </c>
      <c r="F85" s="277" t="n">
        <f aca="false">IF(A85="N/A"," ",Inputs!$F$6)</f>
        <v>2</v>
      </c>
      <c r="G85" s="277" t="n">
        <f aca="false">IF(A85="N/A"," ",Inputs!$F$9/IF(AND('Pricing Inputs'!$AQ$3&gt;=4,'Pricing Inputs'!$AQ$3&lt;=6),16,IF(AND('Pricing Inputs'!$AQ$3&gt;=7,'Pricing Inputs'!$AQ$3&lt;=9),8,24))/(BA85/BW85))</f>
        <v>0</v>
      </c>
      <c r="H85" s="278" t="e">
        <f aca="false">IF(A85="N/A"," ",(C85*D85)+F85+G85)</f>
        <v>#N/A</v>
      </c>
      <c r="I85" s="279" t="n">
        <f aca="false">VLOOKUP(A85,ScaledPrice,(IF(AND('Pricing Inputs'!$AQ$3&gt;=1,'Pricing Inputs'!$AQ$3&lt;=6),2,4)))</f>
        <v>30.2985975</v>
      </c>
      <c r="J85" s="279" t="n">
        <f aca="false">IF(A85="N/A"," ",IF(AND('Pricing Inputs'!$AQ$3&gt;=1,'Pricing Inputs'!$AQ$3&lt;=6),I85,(VLOOKUP(A85,ScaledPrice,2))*(2-(VLOOKUP(A85,ScaledPrice,3)))))</f>
        <v>31.1014025</v>
      </c>
      <c r="K85" s="279" t="n">
        <f aca="false">IF(A85="N/A"," ",IF(OR('Pricing Inputs'!$AQ$3=2,'Pricing Inputs'!$AQ$3=3,'Pricing Inputs'!$AQ$3=5,'Pricing Inputs'!$AQ$3=6,'Pricing Inputs'!$AQ$3=8,'Pricing Inputs'!$AQ$3=9),VLOOKUP(A85,ScaledPrice,IF(AND('Pricing Inputs'!$AQ$3&gt;=2,'Pricing Inputs'!$AQ$3&lt;=6),5,6)),0))</f>
        <v>23.489308567915</v>
      </c>
      <c r="L85" s="279" t="n">
        <f aca="false">IF(A85="N/A"," ",IF(OR('Pricing Inputs'!$AQ$3=2,'Pricing Inputs'!$AQ$3=3,'Pricing Inputs'!$AQ$3=5,'Pricing Inputs'!$AQ$3=6,'Pricing Inputs'!$AQ$3=8,'Pricing Inputs'!$AQ$3=9),IF(AND('Pricing Inputs'!$AQ$3&gt;=2,'Pricing Inputs'!$AQ$3&lt;=6),K85,(VLOOKUP(A85,ScaledPrice,5))*(2-(VLOOKUP(A85,ScaledPrice,3)))),0))</f>
        <v>24.1116916457081</v>
      </c>
      <c r="M85" s="279" t="n">
        <f aca="false">IF(A85="N/A"," ",IF(OR('Pricing Inputs'!$AQ$3=3,'Pricing Inputs'!$AQ$3=6,'Pricing Inputs'!$AQ$3=9),(VLOOKUP(A85,ScaledPrice,IF(AND('Pricing Inputs'!$AQ$3&gt;=3,'Pricing Inputs'!$AQ$3&lt;=6),7,8))),0))</f>
        <v>21.5159517593479</v>
      </c>
      <c r="N85" s="279" t="n">
        <f aca="false">IF(A85="N/A"," ",IF(OR('Pricing Inputs'!$AQ$3=3,'Pricing Inputs'!$AQ$3=6,'Pricing Inputs'!$AQ$3=9),IF(AND('Pricing Inputs'!$AQ$3&gt;=3,'Pricing Inputs'!$AQ$3&lt;=6),M85,(VLOOKUP(A85,ScaledPrice,7))*(2-(VLOOKUP(A85,ScaledPrice,3)))),0))</f>
        <v>22.0860479049587</v>
      </c>
      <c r="O85" s="279" t="n">
        <f aca="false">IF(A85="N/A"," ",IF(AND('Pricing Inputs'!$AQ$3&gt;=1,'Pricing Inputs'!$AQ$3&lt;=3),VLOOKUP(A85,ScaledPrice,9),0))</f>
        <v>0</v>
      </c>
      <c r="P85" s="280" t="e">
        <f aca="false">IF($A85="N/A"," ",IF('Pricing Inputs'!$AN$8=2,(I85-H85),IF('Pricing Inputs'!$AN$3=2,IF((I85-$H85)&gt;0,I85-$H85,0),(xSPRDOPT(I85,$E85,$BU85,0,$BP85,$BS85,$BT85,($A85-Inputs!$D$1)+15,1,0)))))</f>
        <v>#NAME?</v>
      </c>
      <c r="Q85" s="280" t="e">
        <f aca="false">IF($A85="N/A"," ",IF('Pricing Inputs'!$AN$8=2,(J85-$H85),IF('Pricing Inputs'!$AN$3=2,IF((J85-$H85)&gt;0,J85-$H85,0),(xSPRDOPT(J85,$E85,$BU85,0,$BP85,$BS85,$BT85,($A85-Inputs!$D$1)+15,1,0)))))</f>
        <v>#NAME?</v>
      </c>
      <c r="R85" s="280" t="e">
        <f aca="false">IF($A85="N/A"," ",IF('Pricing Inputs'!$AN$8=2,(K85-$H85),IF('Pricing Inputs'!$AN$3=2,IF((K85-$H85)&gt;0,K85-$H85,0),(xSPRDOPT(K85,$E85,$BU85,0,$BP85,$BS85,$BT85,($A85-Inputs!$D$1)+15,1,0)))))</f>
        <v>#NAME?</v>
      </c>
      <c r="S85" s="280" t="e">
        <f aca="false">IF($A85="N/A"," ",IF('Pricing Inputs'!$AN$8=2,(L85-$H85),IF('Pricing Inputs'!$AN$3=2,IF((L85-$H85)&gt;0,L85-$H85,0),(xSPRDOPT(L85,$E85,$BU85,0,$BP85,$BS85,$BT85,($A85-Inputs!$D$1)+15,1,0)))))</f>
        <v>#NAME?</v>
      </c>
      <c r="T85" s="280" t="e">
        <f aca="false">IF($A85="N/A"," ",IF('Pricing Inputs'!$AN$8=2,(M85-$H85),IF('Pricing Inputs'!$AN$3=2,IF((M85-$H85)&gt;0,M85-$H85,0),(xSPRDOPT(M85,$E85,$BU85,0,$BP85,$BS85,$BT85,($A85-Inputs!$D$1)+15,1,0)))))</f>
        <v>#NAME?</v>
      </c>
      <c r="U85" s="280" t="e">
        <f aca="false">IF($A85="N/A"," ",IF('Pricing Inputs'!$AN$8=2,(N85-$H85),IF('Pricing Inputs'!$AN$3=2,IF((N85-$H85)&gt;0,N85-$H85,0),(xSPRDOPT(N85,$E85,$BU85,0,$BP85,$BS85,$BT85,($A85-Inputs!$D$1)+15,1,0)))))</f>
        <v>#NAME?</v>
      </c>
      <c r="V85" s="281" t="e">
        <f aca="false">IF($A85="N/A"," ",(IF('Pricing Inputs'!$AN$8=2,(O85-$H85),IF((O85-$H85)&lt;=0,0,(O85-$H85)))))</f>
        <v>#N/A</v>
      </c>
      <c r="W85" s="282" t="e">
        <f aca="false">IF($A85="N/A"," ",IF(0&lt;&gt;P85,IF('Pricing Inputs'!$AN$3=2,8*VLOOKUP($A85,NumberofDaysTable,2),(xSPRDOPT(I85,$E85,$BU85,0,$BP85,$BS85,$BT85,$A85-Inputs!$D$1,1,1))*(8*VLOOKUP($A85,NumberofDaysTable,2))),0))</f>
        <v>#NAME?</v>
      </c>
      <c r="X85" s="282" t="e">
        <f aca="false">IF($A85="N/A"," ",IF(Q85&lt;&gt;0,IF('Pricing Inputs'!$AN$3=2,8*VLOOKUP($A85,NumberofDaysTable,2),(xSPRDOPT(J85,$E85,$BU85,0,$BP85,$BS85,$BT85,$A85-Inputs!$D$1,1,1))*(8*VLOOKUP($A85,NumberofDaysTable,2))),0))</f>
        <v>#NAME?</v>
      </c>
      <c r="Y85" s="282" t="e">
        <f aca="false">IF($A85="N/A"," ",IF(R85&lt;&gt;0,IF('Pricing Inputs'!$AN$3=2,8*VLOOKUP($A85,NumberofDaysTable,3),(xSPRDOPT(K85,$E85,$BU85,0,$BP85,$BS85,$BT85,$A85-Inputs!$D$1,1,1))*(8*VLOOKUP($A85,NumberofDaysTable,3))),0))</f>
        <v>#NAME?</v>
      </c>
      <c r="Z85" s="282" t="e">
        <f aca="false">IF($A85="N/A"," ",IF(S85&lt;&gt;0,IF('Pricing Inputs'!$AN$3=2,8*VLOOKUP($A85,NumberofDaysTable,3),(xSPRDOPT(L85,$E85,$BU85,0,$BP85,$BS85,$BT85,$A85-Inputs!$D$1,1,1))*(8*VLOOKUP($A85,NumberofDaysTable,3))),0))</f>
        <v>#NAME?</v>
      </c>
      <c r="AA85" s="282" t="e">
        <f aca="false">IF($A85="N/A"," ",IF(T85&lt;&gt;0,IF('Pricing Inputs'!$AN$3=2,8*VLOOKUP($A85,NumberofDaysTable,4),(xSPRDOPT(M85,$E85,$BU85,0,$BP85,$BS85,$BT85,$A85-Inputs!$D$1,1,1))*(8*VLOOKUP($A85,NumberofDaysTable,4))),0))</f>
        <v>#NAME?</v>
      </c>
      <c r="AB85" s="282" t="e">
        <f aca="false">IF($A85="N/A"," ",IF(U85&lt;&gt;0,IF('Pricing Inputs'!$AN$3=2,8*VLOOKUP($A85,NumberofDaysTable,4),(xSPRDOPT(N85,$E85,$BU85,0,$BP85,$BS85,$BT85,$A85-Inputs!$D$1,1,1))*(8*VLOOKUP($A85,NumberofDaysTable,4))),0))</f>
        <v>#NAME?</v>
      </c>
      <c r="AC85" s="282" t="e">
        <f aca="false">IF($A85="N/A"," ",(IF(V85&lt;&gt;0,(8*VLOOKUP($A85,NumberofDaysTable,6)),0)))</f>
        <v>#N/A</v>
      </c>
      <c r="AD85" s="298" t="e">
        <f aca="false">IF($A85="N/A"," ",RANK(P85,$P$76:$V$87))</f>
        <v>#NAME?</v>
      </c>
      <c r="AE85" s="299" t="e">
        <f aca="false">IF($A85="N/A"," ",RANK(Q85,$P$76:$V$87))</f>
        <v>#NAME?</v>
      </c>
      <c r="AF85" s="299" t="e">
        <f aca="false">IF($A85="N/A"," ",RANK(R85,$P$76:$V$87))</f>
        <v>#NAME?</v>
      </c>
      <c r="AG85" s="299" t="e">
        <f aca="false">IF($A85="N/A"," ",RANK(S85,$P$76:$V$87))</f>
        <v>#NAME?</v>
      </c>
      <c r="AH85" s="299" t="e">
        <f aca="false">IF($A85="N/A"," ",RANK(T85,$P$76:$V$87))</f>
        <v>#NAME?</v>
      </c>
      <c r="AI85" s="299" t="e">
        <f aca="false">IF($A85="N/A"," ",RANK(U85,$P$76:$V$87))</f>
        <v>#NAME?</v>
      </c>
      <c r="AJ85" s="300" t="e">
        <f aca="false">IF($A85="N/A"," ",RANK(V85,$P$76:$V$87))</f>
        <v>#NAME?</v>
      </c>
      <c r="AK85" s="286" t="e">
        <f aca="false">IF($A85="N/A"," ",IF(AD85&lt;=$AJ$2,W85,0))</f>
        <v>#NAME?</v>
      </c>
      <c r="AL85" s="301" t="e">
        <f aca="false">IF($A85="N/A"," ",IF(AE85&lt;=$AJ$2,X85,0))</f>
        <v>#NAME?</v>
      </c>
      <c r="AM85" s="301" t="e">
        <f aca="false">IF($A85="N/A"," ",IF(AF85&lt;=$AJ$2,Y85,0))</f>
        <v>#NAME?</v>
      </c>
      <c r="AN85" s="301" t="e">
        <f aca="false">IF($A85="N/A"," ",IF(AG85&lt;=$AJ$2,Z85,0))</f>
        <v>#NAME?</v>
      </c>
      <c r="AO85" s="301" t="e">
        <f aca="false">IF($A85="N/A"," ",IF(AH85&lt;=$AJ$2,AA85,0))</f>
        <v>#NAME?</v>
      </c>
      <c r="AP85" s="301" t="e">
        <f aca="false">IF($A85="N/A"," ",IF(AI85&lt;=$AJ$2,AB85,0))</f>
        <v>#NAME?</v>
      </c>
      <c r="AQ85" s="301" t="e">
        <f aca="false">IF($A85="N/A"," ",IF(AJ85&lt;=$AJ$2,AC85,0))</f>
        <v>#NAME?</v>
      </c>
      <c r="AR85" s="304" t="s">
        <v>1301</v>
      </c>
      <c r="AS85" s="288" t="e">
        <f aca="false">IF($A85="N/A"," ",IF(AND(AD85=$AJ$2+1,AK85=0),MIN($AR$87,W85),0))</f>
        <v>#NAME?</v>
      </c>
      <c r="AT85" s="302" t="e">
        <f aca="false">IF($A85="N/A"," ",IF(AND(AE85=$AJ$2+1,AL85=0),MIN($AR$87,X85),0))</f>
        <v>#NAME?</v>
      </c>
      <c r="AU85" s="302" t="e">
        <f aca="false">IF($A85="N/A"," ",IF(AND(AF85=$AJ$2+1,AM85=0),MIN($AR$87,Y85),0))</f>
        <v>#NAME?</v>
      </c>
      <c r="AV85" s="302" t="e">
        <f aca="false">IF($A85="N/A"," ",IF(AND(AG85=$AJ$2+1,AN85=0),MIN($AR$87,Z85),0))</f>
        <v>#NAME?</v>
      </c>
      <c r="AW85" s="302" t="e">
        <f aca="false">IF($A85="N/A"," ",IF(AND(AH85=$AJ$2+1,AO85=0),MIN($AR$87,AA85),0))</f>
        <v>#NAME?</v>
      </c>
      <c r="AX85" s="302" t="e">
        <f aca="false">IF($A85="N/A"," ",IF(AND(AI85=$AJ$2+1,AP85=0),MIN($AR$87,AB85),0))</f>
        <v>#NAME?</v>
      </c>
      <c r="AY85" s="302" t="e">
        <f aca="false">IF($A85="N/A"," ",IF(AND(AJ85=$AJ$2+1,AQ85=0),MIN($AR$87,AC85),0))</f>
        <v>#NAME?</v>
      </c>
      <c r="AZ85" s="303" t="s">
        <v>1328</v>
      </c>
      <c r="BA85" s="291" t="n">
        <f aca="false">IF($A85="N/A"," ",(IF(MONTH(A85)&gt;=4,IF(MONTH(A85)&lt;=10,Inputs!$F$13,Inputs!$F$14),Inputs!$F$14))*$BW85)</f>
        <v>180</v>
      </c>
      <c r="BB85" s="292" t="e">
        <f aca="false">IF($A85="N/A"," ",(IF(AK85&gt;0,($BA85*(8*(VLOOKUP($A85,NumberofDaysTable,2)))*P85),0)+IF(AS85&gt;0,($BA85*((AS85))*P85),0)))</f>
        <v>#NAME?</v>
      </c>
      <c r="BC85" s="292" t="e">
        <f aca="false">IF($A85="N/A"," ",(IF(AL85&gt;0,($BA85*(8*(VLOOKUP($A85,NumberofDaysTable,2)))*Q85),0)+IF(AT85&gt;0,($BA85*((AT85))*Q85),0)))</f>
        <v>#NAME?</v>
      </c>
      <c r="BD85" s="292" t="e">
        <f aca="false">IF($A85="N/A"," ",(IF(AM85&gt;0,($BA85*(8*(VLOOKUP($A85,NumberofDaysTable,3)))*R85),0)+IF(AU85&gt;0,($BA85*((AU85))*R85),0)))</f>
        <v>#NAME?</v>
      </c>
      <c r="BE85" s="292" t="e">
        <f aca="false">IF($A85="N/A"," ",(IF(AN85&gt;0,($BA85*(8*(VLOOKUP($A85,NumberofDaysTable,3)))*S85),0)+IF(AV85&gt;0,($BA85*((AV85))*S85),0)))</f>
        <v>#NAME?</v>
      </c>
      <c r="BF85" s="292" t="e">
        <f aca="false">IF($A85="N/A"," ",(IF(AO85&gt;0,($BA85*(8*(VLOOKUP($A85,NumberofDaysTable,4)+VLOOKUP($A85,NumberofDaysTable,5)))*T85),0)+IF(AW85&gt;0,($BA85*((AW85))*T85),0)))</f>
        <v>#NAME?</v>
      </c>
      <c r="BG85" s="292" t="e">
        <f aca="false">IF($A85="N/A"," ",(IF(AP85&gt;0,($BA85*(8*(VLOOKUP($A85,NumberofDaysTable,4)+VLOOKUP($A85,NumberofDaysTable,5)))*U85),0)+IF(AX85&gt;0,($BA85*((AX85))*U85),0)))</f>
        <v>#NAME?</v>
      </c>
      <c r="BH85" s="292" t="e">
        <f aca="false">IF($A85="N/A"," ",($BA85*AQ85*V85))</f>
        <v>#NAME?</v>
      </c>
      <c r="BI85" s="292" t="e">
        <f aca="false">IF($A85="N/A"," ",SUM(BB85:BH85))</f>
        <v>#NAME?</v>
      </c>
      <c r="BJ85" s="293" t="e">
        <f aca="false">IF($A85="N/A"," ",(H85*(SUM(AK85:AQ85)+SUM(AS85:AY85))*BA85))</f>
        <v>#NAME?</v>
      </c>
      <c r="BK85" s="293" t="e">
        <f aca="false">IF($A85="N/A"," ",((C85*D85)*(SUM($AK85:$AQ85)+SUM($AS85:$AY85))*$BA85))</f>
        <v>#N/A</v>
      </c>
      <c r="BL85" s="293" t="e">
        <f aca="false">IF($A85="N/A"," ",(F85*(SUM($AK85:$AQ85)+SUM($AS85:$AY85))*$BA85))</f>
        <v>#NAME?</v>
      </c>
      <c r="BM85" s="293" t="e">
        <f aca="false">IF($A85="N/A"," ",(G85*(SUM($AK85:$AQ85)+SUM($AS85:$AY85))*$BA85))</f>
        <v>#NAME?</v>
      </c>
      <c r="BN85" s="294" t="n">
        <f aca="false">IF(A85="N/A"," ",(VLOOKUP(A85,PowerVolTable,(IF('Pricing Inputs'!$AT$3=2,7,IF('Pricing Inputs'!$AT$3=1,6,8))),FALSE())))</f>
        <v>0.177965746720312</v>
      </c>
      <c r="BO85" s="294" t="n">
        <f aca="false">IF(A85="N/A"," ",(VLOOKUP(A85,IntraPowerVol,(IF('Pricing Inputs'!$AT$3=2,3,IF('Pricing Inputs'!$AT$3=1,2,4))),FALSE())*VLOOKUP(MONTH($A85),Inputs!$A$28:$B$39,2)))</f>
        <v>1.265</v>
      </c>
      <c r="BP85" s="295" t="n">
        <f aca="false">IF($A85="N/A"," ",(IF(DateToday&gt;$A85,$BO85,((($BN85^2)*((($A85-1)-DateToday)/((EOMONTH($A85,0)+1)-DateToday-15)))+((($BO85)^2)*((15)/((EOMONTH($A85,0)+1)-DateToday-15))))^0.5)))</f>
        <v>1.265</v>
      </c>
      <c r="BQ85" s="294" t="e">
        <f aca="false">IF($A85="N/A"," ",(VLOOKUP($A85,GasVolTable,(IF('Pricing Inputs'!$AT$3=2,6,IF('Pricing Inputs'!$AT$3=1,7,5))),FALSE())))</f>
        <v>#N/A</v>
      </c>
      <c r="BR85" s="294" t="e">
        <f aca="false">IF($A85="N/A"," ",(VLOOKUP($A85,OmicronVol,(IF('Pricing Inputs'!$AT$3=2,3,IF('Pricing Inputs'!$AT$3=1,4,2))),FALSE())))</f>
        <v>#N/A</v>
      </c>
      <c r="BS85" s="295" t="e">
        <f aca="false">IF($A85="N/A"," ",IF('Pricing Inputs'!$AN$3=1,(IF(DateToday&gt;$A85,$BR85,((($BQ85^2)*((($A85-1)-DateToday)/((EOMONTH($A85,0)+1)-DateToday-15)))+((($BR85)^2)*((15)/((EOMONTH($A85,0)+1)-DateToday-15))))^0.5)),0.0001))</f>
        <v>#N/A</v>
      </c>
      <c r="BT85" s="294" t="n">
        <f aca="false">IF($A85="N/A"," ",IF('Pricing Inputs'!$AN$3=1,(VLOOKUP($A85,CorrelationTable,2,FALSE())),0))</f>
        <v>0.9</v>
      </c>
      <c r="BU85" s="296" t="e">
        <f aca="false">IF($A85="N/A"," ",F85+G85+(D85*(VLOOKUP($A85,'Gas Curves'!$B$17:$P$310,14,FALSE()))))</f>
        <v>#N/A</v>
      </c>
      <c r="BV85" s="294" t="n">
        <f aca="false">IF($A85="N/A"," ",IF('Pricing Inputs'!$AW$3=1,0,(VLOOKUP($A85,InterestRatesTable,2))))</f>
        <v>0</v>
      </c>
      <c r="BW85" s="297" t="n">
        <f aca="false">IF($A85="N/A"," ",(1+BV85/2)^(-2*((EOMONTH(A85,0)+20)-DateToday)/365.25))</f>
        <v>1</v>
      </c>
    </row>
    <row r="86" customFormat="false" ht="12.75" hidden="false" customHeight="false" outlineLevel="0" collapsed="false">
      <c r="A86" s="272" t="n">
        <f aca="false">IF(A85="N/A","N/A",IF(EDATE(A85,1)&gt;Inputs!$K$3,"N/A",EDATE(A85,1)))</f>
        <v>39387</v>
      </c>
      <c r="B86" s="273" t="n">
        <f aca="false">IF(A86="N/A"," ",YEAR(A86))</f>
        <v>2007</v>
      </c>
      <c r="C86" s="274" t="e">
        <f aca="false">IF(A86="N/A"," ",VLOOKUP(A86,ScaledPrice,10))</f>
        <v>#N/A</v>
      </c>
      <c r="D86" s="275" t="n">
        <f aca="false">IF(A86="N/A"," ",(VLOOKUP(MONTH($A86),Inputs!$A$14:$B$25,2))/1000)</f>
        <v>10.5</v>
      </c>
      <c r="E86" s="276" t="e">
        <f aca="false">IF($A86="N/A"," ",C86*D86)</f>
        <v>#N/A</v>
      </c>
      <c r="F86" s="277" t="n">
        <f aca="false">IF(A86="N/A"," ",Inputs!$F$6)</f>
        <v>2</v>
      </c>
      <c r="G86" s="277" t="n">
        <f aca="false">IF(A86="N/A"," ",Inputs!$F$9/IF(AND('Pricing Inputs'!$AQ$3&gt;=4,'Pricing Inputs'!$AQ$3&lt;=6),16,IF(AND('Pricing Inputs'!$AQ$3&gt;=7,'Pricing Inputs'!$AQ$3&lt;=9),8,24))/(BA86/BW86))</f>
        <v>0</v>
      </c>
      <c r="H86" s="278" t="e">
        <f aca="false">IF(A86="N/A"," ",(C86*D86)+F86+G86)</f>
        <v>#N/A</v>
      </c>
      <c r="I86" s="279" t="n">
        <f aca="false">VLOOKUP(A86,ScaledPrice,(IF(AND('Pricing Inputs'!$AQ$3&gt;=1,'Pricing Inputs'!$AQ$3&lt;=6),2,4)))</f>
        <v>30.740166875</v>
      </c>
      <c r="J86" s="279" t="n">
        <f aca="false">IF(A86="N/A"," ",IF(AND('Pricing Inputs'!$AQ$3&gt;=1,'Pricing Inputs'!$AQ$3&lt;=6),I86,(VLOOKUP(A86,ScaledPrice,2))*(2-(VLOOKUP(A86,ScaledPrice,3)))))</f>
        <v>31.409833125</v>
      </c>
      <c r="K86" s="279" t="n">
        <f aca="false">IF(A86="N/A"," ",IF(OR('Pricing Inputs'!$AQ$3=2,'Pricing Inputs'!$AQ$3=3,'Pricing Inputs'!$AQ$3=5,'Pricing Inputs'!$AQ$3=6,'Pricing Inputs'!$AQ$3=8,'Pricing Inputs'!$AQ$3=9),VLOOKUP(A86,ScaledPrice,IF(AND('Pricing Inputs'!$AQ$3&gt;=2,'Pricing Inputs'!$AQ$3&lt;=6),5,6)),0))</f>
        <v>24.5374803885651</v>
      </c>
      <c r="L86" s="279" t="n">
        <f aca="false">IF(A86="N/A"," ",IF(OR('Pricing Inputs'!$AQ$3=2,'Pricing Inputs'!$AQ$3=3,'Pricing Inputs'!$AQ$3=5,'Pricing Inputs'!$AQ$3=6,'Pricing Inputs'!$AQ$3=8,'Pricing Inputs'!$AQ$3=9),IF(AND('Pricing Inputs'!$AQ$3&gt;=2,'Pricing Inputs'!$AQ$3&lt;=6),K86,(VLOOKUP(A86,ScaledPrice,5))*(2-(VLOOKUP(A86,ScaledPrice,3)))),0))</f>
        <v>25.0720227852631</v>
      </c>
      <c r="M86" s="279" t="n">
        <f aca="false">IF(A86="N/A"," ",IF(OR('Pricing Inputs'!$AQ$3=3,'Pricing Inputs'!$AQ$3=6,'Pricing Inputs'!$AQ$3=9),(VLOOKUP(A86,ScaledPrice,IF(AND('Pricing Inputs'!$AQ$3&gt;=3,'Pricing Inputs'!$AQ$3&lt;=6),7,8))),0))</f>
        <v>22.5587813313675</v>
      </c>
      <c r="N86" s="279" t="n">
        <f aca="false">IF(A86="N/A"," ",IF(OR('Pricing Inputs'!$AQ$3=3,'Pricing Inputs'!$AQ$3=6,'Pricing Inputs'!$AQ$3=9),IF(AND('Pricing Inputs'!$AQ$3&gt;=3,'Pricing Inputs'!$AQ$3&lt;=6),M86,(VLOOKUP(A86,ScaledPrice,7))*(2-(VLOOKUP(A86,ScaledPrice,3)))),0))</f>
        <v>23.0502183024216</v>
      </c>
      <c r="O86" s="279" t="n">
        <f aca="false">IF(A86="N/A"," ",IF(AND('Pricing Inputs'!$AQ$3&gt;=1,'Pricing Inputs'!$AQ$3&lt;=3),VLOOKUP(A86,ScaledPrice,9),0))</f>
        <v>0</v>
      </c>
      <c r="P86" s="280" t="e">
        <f aca="false">IF($A86="N/A"," ",IF('Pricing Inputs'!$AN$8=2,(I86-H86),IF('Pricing Inputs'!$AN$3=2,IF((I86-$H86)&gt;0,I86-$H86,0),(xSPRDOPT(I86,$E86,$BU86,0,$BP86,$BS86,$BT86,($A86-Inputs!$D$1)+15,1,0)))))</f>
        <v>#NAME?</v>
      </c>
      <c r="Q86" s="280" t="e">
        <f aca="false">IF($A86="N/A"," ",IF('Pricing Inputs'!$AN$8=2,(J86-$H86),IF('Pricing Inputs'!$AN$3=2,IF((J86-$H86)&gt;0,J86-$H86,0),(xSPRDOPT(J86,$E86,$BU86,0,$BP86,$BS86,$BT86,($A86-Inputs!$D$1)+15,1,0)))))</f>
        <v>#NAME?</v>
      </c>
      <c r="R86" s="280" t="e">
        <f aca="false">IF($A86="N/A"," ",IF('Pricing Inputs'!$AN$8=2,(K86-$H86),IF('Pricing Inputs'!$AN$3=2,IF((K86-$H86)&gt;0,K86-$H86,0),(xSPRDOPT(K86,$E86,$BU86,0,$BP86,$BS86,$BT86,($A86-Inputs!$D$1)+15,1,0)))))</f>
        <v>#NAME?</v>
      </c>
      <c r="S86" s="280" t="e">
        <f aca="false">IF($A86="N/A"," ",IF('Pricing Inputs'!$AN$8=2,(L86-$H86),IF('Pricing Inputs'!$AN$3=2,IF((L86-$H86)&gt;0,L86-$H86,0),(xSPRDOPT(L86,$E86,$BU86,0,$BP86,$BS86,$BT86,($A86-Inputs!$D$1)+15,1,0)))))</f>
        <v>#NAME?</v>
      </c>
      <c r="T86" s="280" t="e">
        <f aca="false">IF($A86="N/A"," ",IF('Pricing Inputs'!$AN$8=2,(M86-$H86),IF('Pricing Inputs'!$AN$3=2,IF((M86-$H86)&gt;0,M86-$H86,0),(xSPRDOPT(M86,$E86,$BU86,0,$BP86,$BS86,$BT86,($A86-Inputs!$D$1)+15,1,0)))))</f>
        <v>#NAME?</v>
      </c>
      <c r="U86" s="280" t="e">
        <f aca="false">IF($A86="N/A"," ",IF('Pricing Inputs'!$AN$8=2,(N86-$H86),IF('Pricing Inputs'!$AN$3=2,IF((N86-$H86)&gt;0,N86-$H86,0),(xSPRDOPT(N86,$E86,$BU86,0,$BP86,$BS86,$BT86,($A86-Inputs!$D$1)+15,1,0)))))</f>
        <v>#NAME?</v>
      </c>
      <c r="V86" s="281" t="e">
        <f aca="false">IF($A86="N/A"," ",(IF('Pricing Inputs'!$AN$8=2,(O86-$H86),IF((O86-$H86)&lt;=0,0,(O86-$H86)))))</f>
        <v>#N/A</v>
      </c>
      <c r="W86" s="282" t="e">
        <f aca="false">IF($A86="N/A"," ",IF(0&lt;&gt;P86,IF('Pricing Inputs'!$AN$3=2,8*VLOOKUP($A86,NumberofDaysTable,2),(xSPRDOPT(I86,$E86,$BU86,0,$BP86,$BS86,$BT86,$A86-Inputs!$D$1,1,1))*(8*VLOOKUP($A86,NumberofDaysTable,2))),0))</f>
        <v>#NAME?</v>
      </c>
      <c r="X86" s="282" t="e">
        <f aca="false">IF($A86="N/A"," ",IF(Q86&lt;&gt;0,IF('Pricing Inputs'!$AN$3=2,8*VLOOKUP($A86,NumberofDaysTable,2),(xSPRDOPT(J86,$E86,$BU86,0,$BP86,$BS86,$BT86,$A86-Inputs!$D$1,1,1))*(8*VLOOKUP($A86,NumberofDaysTable,2))),0))</f>
        <v>#NAME?</v>
      </c>
      <c r="Y86" s="282" t="e">
        <f aca="false">IF($A86="N/A"," ",IF(R86&lt;&gt;0,IF('Pricing Inputs'!$AN$3=2,8*VLOOKUP($A86,NumberofDaysTable,3),(xSPRDOPT(K86,$E86,$BU86,0,$BP86,$BS86,$BT86,$A86-Inputs!$D$1,1,1))*(8*VLOOKUP($A86,NumberofDaysTable,3))),0))</f>
        <v>#NAME?</v>
      </c>
      <c r="Z86" s="282" t="e">
        <f aca="false">IF($A86="N/A"," ",IF(S86&lt;&gt;0,IF('Pricing Inputs'!$AN$3=2,8*VLOOKUP($A86,NumberofDaysTable,3),(xSPRDOPT(L86,$E86,$BU86,0,$BP86,$BS86,$BT86,$A86-Inputs!$D$1,1,1))*(8*VLOOKUP($A86,NumberofDaysTable,3))),0))</f>
        <v>#NAME?</v>
      </c>
      <c r="AA86" s="282" t="e">
        <f aca="false">IF($A86="N/A"," ",IF(T86&lt;&gt;0,IF('Pricing Inputs'!$AN$3=2,8*VLOOKUP($A86,NumberofDaysTable,4),(xSPRDOPT(M86,$E86,$BU86,0,$BP86,$BS86,$BT86,$A86-Inputs!$D$1,1,1))*(8*VLOOKUP($A86,NumberofDaysTable,4))),0))</f>
        <v>#NAME?</v>
      </c>
      <c r="AB86" s="282" t="e">
        <f aca="false">IF($A86="N/A"," ",IF(U86&lt;&gt;0,IF('Pricing Inputs'!$AN$3=2,8*VLOOKUP($A86,NumberofDaysTable,4),(xSPRDOPT(N86,$E86,$BU86,0,$BP86,$BS86,$BT86,$A86-Inputs!$D$1,1,1))*(8*VLOOKUP($A86,NumberofDaysTable,4))),0))</f>
        <v>#NAME?</v>
      </c>
      <c r="AC86" s="282" t="e">
        <f aca="false">IF($A86="N/A"," ",(IF(V86&lt;&gt;0,(8*VLOOKUP($A86,NumberofDaysTable,6)),0)))</f>
        <v>#N/A</v>
      </c>
      <c r="AD86" s="298" t="e">
        <f aca="false">IF($A86="N/A"," ",RANK(P86,$P$76:$V$87))</f>
        <v>#NAME?</v>
      </c>
      <c r="AE86" s="299" t="e">
        <f aca="false">IF($A86="N/A"," ",RANK(Q86,$P$76:$V$87))</f>
        <v>#NAME?</v>
      </c>
      <c r="AF86" s="299" t="e">
        <f aca="false">IF($A86="N/A"," ",RANK(R86,$P$76:$V$87))</f>
        <v>#NAME?</v>
      </c>
      <c r="AG86" s="299" t="e">
        <f aca="false">IF($A86="N/A"," ",RANK(S86,$P$76:$V$87))</f>
        <v>#NAME?</v>
      </c>
      <c r="AH86" s="299" t="e">
        <f aca="false">IF($A86="N/A"," ",RANK(T86,$P$76:$V$87))</f>
        <v>#NAME?</v>
      </c>
      <c r="AI86" s="299" t="e">
        <f aca="false">IF($A86="N/A"," ",RANK(U86,$P$76:$V$87))</f>
        <v>#NAME?</v>
      </c>
      <c r="AJ86" s="300" t="e">
        <f aca="false">IF($A86="N/A"," ",RANK(V86,$P$76:$V$87))</f>
        <v>#NAME?</v>
      </c>
      <c r="AK86" s="286" t="e">
        <f aca="false">IF($A86="N/A"," ",IF(AD86&lt;=$AJ$2,W86,0))</f>
        <v>#NAME?</v>
      </c>
      <c r="AL86" s="301" t="e">
        <f aca="false">IF($A86="N/A"," ",IF(AE86&lt;=$AJ$2,X86,0))</f>
        <v>#NAME?</v>
      </c>
      <c r="AM86" s="301" t="e">
        <f aca="false">IF($A86="N/A"," ",IF(AF86&lt;=$AJ$2,Y86,0))</f>
        <v>#NAME?</v>
      </c>
      <c r="AN86" s="301" t="e">
        <f aca="false">IF($A86="N/A"," ",IF(AG86&lt;=$AJ$2,Z86,0))</f>
        <v>#NAME?</v>
      </c>
      <c r="AO86" s="301" t="e">
        <f aca="false">IF($A86="N/A"," ",IF(AH86&lt;=$AJ$2,AA86,0))</f>
        <v>#NAME?</v>
      </c>
      <c r="AP86" s="301" t="e">
        <f aca="false">IF($A86="N/A"," ",IF(AI86&lt;=$AJ$2,AB86,0))</f>
        <v>#NAME?</v>
      </c>
      <c r="AQ86" s="301" t="e">
        <f aca="false">IF($A86="N/A"," ",IF(AJ86&lt;=$AJ$2,AC86,0))</f>
        <v>#NAME?</v>
      </c>
      <c r="AR86" s="300" t="e">
        <f aca="false">SUM(AK76:AQ87)</f>
        <v>#NAME?</v>
      </c>
      <c r="AS86" s="288" t="e">
        <f aca="false">IF($A86="N/A"," ",IF(AND(AD86=$AJ$2+1,AK86=0),MIN($AR$87,W86),0))</f>
        <v>#NAME?</v>
      </c>
      <c r="AT86" s="302" t="e">
        <f aca="false">IF($A86="N/A"," ",IF(AND(AE86=$AJ$2+1,AL86=0),MIN($AR$87,X86),0))</f>
        <v>#NAME?</v>
      </c>
      <c r="AU86" s="302" t="e">
        <f aca="false">IF($A86="N/A"," ",IF(AND(AF86=$AJ$2+1,AM86=0),MIN($AR$87,Y86),0))</f>
        <v>#NAME?</v>
      </c>
      <c r="AV86" s="302" t="e">
        <f aca="false">IF($A86="N/A"," ",IF(AND(AG86=$AJ$2+1,AN86=0),MIN($AR$87,Z86),0))</f>
        <v>#NAME?</v>
      </c>
      <c r="AW86" s="302" t="e">
        <f aca="false">IF($A86="N/A"," ",IF(AND(AH86=$AJ$2+1,AO86=0),MIN($AR$87,AA86),0))</f>
        <v>#NAME?</v>
      </c>
      <c r="AX86" s="302" t="e">
        <f aca="false">IF($A86="N/A"," ",IF(AND(AI86=$AJ$2+1,AP86=0),MIN($AR$87,AB86),0))</f>
        <v>#NAME?</v>
      </c>
      <c r="AY86" s="302" t="e">
        <f aca="false">IF($A86="N/A"," ",IF(AND(AJ86=$AJ$2+1,AQ86=0),MIN($AR$87,AC86),0))</f>
        <v>#NAME?</v>
      </c>
      <c r="AZ86" s="300" t="e">
        <f aca="false">SUM(AS76:AY87)</f>
        <v>#NAME?</v>
      </c>
      <c r="BA86" s="291" t="n">
        <f aca="false">IF($A86="N/A"," ",(IF(MONTH(A86)&gt;=4,IF(MONTH(A86)&lt;=10,Inputs!$F$13,Inputs!$F$14),Inputs!$F$14))*$BW86)</f>
        <v>180</v>
      </c>
      <c r="BB86" s="292" t="e">
        <f aca="false">IF($A86="N/A"," ",(IF(AK86&gt;0,($BA86*(8*(VLOOKUP($A86,NumberofDaysTable,2)))*P86),0)+IF(AS86&gt;0,($BA86*((AS86))*P86),0)))</f>
        <v>#NAME?</v>
      </c>
      <c r="BC86" s="292" t="e">
        <f aca="false">IF($A86="N/A"," ",(IF(AL86&gt;0,($BA86*(8*(VLOOKUP($A86,NumberofDaysTable,2)))*Q86),0)+IF(AT86&gt;0,($BA86*((AT86))*Q86),0)))</f>
        <v>#NAME?</v>
      </c>
      <c r="BD86" s="292" t="e">
        <f aca="false">IF($A86="N/A"," ",(IF(AM86&gt;0,($BA86*(8*(VLOOKUP($A86,NumberofDaysTable,3)))*R86),0)+IF(AU86&gt;0,($BA86*((AU86))*R86),0)))</f>
        <v>#NAME?</v>
      </c>
      <c r="BE86" s="292" t="e">
        <f aca="false">IF($A86="N/A"," ",(IF(AN86&gt;0,($BA86*(8*(VLOOKUP($A86,NumberofDaysTable,3)))*S86),0)+IF(AV86&gt;0,($BA86*((AV86))*S86),0)))</f>
        <v>#NAME?</v>
      </c>
      <c r="BF86" s="292" t="e">
        <f aca="false">IF($A86="N/A"," ",(IF(AO86&gt;0,($BA86*(8*(VLOOKUP($A86,NumberofDaysTable,4)+VLOOKUP($A86,NumberofDaysTable,5)))*T86),0)+IF(AW86&gt;0,($BA86*((AW86))*T86),0)))</f>
        <v>#NAME?</v>
      </c>
      <c r="BG86" s="292" t="e">
        <f aca="false">IF($A86="N/A"," ",(IF(AP86&gt;0,($BA86*(8*(VLOOKUP($A86,NumberofDaysTable,4)+VLOOKUP($A86,NumberofDaysTable,5)))*U86),0)+IF(AX86&gt;0,($BA86*((AX86))*U86),0)))</f>
        <v>#NAME?</v>
      </c>
      <c r="BH86" s="292" t="e">
        <f aca="false">IF($A86="N/A"," ",($BA86*AQ86*V86))</f>
        <v>#NAME?</v>
      </c>
      <c r="BI86" s="292" t="e">
        <f aca="false">IF($A86="N/A"," ",SUM(BB86:BH86))</f>
        <v>#NAME?</v>
      </c>
      <c r="BJ86" s="293" t="e">
        <f aca="false">IF($A86="N/A"," ",(H86*(SUM(AK86:AQ86)+SUM(AS86:AY86))*BA86))</f>
        <v>#NAME?</v>
      </c>
      <c r="BK86" s="293" t="e">
        <f aca="false">IF($A86="N/A"," ",((C86*D86)*(SUM($AK86:$AQ86)+SUM($AS86:$AY86))*$BA86))</f>
        <v>#N/A</v>
      </c>
      <c r="BL86" s="293" t="e">
        <f aca="false">IF($A86="N/A"," ",(F86*(SUM($AK86:$AQ86)+SUM($AS86:$AY86))*$BA86))</f>
        <v>#NAME?</v>
      </c>
      <c r="BM86" s="293" t="e">
        <f aca="false">IF($A86="N/A"," ",(G86*(SUM($AK86:$AQ86)+SUM($AS86:$AY86))*$BA86))</f>
        <v>#NAME?</v>
      </c>
      <c r="BN86" s="294" t="n">
        <f aca="false">IF(A86="N/A"," ",(VLOOKUP(A86,PowerVolTable,(IF('Pricing Inputs'!$AT$3=2,7,IF('Pricing Inputs'!$AT$3=1,6,8))),FALSE())))</f>
        <v>0.177965746720312</v>
      </c>
      <c r="BO86" s="294" t="n">
        <f aca="false">IF(A86="N/A"," ",(VLOOKUP(A86,IntraPowerVol,(IF('Pricing Inputs'!$AT$3=2,3,IF('Pricing Inputs'!$AT$3=1,2,4))),FALSE())*VLOOKUP(MONTH($A86),Inputs!$A$28:$B$39,2)))</f>
        <v>1.4375</v>
      </c>
      <c r="BP86" s="295" t="n">
        <f aca="false">IF($A86="N/A"," ",(IF(DateToday&gt;$A86,$BO86,((($BN86^2)*((($A86-1)-DateToday)/((EOMONTH($A86,0)+1)-DateToday-15)))+((($BO86)^2)*((15)/((EOMONTH($A86,0)+1)-DateToday-15))))^0.5)))</f>
        <v>1.4375</v>
      </c>
      <c r="BQ86" s="294" t="e">
        <f aca="false">IF($A86="N/A"," ",(VLOOKUP($A86,GasVolTable,(IF('Pricing Inputs'!$AT$3=2,6,IF('Pricing Inputs'!$AT$3=1,7,5))),FALSE())))</f>
        <v>#N/A</v>
      </c>
      <c r="BR86" s="294" t="e">
        <f aca="false">IF($A86="N/A"," ",(VLOOKUP($A86,OmicronVol,(IF('Pricing Inputs'!$AT$3=2,3,IF('Pricing Inputs'!$AT$3=1,4,2))),FALSE())))</f>
        <v>#N/A</v>
      </c>
      <c r="BS86" s="295" t="e">
        <f aca="false">IF($A86="N/A"," ",IF('Pricing Inputs'!$AN$3=1,(IF(DateToday&gt;$A86,$BR86,((($BQ86^2)*((($A86-1)-DateToday)/((EOMONTH($A86,0)+1)-DateToday-15)))+((($BR86)^2)*((15)/((EOMONTH($A86,0)+1)-DateToday-15))))^0.5)),0.0001))</f>
        <v>#N/A</v>
      </c>
      <c r="BT86" s="294" t="n">
        <f aca="false">IF($A86="N/A"," ",IF('Pricing Inputs'!$AN$3=1,(VLOOKUP($A86,CorrelationTable,2,FALSE())),0))</f>
        <v>0.9</v>
      </c>
      <c r="BU86" s="296" t="e">
        <f aca="false">IF($A86="N/A"," ",F86+G86+(D86*(VLOOKUP($A86,'Gas Curves'!$B$17:$P$310,14,FALSE()))))</f>
        <v>#N/A</v>
      </c>
      <c r="BV86" s="294" t="n">
        <f aca="false">IF($A86="N/A"," ",IF('Pricing Inputs'!$AW$3=1,0,(VLOOKUP($A86,InterestRatesTable,2))))</f>
        <v>0</v>
      </c>
      <c r="BW86" s="297" t="n">
        <f aca="false">IF($A86="N/A"," ",(1+BV86/2)^(-2*((EOMONTH(A86,0)+20)-DateToday)/365.25))</f>
        <v>1</v>
      </c>
    </row>
    <row r="87" customFormat="false" ht="12.75" hidden="false" customHeight="false" outlineLevel="0" collapsed="false">
      <c r="A87" s="272" t="n">
        <f aca="false">IF(A86="N/A","N/A",IF(EDATE(A86,1)&gt;Inputs!$K$3,"N/A",EDATE(A86,1)))</f>
        <v>39417</v>
      </c>
      <c r="B87" s="273" t="n">
        <f aca="false">IF(A87="N/A"," ",YEAR(A87))</f>
        <v>2007</v>
      </c>
      <c r="C87" s="274" t="e">
        <f aca="false">IF(A87="N/A"," ",VLOOKUP(A87,ScaledPrice,10))</f>
        <v>#N/A</v>
      </c>
      <c r="D87" s="275" t="n">
        <f aca="false">IF(A87="N/A"," ",(VLOOKUP(MONTH($A87),Inputs!$A$14:$B$25,2))/1000)</f>
        <v>10.5</v>
      </c>
      <c r="E87" s="276" t="e">
        <f aca="false">IF($A87="N/A"," ",C87*D87)</f>
        <v>#N/A</v>
      </c>
      <c r="F87" s="277" t="n">
        <f aca="false">IF(A87="N/A"," ",Inputs!$F$6)</f>
        <v>2</v>
      </c>
      <c r="G87" s="277" t="n">
        <f aca="false">IF(A87="N/A"," ",Inputs!$F$9/IF(AND('Pricing Inputs'!$AQ$3&gt;=4,'Pricing Inputs'!$AQ$3&lt;=6),16,IF(AND('Pricing Inputs'!$AQ$3&gt;=7,'Pricing Inputs'!$AQ$3&lt;=9),8,24))/(BA87/BW87))</f>
        <v>0</v>
      </c>
      <c r="H87" s="278" t="e">
        <f aca="false">IF(A87="N/A"," ",(C87*D87)+F87+G87)</f>
        <v>#N/A</v>
      </c>
      <c r="I87" s="279" t="n">
        <f aca="false">VLOOKUP(A87,ScaledPrice,(IF(AND('Pricing Inputs'!$AQ$3&gt;=1,'Pricing Inputs'!$AQ$3&lt;=6),2,4)))</f>
        <v>30.2851768273063</v>
      </c>
      <c r="J87" s="279" t="n">
        <f aca="false">IF(A87="N/A"," ",IF(AND('Pricing Inputs'!$AQ$3&gt;=1,'Pricing Inputs'!$AQ$3&lt;=6),I87,(VLOOKUP(A87,ScaledPrice,2))*(2-(VLOOKUP(A87,ScaledPrice,3)))))</f>
        <v>31.6148231726937</v>
      </c>
      <c r="K87" s="279" t="n">
        <f aca="false">IF(A87="N/A"," ",IF(OR('Pricing Inputs'!$AQ$3=2,'Pricing Inputs'!$AQ$3=3,'Pricing Inputs'!$AQ$3=5,'Pricing Inputs'!$AQ$3=6,'Pricing Inputs'!$AQ$3=8,'Pricing Inputs'!$AQ$3=9),VLOOKUP(A87,ScaledPrice,IF(AND('Pricing Inputs'!$AQ$3&gt;=2,'Pricing Inputs'!$AQ$3&lt;=6),5,6)),0))</f>
        <v>25.6910264645828</v>
      </c>
      <c r="L87" s="279" t="n">
        <f aca="false">IF(A87="N/A"," ",IF(OR('Pricing Inputs'!$AQ$3=2,'Pricing Inputs'!$AQ$3=3,'Pricing Inputs'!$AQ$3=5,'Pricing Inputs'!$AQ$3=6,'Pricing Inputs'!$AQ$3=8,'Pricing Inputs'!$AQ$3=9),IF(AND('Pricing Inputs'!$AQ$3&gt;=2,'Pricing Inputs'!$AQ$3&lt;=6),K87,(VLOOKUP(A87,ScaledPrice,5))*(2-(VLOOKUP(A87,ScaledPrice,3)))),0))</f>
        <v>26.8189703310715</v>
      </c>
      <c r="M87" s="279" t="n">
        <f aca="false">IF(A87="N/A"," ",IF(OR('Pricing Inputs'!$AQ$3=3,'Pricing Inputs'!$AQ$3=6,'Pricing Inputs'!$AQ$3=9),(VLOOKUP(A87,ScaledPrice,IF(AND('Pricing Inputs'!$AQ$3&gt;=3,'Pricing Inputs'!$AQ$3&lt;=6),7,8))),0))</f>
        <v>22.261316630548</v>
      </c>
      <c r="N87" s="279" t="n">
        <f aca="false">IF(A87="N/A"," ",IF(OR('Pricing Inputs'!$AQ$3=3,'Pricing Inputs'!$AQ$3=6,'Pricing Inputs'!$AQ$3=9),IF(AND('Pricing Inputs'!$AQ$3&gt;=3,'Pricing Inputs'!$AQ$3&lt;=6),M87,(VLOOKUP(A87,ScaledPrice,7))*(2-(VLOOKUP(A87,ScaledPrice,3)))),0))</f>
        <v>23.238681843573</v>
      </c>
      <c r="O87" s="279" t="n">
        <f aca="false">IF(A87="N/A"," ",IF(AND('Pricing Inputs'!$AQ$3&gt;=1,'Pricing Inputs'!$AQ$3&lt;=3),VLOOKUP(A87,ScaledPrice,9),0))</f>
        <v>0</v>
      </c>
      <c r="P87" s="280" t="e">
        <f aca="false">IF($A87="N/A"," ",IF('Pricing Inputs'!$AN$8=2,(I87-H87),IF('Pricing Inputs'!$AN$3=2,IF((I87-$H87)&gt;0,I87-$H87,0),(xSPRDOPT(I87,$E87,$BU87,0,$BP87,$BS87,$BT87,($A87-Inputs!$D$1)+15,1,0)))))</f>
        <v>#NAME?</v>
      </c>
      <c r="Q87" s="280" t="e">
        <f aca="false">IF($A87="N/A"," ",IF('Pricing Inputs'!$AN$8=2,(J87-$H87),IF('Pricing Inputs'!$AN$3=2,IF((J87-$H87)&gt;0,J87-$H87,0),(xSPRDOPT(J87,$E87,$BU87,0,$BP87,$BS87,$BT87,($A87-Inputs!$D$1)+15,1,0)))))</f>
        <v>#NAME?</v>
      </c>
      <c r="R87" s="280" t="e">
        <f aca="false">IF($A87="N/A"," ",IF('Pricing Inputs'!$AN$8=2,(K87-$H87),IF('Pricing Inputs'!$AN$3=2,IF((K87-$H87)&gt;0,K87-$H87,0),(xSPRDOPT(K87,$E87,$BU87,0,$BP87,$BS87,$BT87,($A87-Inputs!$D$1)+15,1,0)))))</f>
        <v>#NAME?</v>
      </c>
      <c r="S87" s="280" t="e">
        <f aca="false">IF($A87="N/A"," ",IF('Pricing Inputs'!$AN$8=2,(L87-$H87),IF('Pricing Inputs'!$AN$3=2,IF((L87-$H87)&gt;0,L87-$H87,0),(xSPRDOPT(L87,$E87,$BU87,0,$BP87,$BS87,$BT87,($A87-Inputs!$D$1)+15,1,0)))))</f>
        <v>#NAME?</v>
      </c>
      <c r="T87" s="280" t="e">
        <f aca="false">IF($A87="N/A"," ",IF('Pricing Inputs'!$AN$8=2,(M87-$H87),IF('Pricing Inputs'!$AN$3=2,IF((M87-$H87)&gt;0,M87-$H87,0),(xSPRDOPT(M87,$E87,$BU87,0,$BP87,$BS87,$BT87,($A87-Inputs!$D$1)+15,1,0)))))</f>
        <v>#NAME?</v>
      </c>
      <c r="U87" s="280" t="e">
        <f aca="false">IF($A87="N/A"," ",IF('Pricing Inputs'!$AN$8=2,(N87-$H87),IF('Pricing Inputs'!$AN$3=2,IF((N87-$H87)&gt;0,N87-$H87,0),(xSPRDOPT(N87,$E87,$BU87,0,$BP87,$BS87,$BT87,($A87-Inputs!$D$1)+15,1,0)))))</f>
        <v>#NAME?</v>
      </c>
      <c r="V87" s="281" t="e">
        <f aca="false">IF($A87="N/A"," ",(IF('Pricing Inputs'!$AN$8=2,(O87-$H87),IF((O87-$H87)&lt;=0,0,(O87-$H87)))))</f>
        <v>#N/A</v>
      </c>
      <c r="W87" s="282" t="e">
        <f aca="false">IF($A87="N/A"," ",IF(0&lt;&gt;P87,IF('Pricing Inputs'!$AN$3=2,8*VLOOKUP($A87,NumberofDaysTable,2),(xSPRDOPT(I87,$E87,$BU87,0,$BP87,$BS87,$BT87,$A87-Inputs!$D$1,1,1))*(8*VLOOKUP($A87,NumberofDaysTable,2))),0))</f>
        <v>#NAME?</v>
      </c>
      <c r="X87" s="282" t="e">
        <f aca="false">IF($A87="N/A"," ",IF(Q87&lt;&gt;0,IF('Pricing Inputs'!$AN$3=2,8*VLOOKUP($A87,NumberofDaysTable,2),(xSPRDOPT(J87,$E87,$BU87,0,$BP87,$BS87,$BT87,$A87-Inputs!$D$1,1,1))*(8*VLOOKUP($A87,NumberofDaysTable,2))),0))</f>
        <v>#NAME?</v>
      </c>
      <c r="Y87" s="282" t="e">
        <f aca="false">IF($A87="N/A"," ",IF(R87&lt;&gt;0,IF('Pricing Inputs'!$AN$3=2,8*VLOOKUP($A87,NumberofDaysTable,3),(xSPRDOPT(K87,$E87,$BU87,0,$BP87,$BS87,$BT87,$A87-Inputs!$D$1,1,1))*(8*VLOOKUP($A87,NumberofDaysTable,3))),0))</f>
        <v>#NAME?</v>
      </c>
      <c r="Z87" s="282" t="e">
        <f aca="false">IF($A87="N/A"," ",IF(S87&lt;&gt;0,IF('Pricing Inputs'!$AN$3=2,8*VLOOKUP($A87,NumberofDaysTable,3),(xSPRDOPT(L87,$E87,$BU87,0,$BP87,$BS87,$BT87,$A87-Inputs!$D$1,1,1))*(8*VLOOKUP($A87,NumberofDaysTable,3))),0))</f>
        <v>#NAME?</v>
      </c>
      <c r="AA87" s="282" t="e">
        <f aca="false">IF($A87="N/A"," ",IF(T87&lt;&gt;0,IF('Pricing Inputs'!$AN$3=2,8*VLOOKUP($A87,NumberofDaysTable,4),(xSPRDOPT(M87,$E87,$BU87,0,$BP87,$BS87,$BT87,$A87-Inputs!$D$1,1,1))*(8*VLOOKUP($A87,NumberofDaysTable,4))),0))</f>
        <v>#NAME?</v>
      </c>
      <c r="AB87" s="282" t="e">
        <f aca="false">IF($A87="N/A"," ",IF(U87&lt;&gt;0,IF('Pricing Inputs'!$AN$3=2,8*VLOOKUP($A87,NumberofDaysTable,4),(xSPRDOPT(N87,$E87,$BU87,0,$BP87,$BS87,$BT87,$A87-Inputs!$D$1,1,1))*(8*VLOOKUP($A87,NumberofDaysTable,4))),0))</f>
        <v>#NAME?</v>
      </c>
      <c r="AC87" s="282" t="e">
        <f aca="false">IF($A87="N/A"," ",(IF(V87&lt;&gt;0,(8*VLOOKUP($A87,NumberofDaysTable,6)),0)))</f>
        <v>#N/A</v>
      </c>
      <c r="AD87" s="305" t="e">
        <f aca="false">IF($A87="N/A"," ",RANK(P87,$P$76:$V$87))</f>
        <v>#NAME?</v>
      </c>
      <c r="AE87" s="306" t="e">
        <f aca="false">IF($A87="N/A"," ",RANK(Q87,$P$76:$V$87))</f>
        <v>#NAME?</v>
      </c>
      <c r="AF87" s="306" t="e">
        <f aca="false">IF($A87="N/A"," ",RANK(R87,$P$76:$V$87))</f>
        <v>#NAME?</v>
      </c>
      <c r="AG87" s="306" t="e">
        <f aca="false">IF($A87="N/A"," ",RANK(S87,$P$76:$V$87))</f>
        <v>#NAME?</v>
      </c>
      <c r="AH87" s="306" t="e">
        <f aca="false">IF($A87="N/A"," ",RANK(T87,$P$76:$V$87))</f>
        <v>#NAME?</v>
      </c>
      <c r="AI87" s="306" t="e">
        <f aca="false">IF($A87="N/A"," ",RANK(U87,$P$76:$V$87))</f>
        <v>#NAME?</v>
      </c>
      <c r="AJ87" s="307" t="e">
        <f aca="false">IF($A87="N/A"," ",RANK(V87,$P$76:$V$87))</f>
        <v>#NAME?</v>
      </c>
      <c r="AK87" s="308" t="e">
        <f aca="false">IF($A87="N/A"," ",IF(AD87&lt;=$AJ$2,W87,0))</f>
        <v>#NAME?</v>
      </c>
      <c r="AL87" s="309" t="e">
        <f aca="false">IF($A87="N/A"," ",IF(AE87&lt;=$AJ$2,X87,0))</f>
        <v>#NAME?</v>
      </c>
      <c r="AM87" s="309" t="e">
        <f aca="false">IF($A87="N/A"," ",IF(AF87&lt;=$AJ$2,Y87,0))</f>
        <v>#NAME?</v>
      </c>
      <c r="AN87" s="309" t="e">
        <f aca="false">IF($A87="N/A"," ",IF(AG87&lt;=$AJ$2,Z87,0))</f>
        <v>#NAME?</v>
      </c>
      <c r="AO87" s="309" t="e">
        <f aca="false">IF($A87="N/A"," ",IF(AH87&lt;=$AJ$2,AA87,0))</f>
        <v>#NAME?</v>
      </c>
      <c r="AP87" s="309" t="e">
        <f aca="false">IF($A87="N/A"," ",IF(AI87&lt;=$AJ$2,AB87,0))</f>
        <v>#NAME?</v>
      </c>
      <c r="AQ87" s="309" t="e">
        <f aca="false">IF($A87="N/A"," ",IF(AJ87&lt;=$AJ$2,AC87,0))</f>
        <v>#NAME?</v>
      </c>
      <c r="AR87" s="307" t="e">
        <f aca="false">IF(($AP$2-AR86)&gt;=0,$AP$2-AR86,0)</f>
        <v>#NAME?</v>
      </c>
      <c r="AS87" s="310" t="e">
        <f aca="false">IF($A87="N/A"," ",IF(AND(AD87=$AJ$2+1,AK87=0),MIN($AR$87,W87),0))</f>
        <v>#NAME?</v>
      </c>
      <c r="AT87" s="311" t="e">
        <f aca="false">IF($A87="N/A"," ",IF(AND(AE87=$AJ$2+1,AL87=0),MIN($AR$87,X87),0))</f>
        <v>#NAME?</v>
      </c>
      <c r="AU87" s="311" t="e">
        <f aca="false">IF($A87="N/A"," ",IF(AND(AF87=$AJ$2+1,AM87=0),MIN($AR$87,Y87),0))</f>
        <v>#NAME?</v>
      </c>
      <c r="AV87" s="311" t="e">
        <f aca="false">IF($A87="N/A"," ",IF(AND(AG87=$AJ$2+1,AN87=0),MIN($AR$87,Z87),0))</f>
        <v>#NAME?</v>
      </c>
      <c r="AW87" s="311" t="e">
        <f aca="false">IF($A87="N/A"," ",IF(AND(AH87=$AJ$2+1,AO87=0),MIN($AR$87,AA87),0))</f>
        <v>#NAME?</v>
      </c>
      <c r="AX87" s="311" t="e">
        <f aca="false">IF($A87="N/A"," ",IF(AND(AI87=$AJ$2+1,AP87=0),MIN($AR$87,AB87),0))</f>
        <v>#NAME?</v>
      </c>
      <c r="AY87" s="311" t="e">
        <f aca="false">IF($A87="N/A"," ",IF(AND(AJ87=$AJ$2+1,AQ87=0),MIN($AR$87,AC87),0))</f>
        <v>#NAME?</v>
      </c>
      <c r="AZ87" s="312" t="e">
        <f aca="false">AR86+AZ86</f>
        <v>#NAME?</v>
      </c>
      <c r="BA87" s="291" t="n">
        <f aca="false">IF($A87="N/A"," ",(IF(MONTH(A87)&gt;=4,IF(MONTH(A87)&lt;=10,Inputs!$F$13,Inputs!$F$14),Inputs!$F$14))*$BW87)</f>
        <v>180</v>
      </c>
      <c r="BB87" s="292" t="e">
        <f aca="false">IF($A87="N/A"," ",(IF(AK87&gt;0,($BA87*(8*(VLOOKUP($A87,NumberofDaysTable,2)))*P87),0)+IF(AS87&gt;0,($BA87*((AS87))*P87),0)))</f>
        <v>#NAME?</v>
      </c>
      <c r="BC87" s="292" t="e">
        <f aca="false">IF($A87="N/A"," ",(IF(AL87&gt;0,($BA87*(8*(VLOOKUP($A87,NumberofDaysTable,2)))*Q87),0)+IF(AT87&gt;0,($BA87*((AT87))*Q87),0)))</f>
        <v>#NAME?</v>
      </c>
      <c r="BD87" s="292" t="e">
        <f aca="false">IF($A87="N/A"," ",(IF(AM87&gt;0,($BA87*(8*(VLOOKUP($A87,NumberofDaysTable,3)))*R87),0)+IF(AU87&gt;0,($BA87*((AU87))*R87),0)))</f>
        <v>#NAME?</v>
      </c>
      <c r="BE87" s="292" t="e">
        <f aca="false">IF($A87="N/A"," ",(IF(AN87&gt;0,($BA87*(8*(VLOOKUP($A87,NumberofDaysTable,3)))*S87),0)+IF(AV87&gt;0,($BA87*((AV87))*S87),0)))</f>
        <v>#NAME?</v>
      </c>
      <c r="BF87" s="292" t="e">
        <f aca="false">IF($A87="N/A"," ",(IF(AO87&gt;0,($BA87*(8*(VLOOKUP($A87,NumberofDaysTable,4)+VLOOKUP($A87,NumberofDaysTable,5)))*T87),0)+IF(AW87&gt;0,($BA87*((AW87))*T87),0)))</f>
        <v>#NAME?</v>
      </c>
      <c r="BG87" s="292" t="e">
        <f aca="false">IF($A87="N/A"," ",(IF(AP87&gt;0,($BA87*(8*(VLOOKUP($A87,NumberofDaysTable,4)+VLOOKUP($A87,NumberofDaysTable,5)))*U87),0)+IF(AX87&gt;0,($BA87*((AX87))*U87),0)))</f>
        <v>#NAME?</v>
      </c>
      <c r="BH87" s="292" t="e">
        <f aca="false">IF($A87="N/A"," ",($BA87*AQ87*V87))</f>
        <v>#NAME?</v>
      </c>
      <c r="BI87" s="292" t="e">
        <f aca="false">IF($A87="N/A"," ",SUM(BB87:BH87))</f>
        <v>#NAME?</v>
      </c>
      <c r="BJ87" s="293" t="e">
        <f aca="false">IF($A87="N/A"," ",(H87*(SUM(AK87:AQ87)+SUM(AS87:AY87))*BA87))</f>
        <v>#NAME?</v>
      </c>
      <c r="BK87" s="293" t="e">
        <f aca="false">IF($A87="N/A"," ",((C87*D87)*(SUM($AK87:$AQ87)+SUM($AS87:$AY87))*$BA87))</f>
        <v>#N/A</v>
      </c>
      <c r="BL87" s="293" t="e">
        <f aca="false">IF($A87="N/A"," ",(F87*(SUM($AK87:$AQ87)+SUM($AS87:$AY87))*$BA87))</f>
        <v>#NAME?</v>
      </c>
      <c r="BM87" s="293" t="e">
        <f aca="false">IF($A87="N/A"," ",(G87*(SUM($AK87:$AQ87)+SUM($AS87:$AY87))*$BA87))</f>
        <v>#NAME?</v>
      </c>
      <c r="BN87" s="294" t="n">
        <f aca="false">IF(A87="N/A"," ",(VLOOKUP(A87,PowerVolTable,(IF('Pricing Inputs'!$AT$3=2,7,IF('Pricing Inputs'!$AT$3=1,6,8))),FALSE())))</f>
        <v>0.184316940655312</v>
      </c>
      <c r="BO87" s="294" t="n">
        <f aca="false">IF(A87="N/A"," ",(VLOOKUP(A87,IntraPowerVol,(IF('Pricing Inputs'!$AT$3=2,3,IF('Pricing Inputs'!$AT$3=1,2,4))),FALSE())*VLOOKUP(MONTH($A87),Inputs!$A$28:$B$39,2)))</f>
        <v>1.4375</v>
      </c>
      <c r="BP87" s="295" t="n">
        <f aca="false">IF($A87="N/A"," ",(IF(DateToday&gt;$A87,$BO87,((($BN87^2)*((($A87-1)-DateToday)/((EOMONTH($A87,0)+1)-DateToday-15)))+((($BO87)^2)*((15)/((EOMONTH($A87,0)+1)-DateToday-15))))^0.5)))</f>
        <v>1.4375</v>
      </c>
      <c r="BQ87" s="294" t="e">
        <f aca="false">IF($A87="N/A"," ",(VLOOKUP($A87,GasVolTable,(IF('Pricing Inputs'!$AT$3=2,6,IF('Pricing Inputs'!$AT$3=1,7,5))),FALSE())))</f>
        <v>#N/A</v>
      </c>
      <c r="BR87" s="294" t="e">
        <f aca="false">IF($A87="N/A"," ",(VLOOKUP($A87,OmicronVol,(IF('Pricing Inputs'!$AT$3=2,3,IF('Pricing Inputs'!$AT$3=1,4,2))),FALSE())))</f>
        <v>#N/A</v>
      </c>
      <c r="BS87" s="295" t="e">
        <f aca="false">IF($A87="N/A"," ",IF('Pricing Inputs'!$AN$3=1,(IF(DateToday&gt;$A87,$BR87,((($BQ87^2)*((($A87-1)-DateToday)/((EOMONTH($A87,0)+1)-DateToday-15)))+((($BR87)^2)*((15)/((EOMONTH($A87,0)+1)-DateToday-15))))^0.5)),0.0001))</f>
        <v>#N/A</v>
      </c>
      <c r="BT87" s="294" t="n">
        <f aca="false">IF($A87="N/A"," ",IF('Pricing Inputs'!$AN$3=1,(VLOOKUP($A87,CorrelationTable,2,FALSE())),0))</f>
        <v>0.9</v>
      </c>
      <c r="BU87" s="296" t="e">
        <f aca="false">IF($A87="N/A"," ",F87+G87+(D87*(VLOOKUP($A87,'Gas Curves'!$B$17:$P$310,14,FALSE()))))</f>
        <v>#N/A</v>
      </c>
      <c r="BV87" s="294" t="n">
        <f aca="false">IF($A87="N/A"," ",IF('Pricing Inputs'!$AW$3=1,0,(VLOOKUP($A87,InterestRatesTable,2))))</f>
        <v>0</v>
      </c>
      <c r="BW87" s="297" t="n">
        <f aca="false">IF($A87="N/A"," ",(1+BV87/2)^(-2*((EOMONTH(A87,0)+20)-DateToday)/365.25))</f>
        <v>1</v>
      </c>
    </row>
    <row r="88" customFormat="false" ht="12.75" hidden="false" customHeight="false" outlineLevel="0" collapsed="false">
      <c r="A88" s="272" t="n">
        <f aca="false">IF(A87="N/A","N/A",IF(EDATE(A87,1)&gt;Inputs!$K$3,"N/A",EDATE(A87,1)))</f>
        <v>39448</v>
      </c>
      <c r="B88" s="273" t="n">
        <f aca="false">IF(A88="N/A"," ",YEAR(A88))</f>
        <v>2008</v>
      </c>
      <c r="C88" s="274" t="e">
        <f aca="false">IF(A88="N/A"," ",VLOOKUP(A88,ScaledPrice,10))</f>
        <v>#N/A</v>
      </c>
      <c r="D88" s="275" t="n">
        <f aca="false">IF(A88="N/A"," ",(VLOOKUP(MONTH($A88),Inputs!$A$14:$B$25,2))/1000)</f>
        <v>10.5</v>
      </c>
      <c r="E88" s="276" t="e">
        <f aca="false">IF($A88="N/A"," ",C88*D88)</f>
        <v>#N/A</v>
      </c>
      <c r="F88" s="277" t="n">
        <f aca="false">IF(A88="N/A"," ",Inputs!$F$6)</f>
        <v>2</v>
      </c>
      <c r="G88" s="277" t="n">
        <f aca="false">IF(A88="N/A"," ",Inputs!$F$9/IF(AND('Pricing Inputs'!$AQ$3&gt;=4,'Pricing Inputs'!$AQ$3&lt;=6),16,IF(AND('Pricing Inputs'!$AQ$3&gt;=7,'Pricing Inputs'!$AQ$3&lt;=9),8,24))/(BA88/BW88))</f>
        <v>0</v>
      </c>
      <c r="H88" s="278" t="e">
        <f aca="false">IF(A88="N/A"," ",(C88*D88)+F88+G88)</f>
        <v>#N/A</v>
      </c>
      <c r="I88" s="279" t="n">
        <f aca="false">VLOOKUP(A88,ScaledPrice,(IF(AND('Pricing Inputs'!$AQ$3&gt;=1,'Pricing Inputs'!$AQ$3&lt;=6),2,4)))</f>
        <v>35.9068507463198</v>
      </c>
      <c r="J88" s="279" t="n">
        <f aca="false">IF(A88="N/A"," ",IF(AND('Pricing Inputs'!$AQ$3&gt;=1,'Pricing Inputs'!$AQ$3&lt;=6),I88,(VLOOKUP(A88,ScaledPrice,2))*(2-(VLOOKUP(A88,ScaledPrice,3)))))</f>
        <v>38.1931492536802</v>
      </c>
      <c r="K88" s="279" t="n">
        <f aca="false">IF(A88="N/A"," ",IF(OR('Pricing Inputs'!$AQ$3=2,'Pricing Inputs'!$AQ$3=3,'Pricing Inputs'!$AQ$3=5,'Pricing Inputs'!$AQ$3=6,'Pricing Inputs'!$AQ$3=8,'Pricing Inputs'!$AQ$3=9),VLOOKUP(A88,ScaledPrice,IF(AND('Pricing Inputs'!$AQ$3&gt;=2,'Pricing Inputs'!$AQ$3&lt;=6),5,6)),0))</f>
        <v>28.7339590697967</v>
      </c>
      <c r="L88" s="279" t="n">
        <f aca="false">IF(A88="N/A"," ",IF(OR('Pricing Inputs'!$AQ$3=2,'Pricing Inputs'!$AQ$3=3,'Pricing Inputs'!$AQ$3=5,'Pricing Inputs'!$AQ$3=6,'Pricing Inputs'!$AQ$3=8,'Pricing Inputs'!$AQ$3=9),IF(AND('Pricing Inputs'!$AQ$3&gt;=2,'Pricing Inputs'!$AQ$3&lt;=6),K88,(VLOOKUP(A88,ScaledPrice,5))*(2-(VLOOKUP(A88,ScaledPrice,3)))),0))</f>
        <v>30.5635377258576</v>
      </c>
      <c r="M88" s="279" t="n">
        <f aca="false">IF(A88="N/A"," ",IF(OR('Pricing Inputs'!$AQ$3=3,'Pricing Inputs'!$AQ$3=6,'Pricing Inputs'!$AQ$3=9),(VLOOKUP(A88,ScaledPrice,IF(AND('Pricing Inputs'!$AQ$3&gt;=3,'Pricing Inputs'!$AQ$3&lt;=6),7,8))),0))</f>
        <v>27.2838764133527</v>
      </c>
      <c r="N88" s="279" t="n">
        <f aca="false">IF(A88="N/A"," ",IF(OR('Pricing Inputs'!$AQ$3=3,'Pricing Inputs'!$AQ$3=6,'Pricing Inputs'!$AQ$3=9),IF(AND('Pricing Inputs'!$AQ$3&gt;=3,'Pricing Inputs'!$AQ$3&lt;=6),M88,(VLOOKUP(A88,ScaledPrice,7))*(2-(VLOOKUP(A88,ScaledPrice,3)))),0))</f>
        <v>29.021123891823</v>
      </c>
      <c r="O88" s="279" t="n">
        <f aca="false">IF(A88="N/A"," ",IF(AND('Pricing Inputs'!$AQ$3&gt;=1,'Pricing Inputs'!$AQ$3&lt;=3),VLOOKUP(A88,ScaledPrice,9),0))</f>
        <v>0</v>
      </c>
      <c r="P88" s="280" t="e">
        <f aca="false">IF($A88="N/A"," ",IF('Pricing Inputs'!$AN$8=2,(I88-H88),IF('Pricing Inputs'!$AN$3=2,IF((I88-$H88)&gt;0,I88-$H88,0),(xSPRDOPT(I88,$E88,$BU88,0,$BP88,$BS88,$BT88,($A88-Inputs!$D$1)+15,1,0)))))</f>
        <v>#NAME?</v>
      </c>
      <c r="Q88" s="280" t="e">
        <f aca="false">IF($A88="N/A"," ",IF('Pricing Inputs'!$AN$8=2,(J88-$H88),IF('Pricing Inputs'!$AN$3=2,IF((J88-$H88)&gt;0,J88-$H88,0),(xSPRDOPT(J88,$E88,$BU88,0,$BP88,$BS88,$BT88,($A88-Inputs!$D$1)+15,1,0)))))</f>
        <v>#NAME?</v>
      </c>
      <c r="R88" s="280" t="e">
        <f aca="false">IF($A88="N/A"," ",IF('Pricing Inputs'!$AN$8=2,(K88-$H88),IF('Pricing Inputs'!$AN$3=2,IF((K88-$H88)&gt;0,K88-$H88,0),(xSPRDOPT(K88,$E88,$BU88,0,$BP88,$BS88,$BT88,($A88-Inputs!$D$1)+15,1,0)))))</f>
        <v>#NAME?</v>
      </c>
      <c r="S88" s="280" t="e">
        <f aca="false">IF($A88="N/A"," ",IF('Pricing Inputs'!$AN$8=2,(L88-$H88),IF('Pricing Inputs'!$AN$3=2,IF((L88-$H88)&gt;0,L88-$H88,0),(xSPRDOPT(L88,$E88,$BU88,0,$BP88,$BS88,$BT88,($A88-Inputs!$D$1)+15,1,0)))))</f>
        <v>#NAME?</v>
      </c>
      <c r="T88" s="280" t="e">
        <f aca="false">IF($A88="N/A"," ",IF('Pricing Inputs'!$AN$8=2,(M88-$H88),IF('Pricing Inputs'!$AN$3=2,IF((M88-$H88)&gt;0,M88-$H88,0),(xSPRDOPT(M88,$E88,$BU88,0,$BP88,$BS88,$BT88,($A88-Inputs!$D$1)+15,1,0)))))</f>
        <v>#NAME?</v>
      </c>
      <c r="U88" s="280" t="e">
        <f aca="false">IF($A88="N/A"," ",IF('Pricing Inputs'!$AN$8=2,(N88-$H88),IF('Pricing Inputs'!$AN$3=2,IF((N88-$H88)&gt;0,N88-$H88,0),(xSPRDOPT(N88,$E88,$BU88,0,$BP88,$BS88,$BT88,($A88-Inputs!$D$1)+15,1,0)))))</f>
        <v>#NAME?</v>
      </c>
      <c r="V88" s="281" t="e">
        <f aca="false">IF($A88="N/A"," ",(IF('Pricing Inputs'!$AN$8=2,(O88-$H88),IF((O88-$H88)&lt;=0,0,(O88-$H88)))))</f>
        <v>#N/A</v>
      </c>
      <c r="W88" s="282" t="e">
        <f aca="false">IF($A88="N/A"," ",IF(0&lt;&gt;P88,IF('Pricing Inputs'!$AN$3=2,8*VLOOKUP($A88,NumberofDaysTable,2),(xSPRDOPT(I88,$E88,$BU88,0,$BP88,$BS88,$BT88,$A88-Inputs!$D$1,1,1))*(8*VLOOKUP($A88,NumberofDaysTable,2))),0))</f>
        <v>#NAME?</v>
      </c>
      <c r="X88" s="282" t="e">
        <f aca="false">IF($A88="N/A"," ",IF(Q88&lt;&gt;0,IF('Pricing Inputs'!$AN$3=2,8*VLOOKUP($A88,NumberofDaysTable,2),(xSPRDOPT(J88,$E88,$BU88,0,$BP88,$BS88,$BT88,$A88-Inputs!$D$1,1,1))*(8*VLOOKUP($A88,NumberofDaysTable,2))),0))</f>
        <v>#NAME?</v>
      </c>
      <c r="Y88" s="282" t="e">
        <f aca="false">IF($A88="N/A"," ",IF(R88&lt;&gt;0,IF('Pricing Inputs'!$AN$3=2,8*VLOOKUP($A88,NumberofDaysTable,3),(xSPRDOPT(K88,$E88,$BU88,0,$BP88,$BS88,$BT88,$A88-Inputs!$D$1,1,1))*(8*VLOOKUP($A88,NumberofDaysTable,3))),0))</f>
        <v>#NAME?</v>
      </c>
      <c r="Z88" s="282" t="e">
        <f aca="false">IF($A88="N/A"," ",IF(S88&lt;&gt;0,IF('Pricing Inputs'!$AN$3=2,8*VLOOKUP($A88,NumberofDaysTable,3),(xSPRDOPT(L88,$E88,$BU88,0,$BP88,$BS88,$BT88,$A88-Inputs!$D$1,1,1))*(8*VLOOKUP($A88,NumberofDaysTable,3))),0))</f>
        <v>#NAME?</v>
      </c>
      <c r="AA88" s="282" t="e">
        <f aca="false">IF($A88="N/A"," ",IF(T88&lt;&gt;0,IF('Pricing Inputs'!$AN$3=2,8*VLOOKUP($A88,NumberofDaysTable,4),(xSPRDOPT(M88,$E88,$BU88,0,$BP88,$BS88,$BT88,$A88-Inputs!$D$1,1,1))*(8*VLOOKUP($A88,NumberofDaysTable,4))),0))</f>
        <v>#NAME?</v>
      </c>
      <c r="AB88" s="282" t="e">
        <f aca="false">IF($A88="N/A"," ",IF(U88&lt;&gt;0,IF('Pricing Inputs'!$AN$3=2,8*VLOOKUP($A88,NumberofDaysTable,4),(xSPRDOPT(N88,$E88,$BU88,0,$BP88,$BS88,$BT88,$A88-Inputs!$D$1,1,1))*(8*VLOOKUP($A88,NumberofDaysTable,4))),0))</f>
        <v>#NAME?</v>
      </c>
      <c r="AC88" s="282" t="e">
        <f aca="false">IF($A88="N/A"," ",(IF(V88&lt;&gt;0,(8*VLOOKUP($A88,NumberofDaysTable,6)),0)))</f>
        <v>#N/A</v>
      </c>
      <c r="AD88" s="283" t="e">
        <f aca="false">IF($A88="N/A"," ",RANK(P88,$P$88:$V$99))</f>
        <v>#NAME?</v>
      </c>
      <c r="AE88" s="284" t="e">
        <f aca="false">IF($A88="N/A"," ",RANK(Q88,$P$88:$V$99))</f>
        <v>#NAME?</v>
      </c>
      <c r="AF88" s="284" t="e">
        <f aca="false">IF($A88="N/A"," ",RANK(R88,$P$88:$V$99))</f>
        <v>#NAME?</v>
      </c>
      <c r="AG88" s="284" t="e">
        <f aca="false">IF($A88="N/A"," ",RANK(S88,$P$88:$V$99))</f>
        <v>#NAME?</v>
      </c>
      <c r="AH88" s="284" t="e">
        <f aca="false">IF($A88="N/A"," ",RANK(T88,$P$88:$V$99))</f>
        <v>#NAME?</v>
      </c>
      <c r="AI88" s="284" t="e">
        <f aca="false">IF($A88="N/A"," ",RANK(U88,$P$88:$V$99))</f>
        <v>#NAME?</v>
      </c>
      <c r="AJ88" s="285" t="e">
        <f aca="false">IF($A88="N/A"," ",RANK(V88,$P$88:$V$99))</f>
        <v>#NAME?</v>
      </c>
      <c r="AK88" s="313" t="e">
        <f aca="false">IF($A88="N/A"," ",IF(AD88&lt;=$AJ$2,W88,0))</f>
        <v>#NAME?</v>
      </c>
      <c r="AL88" s="287" t="e">
        <f aca="false">IF($A88="N/A"," ",IF(AE88&lt;=$AJ$2,X88,0))</f>
        <v>#NAME?</v>
      </c>
      <c r="AM88" s="287" t="e">
        <f aca="false">IF($A88="N/A"," ",IF(AF88&lt;=$AJ$2,Y88,0))</f>
        <v>#NAME?</v>
      </c>
      <c r="AN88" s="287" t="e">
        <f aca="false">IF($A88="N/A"," ",IF(AG88&lt;=$AJ$2,Z88,0))</f>
        <v>#NAME?</v>
      </c>
      <c r="AO88" s="287" t="e">
        <f aca="false">IF($A88="N/A"," ",IF(AH88&lt;=$AJ$2,AA88,0))</f>
        <v>#NAME?</v>
      </c>
      <c r="AP88" s="287" t="e">
        <f aca="false">IF($A88="N/A"," ",IF(AI88&lt;=$AJ$2,AB88,0))</f>
        <v>#NAME?</v>
      </c>
      <c r="AQ88" s="287" t="e">
        <f aca="false">IF($A88="N/A"," ",IF(AJ88&lt;=$AJ$2,AC88,0))</f>
        <v>#NAME?</v>
      </c>
      <c r="AR88" s="285"/>
      <c r="AS88" s="314" t="e">
        <f aca="false">IF($A88="N/A"," ",IF(AND(AD88=$AJ$2+1,AK88=0),MIN($AR$99,W88),0))</f>
        <v>#NAME?</v>
      </c>
      <c r="AT88" s="289" t="e">
        <f aca="false">IF($A88="N/A"," ",IF(AND(AE88=$AJ$2+1,AL88=0),MIN($AR$99,X88),0))</f>
        <v>#NAME?</v>
      </c>
      <c r="AU88" s="289" t="e">
        <f aca="false">IF($A88="N/A"," ",IF(AND(AF88=$AJ$2+1,AM88=0),MIN($AR$99,Y88),0))</f>
        <v>#NAME?</v>
      </c>
      <c r="AV88" s="289" t="e">
        <f aca="false">IF($A88="N/A"," ",IF(AND(AG88=$AJ$2+1,AN88=0),MIN($AR$99,Z88),0))</f>
        <v>#NAME?</v>
      </c>
      <c r="AW88" s="289" t="e">
        <f aca="false">IF($A88="N/A"," ",IF(AND(AH88=$AJ$2+1,AO88=0),MIN($AR$99,AA88),0))</f>
        <v>#NAME?</v>
      </c>
      <c r="AX88" s="289" t="e">
        <f aca="false">IF($A88="N/A"," ",IF(AND(AI88=$AJ$2+1,AP88=0),MIN($AR$99,AB88),0))</f>
        <v>#NAME?</v>
      </c>
      <c r="AY88" s="289" t="e">
        <f aca="false">IF($A88="N/A"," ",IF(AND(AJ88=$AJ$2+1,AQ88=0),MIN($AR$99,AC88),0))</f>
        <v>#NAME?</v>
      </c>
      <c r="AZ88" s="285"/>
      <c r="BA88" s="291" t="n">
        <f aca="false">IF($A88="N/A"," ",(IF(MONTH(A88)&gt;=4,IF(MONTH(A88)&lt;=10,Inputs!$F$13,Inputs!$F$14),Inputs!$F$14))*$BW88)</f>
        <v>180</v>
      </c>
      <c r="BB88" s="292" t="e">
        <f aca="false">IF($A88="N/A"," ",(IF(AK88&gt;0,($BA88*(8*(VLOOKUP($A88,NumberofDaysTable,2)))*P88),0)+IF(AS88&gt;0,($BA88*((AS88))*P88),0)))</f>
        <v>#NAME?</v>
      </c>
      <c r="BC88" s="292" t="e">
        <f aca="false">IF($A88="N/A"," ",(IF(AL88&gt;0,($BA88*(8*(VLOOKUP($A88,NumberofDaysTable,2)))*Q88),0)+IF(AT88&gt;0,($BA88*((AT88))*Q88),0)))</f>
        <v>#NAME?</v>
      </c>
      <c r="BD88" s="292" t="e">
        <f aca="false">IF($A88="N/A"," ",(IF(AM88&gt;0,($BA88*(8*(VLOOKUP($A88,NumberofDaysTable,3)))*R88),0)+IF(AU88&gt;0,($BA88*((AU88))*R88),0)))</f>
        <v>#NAME?</v>
      </c>
      <c r="BE88" s="292" t="e">
        <f aca="false">IF($A88="N/A"," ",(IF(AN88&gt;0,($BA88*(8*(VLOOKUP($A88,NumberofDaysTable,3)))*S88),0)+IF(AV88&gt;0,($BA88*((AV88))*S88),0)))</f>
        <v>#NAME?</v>
      </c>
      <c r="BF88" s="292" t="e">
        <f aca="false">IF($A88="N/A"," ",(IF(AO88&gt;0,($BA88*(8*(VLOOKUP($A88,NumberofDaysTable,4)+VLOOKUP($A88,NumberofDaysTable,5)))*T88),0)+IF(AW88&gt;0,($BA88*((AW88))*T88),0)))</f>
        <v>#NAME?</v>
      </c>
      <c r="BG88" s="292" t="e">
        <f aca="false">IF($A88="N/A"," ",(IF(AP88&gt;0,($BA88*(8*(VLOOKUP($A88,NumberofDaysTable,4)+VLOOKUP($A88,NumberofDaysTable,5)))*U88),0)+IF(AX88&gt;0,($BA88*((AX88))*U88),0)))</f>
        <v>#NAME?</v>
      </c>
      <c r="BH88" s="292" t="e">
        <f aca="false">IF($A88="N/A"," ",($BA88*AQ88*V88))</f>
        <v>#NAME?</v>
      </c>
      <c r="BI88" s="292" t="e">
        <f aca="false">IF($A88="N/A"," ",SUM(BB88:BH88))</f>
        <v>#NAME?</v>
      </c>
      <c r="BJ88" s="293" t="e">
        <f aca="false">IF($A88="N/A"," ",(H88*(SUM(AK88:AQ88)+SUM(AS88:AY88))*BA88))</f>
        <v>#NAME?</v>
      </c>
      <c r="BK88" s="293" t="e">
        <f aca="false">IF($A88="N/A"," ",((C88*D88)*(SUM($AK88:$AQ88)+SUM($AS88:$AY88))*$BA88))</f>
        <v>#N/A</v>
      </c>
      <c r="BL88" s="293" t="e">
        <f aca="false">IF($A88="N/A"," ",(F88*(SUM($AK88:$AQ88)+SUM($AS88:$AY88))*$BA88))</f>
        <v>#NAME?</v>
      </c>
      <c r="BM88" s="293" t="e">
        <f aca="false">IF($A88="N/A"," ",(G88*(SUM($AK88:$AQ88)+SUM($AS88:$AY88))*$BA88))</f>
        <v>#NAME?</v>
      </c>
      <c r="BN88" s="294" t="n">
        <f aca="false">IF(A88="N/A"," ",(VLOOKUP(A88,PowerVolTable,(IF('Pricing Inputs'!$AT$3=2,7,IF('Pricing Inputs'!$AT$3=1,6,8))),FALSE())))</f>
        <v>0.198327792090625</v>
      </c>
      <c r="BO88" s="294" t="n">
        <f aca="false">IF(A88="N/A"," ",(VLOOKUP(A88,IntraPowerVol,(IF('Pricing Inputs'!$AT$3=2,3,IF('Pricing Inputs'!$AT$3=1,2,4))),FALSE())*VLOOKUP(MONTH($A88),Inputs!$A$28:$B$39,2)))</f>
        <v>2.3</v>
      </c>
      <c r="BP88" s="295" t="n">
        <f aca="false">IF($A88="N/A"," ",(IF(DateToday&gt;$A88,$BO88,((($BN88^2)*((($A88-1)-DateToday)/((EOMONTH($A88,0)+1)-DateToday-15)))+((($BO88)^2)*((15)/((EOMONTH($A88,0)+1)-DateToday-15))))^0.5)))</f>
        <v>2.3</v>
      </c>
      <c r="BQ88" s="294" t="e">
        <f aca="false">IF($A88="N/A"," ",(VLOOKUP($A88,GasVolTable,(IF('Pricing Inputs'!$AT$3=2,6,IF('Pricing Inputs'!$AT$3=1,7,5))),FALSE())))</f>
        <v>#N/A</v>
      </c>
      <c r="BR88" s="294" t="e">
        <f aca="false">IF($A88="N/A"," ",(VLOOKUP($A88,OmicronVol,(IF('Pricing Inputs'!$AT$3=2,3,IF('Pricing Inputs'!$AT$3=1,4,2))),FALSE())))</f>
        <v>#N/A</v>
      </c>
      <c r="BS88" s="295" t="e">
        <f aca="false">IF($A88="N/A"," ",IF('Pricing Inputs'!$AN$3=1,(IF(DateToday&gt;$A88,$BR88,((($BQ88^2)*((($A88-1)-DateToday)/((EOMONTH($A88,0)+1)-DateToday-15)))+((($BR88)^2)*((15)/((EOMONTH($A88,0)+1)-DateToday-15))))^0.5)),0.0001))</f>
        <v>#N/A</v>
      </c>
      <c r="BT88" s="294" t="n">
        <f aca="false">IF($A88="N/A"," ",IF('Pricing Inputs'!$AN$3=1,(VLOOKUP($A88,CorrelationTable,2,FALSE())),0))</f>
        <v>0.9</v>
      </c>
      <c r="BU88" s="296" t="e">
        <f aca="false">IF($A88="N/A"," ",F88+G88+(D88*(VLOOKUP($A88,'Gas Curves'!$B$17:$P$310,14,FALSE()))))</f>
        <v>#N/A</v>
      </c>
      <c r="BV88" s="294" t="n">
        <f aca="false">IF($A88="N/A"," ",IF('Pricing Inputs'!$AW$3=1,0,(VLOOKUP($A88,InterestRatesTable,2))))</f>
        <v>0</v>
      </c>
      <c r="BW88" s="297" t="n">
        <f aca="false">IF($A88="N/A"," ",(1+BV88/2)^(-2*((EOMONTH(A88,0)+20)-DateToday)/365.25))</f>
        <v>1</v>
      </c>
    </row>
    <row r="89" customFormat="false" ht="12.75" hidden="false" customHeight="false" outlineLevel="0" collapsed="false">
      <c r="A89" s="272" t="n">
        <f aca="false">IF(A88="N/A","N/A",IF(EDATE(A88,1)&gt;Inputs!$K$3,"N/A",EDATE(A88,1)))</f>
        <v>39479</v>
      </c>
      <c r="B89" s="273" t="n">
        <f aca="false">IF(A89="N/A"," ",YEAR(A89))</f>
        <v>2008</v>
      </c>
      <c r="C89" s="274" t="e">
        <f aca="false">IF(A89="N/A"," ",VLOOKUP(A89,ScaledPrice,10))</f>
        <v>#N/A</v>
      </c>
      <c r="D89" s="275" t="n">
        <f aca="false">IF(A89="N/A"," ",(VLOOKUP(MONTH($A89),Inputs!$A$14:$B$25,2))/1000)</f>
        <v>10.5</v>
      </c>
      <c r="E89" s="276" t="e">
        <f aca="false">IF($A89="N/A"," ",C89*D89)</f>
        <v>#N/A</v>
      </c>
      <c r="F89" s="277" t="n">
        <f aca="false">IF(A89="N/A"," ",Inputs!$F$6)</f>
        <v>2</v>
      </c>
      <c r="G89" s="277" t="n">
        <f aca="false">IF(A89="N/A"," ",Inputs!$F$9/IF(AND('Pricing Inputs'!$AQ$3&gt;=4,'Pricing Inputs'!$AQ$3&lt;=6),16,IF(AND('Pricing Inputs'!$AQ$3&gt;=7,'Pricing Inputs'!$AQ$3&lt;=9),8,24))/(BA89/BW89))</f>
        <v>0</v>
      </c>
      <c r="H89" s="278" t="e">
        <f aca="false">IF(A89="N/A"," ",(C89*D89)+F89+G89)</f>
        <v>#N/A</v>
      </c>
      <c r="I89" s="279" t="n">
        <f aca="false">VLOOKUP(A89,ScaledPrice,(IF(AND('Pricing Inputs'!$AQ$3&gt;=1,'Pricing Inputs'!$AQ$3&lt;=6),2,4)))</f>
        <v>35.9068507463198</v>
      </c>
      <c r="J89" s="279" t="n">
        <f aca="false">IF(A89="N/A"," ",IF(AND('Pricing Inputs'!$AQ$3&gt;=1,'Pricing Inputs'!$AQ$3&lt;=6),I89,(VLOOKUP(A89,ScaledPrice,2))*(2-(VLOOKUP(A89,ScaledPrice,3)))))</f>
        <v>38.1931492536802</v>
      </c>
      <c r="K89" s="279" t="n">
        <f aca="false">IF(A89="N/A"," ",IF(OR('Pricing Inputs'!$AQ$3=2,'Pricing Inputs'!$AQ$3=3,'Pricing Inputs'!$AQ$3=5,'Pricing Inputs'!$AQ$3=6,'Pricing Inputs'!$AQ$3=8,'Pricing Inputs'!$AQ$3=9),VLOOKUP(A89,ScaledPrice,IF(AND('Pricing Inputs'!$AQ$3&gt;=2,'Pricing Inputs'!$AQ$3&lt;=6),5,6)),0))</f>
        <v>27.7623921368614</v>
      </c>
      <c r="L89" s="279" t="n">
        <f aca="false">IF(A89="N/A"," ",IF(OR('Pricing Inputs'!$AQ$3=2,'Pricing Inputs'!$AQ$3=3,'Pricing Inputs'!$AQ$3=5,'Pricing Inputs'!$AQ$3=6,'Pricing Inputs'!$AQ$3=8,'Pricing Inputs'!$AQ$3=9),IF(AND('Pricing Inputs'!$AQ$3&gt;=2,'Pricing Inputs'!$AQ$3&lt;=6),K89,(VLOOKUP(A89,ScaledPrice,5))*(2-(VLOOKUP(A89,ScaledPrice,3)))),0))</f>
        <v>29.5301081683144</v>
      </c>
      <c r="M89" s="279" t="n">
        <f aca="false">IF(A89="N/A"," ",IF(OR('Pricing Inputs'!$AQ$3=3,'Pricing Inputs'!$AQ$3=6,'Pricing Inputs'!$AQ$3=9),(VLOOKUP(A89,ScaledPrice,IF(AND('Pricing Inputs'!$AQ$3&gt;=3,'Pricing Inputs'!$AQ$3&lt;=6),7,8))),0))</f>
        <v>25.3407384807846</v>
      </c>
      <c r="N89" s="279" t="n">
        <f aca="false">IF(A89="N/A"," ",IF(OR('Pricing Inputs'!$AQ$3=3,'Pricing Inputs'!$AQ$3=6,'Pricing Inputs'!$AQ$3=9),IF(AND('Pricing Inputs'!$AQ$3&gt;=3,'Pricing Inputs'!$AQ$3&lt;=6),M89,(VLOOKUP(A89,ScaledPrice,7))*(2-(VLOOKUP(A89,ScaledPrice,3)))),0))</f>
        <v>26.9542604511001</v>
      </c>
      <c r="O89" s="279" t="n">
        <f aca="false">IF(A89="N/A"," ",IF(AND('Pricing Inputs'!$AQ$3&gt;=1,'Pricing Inputs'!$AQ$3&lt;=3),VLOOKUP(A89,ScaledPrice,9),0))</f>
        <v>0</v>
      </c>
      <c r="P89" s="280" t="e">
        <f aca="false">IF($A89="N/A"," ",IF('Pricing Inputs'!$AN$8=2,(I89-H89),IF('Pricing Inputs'!$AN$3=2,IF((I89-$H89)&gt;0,I89-$H89,0),(xSPRDOPT(I89,$E89,$BU89,0,$BP89,$BS89,$BT89,($A89-Inputs!$D$1)+15,1,0)))))</f>
        <v>#NAME?</v>
      </c>
      <c r="Q89" s="280" t="e">
        <f aca="false">IF($A89="N/A"," ",IF('Pricing Inputs'!$AN$8=2,(J89-$H89),IF('Pricing Inputs'!$AN$3=2,IF((J89-$H89)&gt;0,J89-$H89,0),(xSPRDOPT(J89,$E89,$BU89,0,$BP89,$BS89,$BT89,($A89-Inputs!$D$1)+15,1,0)))))</f>
        <v>#NAME?</v>
      </c>
      <c r="R89" s="280" t="e">
        <f aca="false">IF($A89="N/A"," ",IF('Pricing Inputs'!$AN$8=2,(K89-$H89),IF('Pricing Inputs'!$AN$3=2,IF((K89-$H89)&gt;0,K89-$H89,0),(xSPRDOPT(K89,$E89,$BU89,0,$BP89,$BS89,$BT89,($A89-Inputs!$D$1)+15,1,0)))))</f>
        <v>#NAME?</v>
      </c>
      <c r="S89" s="280" t="e">
        <f aca="false">IF($A89="N/A"," ",IF('Pricing Inputs'!$AN$8=2,(L89-$H89),IF('Pricing Inputs'!$AN$3=2,IF((L89-$H89)&gt;0,L89-$H89,0),(xSPRDOPT(L89,$E89,$BU89,0,$BP89,$BS89,$BT89,($A89-Inputs!$D$1)+15,1,0)))))</f>
        <v>#NAME?</v>
      </c>
      <c r="T89" s="280" t="e">
        <f aca="false">IF($A89="N/A"," ",IF('Pricing Inputs'!$AN$8=2,(M89-$H89),IF('Pricing Inputs'!$AN$3=2,IF((M89-$H89)&gt;0,M89-$H89,0),(xSPRDOPT(M89,$E89,$BU89,0,$BP89,$BS89,$BT89,($A89-Inputs!$D$1)+15,1,0)))))</f>
        <v>#NAME?</v>
      </c>
      <c r="U89" s="280" t="e">
        <f aca="false">IF($A89="N/A"," ",IF('Pricing Inputs'!$AN$8=2,(N89-$H89),IF('Pricing Inputs'!$AN$3=2,IF((N89-$H89)&gt;0,N89-$H89,0),(xSPRDOPT(N89,$E89,$BU89,0,$BP89,$BS89,$BT89,($A89-Inputs!$D$1)+15,1,0)))))</f>
        <v>#NAME?</v>
      </c>
      <c r="V89" s="281" t="e">
        <f aca="false">IF($A89="N/A"," ",(IF('Pricing Inputs'!$AN$8=2,(O89-$H89),IF((O89-$H89)&lt;=0,0,(O89-$H89)))))</f>
        <v>#N/A</v>
      </c>
      <c r="W89" s="282" t="e">
        <f aca="false">IF($A89="N/A"," ",IF(0&lt;&gt;P89,IF('Pricing Inputs'!$AN$3=2,8*VLOOKUP($A89,NumberofDaysTable,2),(xSPRDOPT(I89,$E89,$BU89,0,$BP89,$BS89,$BT89,$A89-Inputs!$D$1,1,1))*(8*VLOOKUP($A89,NumberofDaysTable,2))),0))</f>
        <v>#NAME?</v>
      </c>
      <c r="X89" s="282" t="e">
        <f aca="false">IF($A89="N/A"," ",IF(Q89&lt;&gt;0,IF('Pricing Inputs'!$AN$3=2,8*VLOOKUP($A89,NumberofDaysTable,2),(xSPRDOPT(J89,$E89,$BU89,0,$BP89,$BS89,$BT89,$A89-Inputs!$D$1,1,1))*(8*VLOOKUP($A89,NumberofDaysTable,2))),0))</f>
        <v>#NAME?</v>
      </c>
      <c r="Y89" s="282" t="e">
        <f aca="false">IF($A89="N/A"," ",IF(R89&lt;&gt;0,IF('Pricing Inputs'!$AN$3=2,8*VLOOKUP($A89,NumberofDaysTable,3),(xSPRDOPT(K89,$E89,$BU89,0,$BP89,$BS89,$BT89,$A89-Inputs!$D$1,1,1))*(8*VLOOKUP($A89,NumberofDaysTable,3))),0))</f>
        <v>#NAME?</v>
      </c>
      <c r="Z89" s="282" t="e">
        <f aca="false">IF($A89="N/A"," ",IF(S89&lt;&gt;0,IF('Pricing Inputs'!$AN$3=2,8*VLOOKUP($A89,NumberofDaysTable,3),(xSPRDOPT(L89,$E89,$BU89,0,$BP89,$BS89,$BT89,$A89-Inputs!$D$1,1,1))*(8*VLOOKUP($A89,NumberofDaysTable,3))),0))</f>
        <v>#NAME?</v>
      </c>
      <c r="AA89" s="282" t="e">
        <f aca="false">IF($A89="N/A"," ",IF(T89&lt;&gt;0,IF('Pricing Inputs'!$AN$3=2,8*VLOOKUP($A89,NumberofDaysTable,4),(xSPRDOPT(M89,$E89,$BU89,0,$BP89,$BS89,$BT89,$A89-Inputs!$D$1,1,1))*(8*VLOOKUP($A89,NumberofDaysTable,4))),0))</f>
        <v>#NAME?</v>
      </c>
      <c r="AB89" s="282" t="e">
        <f aca="false">IF($A89="N/A"," ",IF(U89&lt;&gt;0,IF('Pricing Inputs'!$AN$3=2,8*VLOOKUP($A89,NumberofDaysTable,4),(xSPRDOPT(N89,$E89,$BU89,0,$BP89,$BS89,$BT89,$A89-Inputs!$D$1,1,1))*(8*VLOOKUP($A89,NumberofDaysTable,4))),0))</f>
        <v>#NAME?</v>
      </c>
      <c r="AC89" s="282" t="e">
        <f aca="false">IF($A89="N/A"," ",(IF(V89&lt;&gt;0,(8*VLOOKUP($A89,NumberofDaysTable,6)),0)))</f>
        <v>#N/A</v>
      </c>
      <c r="AD89" s="298" t="e">
        <f aca="false">IF($A89="N/A"," ",RANK(P89,$P$88:$V$99))</f>
        <v>#NAME?</v>
      </c>
      <c r="AE89" s="299" t="e">
        <f aca="false">IF($A89="N/A"," ",RANK(Q89,$P$88:$V$99))</f>
        <v>#NAME?</v>
      </c>
      <c r="AF89" s="299" t="e">
        <f aca="false">IF($A89="N/A"," ",RANK(R89,$P$88:$V$99))</f>
        <v>#NAME?</v>
      </c>
      <c r="AG89" s="299" t="e">
        <f aca="false">IF($A89="N/A"," ",RANK(S89,$P$88:$V$99))</f>
        <v>#NAME?</v>
      </c>
      <c r="AH89" s="299" t="e">
        <f aca="false">IF($A89="N/A"," ",RANK(T89,$P$88:$V$99))</f>
        <v>#NAME?</v>
      </c>
      <c r="AI89" s="299" t="e">
        <f aca="false">IF($A89="N/A"," ",RANK(U89,$P$88:$V$99))</f>
        <v>#NAME?</v>
      </c>
      <c r="AJ89" s="300" t="e">
        <f aca="false">IF($A89="N/A"," ",RANK(V89,$P$88:$V$99))</f>
        <v>#NAME?</v>
      </c>
      <c r="AK89" s="286" t="e">
        <f aca="false">IF($A89="N/A"," ",IF(AD89&lt;=$AJ$2,W89,0))</f>
        <v>#NAME?</v>
      </c>
      <c r="AL89" s="301" t="e">
        <f aca="false">IF($A89="N/A"," ",IF(AE89&lt;=$AJ$2,X89,0))</f>
        <v>#NAME?</v>
      </c>
      <c r="AM89" s="301" t="e">
        <f aca="false">IF($A89="N/A"," ",IF(AF89&lt;=$AJ$2,Y89,0))</f>
        <v>#NAME?</v>
      </c>
      <c r="AN89" s="301" t="e">
        <f aca="false">IF($A89="N/A"," ",IF(AG89&lt;=$AJ$2,Z89,0))</f>
        <v>#NAME?</v>
      </c>
      <c r="AO89" s="301" t="e">
        <f aca="false">IF($A89="N/A"," ",IF(AH89&lt;=$AJ$2,AA89,0))</f>
        <v>#NAME?</v>
      </c>
      <c r="AP89" s="301" t="e">
        <f aca="false">IF($A89="N/A"," ",IF(AI89&lt;=$AJ$2,AB89,0))</f>
        <v>#NAME?</v>
      </c>
      <c r="AQ89" s="301" t="e">
        <f aca="false">IF($A89="N/A"," ",IF(AJ89&lt;=$AJ$2,AC89,0))</f>
        <v>#NAME?</v>
      </c>
      <c r="AR89" s="300"/>
      <c r="AS89" s="288" t="e">
        <f aca="false">IF($A89="N/A"," ",IF(AND(AD89=$AJ$2+1,AK89=0),MIN($AR$99,W89),0))</f>
        <v>#NAME?</v>
      </c>
      <c r="AT89" s="302" t="e">
        <f aca="false">IF($A89="N/A"," ",IF(AND(AE89=$AJ$2+1,AL89=0),MIN($AR$99,X89),0))</f>
        <v>#NAME?</v>
      </c>
      <c r="AU89" s="302" t="e">
        <f aca="false">IF($A89="N/A"," ",IF(AND(AF89=$AJ$2+1,AM89=0),MIN($AR$99,Y89),0))</f>
        <v>#NAME?</v>
      </c>
      <c r="AV89" s="302" t="e">
        <f aca="false">IF($A89="N/A"," ",IF(AND(AG89=$AJ$2+1,AN89=0),MIN($AR$99,Z89),0))</f>
        <v>#NAME?</v>
      </c>
      <c r="AW89" s="302" t="e">
        <f aca="false">IF($A89="N/A"," ",IF(AND(AH89=$AJ$2+1,AO89=0),MIN($AR$99,AA89),0))</f>
        <v>#NAME?</v>
      </c>
      <c r="AX89" s="302" t="e">
        <f aca="false">IF($A89="N/A"," ",IF(AND(AI89=$AJ$2+1,AP89=0),MIN($AR$99,AB89),0))</f>
        <v>#NAME?</v>
      </c>
      <c r="AY89" s="302" t="e">
        <f aca="false">IF($A89="N/A"," ",IF(AND(AJ89=$AJ$2+1,AQ89=0),MIN($AR$99,AC89),0))</f>
        <v>#NAME?</v>
      </c>
      <c r="AZ89" s="300"/>
      <c r="BA89" s="291" t="n">
        <f aca="false">IF($A89="N/A"," ",(IF(MONTH(A89)&gt;=4,IF(MONTH(A89)&lt;=10,Inputs!$F$13,Inputs!$F$14),Inputs!$F$14))*$BW89)</f>
        <v>180</v>
      </c>
      <c r="BB89" s="292" t="e">
        <f aca="false">IF($A89="N/A"," ",(IF(AK89&gt;0,($BA89*(8*(VLOOKUP($A89,NumberofDaysTable,2)))*P89),0)+IF(AS89&gt;0,($BA89*((AS89))*P89),0)))</f>
        <v>#NAME?</v>
      </c>
      <c r="BC89" s="292" t="e">
        <f aca="false">IF($A89="N/A"," ",(IF(AL89&gt;0,($BA89*(8*(VLOOKUP($A89,NumberofDaysTable,2)))*Q89),0)+IF(AT89&gt;0,($BA89*((AT89))*Q89),0)))</f>
        <v>#NAME?</v>
      </c>
      <c r="BD89" s="292" t="e">
        <f aca="false">IF($A89="N/A"," ",(IF(AM89&gt;0,($BA89*(8*(VLOOKUP($A89,NumberofDaysTable,3)))*R89),0)+IF(AU89&gt;0,($BA89*((AU89))*R89),0)))</f>
        <v>#NAME?</v>
      </c>
      <c r="BE89" s="292" t="e">
        <f aca="false">IF($A89="N/A"," ",(IF(AN89&gt;0,($BA89*(8*(VLOOKUP($A89,NumberofDaysTable,3)))*S89),0)+IF(AV89&gt;0,($BA89*((AV89))*S89),0)))</f>
        <v>#NAME?</v>
      </c>
      <c r="BF89" s="292" t="e">
        <f aca="false">IF($A89="N/A"," ",(IF(AO89&gt;0,($BA89*(8*(VLOOKUP($A89,NumberofDaysTable,4)+VLOOKUP($A89,NumberofDaysTable,5)))*T89),0)+IF(AW89&gt;0,($BA89*((AW89))*T89),0)))</f>
        <v>#NAME?</v>
      </c>
      <c r="BG89" s="292" t="e">
        <f aca="false">IF($A89="N/A"," ",(IF(AP89&gt;0,($BA89*(8*(VLOOKUP($A89,NumberofDaysTable,4)+VLOOKUP($A89,NumberofDaysTable,5)))*U89),0)+IF(AX89&gt;0,($BA89*((AX89))*U89),0)))</f>
        <v>#NAME?</v>
      </c>
      <c r="BH89" s="292" t="e">
        <f aca="false">IF($A89="N/A"," ",($BA89*AQ89*V89))</f>
        <v>#NAME?</v>
      </c>
      <c r="BI89" s="292" t="e">
        <f aca="false">IF($A89="N/A"," ",SUM(BB89:BH89))</f>
        <v>#NAME?</v>
      </c>
      <c r="BJ89" s="293" t="e">
        <f aca="false">IF($A89="N/A"," ",(H89*(SUM(AK89:AQ89)+SUM(AS89:AY89))*BA89))</f>
        <v>#NAME?</v>
      </c>
      <c r="BK89" s="293" t="e">
        <f aca="false">IF($A89="N/A"," ",((C89*D89)*(SUM($AK89:$AQ89)+SUM($AS89:$AY89))*$BA89))</f>
        <v>#N/A</v>
      </c>
      <c r="BL89" s="293" t="e">
        <f aca="false">IF($A89="N/A"," ",(F89*(SUM($AK89:$AQ89)+SUM($AS89:$AY89))*$BA89))</f>
        <v>#NAME?</v>
      </c>
      <c r="BM89" s="293" t="e">
        <f aca="false">IF($A89="N/A"," ",(G89*(SUM($AK89:$AQ89)+SUM($AS89:$AY89))*$BA89))</f>
        <v>#NAME?</v>
      </c>
      <c r="BN89" s="294" t="n">
        <f aca="false">IF(A89="N/A"," ",(VLOOKUP(A89,PowerVolTable,(IF('Pricing Inputs'!$AT$3=2,7,IF('Pricing Inputs'!$AT$3=1,6,8))),FALSE())))</f>
        <v>0.191344419129687</v>
      </c>
      <c r="BO89" s="294" t="n">
        <f aca="false">IF(A89="N/A"," ",(VLOOKUP(A89,IntraPowerVol,(IF('Pricing Inputs'!$AT$3=2,3,IF('Pricing Inputs'!$AT$3=1,2,4))),FALSE())*VLOOKUP(MONTH($A89),Inputs!$A$28:$B$39,2)))</f>
        <v>2.3</v>
      </c>
      <c r="BP89" s="295" t="n">
        <f aca="false">IF($A89="N/A"," ",(IF(DateToday&gt;$A89,$BO89,((($BN89^2)*((($A89-1)-DateToday)/((EOMONTH($A89,0)+1)-DateToday-15)))+((($BO89)^2)*((15)/((EOMONTH($A89,0)+1)-DateToday-15))))^0.5)))</f>
        <v>2.3</v>
      </c>
      <c r="BQ89" s="294" t="e">
        <f aca="false">IF($A89="N/A"," ",(VLOOKUP($A89,GasVolTable,(IF('Pricing Inputs'!$AT$3=2,6,IF('Pricing Inputs'!$AT$3=1,7,5))),FALSE())))</f>
        <v>#N/A</v>
      </c>
      <c r="BR89" s="294" t="e">
        <f aca="false">IF($A89="N/A"," ",(VLOOKUP($A89,OmicronVol,(IF('Pricing Inputs'!$AT$3=2,3,IF('Pricing Inputs'!$AT$3=1,4,2))),FALSE())))</f>
        <v>#N/A</v>
      </c>
      <c r="BS89" s="295" t="e">
        <f aca="false">IF($A89="N/A"," ",IF('Pricing Inputs'!$AN$3=1,(IF(DateToday&gt;$A89,$BR89,((($BQ89^2)*((($A89-1)-DateToday)/((EOMONTH($A89,0)+1)-DateToday-15)))+((($BR89)^2)*((15)/((EOMONTH($A89,0)+1)-DateToday-15))))^0.5)),0.0001))</f>
        <v>#N/A</v>
      </c>
      <c r="BT89" s="294" t="n">
        <f aca="false">IF($A89="N/A"," ",IF('Pricing Inputs'!$AN$3=1,(VLOOKUP($A89,CorrelationTable,2,FALSE())),0))</f>
        <v>0.9</v>
      </c>
      <c r="BU89" s="296" t="e">
        <f aca="false">IF($A89="N/A"," ",F89+G89+(D89*(VLOOKUP($A89,'Gas Curves'!$B$17:$P$310,14,FALSE()))))</f>
        <v>#N/A</v>
      </c>
      <c r="BV89" s="294" t="n">
        <f aca="false">IF($A89="N/A"," ",IF('Pricing Inputs'!$AW$3=1,0,(VLOOKUP($A89,InterestRatesTable,2))))</f>
        <v>0</v>
      </c>
      <c r="BW89" s="297" t="n">
        <f aca="false">IF($A89="N/A"," ",(1+BV89/2)^(-2*((EOMONTH(A89,0)+20)-DateToday)/365.25))</f>
        <v>1</v>
      </c>
    </row>
    <row r="90" customFormat="false" ht="12.75" hidden="false" customHeight="false" outlineLevel="0" collapsed="false">
      <c r="A90" s="272" t="n">
        <f aca="false">IF(A89="N/A","N/A",IF(EDATE(A89,1)&gt;Inputs!$K$3,"N/A",EDATE(A89,1)))</f>
        <v>39508</v>
      </c>
      <c r="B90" s="273" t="n">
        <f aca="false">IF(A90="N/A"," ",YEAR(A90))</f>
        <v>2008</v>
      </c>
      <c r="C90" s="274" t="e">
        <f aca="false">IF(A90="N/A"," ",VLOOKUP(A90,ScaledPrice,10))</f>
        <v>#N/A</v>
      </c>
      <c r="D90" s="275" t="n">
        <f aca="false">IF(A90="N/A"," ",(VLOOKUP(MONTH($A90),Inputs!$A$14:$B$25,2))/1000)</f>
        <v>10.5</v>
      </c>
      <c r="E90" s="276" t="e">
        <f aca="false">IF($A90="N/A"," ",C90*D90)</f>
        <v>#N/A</v>
      </c>
      <c r="F90" s="277" t="n">
        <f aca="false">IF(A90="N/A"," ",Inputs!$F$6)</f>
        <v>2</v>
      </c>
      <c r="G90" s="277" t="n">
        <f aca="false">IF(A90="N/A"," ",Inputs!$F$9/IF(AND('Pricing Inputs'!$AQ$3&gt;=4,'Pricing Inputs'!$AQ$3&lt;=6),16,IF(AND('Pricing Inputs'!$AQ$3&gt;=7,'Pricing Inputs'!$AQ$3&lt;=9),8,24))/(BA90/BW90))</f>
        <v>0</v>
      </c>
      <c r="H90" s="278" t="e">
        <f aca="false">IF(A90="N/A"," ",(C90*D90)+F90+G90)</f>
        <v>#N/A</v>
      </c>
      <c r="I90" s="279" t="n">
        <f aca="false">VLOOKUP(A90,ScaledPrice,(IF(AND('Pricing Inputs'!$AQ$3&gt;=1,'Pricing Inputs'!$AQ$3&lt;=6),2,4)))</f>
        <v>32.355945</v>
      </c>
      <c r="J90" s="279" t="n">
        <f aca="false">IF(A90="N/A"," ",IF(AND('Pricing Inputs'!$AQ$3&gt;=1,'Pricing Inputs'!$AQ$3&lt;=6),I90,(VLOOKUP(A90,ScaledPrice,2))*(2-(VLOOKUP(A90,ScaledPrice,3)))))</f>
        <v>34.244055</v>
      </c>
      <c r="K90" s="279" t="n">
        <f aca="false">IF(A90="N/A"," ",IF(OR('Pricing Inputs'!$AQ$3=2,'Pricing Inputs'!$AQ$3=3,'Pricing Inputs'!$AQ$3=5,'Pricing Inputs'!$AQ$3=6,'Pricing Inputs'!$AQ$3=8,'Pricing Inputs'!$AQ$3=9),VLOOKUP(A90,ScaledPrice,IF(AND('Pricing Inputs'!$AQ$3&gt;=2,'Pricing Inputs'!$AQ$3&lt;=6),5,6)),0))</f>
        <v>21.2157344520187</v>
      </c>
      <c r="L90" s="279" t="n">
        <f aca="false">IF(A90="N/A"," ",IF(OR('Pricing Inputs'!$AQ$3=2,'Pricing Inputs'!$AQ$3=3,'Pricing Inputs'!$AQ$3=5,'Pricing Inputs'!$AQ$3=6,'Pricing Inputs'!$AQ$3=8,'Pricing Inputs'!$AQ$3=9),IF(AND('Pricing Inputs'!$AQ$3&gt;=2,'Pricing Inputs'!$AQ$3&lt;=6),K90,(VLOOKUP(A90,ScaledPrice,5))*(2-(VLOOKUP(A90,ScaledPrice,3)))),0))</f>
        <v>22.4537647545242</v>
      </c>
      <c r="M90" s="279" t="n">
        <f aca="false">IF(A90="N/A"," ",IF(OR('Pricing Inputs'!$AQ$3=3,'Pricing Inputs'!$AQ$3=6,'Pricing Inputs'!$AQ$3=9),(VLOOKUP(A90,ScaledPrice,IF(AND('Pricing Inputs'!$AQ$3&gt;=3,'Pricing Inputs'!$AQ$3&lt;=6),7,8))),0))</f>
        <v>20.8559803575134</v>
      </c>
      <c r="N90" s="279" t="n">
        <f aca="false">IF(A90="N/A"," ",IF(OR('Pricing Inputs'!$AQ$3=3,'Pricing Inputs'!$AQ$3=6,'Pricing Inputs'!$AQ$3=9),IF(AND('Pricing Inputs'!$AQ$3&gt;=3,'Pricing Inputs'!$AQ$3&lt;=6),M90,(VLOOKUP(A90,ScaledPrice,7))*(2-(VLOOKUP(A90,ScaledPrice,3)))),0))</f>
        <v>22.0730174452209</v>
      </c>
      <c r="O90" s="279" t="n">
        <f aca="false">IF(A90="N/A"," ",IF(AND('Pricing Inputs'!$AQ$3&gt;=1,'Pricing Inputs'!$AQ$3&lt;=3),VLOOKUP(A90,ScaledPrice,9),0))</f>
        <v>0</v>
      </c>
      <c r="P90" s="280" t="e">
        <f aca="false">IF($A90="N/A"," ",IF('Pricing Inputs'!$AN$8=2,(I90-H90),IF('Pricing Inputs'!$AN$3=2,IF((I90-$H90)&gt;0,I90-$H90,0),(xSPRDOPT(I90,$E90,$BU90,0,$BP90,$BS90,$BT90,($A90-Inputs!$D$1)+15,1,0)))))</f>
        <v>#NAME?</v>
      </c>
      <c r="Q90" s="280" t="e">
        <f aca="false">IF($A90="N/A"," ",IF('Pricing Inputs'!$AN$8=2,(J90-$H90),IF('Pricing Inputs'!$AN$3=2,IF((J90-$H90)&gt;0,J90-$H90,0),(xSPRDOPT(J90,$E90,$BU90,0,$BP90,$BS90,$BT90,($A90-Inputs!$D$1)+15,1,0)))))</f>
        <v>#NAME?</v>
      </c>
      <c r="R90" s="280" t="e">
        <f aca="false">IF($A90="N/A"," ",IF('Pricing Inputs'!$AN$8=2,(K90-$H90),IF('Pricing Inputs'!$AN$3=2,IF((K90-$H90)&gt;0,K90-$H90,0),(xSPRDOPT(K90,$E90,$BU90,0,$BP90,$BS90,$BT90,($A90-Inputs!$D$1)+15,1,0)))))</f>
        <v>#NAME?</v>
      </c>
      <c r="S90" s="280" t="e">
        <f aca="false">IF($A90="N/A"," ",IF('Pricing Inputs'!$AN$8=2,(L90-$H90),IF('Pricing Inputs'!$AN$3=2,IF((L90-$H90)&gt;0,L90-$H90,0),(xSPRDOPT(L90,$E90,$BU90,0,$BP90,$BS90,$BT90,($A90-Inputs!$D$1)+15,1,0)))))</f>
        <v>#NAME?</v>
      </c>
      <c r="T90" s="280" t="e">
        <f aca="false">IF($A90="N/A"," ",IF('Pricing Inputs'!$AN$8=2,(M90-$H90),IF('Pricing Inputs'!$AN$3=2,IF((M90-$H90)&gt;0,M90-$H90,0),(xSPRDOPT(M90,$E90,$BU90,0,$BP90,$BS90,$BT90,($A90-Inputs!$D$1)+15,1,0)))))</f>
        <v>#NAME?</v>
      </c>
      <c r="U90" s="280" t="e">
        <f aca="false">IF($A90="N/A"," ",IF('Pricing Inputs'!$AN$8=2,(N90-$H90),IF('Pricing Inputs'!$AN$3=2,IF((N90-$H90)&gt;0,N90-$H90,0),(xSPRDOPT(N90,$E90,$BU90,0,$BP90,$BS90,$BT90,($A90-Inputs!$D$1)+15,1,0)))))</f>
        <v>#NAME?</v>
      </c>
      <c r="V90" s="281" t="e">
        <f aca="false">IF($A90="N/A"," ",(IF('Pricing Inputs'!$AN$8=2,(O90-$H90),IF((O90-$H90)&lt;=0,0,(O90-$H90)))))</f>
        <v>#N/A</v>
      </c>
      <c r="W90" s="282" t="e">
        <f aca="false">IF($A90="N/A"," ",IF(0&lt;&gt;P90,IF('Pricing Inputs'!$AN$3=2,8*VLOOKUP($A90,NumberofDaysTable,2),(xSPRDOPT(I90,$E90,$BU90,0,$BP90,$BS90,$BT90,$A90-Inputs!$D$1,1,1))*(8*VLOOKUP($A90,NumberofDaysTable,2))),0))</f>
        <v>#NAME?</v>
      </c>
      <c r="X90" s="282" t="e">
        <f aca="false">IF($A90="N/A"," ",IF(Q90&lt;&gt;0,IF('Pricing Inputs'!$AN$3=2,8*VLOOKUP($A90,NumberofDaysTable,2),(xSPRDOPT(J90,$E90,$BU90,0,$BP90,$BS90,$BT90,$A90-Inputs!$D$1,1,1))*(8*VLOOKUP($A90,NumberofDaysTable,2))),0))</f>
        <v>#NAME?</v>
      </c>
      <c r="Y90" s="282" t="e">
        <f aca="false">IF($A90="N/A"," ",IF(R90&lt;&gt;0,IF('Pricing Inputs'!$AN$3=2,8*VLOOKUP($A90,NumberofDaysTable,3),(xSPRDOPT(K90,$E90,$BU90,0,$BP90,$BS90,$BT90,$A90-Inputs!$D$1,1,1))*(8*VLOOKUP($A90,NumberofDaysTable,3))),0))</f>
        <v>#NAME?</v>
      </c>
      <c r="Z90" s="282" t="e">
        <f aca="false">IF($A90="N/A"," ",IF(S90&lt;&gt;0,IF('Pricing Inputs'!$AN$3=2,8*VLOOKUP($A90,NumberofDaysTable,3),(xSPRDOPT(L90,$E90,$BU90,0,$BP90,$BS90,$BT90,$A90-Inputs!$D$1,1,1))*(8*VLOOKUP($A90,NumberofDaysTable,3))),0))</f>
        <v>#NAME?</v>
      </c>
      <c r="AA90" s="282" t="e">
        <f aca="false">IF($A90="N/A"," ",IF(T90&lt;&gt;0,IF('Pricing Inputs'!$AN$3=2,8*VLOOKUP($A90,NumberofDaysTable,4),(xSPRDOPT(M90,$E90,$BU90,0,$BP90,$BS90,$BT90,$A90-Inputs!$D$1,1,1))*(8*VLOOKUP($A90,NumberofDaysTable,4))),0))</f>
        <v>#NAME?</v>
      </c>
      <c r="AB90" s="282" t="e">
        <f aca="false">IF($A90="N/A"," ",IF(U90&lt;&gt;0,IF('Pricing Inputs'!$AN$3=2,8*VLOOKUP($A90,NumberofDaysTable,4),(xSPRDOPT(N90,$E90,$BU90,0,$BP90,$BS90,$BT90,$A90-Inputs!$D$1,1,1))*(8*VLOOKUP($A90,NumberofDaysTable,4))),0))</f>
        <v>#NAME?</v>
      </c>
      <c r="AC90" s="282" t="e">
        <f aca="false">IF($A90="N/A"," ",(IF(V90&lt;&gt;0,(8*VLOOKUP($A90,NumberofDaysTable,6)),0)))</f>
        <v>#N/A</v>
      </c>
      <c r="AD90" s="298" t="e">
        <f aca="false">IF($A90="N/A"," ",RANK(P90,$P$88:$V$99))</f>
        <v>#NAME?</v>
      </c>
      <c r="AE90" s="299" t="e">
        <f aca="false">IF($A90="N/A"," ",RANK(Q90,$P$88:$V$99))</f>
        <v>#NAME?</v>
      </c>
      <c r="AF90" s="299" t="e">
        <f aca="false">IF($A90="N/A"," ",RANK(R90,$P$88:$V$99))</f>
        <v>#NAME?</v>
      </c>
      <c r="AG90" s="299" t="e">
        <f aca="false">IF($A90="N/A"," ",RANK(S90,$P$88:$V$99))</f>
        <v>#NAME?</v>
      </c>
      <c r="AH90" s="299" t="e">
        <f aca="false">IF($A90="N/A"," ",RANK(T90,$P$88:$V$99))</f>
        <v>#NAME?</v>
      </c>
      <c r="AI90" s="299" t="e">
        <f aca="false">IF($A90="N/A"," ",RANK(U90,$P$88:$V$99))</f>
        <v>#NAME?</v>
      </c>
      <c r="AJ90" s="300" t="e">
        <f aca="false">IF($A90="N/A"," ",RANK(V90,$P$88:$V$99))</f>
        <v>#NAME?</v>
      </c>
      <c r="AK90" s="286" t="e">
        <f aca="false">IF($A90="N/A"," ",IF(AD90&lt;=$AJ$2,W90,0))</f>
        <v>#NAME?</v>
      </c>
      <c r="AL90" s="301" t="e">
        <f aca="false">IF($A90="N/A"," ",IF(AE90&lt;=$AJ$2,X90,0))</f>
        <v>#NAME?</v>
      </c>
      <c r="AM90" s="301" t="e">
        <f aca="false">IF($A90="N/A"," ",IF(AF90&lt;=$AJ$2,Y90,0))</f>
        <v>#NAME?</v>
      </c>
      <c r="AN90" s="301" t="e">
        <f aca="false">IF($A90="N/A"," ",IF(AG90&lt;=$AJ$2,Z90,0))</f>
        <v>#NAME?</v>
      </c>
      <c r="AO90" s="301" t="e">
        <f aca="false">IF($A90="N/A"," ",IF(AH90&lt;=$AJ$2,AA90,0))</f>
        <v>#NAME?</v>
      </c>
      <c r="AP90" s="301" t="e">
        <f aca="false">IF($A90="N/A"," ",IF(AI90&lt;=$AJ$2,AB90,0))</f>
        <v>#NAME?</v>
      </c>
      <c r="AQ90" s="301" t="e">
        <f aca="false">IF($A90="N/A"," ",IF(AJ90&lt;=$AJ$2,AC90,0))</f>
        <v>#NAME?</v>
      </c>
      <c r="AR90" s="300"/>
      <c r="AS90" s="288" t="e">
        <f aca="false">IF($A90="N/A"," ",IF(AND(AD90=$AJ$2+1,AK90=0),MIN($AR$99,W90),0))</f>
        <v>#NAME?</v>
      </c>
      <c r="AT90" s="302" t="e">
        <f aca="false">IF($A90="N/A"," ",IF(AND(AE90=$AJ$2+1,AL90=0),MIN($AR$99,X90),0))</f>
        <v>#NAME?</v>
      </c>
      <c r="AU90" s="302" t="e">
        <f aca="false">IF($A90="N/A"," ",IF(AND(AF90=$AJ$2+1,AM90=0),MIN($AR$99,Y90),0))</f>
        <v>#NAME?</v>
      </c>
      <c r="AV90" s="302" t="e">
        <f aca="false">IF($A90="N/A"," ",IF(AND(AG90=$AJ$2+1,AN90=0),MIN($AR$99,Z90),0))</f>
        <v>#NAME?</v>
      </c>
      <c r="AW90" s="302" t="e">
        <f aca="false">IF($A90="N/A"," ",IF(AND(AH90=$AJ$2+1,AO90=0),MIN($AR$99,AA90),0))</f>
        <v>#NAME?</v>
      </c>
      <c r="AX90" s="302" t="e">
        <f aca="false">IF($A90="N/A"," ",IF(AND(AI90=$AJ$2+1,AP90=0),MIN($AR$99,AB90),0))</f>
        <v>#NAME?</v>
      </c>
      <c r="AY90" s="302" t="e">
        <f aca="false">IF($A90="N/A"," ",IF(AND(AJ90=$AJ$2+1,AQ90=0),MIN($AR$99,AC90),0))</f>
        <v>#NAME?</v>
      </c>
      <c r="AZ90" s="300"/>
      <c r="BA90" s="291" t="n">
        <f aca="false">IF($A90="N/A"," ",(IF(MONTH(A90)&gt;=4,IF(MONTH(A90)&lt;=10,Inputs!$F$13,Inputs!$F$14),Inputs!$F$14))*$BW90)</f>
        <v>180</v>
      </c>
      <c r="BB90" s="292" t="e">
        <f aca="false">IF($A90="N/A"," ",(IF(AK90&gt;0,($BA90*(8*(VLOOKUP($A90,NumberofDaysTable,2)))*P90),0)+IF(AS90&gt;0,($BA90*((AS90))*P90),0)))</f>
        <v>#NAME?</v>
      </c>
      <c r="BC90" s="292" t="e">
        <f aca="false">IF($A90="N/A"," ",(IF(AL90&gt;0,($BA90*(8*(VLOOKUP($A90,NumberofDaysTable,2)))*Q90),0)+IF(AT90&gt;0,($BA90*((AT90))*Q90),0)))</f>
        <v>#NAME?</v>
      </c>
      <c r="BD90" s="292" t="e">
        <f aca="false">IF($A90="N/A"," ",(IF(AM90&gt;0,($BA90*(8*(VLOOKUP($A90,NumberofDaysTable,3)))*R90),0)+IF(AU90&gt;0,($BA90*((AU90))*R90),0)))</f>
        <v>#NAME?</v>
      </c>
      <c r="BE90" s="292" t="e">
        <f aca="false">IF($A90="N/A"," ",(IF(AN90&gt;0,($BA90*(8*(VLOOKUP($A90,NumberofDaysTable,3)))*S90),0)+IF(AV90&gt;0,($BA90*((AV90))*S90),0)))</f>
        <v>#NAME?</v>
      </c>
      <c r="BF90" s="292" t="e">
        <f aca="false">IF($A90="N/A"," ",(IF(AO90&gt;0,($BA90*(8*(VLOOKUP($A90,NumberofDaysTable,4)+VLOOKUP($A90,NumberofDaysTable,5)))*T90),0)+IF(AW90&gt;0,($BA90*((AW90))*T90),0)))</f>
        <v>#NAME?</v>
      </c>
      <c r="BG90" s="292" t="e">
        <f aca="false">IF($A90="N/A"," ",(IF(AP90&gt;0,($BA90*(8*(VLOOKUP($A90,NumberofDaysTable,4)+VLOOKUP($A90,NumberofDaysTable,5)))*U90),0)+IF(AX90&gt;0,($BA90*((AX90))*U90),0)))</f>
        <v>#NAME?</v>
      </c>
      <c r="BH90" s="292" t="e">
        <f aca="false">IF($A90="N/A"," ",($BA90*AQ90*V90))</f>
        <v>#NAME?</v>
      </c>
      <c r="BI90" s="292" t="e">
        <f aca="false">IF($A90="N/A"," ",SUM(BB90:BH90))</f>
        <v>#NAME?</v>
      </c>
      <c r="BJ90" s="293" t="e">
        <f aca="false">IF($A90="N/A"," ",(H90*(SUM(AK90:AQ90)+SUM(AS90:AY90))*BA90))</f>
        <v>#NAME?</v>
      </c>
      <c r="BK90" s="293" t="e">
        <f aca="false">IF($A90="N/A"," ",((C90*D90)*(SUM($AK90:$AQ90)+SUM($AS90:$AY90))*$BA90))</f>
        <v>#N/A</v>
      </c>
      <c r="BL90" s="293" t="e">
        <f aca="false">IF($A90="N/A"," ",(F90*(SUM($AK90:$AQ90)+SUM($AS90:$AY90))*$BA90))</f>
        <v>#NAME?</v>
      </c>
      <c r="BM90" s="293" t="e">
        <f aca="false">IF($A90="N/A"," ",(G90*(SUM($AK90:$AQ90)+SUM($AS90:$AY90))*$BA90))</f>
        <v>#NAME?</v>
      </c>
      <c r="BN90" s="294" t="n">
        <f aca="false">IF(A90="N/A"," ",(VLOOKUP(A90,PowerVolTable,(IF('Pricing Inputs'!$AT$3=2,7,IF('Pricing Inputs'!$AT$3=1,6,8))),FALSE())))</f>
        <v>0.186508433354238</v>
      </c>
      <c r="BO90" s="294" t="n">
        <f aca="false">IF(A90="N/A"," ",(VLOOKUP(A90,IntraPowerVol,(IF('Pricing Inputs'!$AT$3=2,3,IF('Pricing Inputs'!$AT$3=1,2,4))),FALSE())*VLOOKUP(MONTH($A90),Inputs!$A$28:$B$39,2)))</f>
        <v>1.495</v>
      </c>
      <c r="BP90" s="295" t="n">
        <f aca="false">IF($A90="N/A"," ",(IF(DateToday&gt;$A90,$BO90,((($BN90^2)*((($A90-1)-DateToday)/((EOMONTH($A90,0)+1)-DateToday-15)))+((($BO90)^2)*((15)/((EOMONTH($A90,0)+1)-DateToday-15))))^0.5)))</f>
        <v>1.495</v>
      </c>
      <c r="BQ90" s="294" t="e">
        <f aca="false">IF($A90="N/A"," ",(VLOOKUP($A90,GasVolTable,(IF('Pricing Inputs'!$AT$3=2,6,IF('Pricing Inputs'!$AT$3=1,7,5))),FALSE())))</f>
        <v>#N/A</v>
      </c>
      <c r="BR90" s="294" t="e">
        <f aca="false">IF($A90="N/A"," ",(VLOOKUP($A90,OmicronVol,(IF('Pricing Inputs'!$AT$3=2,3,IF('Pricing Inputs'!$AT$3=1,4,2))),FALSE())))</f>
        <v>#N/A</v>
      </c>
      <c r="BS90" s="295" t="e">
        <f aca="false">IF($A90="N/A"," ",IF('Pricing Inputs'!$AN$3=1,(IF(DateToday&gt;$A90,$BR90,((($BQ90^2)*((($A90-1)-DateToday)/((EOMONTH($A90,0)+1)-DateToday-15)))+((($BR90)^2)*((15)/((EOMONTH($A90,0)+1)-DateToday-15))))^0.5)),0.0001))</f>
        <v>#N/A</v>
      </c>
      <c r="BT90" s="294" t="n">
        <f aca="false">IF($A90="N/A"," ",IF('Pricing Inputs'!$AN$3=1,(VLOOKUP($A90,CorrelationTable,2,FALSE())),0))</f>
        <v>0.9</v>
      </c>
      <c r="BU90" s="296" t="e">
        <f aca="false">IF($A90="N/A"," ",F90+G90+(D90*(VLOOKUP($A90,'Gas Curves'!$B$17:$P$310,14,FALSE()))))</f>
        <v>#N/A</v>
      </c>
      <c r="BV90" s="294" t="n">
        <f aca="false">IF($A90="N/A"," ",IF('Pricing Inputs'!$AW$3=1,0,(VLOOKUP($A90,InterestRatesTable,2))))</f>
        <v>0</v>
      </c>
      <c r="BW90" s="297" t="n">
        <f aca="false">IF($A90="N/A"," ",(1+BV90/2)^(-2*((EOMONTH(A90,0)+20)-DateToday)/365.25))</f>
        <v>1</v>
      </c>
    </row>
    <row r="91" customFormat="false" ht="12.75" hidden="false" customHeight="false" outlineLevel="0" collapsed="false">
      <c r="A91" s="272" t="n">
        <f aca="false">IF(A90="N/A","N/A",IF(EDATE(A90,1)&gt;Inputs!$K$3,"N/A",EDATE(A90,1)))</f>
        <v>39539</v>
      </c>
      <c r="B91" s="273" t="n">
        <f aca="false">IF(A91="N/A"," ",YEAR(A91))</f>
        <v>2008</v>
      </c>
      <c r="C91" s="274" t="e">
        <f aca="false">IF(A91="N/A"," ",VLOOKUP(A91,ScaledPrice,10))</f>
        <v>#N/A</v>
      </c>
      <c r="D91" s="275" t="n">
        <f aca="false">IF(A91="N/A"," ",(VLOOKUP(MONTH($A91),Inputs!$A$14:$B$25,2))/1000)</f>
        <v>10.5</v>
      </c>
      <c r="E91" s="276" t="e">
        <f aca="false">IF($A91="N/A"," ",C91*D91)</f>
        <v>#N/A</v>
      </c>
      <c r="F91" s="277" t="n">
        <f aca="false">IF(A91="N/A"," ",Inputs!$F$6)</f>
        <v>2</v>
      </c>
      <c r="G91" s="277" t="n">
        <f aca="false">IF(A91="N/A"," ",Inputs!$F$9/IF(AND('Pricing Inputs'!$AQ$3&gt;=4,'Pricing Inputs'!$AQ$3&lt;=6),16,IF(AND('Pricing Inputs'!$AQ$3&gt;=7,'Pricing Inputs'!$AQ$3&lt;=9),8,24))/(BA91/BW91))</f>
        <v>0</v>
      </c>
      <c r="H91" s="278" t="e">
        <f aca="false">IF(A91="N/A"," ",(C91*D91)+F91+G91)</f>
        <v>#N/A</v>
      </c>
      <c r="I91" s="279" t="n">
        <f aca="false">VLOOKUP(A91,ScaledPrice,(IF(AND('Pricing Inputs'!$AQ$3&gt;=1,'Pricing Inputs'!$AQ$3&lt;=6),2,4)))</f>
        <v>29.6458977688941</v>
      </c>
      <c r="J91" s="279" t="n">
        <f aca="false">IF(A91="N/A"," ",IF(AND('Pricing Inputs'!$AQ$3&gt;=1,'Pricing Inputs'!$AQ$3&lt;=6),I91,(VLOOKUP(A91,ScaledPrice,2))*(2-(VLOOKUP(A91,ScaledPrice,3)))))</f>
        <v>34.4541022311059</v>
      </c>
      <c r="K91" s="279" t="n">
        <f aca="false">IF(A91="N/A"," ",IF(OR('Pricing Inputs'!$AQ$3=2,'Pricing Inputs'!$AQ$3=3,'Pricing Inputs'!$AQ$3=5,'Pricing Inputs'!$AQ$3=6,'Pricing Inputs'!$AQ$3=8,'Pricing Inputs'!$AQ$3=9),VLOOKUP(A91,ScaledPrice,IF(AND('Pricing Inputs'!$AQ$3&gt;=2,'Pricing Inputs'!$AQ$3&lt;=6),5,6)),0))</f>
        <v>20.828440313831</v>
      </c>
      <c r="L91" s="279" t="n">
        <f aca="false">IF(A91="N/A"," ",IF(OR('Pricing Inputs'!$AQ$3=2,'Pricing Inputs'!$AQ$3=3,'Pricing Inputs'!$AQ$3=5,'Pricing Inputs'!$AQ$3=6,'Pricing Inputs'!$AQ$3=8,'Pricing Inputs'!$AQ$3=9),IF(AND('Pricing Inputs'!$AQ$3&gt;=2,'Pricing Inputs'!$AQ$3&lt;=6),K91,(VLOOKUP(A91,ScaledPrice,5))*(2-(VLOOKUP(A91,ScaledPrice,3)))),0))</f>
        <v>24.2065602965206</v>
      </c>
      <c r="M91" s="279" t="n">
        <f aca="false">IF(A91="N/A"," ",IF(OR('Pricing Inputs'!$AQ$3=3,'Pricing Inputs'!$AQ$3=6,'Pricing Inputs'!$AQ$3=9),(VLOOKUP(A91,ScaledPrice,IF(AND('Pricing Inputs'!$AQ$3&gt;=3,'Pricing Inputs'!$AQ$3&lt;=6),7,8))),0))</f>
        <v>19.6421407794332</v>
      </c>
      <c r="N91" s="279" t="n">
        <f aca="false">IF(A91="N/A"," ",IF(OR('Pricing Inputs'!$AQ$3=3,'Pricing Inputs'!$AQ$3=6,'Pricing Inputs'!$AQ$3=9),IF(AND('Pricing Inputs'!$AQ$3&gt;=3,'Pricing Inputs'!$AQ$3&lt;=6),M91,(VLOOKUP(A91,ScaledPrice,7))*(2-(VLOOKUP(A91,ScaledPrice,3)))),0))</f>
        <v>22.8278573895121</v>
      </c>
      <c r="O91" s="279" t="n">
        <f aca="false">IF(A91="N/A"," ",IF(AND('Pricing Inputs'!$AQ$3&gt;=1,'Pricing Inputs'!$AQ$3&lt;=3),VLOOKUP(A91,ScaledPrice,9),0))</f>
        <v>0</v>
      </c>
      <c r="P91" s="280" t="e">
        <f aca="false">IF($A91="N/A"," ",IF('Pricing Inputs'!$AN$8=2,(I91-H91),IF('Pricing Inputs'!$AN$3=2,IF((I91-$H91)&gt;0,I91-$H91,0),(xSPRDOPT(I91,$E91,$BU91,0,$BP91,$BS91,$BT91,($A91-Inputs!$D$1)+15,1,0)))))</f>
        <v>#NAME?</v>
      </c>
      <c r="Q91" s="280" t="e">
        <f aca="false">IF($A91="N/A"," ",IF('Pricing Inputs'!$AN$8=2,(J91-$H91),IF('Pricing Inputs'!$AN$3=2,IF((J91-$H91)&gt;0,J91-$H91,0),(xSPRDOPT(J91,$E91,$BU91,0,$BP91,$BS91,$BT91,($A91-Inputs!$D$1)+15,1,0)))))</f>
        <v>#NAME?</v>
      </c>
      <c r="R91" s="280" t="e">
        <f aca="false">IF($A91="N/A"," ",IF('Pricing Inputs'!$AN$8=2,(K91-$H91),IF('Pricing Inputs'!$AN$3=2,IF((K91-$H91)&gt;0,K91-$H91,0),(xSPRDOPT(K91,$E91,$BU91,0,$BP91,$BS91,$BT91,($A91-Inputs!$D$1)+15,1,0)))))</f>
        <v>#NAME?</v>
      </c>
      <c r="S91" s="280" t="e">
        <f aca="false">IF($A91="N/A"," ",IF('Pricing Inputs'!$AN$8=2,(L91-$H91),IF('Pricing Inputs'!$AN$3=2,IF((L91-$H91)&gt;0,L91-$H91,0),(xSPRDOPT(L91,$E91,$BU91,0,$BP91,$BS91,$BT91,($A91-Inputs!$D$1)+15,1,0)))))</f>
        <v>#NAME?</v>
      </c>
      <c r="T91" s="280" t="e">
        <f aca="false">IF($A91="N/A"," ",IF('Pricing Inputs'!$AN$8=2,(M91-$H91),IF('Pricing Inputs'!$AN$3=2,IF((M91-$H91)&gt;0,M91-$H91,0),(xSPRDOPT(M91,$E91,$BU91,0,$BP91,$BS91,$BT91,($A91-Inputs!$D$1)+15,1,0)))))</f>
        <v>#NAME?</v>
      </c>
      <c r="U91" s="280" t="e">
        <f aca="false">IF($A91="N/A"," ",IF('Pricing Inputs'!$AN$8=2,(N91-$H91),IF('Pricing Inputs'!$AN$3=2,IF((N91-$H91)&gt;0,N91-$H91,0),(xSPRDOPT(N91,$E91,$BU91,0,$BP91,$BS91,$BT91,($A91-Inputs!$D$1)+15,1,0)))))</f>
        <v>#NAME?</v>
      </c>
      <c r="V91" s="281" t="e">
        <f aca="false">IF($A91="N/A"," ",(IF('Pricing Inputs'!$AN$8=2,(O91-$H91),IF((O91-$H91)&lt;=0,0,(O91-$H91)))))</f>
        <v>#N/A</v>
      </c>
      <c r="W91" s="282" t="e">
        <f aca="false">IF($A91="N/A"," ",IF(0&lt;&gt;P91,IF('Pricing Inputs'!$AN$3=2,8*VLOOKUP($A91,NumberofDaysTable,2),(xSPRDOPT(I91,$E91,$BU91,0,$BP91,$BS91,$BT91,$A91-Inputs!$D$1,1,1))*(8*VLOOKUP($A91,NumberofDaysTable,2))),0))</f>
        <v>#NAME?</v>
      </c>
      <c r="X91" s="282" t="e">
        <f aca="false">IF($A91="N/A"," ",IF(Q91&lt;&gt;0,IF('Pricing Inputs'!$AN$3=2,8*VLOOKUP($A91,NumberofDaysTable,2),(xSPRDOPT(J91,$E91,$BU91,0,$BP91,$BS91,$BT91,$A91-Inputs!$D$1,1,1))*(8*VLOOKUP($A91,NumberofDaysTable,2))),0))</f>
        <v>#NAME?</v>
      </c>
      <c r="Y91" s="282" t="e">
        <f aca="false">IF($A91="N/A"," ",IF(R91&lt;&gt;0,IF('Pricing Inputs'!$AN$3=2,8*VLOOKUP($A91,NumberofDaysTable,3),(xSPRDOPT(K91,$E91,$BU91,0,$BP91,$BS91,$BT91,$A91-Inputs!$D$1,1,1))*(8*VLOOKUP($A91,NumberofDaysTable,3))),0))</f>
        <v>#NAME?</v>
      </c>
      <c r="Z91" s="282" t="e">
        <f aca="false">IF($A91="N/A"," ",IF(S91&lt;&gt;0,IF('Pricing Inputs'!$AN$3=2,8*VLOOKUP($A91,NumberofDaysTable,3),(xSPRDOPT(L91,$E91,$BU91,0,$BP91,$BS91,$BT91,$A91-Inputs!$D$1,1,1))*(8*VLOOKUP($A91,NumberofDaysTable,3))),0))</f>
        <v>#NAME?</v>
      </c>
      <c r="AA91" s="282" t="e">
        <f aca="false">IF($A91="N/A"," ",IF(T91&lt;&gt;0,IF('Pricing Inputs'!$AN$3=2,8*VLOOKUP($A91,NumberofDaysTable,4),(xSPRDOPT(M91,$E91,$BU91,0,$BP91,$BS91,$BT91,$A91-Inputs!$D$1,1,1))*(8*VLOOKUP($A91,NumberofDaysTable,4))),0))</f>
        <v>#NAME?</v>
      </c>
      <c r="AB91" s="282" t="e">
        <f aca="false">IF($A91="N/A"," ",IF(U91&lt;&gt;0,IF('Pricing Inputs'!$AN$3=2,8*VLOOKUP($A91,NumberofDaysTable,4),(xSPRDOPT(N91,$E91,$BU91,0,$BP91,$BS91,$BT91,$A91-Inputs!$D$1,1,1))*(8*VLOOKUP($A91,NumberofDaysTable,4))),0))</f>
        <v>#NAME?</v>
      </c>
      <c r="AC91" s="282" t="e">
        <f aca="false">IF($A91="N/A"," ",(IF(V91&lt;&gt;0,(8*VLOOKUP($A91,NumberofDaysTable,6)),0)))</f>
        <v>#N/A</v>
      </c>
      <c r="AD91" s="298" t="e">
        <f aca="false">IF($A91="N/A"," ",RANK(P91,$P$88:$V$99))</f>
        <v>#NAME?</v>
      </c>
      <c r="AE91" s="299" t="e">
        <f aca="false">IF($A91="N/A"," ",RANK(Q91,$P$88:$V$99))</f>
        <v>#NAME?</v>
      </c>
      <c r="AF91" s="299" t="e">
        <f aca="false">IF($A91="N/A"," ",RANK(R91,$P$88:$V$99))</f>
        <v>#NAME?</v>
      </c>
      <c r="AG91" s="299" t="e">
        <f aca="false">IF($A91="N/A"," ",RANK(S91,$P$88:$V$99))</f>
        <v>#NAME?</v>
      </c>
      <c r="AH91" s="299" t="e">
        <f aca="false">IF($A91="N/A"," ",RANK(T91,$P$88:$V$99))</f>
        <v>#NAME?</v>
      </c>
      <c r="AI91" s="299" t="e">
        <f aca="false">IF($A91="N/A"," ",RANK(U91,$P$88:$V$99))</f>
        <v>#NAME?</v>
      </c>
      <c r="AJ91" s="300" t="e">
        <f aca="false">IF($A91="N/A"," ",RANK(V91,$P$88:$V$99))</f>
        <v>#NAME?</v>
      </c>
      <c r="AK91" s="286" t="e">
        <f aca="false">IF($A91="N/A"," ",IF(AD91&lt;=$AJ$2,W91,0))</f>
        <v>#NAME?</v>
      </c>
      <c r="AL91" s="301" t="e">
        <f aca="false">IF($A91="N/A"," ",IF(AE91&lt;=$AJ$2,X91,0))</f>
        <v>#NAME?</v>
      </c>
      <c r="AM91" s="301" t="e">
        <f aca="false">IF($A91="N/A"," ",IF(AF91&lt;=$AJ$2,Y91,0))</f>
        <v>#NAME?</v>
      </c>
      <c r="AN91" s="301" t="e">
        <f aca="false">IF($A91="N/A"," ",IF(AG91&lt;=$AJ$2,Z91,0))</f>
        <v>#NAME?</v>
      </c>
      <c r="AO91" s="301" t="e">
        <f aca="false">IF($A91="N/A"," ",IF(AH91&lt;=$AJ$2,AA91,0))</f>
        <v>#NAME?</v>
      </c>
      <c r="AP91" s="301" t="e">
        <f aca="false">IF($A91="N/A"," ",IF(AI91&lt;=$AJ$2,AB91,0))</f>
        <v>#NAME?</v>
      </c>
      <c r="AQ91" s="301" t="e">
        <f aca="false">IF($A91="N/A"," ",IF(AJ91&lt;=$AJ$2,AC91,0))</f>
        <v>#NAME?</v>
      </c>
      <c r="AR91" s="300"/>
      <c r="AS91" s="288" t="e">
        <f aca="false">IF($A91="N/A"," ",IF(AND(AD91=$AJ$2+1,AK91=0),MIN($AR$99,W91),0))</f>
        <v>#NAME?</v>
      </c>
      <c r="AT91" s="302" t="e">
        <f aca="false">IF($A91="N/A"," ",IF(AND(AE91=$AJ$2+1,AL91=0),MIN($AR$99,X91),0))</f>
        <v>#NAME?</v>
      </c>
      <c r="AU91" s="302" t="e">
        <f aca="false">IF($A91="N/A"," ",IF(AND(AF91=$AJ$2+1,AM91=0),MIN($AR$99,Y91),0))</f>
        <v>#NAME?</v>
      </c>
      <c r="AV91" s="302" t="e">
        <f aca="false">IF($A91="N/A"," ",IF(AND(AG91=$AJ$2+1,AN91=0),MIN($AR$99,Z91),0))</f>
        <v>#NAME?</v>
      </c>
      <c r="AW91" s="302" t="e">
        <f aca="false">IF($A91="N/A"," ",IF(AND(AH91=$AJ$2+1,AO91=0),MIN($AR$99,AA91),0))</f>
        <v>#NAME?</v>
      </c>
      <c r="AX91" s="302" t="e">
        <f aca="false">IF($A91="N/A"," ",IF(AND(AI91=$AJ$2+1,AP91=0),MIN($AR$99,AB91),0))</f>
        <v>#NAME?</v>
      </c>
      <c r="AY91" s="302" t="e">
        <f aca="false">IF($A91="N/A"," ",IF(AND(AJ91=$AJ$2+1,AQ91=0),MIN($AR$99,AC91),0))</f>
        <v>#NAME?</v>
      </c>
      <c r="AZ91" s="300"/>
      <c r="BA91" s="291" t="n">
        <f aca="false">IF($A91="N/A"," ",(IF(MONTH(A91)&gt;=4,IF(MONTH(A91)&lt;=10,Inputs!$F$13,Inputs!$F$14),Inputs!$F$14))*$BW91)</f>
        <v>180</v>
      </c>
      <c r="BB91" s="292" t="e">
        <f aca="false">IF($A91="N/A"," ",(IF(AK91&gt;0,($BA91*(8*(VLOOKUP($A91,NumberofDaysTable,2)))*P91),0)+IF(AS91&gt;0,($BA91*((AS91))*P91),0)))</f>
        <v>#NAME?</v>
      </c>
      <c r="BC91" s="292" t="e">
        <f aca="false">IF($A91="N/A"," ",(IF(AL91&gt;0,($BA91*(8*(VLOOKUP($A91,NumberofDaysTable,2)))*Q91),0)+IF(AT91&gt;0,($BA91*((AT91))*Q91),0)))</f>
        <v>#NAME?</v>
      </c>
      <c r="BD91" s="292" t="e">
        <f aca="false">IF($A91="N/A"," ",(IF(AM91&gt;0,($BA91*(8*(VLOOKUP($A91,NumberofDaysTable,3)))*R91),0)+IF(AU91&gt;0,($BA91*((AU91))*R91),0)))</f>
        <v>#NAME?</v>
      </c>
      <c r="BE91" s="292" t="e">
        <f aca="false">IF($A91="N/A"," ",(IF(AN91&gt;0,($BA91*(8*(VLOOKUP($A91,NumberofDaysTable,3)))*S91),0)+IF(AV91&gt;0,($BA91*((AV91))*S91),0)))</f>
        <v>#NAME?</v>
      </c>
      <c r="BF91" s="292" t="e">
        <f aca="false">IF($A91="N/A"," ",(IF(AO91&gt;0,($BA91*(8*(VLOOKUP($A91,NumberofDaysTable,4)+VLOOKUP($A91,NumberofDaysTable,5)))*T91),0)+IF(AW91&gt;0,($BA91*((AW91))*T91),0)))</f>
        <v>#NAME?</v>
      </c>
      <c r="BG91" s="292" t="e">
        <f aca="false">IF($A91="N/A"," ",(IF(AP91&gt;0,($BA91*(8*(VLOOKUP($A91,NumberofDaysTable,4)+VLOOKUP($A91,NumberofDaysTable,5)))*U91),0)+IF(AX91&gt;0,($BA91*((AX91))*U91),0)))</f>
        <v>#NAME?</v>
      </c>
      <c r="BH91" s="292" t="e">
        <f aca="false">IF($A91="N/A"," ",($BA91*AQ91*V91))</f>
        <v>#NAME?</v>
      </c>
      <c r="BI91" s="292" t="e">
        <f aca="false">IF($A91="N/A"," ",SUM(BB91:BH91))</f>
        <v>#NAME?</v>
      </c>
      <c r="BJ91" s="293" t="e">
        <f aca="false">IF($A91="N/A"," ",(H91*(SUM(AK91:AQ91)+SUM(AS91:AY91))*BA91))</f>
        <v>#NAME?</v>
      </c>
      <c r="BK91" s="293" t="e">
        <f aca="false">IF($A91="N/A"," ",((C91*D91)*(SUM($AK91:$AQ91)+SUM($AS91:$AY91))*$BA91))</f>
        <v>#N/A</v>
      </c>
      <c r="BL91" s="293" t="e">
        <f aca="false">IF($A91="N/A"," ",(F91*(SUM($AK91:$AQ91)+SUM($AS91:$AY91))*$BA91))</f>
        <v>#NAME?</v>
      </c>
      <c r="BM91" s="293" t="e">
        <f aca="false">IF($A91="N/A"," ",(G91*(SUM($AK91:$AQ91)+SUM($AS91:$AY91))*$BA91))</f>
        <v>#NAME?</v>
      </c>
      <c r="BN91" s="294" t="n">
        <f aca="false">IF(A91="N/A"," ",(VLOOKUP(A91,PowerVolTable,(IF('Pricing Inputs'!$AT$3=2,7,IF('Pricing Inputs'!$AT$3=1,6,8))),FALSE())))</f>
        <v>0.166239193335117</v>
      </c>
      <c r="BO91" s="294" t="n">
        <f aca="false">IF(A91="N/A"," ",(VLOOKUP(A91,IntraPowerVol,(IF('Pricing Inputs'!$AT$3=2,3,IF('Pricing Inputs'!$AT$3=1,2,4))),FALSE())*VLOOKUP(MONTH($A91),Inputs!$A$28:$B$39,2)))</f>
        <v>1.265</v>
      </c>
      <c r="BP91" s="295" t="n">
        <f aca="false">IF($A91="N/A"," ",(IF(DateToday&gt;$A91,$BO91,((($BN91^2)*((($A91-1)-DateToday)/((EOMONTH($A91,0)+1)-DateToday-15)))+((($BO91)^2)*((15)/((EOMONTH($A91,0)+1)-DateToday-15))))^0.5)))</f>
        <v>1.265</v>
      </c>
      <c r="BQ91" s="294" t="e">
        <f aca="false">IF($A91="N/A"," ",(VLOOKUP($A91,GasVolTable,(IF('Pricing Inputs'!$AT$3=2,6,IF('Pricing Inputs'!$AT$3=1,7,5))),FALSE())))</f>
        <v>#N/A</v>
      </c>
      <c r="BR91" s="294" t="e">
        <f aca="false">IF($A91="N/A"," ",(VLOOKUP($A91,OmicronVol,(IF('Pricing Inputs'!$AT$3=2,3,IF('Pricing Inputs'!$AT$3=1,4,2))),FALSE())))</f>
        <v>#N/A</v>
      </c>
      <c r="BS91" s="295" t="e">
        <f aca="false">IF($A91="N/A"," ",IF('Pricing Inputs'!$AN$3=1,(IF(DateToday&gt;$A91,$BR91,((($BQ91^2)*((($A91-1)-DateToday)/((EOMONTH($A91,0)+1)-DateToday-15)))+((($BR91)^2)*((15)/((EOMONTH($A91,0)+1)-DateToday-15))))^0.5)),0.0001))</f>
        <v>#N/A</v>
      </c>
      <c r="BT91" s="294" t="n">
        <f aca="false">IF($A91="N/A"," ",IF('Pricing Inputs'!$AN$3=1,(VLOOKUP($A91,CorrelationTable,2,FALSE())),0))</f>
        <v>0.9</v>
      </c>
      <c r="BU91" s="296" t="e">
        <f aca="false">IF($A91="N/A"," ",F91+G91+(D91*(VLOOKUP($A91,'Gas Curves'!$B$17:$P$310,14,FALSE()))))</f>
        <v>#N/A</v>
      </c>
      <c r="BV91" s="294" t="n">
        <f aca="false">IF($A91="N/A"," ",IF('Pricing Inputs'!$AW$3=1,0,(VLOOKUP($A91,InterestRatesTable,2))))</f>
        <v>0</v>
      </c>
      <c r="BW91" s="297" t="n">
        <f aca="false">IF($A91="N/A"," ",(1+BV91/2)^(-2*((EOMONTH(A91,0)+20)-DateToday)/365.25))</f>
        <v>1</v>
      </c>
    </row>
    <row r="92" customFormat="false" ht="12.75" hidden="false" customHeight="false" outlineLevel="0" collapsed="false">
      <c r="A92" s="272" t="n">
        <f aca="false">IF(A91="N/A","N/A",IF(EDATE(A91,1)&gt;Inputs!$K$3,"N/A",EDATE(A91,1)))</f>
        <v>39569</v>
      </c>
      <c r="B92" s="273" t="n">
        <f aca="false">IF(A92="N/A"," ",YEAR(A92))</f>
        <v>2008</v>
      </c>
      <c r="C92" s="274" t="e">
        <f aca="false">IF(A92="N/A"," ",VLOOKUP(A92,ScaledPrice,10))</f>
        <v>#N/A</v>
      </c>
      <c r="D92" s="275" t="n">
        <f aca="false">IF(A92="N/A"," ",(VLOOKUP(MONTH($A92),Inputs!$A$14:$B$25,2))/1000)</f>
        <v>10.5</v>
      </c>
      <c r="E92" s="276" t="e">
        <f aca="false">IF($A92="N/A"," ",C92*D92)</f>
        <v>#N/A</v>
      </c>
      <c r="F92" s="277" t="n">
        <f aca="false">IF(A92="N/A"," ",Inputs!$F$6)</f>
        <v>2</v>
      </c>
      <c r="G92" s="277" t="n">
        <f aca="false">IF(A92="N/A"," ",Inputs!$F$9/IF(AND('Pricing Inputs'!$AQ$3&gt;=4,'Pricing Inputs'!$AQ$3&lt;=6),16,IF(AND('Pricing Inputs'!$AQ$3&gt;=7,'Pricing Inputs'!$AQ$3&lt;=9),8,24))/(BA92/BW92))</f>
        <v>0</v>
      </c>
      <c r="H92" s="278" t="e">
        <f aca="false">IF(A92="N/A"," ",(C92*D92)+F92+G92)</f>
        <v>#N/A</v>
      </c>
      <c r="I92" s="279" t="n">
        <f aca="false">VLOOKUP(A92,ScaledPrice,(IF(AND('Pricing Inputs'!$AQ$3&gt;=1,'Pricing Inputs'!$AQ$3&lt;=6),2,4)))</f>
        <v>33.1087034783231</v>
      </c>
      <c r="J92" s="279" t="n">
        <f aca="false">IF(A92="N/A"," ",IF(AND('Pricing Inputs'!$AQ$3&gt;=1,'Pricing Inputs'!$AQ$3&lt;=6),I92,(VLOOKUP(A92,ScaledPrice,2))*(2-(VLOOKUP(A92,ScaledPrice,3)))))</f>
        <v>34.9912965216769</v>
      </c>
      <c r="K92" s="279" t="n">
        <f aca="false">IF(A92="N/A"," ",IF(OR('Pricing Inputs'!$AQ$3=2,'Pricing Inputs'!$AQ$3=3,'Pricing Inputs'!$AQ$3=5,'Pricing Inputs'!$AQ$3=6,'Pricing Inputs'!$AQ$3=8,'Pricing Inputs'!$AQ$3=9),VLOOKUP(A92,ScaledPrice,IF(AND('Pricing Inputs'!$AQ$3&gt;=2,'Pricing Inputs'!$AQ$3&lt;=6),5,6)),0))</f>
        <v>22.0068350660541</v>
      </c>
      <c r="L92" s="279" t="n">
        <f aca="false">IF(A92="N/A"," ",IF(OR('Pricing Inputs'!$AQ$3=2,'Pricing Inputs'!$AQ$3=3,'Pricing Inputs'!$AQ$3=5,'Pricing Inputs'!$AQ$3=6,'Pricing Inputs'!$AQ$3=8,'Pricing Inputs'!$AQ$3=9),IF(AND('Pricing Inputs'!$AQ$3&gt;=2,'Pricing Inputs'!$AQ$3&lt;=6),K92,(VLOOKUP(A92,ScaledPrice,5))*(2-(VLOOKUP(A92,ScaledPrice,3)))),0))</f>
        <v>23.2581650865338</v>
      </c>
      <c r="M92" s="279" t="n">
        <f aca="false">IF(A92="N/A"," ",IF(OR('Pricing Inputs'!$AQ$3=3,'Pricing Inputs'!$AQ$3=6,'Pricing Inputs'!$AQ$3=9),(VLOOKUP(A92,ScaledPrice,IF(AND('Pricing Inputs'!$AQ$3&gt;=3,'Pricing Inputs'!$AQ$3&lt;=6),7,8))),0))</f>
        <v>21.1633164061005</v>
      </c>
      <c r="N92" s="279" t="n">
        <f aca="false">IF(A92="N/A"," ",IF(OR('Pricing Inputs'!$AQ$3=3,'Pricing Inputs'!$AQ$3=6,'Pricing Inputs'!$AQ$3=9),IF(AND('Pricing Inputs'!$AQ$3&gt;=3,'Pricing Inputs'!$AQ$3&lt;=6),M92,(VLOOKUP(A92,ScaledPrice,7))*(2-(VLOOKUP(A92,ScaledPrice,3)))),0))</f>
        <v>22.3666831361358</v>
      </c>
      <c r="O92" s="279" t="n">
        <f aca="false">IF(A92="N/A"," ",IF(AND('Pricing Inputs'!$AQ$3&gt;=1,'Pricing Inputs'!$AQ$3&lt;=3),VLOOKUP(A92,ScaledPrice,9),0))</f>
        <v>0</v>
      </c>
      <c r="P92" s="280" t="e">
        <f aca="false">IF($A92="N/A"," ",IF('Pricing Inputs'!$AN$8=2,(I92-H92),IF('Pricing Inputs'!$AN$3=2,IF((I92-$H92)&gt;0,I92-$H92,0),(xSPRDOPT(I92,$E92,$BU92,0,$BP92,$BS92,$BT92,($A92-Inputs!$D$1)+15,1,0)))))</f>
        <v>#NAME?</v>
      </c>
      <c r="Q92" s="280" t="e">
        <f aca="false">IF($A92="N/A"," ",IF('Pricing Inputs'!$AN$8=2,(J92-$H92),IF('Pricing Inputs'!$AN$3=2,IF((J92-$H92)&gt;0,J92-$H92,0),(xSPRDOPT(J92,$E92,$BU92,0,$BP92,$BS92,$BT92,($A92-Inputs!$D$1)+15,1,0)))))</f>
        <v>#NAME?</v>
      </c>
      <c r="R92" s="280" t="e">
        <f aca="false">IF($A92="N/A"," ",IF('Pricing Inputs'!$AN$8=2,(K92-$H92),IF('Pricing Inputs'!$AN$3=2,IF((K92-$H92)&gt;0,K92-$H92,0),(xSPRDOPT(K92,$E92,$BU92,0,$BP92,$BS92,$BT92,($A92-Inputs!$D$1)+15,1,0)))))</f>
        <v>#NAME?</v>
      </c>
      <c r="S92" s="280" t="e">
        <f aca="false">IF($A92="N/A"," ",IF('Pricing Inputs'!$AN$8=2,(L92-$H92),IF('Pricing Inputs'!$AN$3=2,IF((L92-$H92)&gt;0,L92-$H92,0),(xSPRDOPT(L92,$E92,$BU92,0,$BP92,$BS92,$BT92,($A92-Inputs!$D$1)+15,1,0)))))</f>
        <v>#NAME?</v>
      </c>
      <c r="T92" s="280" t="e">
        <f aca="false">IF($A92="N/A"," ",IF('Pricing Inputs'!$AN$8=2,(M92-$H92),IF('Pricing Inputs'!$AN$3=2,IF((M92-$H92)&gt;0,M92-$H92,0),(xSPRDOPT(M92,$E92,$BU92,0,$BP92,$BS92,$BT92,($A92-Inputs!$D$1)+15,1,0)))))</f>
        <v>#NAME?</v>
      </c>
      <c r="U92" s="280" t="e">
        <f aca="false">IF($A92="N/A"," ",IF('Pricing Inputs'!$AN$8=2,(N92-$H92),IF('Pricing Inputs'!$AN$3=2,IF((N92-$H92)&gt;0,N92-$H92,0),(xSPRDOPT(N92,$E92,$BU92,0,$BP92,$BS92,$BT92,($A92-Inputs!$D$1)+15,1,0)))))</f>
        <v>#NAME?</v>
      </c>
      <c r="V92" s="281" t="e">
        <f aca="false">IF($A92="N/A"," ",(IF('Pricing Inputs'!$AN$8=2,(O92-$H92),IF((O92-$H92)&lt;=0,0,(O92-$H92)))))</f>
        <v>#N/A</v>
      </c>
      <c r="W92" s="282" t="e">
        <f aca="false">IF($A92="N/A"," ",IF(0&lt;&gt;P92,IF('Pricing Inputs'!$AN$3=2,8*VLOOKUP($A92,NumberofDaysTable,2),(xSPRDOPT(I92,$E92,$BU92,0,$BP92,$BS92,$BT92,$A92-Inputs!$D$1,1,1))*(8*VLOOKUP($A92,NumberofDaysTable,2))),0))</f>
        <v>#NAME?</v>
      </c>
      <c r="X92" s="282" t="e">
        <f aca="false">IF($A92="N/A"," ",IF(Q92&lt;&gt;0,IF('Pricing Inputs'!$AN$3=2,8*VLOOKUP($A92,NumberofDaysTable,2),(xSPRDOPT(J92,$E92,$BU92,0,$BP92,$BS92,$BT92,$A92-Inputs!$D$1,1,1))*(8*VLOOKUP($A92,NumberofDaysTable,2))),0))</f>
        <v>#NAME?</v>
      </c>
      <c r="Y92" s="282" t="e">
        <f aca="false">IF($A92="N/A"," ",IF(R92&lt;&gt;0,IF('Pricing Inputs'!$AN$3=2,8*VLOOKUP($A92,NumberofDaysTable,3),(xSPRDOPT(K92,$E92,$BU92,0,$BP92,$BS92,$BT92,$A92-Inputs!$D$1,1,1))*(8*VLOOKUP($A92,NumberofDaysTable,3))),0))</f>
        <v>#NAME?</v>
      </c>
      <c r="Z92" s="282" t="e">
        <f aca="false">IF($A92="N/A"," ",IF(S92&lt;&gt;0,IF('Pricing Inputs'!$AN$3=2,8*VLOOKUP($A92,NumberofDaysTable,3),(xSPRDOPT(L92,$E92,$BU92,0,$BP92,$BS92,$BT92,$A92-Inputs!$D$1,1,1))*(8*VLOOKUP($A92,NumberofDaysTable,3))),0))</f>
        <v>#NAME?</v>
      </c>
      <c r="AA92" s="282" t="e">
        <f aca="false">IF($A92="N/A"," ",IF(T92&lt;&gt;0,IF('Pricing Inputs'!$AN$3=2,8*VLOOKUP($A92,NumberofDaysTable,4),(xSPRDOPT(M92,$E92,$BU92,0,$BP92,$BS92,$BT92,$A92-Inputs!$D$1,1,1))*(8*VLOOKUP($A92,NumberofDaysTable,4))),0))</f>
        <v>#NAME?</v>
      </c>
      <c r="AB92" s="282" t="e">
        <f aca="false">IF($A92="N/A"," ",IF(U92&lt;&gt;0,IF('Pricing Inputs'!$AN$3=2,8*VLOOKUP($A92,NumberofDaysTable,4),(xSPRDOPT(N92,$E92,$BU92,0,$BP92,$BS92,$BT92,$A92-Inputs!$D$1,1,1))*(8*VLOOKUP($A92,NumberofDaysTable,4))),0))</f>
        <v>#NAME?</v>
      </c>
      <c r="AC92" s="282" t="e">
        <f aca="false">IF($A92="N/A"," ",(IF(V92&lt;&gt;0,(8*VLOOKUP($A92,NumberofDaysTable,6)),0)))</f>
        <v>#N/A</v>
      </c>
      <c r="AD92" s="298" t="e">
        <f aca="false">IF($A92="N/A"," ",RANK(P92,$P$88:$V$99))</f>
        <v>#NAME?</v>
      </c>
      <c r="AE92" s="299" t="e">
        <f aca="false">IF($A92="N/A"," ",RANK(Q92,$P$88:$V$99))</f>
        <v>#NAME?</v>
      </c>
      <c r="AF92" s="299" t="e">
        <f aca="false">IF($A92="N/A"," ",RANK(R92,$P$88:$V$99))</f>
        <v>#NAME?</v>
      </c>
      <c r="AG92" s="299" t="e">
        <f aca="false">IF($A92="N/A"," ",RANK(S92,$P$88:$V$99))</f>
        <v>#NAME?</v>
      </c>
      <c r="AH92" s="299" t="e">
        <f aca="false">IF($A92="N/A"," ",RANK(T92,$P$88:$V$99))</f>
        <v>#NAME?</v>
      </c>
      <c r="AI92" s="299" t="e">
        <f aca="false">IF($A92="N/A"," ",RANK(U92,$P$88:$V$99))</f>
        <v>#NAME?</v>
      </c>
      <c r="AJ92" s="300" t="e">
        <f aca="false">IF($A92="N/A"," ",RANK(V92,$P$88:$V$99))</f>
        <v>#NAME?</v>
      </c>
      <c r="AK92" s="286" t="e">
        <f aca="false">IF($A92="N/A"," ",IF(AD92&lt;=$AJ$2,W92,0))</f>
        <v>#NAME?</v>
      </c>
      <c r="AL92" s="301" t="e">
        <f aca="false">IF($A92="N/A"," ",IF(AE92&lt;=$AJ$2,X92,0))</f>
        <v>#NAME?</v>
      </c>
      <c r="AM92" s="301" t="e">
        <f aca="false">IF($A92="N/A"," ",IF(AF92&lt;=$AJ$2,Y92,0))</f>
        <v>#NAME?</v>
      </c>
      <c r="AN92" s="301" t="e">
        <f aca="false">IF($A92="N/A"," ",IF(AG92&lt;=$AJ$2,Z92,0))</f>
        <v>#NAME?</v>
      </c>
      <c r="AO92" s="301" t="e">
        <f aca="false">IF($A92="N/A"," ",IF(AH92&lt;=$AJ$2,AA92,0))</f>
        <v>#NAME?</v>
      </c>
      <c r="AP92" s="301" t="e">
        <f aca="false">IF($A92="N/A"," ",IF(AI92&lt;=$AJ$2,AB92,0))</f>
        <v>#NAME?</v>
      </c>
      <c r="AQ92" s="301" t="e">
        <f aca="false">IF($A92="N/A"," ",IF(AJ92&lt;=$AJ$2,AC92,0))</f>
        <v>#NAME?</v>
      </c>
      <c r="AR92" s="300"/>
      <c r="AS92" s="288" t="e">
        <f aca="false">IF($A92="N/A"," ",IF(AND(AD92=$AJ$2+1,AK92=0),MIN($AR$99,W92),0))</f>
        <v>#NAME?</v>
      </c>
      <c r="AT92" s="302" t="e">
        <f aca="false">IF($A92="N/A"," ",IF(AND(AE92=$AJ$2+1,AL92=0),MIN($AR$99,X92),0))</f>
        <v>#NAME?</v>
      </c>
      <c r="AU92" s="302" t="e">
        <f aca="false">IF($A92="N/A"," ",IF(AND(AF92=$AJ$2+1,AM92=0),MIN($AR$99,Y92),0))</f>
        <v>#NAME?</v>
      </c>
      <c r="AV92" s="302" t="e">
        <f aca="false">IF($A92="N/A"," ",IF(AND(AG92=$AJ$2+1,AN92=0),MIN($AR$99,Z92),0))</f>
        <v>#NAME?</v>
      </c>
      <c r="AW92" s="302" t="e">
        <f aca="false">IF($A92="N/A"," ",IF(AND(AH92=$AJ$2+1,AO92=0),MIN($AR$99,AA92),0))</f>
        <v>#NAME?</v>
      </c>
      <c r="AX92" s="302" t="e">
        <f aca="false">IF($A92="N/A"," ",IF(AND(AI92=$AJ$2+1,AP92=0),MIN($AR$99,AB92),0))</f>
        <v>#NAME?</v>
      </c>
      <c r="AY92" s="302" t="e">
        <f aca="false">IF($A92="N/A"," ",IF(AND(AJ92=$AJ$2+1,AQ92=0),MIN($AR$99,AC92),0))</f>
        <v>#NAME?</v>
      </c>
      <c r="AZ92" s="300"/>
      <c r="BA92" s="291" t="n">
        <f aca="false">IF($A92="N/A"," ",(IF(MONTH(A92)&gt;=4,IF(MONTH(A92)&lt;=10,Inputs!$F$13,Inputs!$F$14),Inputs!$F$14))*$BW92)</f>
        <v>180</v>
      </c>
      <c r="BB92" s="292" t="e">
        <f aca="false">IF($A92="N/A"," ",(IF(AK92&gt;0,($BA92*(8*(VLOOKUP($A92,NumberofDaysTable,2)))*P92),0)+IF(AS92&gt;0,($BA92*((AS92))*P92),0)))</f>
        <v>#NAME?</v>
      </c>
      <c r="BC92" s="292" t="e">
        <f aca="false">IF($A92="N/A"," ",(IF(AL92&gt;0,($BA92*(8*(VLOOKUP($A92,NumberofDaysTable,2)))*Q92),0)+IF(AT92&gt;0,($BA92*((AT92))*Q92),0)))</f>
        <v>#NAME?</v>
      </c>
      <c r="BD92" s="292" t="e">
        <f aca="false">IF($A92="N/A"," ",(IF(AM92&gt;0,($BA92*(8*(VLOOKUP($A92,NumberofDaysTable,3)))*R92),0)+IF(AU92&gt;0,($BA92*((AU92))*R92),0)))</f>
        <v>#NAME?</v>
      </c>
      <c r="BE92" s="292" t="e">
        <f aca="false">IF($A92="N/A"," ",(IF(AN92&gt;0,($BA92*(8*(VLOOKUP($A92,NumberofDaysTable,3)))*S92),0)+IF(AV92&gt;0,($BA92*((AV92))*S92),0)))</f>
        <v>#NAME?</v>
      </c>
      <c r="BF92" s="292" t="e">
        <f aca="false">IF($A92="N/A"," ",(IF(AO92&gt;0,($BA92*(8*(VLOOKUP($A92,NumberofDaysTable,4)+VLOOKUP($A92,NumberofDaysTable,5)))*T92),0)+IF(AW92&gt;0,($BA92*((AW92))*T92),0)))</f>
        <v>#NAME?</v>
      </c>
      <c r="BG92" s="292" t="e">
        <f aca="false">IF($A92="N/A"," ",(IF(AP92&gt;0,($BA92*(8*(VLOOKUP($A92,NumberofDaysTable,4)+VLOOKUP($A92,NumberofDaysTable,5)))*U92),0)+IF(AX92&gt;0,($BA92*((AX92))*U92),0)))</f>
        <v>#NAME?</v>
      </c>
      <c r="BH92" s="292" t="e">
        <f aca="false">IF($A92="N/A"," ",($BA92*AQ92*V92))</f>
        <v>#NAME?</v>
      </c>
      <c r="BI92" s="292" t="e">
        <f aca="false">IF($A92="N/A"," ",SUM(BB92:BH92))</f>
        <v>#NAME?</v>
      </c>
      <c r="BJ92" s="293" t="e">
        <f aca="false">IF($A92="N/A"," ",(H92*(SUM(AK92:AQ92)+SUM(AS92:AY92))*BA92))</f>
        <v>#NAME?</v>
      </c>
      <c r="BK92" s="293" t="e">
        <f aca="false">IF($A92="N/A"," ",((C92*D92)*(SUM($AK92:$AQ92)+SUM($AS92:$AY92))*$BA92))</f>
        <v>#N/A</v>
      </c>
      <c r="BL92" s="293" t="e">
        <f aca="false">IF($A92="N/A"," ",(F92*(SUM($AK92:$AQ92)+SUM($AS92:$AY92))*$BA92))</f>
        <v>#NAME?</v>
      </c>
      <c r="BM92" s="293" t="e">
        <f aca="false">IF($A92="N/A"," ",(G92*(SUM($AK92:$AQ92)+SUM($AS92:$AY92))*$BA92))</f>
        <v>#NAME?</v>
      </c>
      <c r="BN92" s="294" t="n">
        <f aca="false">IF(A92="N/A"," ",(VLOOKUP(A92,PowerVolTable,(IF('Pricing Inputs'!$AT$3=2,7,IF('Pricing Inputs'!$AT$3=1,6,8))),FALSE())))</f>
        <v>0.191379335994492</v>
      </c>
      <c r="BO92" s="294" t="n">
        <f aca="false">IF(A92="N/A"," ",(VLOOKUP(A92,IntraPowerVol,(IF('Pricing Inputs'!$AT$3=2,3,IF('Pricing Inputs'!$AT$3=1,2,4))),FALSE())*VLOOKUP(MONTH($A92),Inputs!$A$28:$B$39,2)))</f>
        <v>1.265</v>
      </c>
      <c r="BP92" s="295" t="n">
        <f aca="false">IF($A92="N/A"," ",(IF(DateToday&gt;$A92,$BO92,((($BN92^2)*((($A92-1)-DateToday)/((EOMONTH($A92,0)+1)-DateToday-15)))+((($BO92)^2)*((15)/((EOMONTH($A92,0)+1)-DateToday-15))))^0.5)))</f>
        <v>1.265</v>
      </c>
      <c r="BQ92" s="294" t="e">
        <f aca="false">IF($A92="N/A"," ",(VLOOKUP($A92,GasVolTable,(IF('Pricing Inputs'!$AT$3=2,6,IF('Pricing Inputs'!$AT$3=1,7,5))),FALSE())))</f>
        <v>#N/A</v>
      </c>
      <c r="BR92" s="294" t="e">
        <f aca="false">IF($A92="N/A"," ",(VLOOKUP($A92,OmicronVol,(IF('Pricing Inputs'!$AT$3=2,3,IF('Pricing Inputs'!$AT$3=1,4,2))),FALSE())))</f>
        <v>#N/A</v>
      </c>
      <c r="BS92" s="295" t="e">
        <f aca="false">IF($A92="N/A"," ",IF('Pricing Inputs'!$AN$3=1,(IF(DateToday&gt;$A92,$BR92,((($BQ92^2)*((($A92-1)-DateToday)/((EOMONTH($A92,0)+1)-DateToday-15)))+((($BR92)^2)*((15)/((EOMONTH($A92,0)+1)-DateToday-15))))^0.5)),0.0001))</f>
        <v>#N/A</v>
      </c>
      <c r="BT92" s="294" t="n">
        <f aca="false">IF($A92="N/A"," ",IF('Pricing Inputs'!$AN$3=1,(VLOOKUP($A92,CorrelationTable,2,FALSE())),0))</f>
        <v>0.9</v>
      </c>
      <c r="BU92" s="296" t="e">
        <f aca="false">IF($A92="N/A"," ",F92+G92+(D92*(VLOOKUP($A92,'Gas Curves'!$B$17:$P$310,14,FALSE()))))</f>
        <v>#N/A</v>
      </c>
      <c r="BV92" s="294" t="n">
        <f aca="false">IF($A92="N/A"," ",IF('Pricing Inputs'!$AW$3=1,0,(VLOOKUP($A92,InterestRatesTable,2))))</f>
        <v>0</v>
      </c>
      <c r="BW92" s="297" t="n">
        <f aca="false">IF($A92="N/A"," ",(1+BV92/2)^(-2*((EOMONTH(A92,0)+20)-DateToday)/365.25))</f>
        <v>1</v>
      </c>
    </row>
    <row r="93" customFormat="false" ht="12.75" hidden="false" customHeight="false" outlineLevel="0" collapsed="false">
      <c r="A93" s="272" t="n">
        <f aca="false">IF(A92="N/A","N/A",IF(EDATE(A92,1)&gt;Inputs!$K$3,"N/A",EDATE(A92,1)))</f>
        <v>39600</v>
      </c>
      <c r="B93" s="273" t="n">
        <f aca="false">IF(A93="N/A"," ",YEAR(A93))</f>
        <v>2008</v>
      </c>
      <c r="C93" s="274" t="e">
        <f aca="false">IF(A93="N/A"," ",VLOOKUP(A93,ScaledPrice,10))</f>
        <v>#N/A</v>
      </c>
      <c r="D93" s="275" t="n">
        <f aca="false">IF(A93="N/A"," ",(VLOOKUP(MONTH($A93),Inputs!$A$14:$B$25,2))/1000)</f>
        <v>10.5</v>
      </c>
      <c r="E93" s="276" t="e">
        <f aca="false">IF($A93="N/A"," ",C93*D93)</f>
        <v>#N/A</v>
      </c>
      <c r="F93" s="277" t="n">
        <f aca="false">IF(A93="N/A"," ",Inputs!$F$6)</f>
        <v>2</v>
      </c>
      <c r="G93" s="277" t="n">
        <f aca="false">IF(A93="N/A"," ",Inputs!$F$9/IF(AND('Pricing Inputs'!$AQ$3&gt;=4,'Pricing Inputs'!$AQ$3&lt;=6),16,IF(AND('Pricing Inputs'!$AQ$3&gt;=7,'Pricing Inputs'!$AQ$3&lt;=9),8,24))/(BA93/BW93))</f>
        <v>0</v>
      </c>
      <c r="H93" s="278" t="e">
        <f aca="false">IF(A93="N/A"," ",(C93*D93)+F93+G93)</f>
        <v>#N/A</v>
      </c>
      <c r="I93" s="279" t="n">
        <f aca="false">VLOOKUP(A93,ScaledPrice,(IF(AND('Pricing Inputs'!$AQ$3&gt;=1,'Pricing Inputs'!$AQ$3&lt;=6),2,4)))</f>
        <v>57.2997106068867</v>
      </c>
      <c r="J93" s="279" t="n">
        <f aca="false">IF(A93="N/A"," ",IF(AND('Pricing Inputs'!$AQ$3&gt;=1,'Pricing Inputs'!$AQ$3&lt;=6),I93,(VLOOKUP(A93,ScaledPrice,2))*(2-(VLOOKUP(A93,ScaledPrice,3)))))</f>
        <v>43.2002893931133</v>
      </c>
      <c r="K93" s="279" t="n">
        <f aca="false">IF(A93="N/A"," ",IF(OR('Pricing Inputs'!$AQ$3=2,'Pricing Inputs'!$AQ$3=3,'Pricing Inputs'!$AQ$3=5,'Pricing Inputs'!$AQ$3=6,'Pricing Inputs'!$AQ$3=8,'Pricing Inputs'!$AQ$3=9),VLOOKUP(A93,ScaledPrice,IF(AND('Pricing Inputs'!$AQ$3&gt;=2,'Pricing Inputs'!$AQ$3&lt;=6),5,6)),0))</f>
        <v>30.8548965796485</v>
      </c>
      <c r="L93" s="279" t="n">
        <f aca="false">IF(A93="N/A"," ",IF(OR('Pricing Inputs'!$AQ$3=2,'Pricing Inputs'!$AQ$3=3,'Pricing Inputs'!$AQ$3=5,'Pricing Inputs'!$AQ$3=6,'Pricing Inputs'!$AQ$3=8,'Pricing Inputs'!$AQ$3=9),IF(AND('Pricing Inputs'!$AQ$3&gt;=2,'Pricing Inputs'!$AQ$3&lt;=6),K93,(VLOOKUP(A93,ScaledPrice,5))*(2-(VLOOKUP(A93,ScaledPrice,3)))),0))</f>
        <v>23.2626037255273</v>
      </c>
      <c r="M93" s="279" t="n">
        <f aca="false">IF(A93="N/A"," ",IF(OR('Pricing Inputs'!$AQ$3=3,'Pricing Inputs'!$AQ$3=6,'Pricing Inputs'!$AQ$3=9),(VLOOKUP(A93,ScaledPrice,IF(AND('Pricing Inputs'!$AQ$3&gt;=3,'Pricing Inputs'!$AQ$3&lt;=6),7,8))),0))</f>
        <v>23.4244632619352</v>
      </c>
      <c r="N93" s="279" t="n">
        <f aca="false">IF(A93="N/A"," ",IF(OR('Pricing Inputs'!$AQ$3=3,'Pricing Inputs'!$AQ$3=6,'Pricing Inputs'!$AQ$3=9),IF(AND('Pricing Inputs'!$AQ$3&gt;=3,'Pricing Inputs'!$AQ$3&lt;=6),M93,(VLOOKUP(A93,ScaledPrice,7))*(2-(VLOOKUP(A93,ScaledPrice,3)))),0))</f>
        <v>17.6605358225374</v>
      </c>
      <c r="O93" s="279" t="n">
        <f aca="false">IF(A93="N/A"," ",IF(AND('Pricing Inputs'!$AQ$3&gt;=1,'Pricing Inputs'!$AQ$3&lt;=3),VLOOKUP(A93,ScaledPrice,9),0))</f>
        <v>0</v>
      </c>
      <c r="P93" s="280" t="e">
        <f aca="false">IF($A93="N/A"," ",IF('Pricing Inputs'!$AN$8=2,(I93-H93),IF('Pricing Inputs'!$AN$3=2,IF((I93-$H93)&gt;0,I93-$H93,0),(xSPRDOPT(I93,$E93,$BU93,0,$BP93,$BS93,$BT93,($A93-Inputs!$D$1)+15,1,0)))))</f>
        <v>#NAME?</v>
      </c>
      <c r="Q93" s="280" t="e">
        <f aca="false">IF($A93="N/A"," ",IF('Pricing Inputs'!$AN$8=2,(J93-$H93),IF('Pricing Inputs'!$AN$3=2,IF((J93-$H93)&gt;0,J93-$H93,0),(xSPRDOPT(J93,$E93,$BU93,0,$BP93,$BS93,$BT93,($A93-Inputs!$D$1)+15,1,0)))))</f>
        <v>#NAME?</v>
      </c>
      <c r="R93" s="280" t="e">
        <f aca="false">IF($A93="N/A"," ",IF('Pricing Inputs'!$AN$8=2,(K93-$H93),IF('Pricing Inputs'!$AN$3=2,IF((K93-$H93)&gt;0,K93-$H93,0),(xSPRDOPT(K93,$E93,$BU93,0,$BP93,$BS93,$BT93,($A93-Inputs!$D$1)+15,1,0)))))</f>
        <v>#NAME?</v>
      </c>
      <c r="S93" s="280" t="e">
        <f aca="false">IF($A93="N/A"," ",IF('Pricing Inputs'!$AN$8=2,(L93-$H93),IF('Pricing Inputs'!$AN$3=2,IF((L93-$H93)&gt;0,L93-$H93,0),(xSPRDOPT(L93,$E93,$BU93,0,$BP93,$BS93,$BT93,($A93-Inputs!$D$1)+15,1,0)))))</f>
        <v>#NAME?</v>
      </c>
      <c r="T93" s="280" t="e">
        <f aca="false">IF($A93="N/A"," ",IF('Pricing Inputs'!$AN$8=2,(M93-$H93),IF('Pricing Inputs'!$AN$3=2,IF((M93-$H93)&gt;0,M93-$H93,0),(xSPRDOPT(M93,$E93,$BU93,0,$BP93,$BS93,$BT93,($A93-Inputs!$D$1)+15,1,0)))))</f>
        <v>#NAME?</v>
      </c>
      <c r="U93" s="280" t="e">
        <f aca="false">IF($A93="N/A"," ",IF('Pricing Inputs'!$AN$8=2,(N93-$H93),IF('Pricing Inputs'!$AN$3=2,IF((N93-$H93)&gt;0,N93-$H93,0),(xSPRDOPT(N93,$E93,$BU93,0,$BP93,$BS93,$BT93,($A93-Inputs!$D$1)+15,1,0)))))</f>
        <v>#NAME?</v>
      </c>
      <c r="V93" s="281" t="e">
        <f aca="false">IF($A93="N/A"," ",(IF('Pricing Inputs'!$AN$8=2,(O93-$H93),IF((O93-$H93)&lt;=0,0,(O93-$H93)))))</f>
        <v>#N/A</v>
      </c>
      <c r="W93" s="282" t="e">
        <f aca="false">IF($A93="N/A"," ",IF(0&lt;&gt;P93,IF('Pricing Inputs'!$AN$3=2,8*VLOOKUP($A93,NumberofDaysTable,2),(xSPRDOPT(I93,$E93,$BU93,0,$BP93,$BS93,$BT93,$A93-Inputs!$D$1,1,1))*(8*VLOOKUP($A93,NumberofDaysTable,2))),0))</f>
        <v>#NAME?</v>
      </c>
      <c r="X93" s="282" t="e">
        <f aca="false">IF($A93="N/A"," ",IF(Q93&lt;&gt;0,IF('Pricing Inputs'!$AN$3=2,8*VLOOKUP($A93,NumberofDaysTable,2),(xSPRDOPT(J93,$E93,$BU93,0,$BP93,$BS93,$BT93,$A93-Inputs!$D$1,1,1))*(8*VLOOKUP($A93,NumberofDaysTable,2))),0))</f>
        <v>#NAME?</v>
      </c>
      <c r="Y93" s="282" t="e">
        <f aca="false">IF($A93="N/A"," ",IF(R93&lt;&gt;0,IF('Pricing Inputs'!$AN$3=2,8*VLOOKUP($A93,NumberofDaysTable,3),(xSPRDOPT(K93,$E93,$BU93,0,$BP93,$BS93,$BT93,$A93-Inputs!$D$1,1,1))*(8*VLOOKUP($A93,NumberofDaysTable,3))),0))</f>
        <v>#NAME?</v>
      </c>
      <c r="Z93" s="282" t="e">
        <f aca="false">IF($A93="N/A"," ",IF(S93&lt;&gt;0,IF('Pricing Inputs'!$AN$3=2,8*VLOOKUP($A93,NumberofDaysTable,3),(xSPRDOPT(L93,$E93,$BU93,0,$BP93,$BS93,$BT93,$A93-Inputs!$D$1,1,1))*(8*VLOOKUP($A93,NumberofDaysTable,3))),0))</f>
        <v>#NAME?</v>
      </c>
      <c r="AA93" s="282" t="e">
        <f aca="false">IF($A93="N/A"," ",IF(T93&lt;&gt;0,IF('Pricing Inputs'!$AN$3=2,8*VLOOKUP($A93,NumberofDaysTable,4),(xSPRDOPT(M93,$E93,$BU93,0,$BP93,$BS93,$BT93,$A93-Inputs!$D$1,1,1))*(8*VLOOKUP($A93,NumberofDaysTable,4))),0))</f>
        <v>#NAME?</v>
      </c>
      <c r="AB93" s="282" t="e">
        <f aca="false">IF($A93="N/A"," ",IF(U93&lt;&gt;0,IF('Pricing Inputs'!$AN$3=2,8*VLOOKUP($A93,NumberofDaysTable,4),(xSPRDOPT(N93,$E93,$BU93,0,$BP93,$BS93,$BT93,$A93-Inputs!$D$1,1,1))*(8*VLOOKUP($A93,NumberofDaysTable,4))),0))</f>
        <v>#NAME?</v>
      </c>
      <c r="AC93" s="282" t="e">
        <f aca="false">IF($A93="N/A"," ",(IF(V93&lt;&gt;0,(8*VLOOKUP($A93,NumberofDaysTable,6)),0)))</f>
        <v>#N/A</v>
      </c>
      <c r="AD93" s="298" t="e">
        <f aca="false">IF($A93="N/A"," ",RANK(P93,$P$88:$V$99))</f>
        <v>#NAME?</v>
      </c>
      <c r="AE93" s="299" t="e">
        <f aca="false">IF($A93="N/A"," ",RANK(Q93,$P$88:$V$99))</f>
        <v>#NAME?</v>
      </c>
      <c r="AF93" s="299" t="e">
        <f aca="false">IF($A93="N/A"," ",RANK(R93,$P$88:$V$99))</f>
        <v>#NAME?</v>
      </c>
      <c r="AG93" s="299" t="e">
        <f aca="false">IF($A93="N/A"," ",RANK(S93,$P$88:$V$99))</f>
        <v>#NAME?</v>
      </c>
      <c r="AH93" s="299" t="e">
        <f aca="false">IF($A93="N/A"," ",RANK(T93,$P$88:$V$99))</f>
        <v>#NAME?</v>
      </c>
      <c r="AI93" s="299" t="e">
        <f aca="false">IF($A93="N/A"," ",RANK(U93,$P$88:$V$99))</f>
        <v>#NAME?</v>
      </c>
      <c r="AJ93" s="300" t="e">
        <f aca="false">IF($A93="N/A"," ",RANK(V93,$P$88:$V$99))</f>
        <v>#NAME?</v>
      </c>
      <c r="AK93" s="286" t="e">
        <f aca="false">IF($A93="N/A"," ",IF(AD93&lt;=$AJ$2,W93,0))</f>
        <v>#NAME?</v>
      </c>
      <c r="AL93" s="301" t="e">
        <f aca="false">IF($A93="N/A"," ",IF(AE93&lt;=$AJ$2,X93,0))</f>
        <v>#NAME?</v>
      </c>
      <c r="AM93" s="301" t="e">
        <f aca="false">IF($A93="N/A"," ",IF(AF93&lt;=$AJ$2,Y93,0))</f>
        <v>#NAME?</v>
      </c>
      <c r="AN93" s="301" t="e">
        <f aca="false">IF($A93="N/A"," ",IF(AG93&lt;=$AJ$2,Z93,0))</f>
        <v>#NAME?</v>
      </c>
      <c r="AO93" s="301" t="e">
        <f aca="false">IF($A93="N/A"," ",IF(AH93&lt;=$AJ$2,AA93,0))</f>
        <v>#NAME?</v>
      </c>
      <c r="AP93" s="301" t="e">
        <f aca="false">IF($A93="N/A"," ",IF(AI93&lt;=$AJ$2,AB93,0))</f>
        <v>#NAME?</v>
      </c>
      <c r="AQ93" s="301" t="e">
        <f aca="false">IF($A93="N/A"," ",IF(AJ93&lt;=$AJ$2,AC93,0))</f>
        <v>#NAME?</v>
      </c>
      <c r="AR93" s="300"/>
      <c r="AS93" s="288" t="e">
        <f aca="false">IF($A93="N/A"," ",IF(AND(AD93=$AJ$2+1,AK93=0),MIN($AR$99,W93),0))</f>
        <v>#NAME?</v>
      </c>
      <c r="AT93" s="302" t="e">
        <f aca="false">IF($A93="N/A"," ",IF(AND(AE93=$AJ$2+1,AL93=0),MIN($AR$99,X93),0))</f>
        <v>#NAME?</v>
      </c>
      <c r="AU93" s="302" t="e">
        <f aca="false">IF($A93="N/A"," ",IF(AND(AF93=$AJ$2+1,AM93=0),MIN($AR$99,Y93),0))</f>
        <v>#NAME?</v>
      </c>
      <c r="AV93" s="302" t="e">
        <f aca="false">IF($A93="N/A"," ",IF(AND(AG93=$AJ$2+1,AN93=0),MIN($AR$99,Z93),0))</f>
        <v>#NAME?</v>
      </c>
      <c r="AW93" s="302" t="e">
        <f aca="false">IF($A93="N/A"," ",IF(AND(AH93=$AJ$2+1,AO93=0),MIN($AR$99,AA93),0))</f>
        <v>#NAME?</v>
      </c>
      <c r="AX93" s="302" t="e">
        <f aca="false">IF($A93="N/A"," ",IF(AND(AI93=$AJ$2+1,AP93=0),MIN($AR$99,AB93),0))</f>
        <v>#NAME?</v>
      </c>
      <c r="AY93" s="302" t="e">
        <f aca="false">IF($A93="N/A"," ",IF(AND(AJ93=$AJ$2+1,AQ93=0),MIN($AR$99,AC93),0))</f>
        <v>#NAME?</v>
      </c>
      <c r="AZ93" s="300"/>
      <c r="BA93" s="291" t="n">
        <f aca="false">IF($A93="N/A"," ",(IF(MONTH(A93)&gt;=4,IF(MONTH(A93)&lt;=10,Inputs!$F$13,Inputs!$F$14),Inputs!$F$14))*$BW93)</f>
        <v>180</v>
      </c>
      <c r="BB93" s="292" t="e">
        <f aca="false">IF($A93="N/A"," ",(IF(AK93&gt;0,($BA93*(8*(VLOOKUP($A93,NumberofDaysTable,2)))*P93),0)+IF(AS93&gt;0,($BA93*((AS93))*P93),0)))</f>
        <v>#NAME?</v>
      </c>
      <c r="BC93" s="292" t="e">
        <f aca="false">IF($A93="N/A"," ",(IF(AL93&gt;0,($BA93*(8*(VLOOKUP($A93,NumberofDaysTable,2)))*Q93),0)+IF(AT93&gt;0,($BA93*((AT93))*Q93),0)))</f>
        <v>#NAME?</v>
      </c>
      <c r="BD93" s="292" t="e">
        <f aca="false">IF($A93="N/A"," ",(IF(AM93&gt;0,($BA93*(8*(VLOOKUP($A93,NumberofDaysTable,3)))*R93),0)+IF(AU93&gt;0,($BA93*((AU93))*R93),0)))</f>
        <v>#NAME?</v>
      </c>
      <c r="BE93" s="292" t="e">
        <f aca="false">IF($A93="N/A"," ",(IF(AN93&gt;0,($BA93*(8*(VLOOKUP($A93,NumberofDaysTable,3)))*S93),0)+IF(AV93&gt;0,($BA93*((AV93))*S93),0)))</f>
        <v>#NAME?</v>
      </c>
      <c r="BF93" s="292" t="e">
        <f aca="false">IF($A93="N/A"," ",(IF(AO93&gt;0,($BA93*(8*(VLOOKUP($A93,NumberofDaysTable,4)+VLOOKUP($A93,NumberofDaysTable,5)))*T93),0)+IF(AW93&gt;0,($BA93*((AW93))*T93),0)))</f>
        <v>#NAME?</v>
      </c>
      <c r="BG93" s="292" t="e">
        <f aca="false">IF($A93="N/A"," ",(IF(AP93&gt;0,($BA93*(8*(VLOOKUP($A93,NumberofDaysTable,4)+VLOOKUP($A93,NumberofDaysTable,5)))*U93),0)+IF(AX93&gt;0,($BA93*((AX93))*U93),0)))</f>
        <v>#NAME?</v>
      </c>
      <c r="BH93" s="292" t="e">
        <f aca="false">IF($A93="N/A"," ",($BA93*AQ93*V93))</f>
        <v>#NAME?</v>
      </c>
      <c r="BI93" s="292" t="e">
        <f aca="false">IF($A93="N/A"," ",SUM(BB93:BH93))</f>
        <v>#NAME?</v>
      </c>
      <c r="BJ93" s="293" t="e">
        <f aca="false">IF($A93="N/A"," ",(H93*(SUM(AK93:AQ93)+SUM(AS93:AY93))*BA93))</f>
        <v>#NAME?</v>
      </c>
      <c r="BK93" s="293" t="e">
        <f aca="false">IF($A93="N/A"," ",((C93*D93)*(SUM($AK93:$AQ93)+SUM($AS93:$AY93))*$BA93))</f>
        <v>#N/A</v>
      </c>
      <c r="BL93" s="293" t="e">
        <f aca="false">IF($A93="N/A"," ",(F93*(SUM($AK93:$AQ93)+SUM($AS93:$AY93))*$BA93))</f>
        <v>#NAME?</v>
      </c>
      <c r="BM93" s="293" t="e">
        <f aca="false">IF($A93="N/A"," ",(G93*(SUM($AK93:$AQ93)+SUM($AS93:$AY93))*$BA93))</f>
        <v>#NAME?</v>
      </c>
      <c r="BN93" s="294" t="n">
        <f aca="false">IF(A93="N/A"," ",(VLOOKUP(A93,PowerVolTable,(IF('Pricing Inputs'!$AT$3=2,7,IF('Pricing Inputs'!$AT$3=1,6,8))),FALSE())))</f>
        <v>0.23993123650541</v>
      </c>
      <c r="BO93" s="294" t="n">
        <f aca="false">IF(A93="N/A"," ",(VLOOKUP(A93,IntraPowerVol,(IF('Pricing Inputs'!$AT$3=2,3,IF('Pricing Inputs'!$AT$3=1,2,4))),FALSE())*VLOOKUP(MONTH($A93),Inputs!$A$28:$B$39,2)))</f>
        <v>2.3</v>
      </c>
      <c r="BP93" s="295" t="n">
        <f aca="false">IF($A93="N/A"," ",(IF(DateToday&gt;$A93,$BO93,((($BN93^2)*((($A93-1)-DateToday)/((EOMONTH($A93,0)+1)-DateToday-15)))+((($BO93)^2)*((15)/((EOMONTH($A93,0)+1)-DateToday-15))))^0.5)))</f>
        <v>2.3</v>
      </c>
      <c r="BQ93" s="294" t="e">
        <f aca="false">IF($A93="N/A"," ",(VLOOKUP($A93,GasVolTable,(IF('Pricing Inputs'!$AT$3=2,6,IF('Pricing Inputs'!$AT$3=1,7,5))),FALSE())))</f>
        <v>#N/A</v>
      </c>
      <c r="BR93" s="294" t="e">
        <f aca="false">IF($A93="N/A"," ",(VLOOKUP($A93,OmicronVol,(IF('Pricing Inputs'!$AT$3=2,3,IF('Pricing Inputs'!$AT$3=1,4,2))),FALSE())))</f>
        <v>#N/A</v>
      </c>
      <c r="BS93" s="295" t="e">
        <f aca="false">IF($A93="N/A"," ",IF('Pricing Inputs'!$AN$3=1,(IF(DateToday&gt;$A93,$BR93,((($BQ93^2)*((($A93-1)-DateToday)/((EOMONTH($A93,0)+1)-DateToday-15)))+((($BR93)^2)*((15)/((EOMONTH($A93,0)+1)-DateToday-15))))^0.5)),0.0001))</f>
        <v>#N/A</v>
      </c>
      <c r="BT93" s="294" t="n">
        <f aca="false">IF($A93="N/A"," ",IF('Pricing Inputs'!$AN$3=1,(VLOOKUP($A93,CorrelationTable,2,FALSE())),0))</f>
        <v>0.9</v>
      </c>
      <c r="BU93" s="296" t="e">
        <f aca="false">IF($A93="N/A"," ",F93+G93+(D93*(VLOOKUP($A93,'Gas Curves'!$B$17:$P$310,14,FALSE()))))</f>
        <v>#N/A</v>
      </c>
      <c r="BV93" s="294" t="n">
        <f aca="false">IF($A93="N/A"," ",IF('Pricing Inputs'!$AW$3=1,0,(VLOOKUP($A93,InterestRatesTable,2))))</f>
        <v>0</v>
      </c>
      <c r="BW93" s="297" t="n">
        <f aca="false">IF($A93="N/A"," ",(1+BV93/2)^(-2*((EOMONTH(A93,0)+20)-DateToday)/365.25))</f>
        <v>1</v>
      </c>
    </row>
    <row r="94" customFormat="false" ht="12.75" hidden="false" customHeight="false" outlineLevel="0" collapsed="false">
      <c r="A94" s="272" t="n">
        <f aca="false">IF(A93="N/A","N/A",IF(EDATE(A93,1)&gt;Inputs!$K$3,"N/A",EDATE(A93,1)))</f>
        <v>39630</v>
      </c>
      <c r="B94" s="273" t="n">
        <f aca="false">IF(A94="N/A"," ",YEAR(A94))</f>
        <v>2008</v>
      </c>
      <c r="C94" s="274" t="e">
        <f aca="false">IF(A94="N/A"," ",VLOOKUP(A94,ScaledPrice,10))</f>
        <v>#N/A</v>
      </c>
      <c r="D94" s="275" t="n">
        <f aca="false">IF(A94="N/A"," ",(VLOOKUP(MONTH($A94),Inputs!$A$14:$B$25,2))/1000)</f>
        <v>10.5</v>
      </c>
      <c r="E94" s="276" t="e">
        <f aca="false">IF($A94="N/A"," ",C94*D94)</f>
        <v>#N/A</v>
      </c>
      <c r="F94" s="277" t="n">
        <f aca="false">IF(A94="N/A"," ",Inputs!$F$6)</f>
        <v>2</v>
      </c>
      <c r="G94" s="277" t="n">
        <f aca="false">IF(A94="N/A"," ",Inputs!$F$9/IF(AND('Pricing Inputs'!$AQ$3&gt;=4,'Pricing Inputs'!$AQ$3&lt;=6),16,IF(AND('Pricing Inputs'!$AQ$3&gt;=7,'Pricing Inputs'!$AQ$3&lt;=9),8,24))/(BA94/BW94))</f>
        <v>0</v>
      </c>
      <c r="H94" s="278" t="e">
        <f aca="false">IF(A94="N/A"," ",(C94*D94)+F94+G94)</f>
        <v>#N/A</v>
      </c>
      <c r="I94" s="279" t="n">
        <f aca="false">VLOOKUP(A94,ScaledPrice,(IF(AND('Pricing Inputs'!$AQ$3&gt;=1,'Pricing Inputs'!$AQ$3&lt;=6),2,4)))</f>
        <v>86.395706305866</v>
      </c>
      <c r="J94" s="279" t="n">
        <f aca="false">IF(A94="N/A"," ",IF(AND('Pricing Inputs'!$AQ$3&gt;=1,'Pricing Inputs'!$AQ$3&lt;=6),I94,(VLOOKUP(A94,ScaledPrice,2))*(2-(VLOOKUP(A94,ScaledPrice,3)))))</f>
        <v>58.604293694134</v>
      </c>
      <c r="K94" s="279" t="n">
        <f aca="false">IF(A94="N/A"," ",IF(OR('Pricing Inputs'!$AQ$3=2,'Pricing Inputs'!$AQ$3=3,'Pricing Inputs'!$AQ$3=5,'Pricing Inputs'!$AQ$3=6,'Pricing Inputs'!$AQ$3=8,'Pricing Inputs'!$AQ$3=9),VLOOKUP(A94,ScaledPrice,IF(AND('Pricing Inputs'!$AQ$3&gt;=2,'Pricing Inputs'!$AQ$3&lt;=6),5,6)),0))</f>
        <v>47.9779184959756</v>
      </c>
      <c r="L94" s="279" t="n">
        <f aca="false">IF(A94="N/A"," ",IF(OR('Pricing Inputs'!$AQ$3=2,'Pricing Inputs'!$AQ$3=3,'Pricing Inputs'!$AQ$3=5,'Pricing Inputs'!$AQ$3=6,'Pricing Inputs'!$AQ$3=8,'Pricing Inputs'!$AQ$3=9),IF(AND('Pricing Inputs'!$AQ$3&gt;=2,'Pricing Inputs'!$AQ$3&lt;=6),K94,(VLOOKUP(A94,ScaledPrice,5))*(2-(VLOOKUP(A94,ScaledPrice,3)))),0))</f>
        <v>32.5445805884971</v>
      </c>
      <c r="M94" s="279" t="n">
        <f aca="false">IF(A94="N/A"," ",IF(OR('Pricing Inputs'!$AQ$3=3,'Pricing Inputs'!$AQ$3=6,'Pricing Inputs'!$AQ$3=9),(VLOOKUP(A94,ScaledPrice,IF(AND('Pricing Inputs'!$AQ$3&gt;=3,'Pricing Inputs'!$AQ$3&lt;=6),7,8))),0))</f>
        <v>35.449051409565</v>
      </c>
      <c r="N94" s="279" t="n">
        <f aca="false">IF(A94="N/A"," ",IF(OR('Pricing Inputs'!$AQ$3=3,'Pricing Inputs'!$AQ$3=6,'Pricing Inputs'!$AQ$3=9),IF(AND('Pricing Inputs'!$AQ$3&gt;=3,'Pricing Inputs'!$AQ$3&lt;=6),M94,(VLOOKUP(A94,ScaledPrice,7))*(2-(VLOOKUP(A94,ScaledPrice,3)))),0))</f>
        <v>24.0459475223197</v>
      </c>
      <c r="O94" s="279" t="n">
        <f aca="false">IF(A94="N/A"," ",IF(AND('Pricing Inputs'!$AQ$3&gt;=1,'Pricing Inputs'!$AQ$3&lt;=3),VLOOKUP(A94,ScaledPrice,9),0))</f>
        <v>0</v>
      </c>
      <c r="P94" s="280" t="e">
        <f aca="false">IF($A94="N/A"," ",IF('Pricing Inputs'!$AN$8=2,(I94-H94),IF('Pricing Inputs'!$AN$3=2,IF((I94-$H94)&gt;0,I94-$H94,0),(xSPRDOPT(I94,$E94,$BU94,0,$BP94,$BS94,$BT94,($A94-Inputs!$D$1)+15,1,0)))))</f>
        <v>#NAME?</v>
      </c>
      <c r="Q94" s="280" t="e">
        <f aca="false">IF($A94="N/A"," ",IF('Pricing Inputs'!$AN$8=2,(J94-$H94),IF('Pricing Inputs'!$AN$3=2,IF((J94-$H94)&gt;0,J94-$H94,0),(xSPRDOPT(J94,$E94,$BU94,0,$BP94,$BS94,$BT94,($A94-Inputs!$D$1)+15,1,0)))))</f>
        <v>#NAME?</v>
      </c>
      <c r="R94" s="280" t="e">
        <f aca="false">IF($A94="N/A"," ",IF('Pricing Inputs'!$AN$8=2,(K94-$H94),IF('Pricing Inputs'!$AN$3=2,IF((K94-$H94)&gt;0,K94-$H94,0),(xSPRDOPT(K94,$E94,$BU94,0,$BP94,$BS94,$BT94,($A94-Inputs!$D$1)+15,1,0)))))</f>
        <v>#NAME?</v>
      </c>
      <c r="S94" s="280" t="e">
        <f aca="false">IF($A94="N/A"," ",IF('Pricing Inputs'!$AN$8=2,(L94-$H94),IF('Pricing Inputs'!$AN$3=2,IF((L94-$H94)&gt;0,L94-$H94,0),(xSPRDOPT(L94,$E94,$BU94,0,$BP94,$BS94,$BT94,($A94-Inputs!$D$1)+15,1,0)))))</f>
        <v>#NAME?</v>
      </c>
      <c r="T94" s="280" t="e">
        <f aca="false">IF($A94="N/A"," ",IF('Pricing Inputs'!$AN$8=2,(M94-$H94),IF('Pricing Inputs'!$AN$3=2,IF((M94-$H94)&gt;0,M94-$H94,0),(xSPRDOPT(M94,$E94,$BU94,0,$BP94,$BS94,$BT94,($A94-Inputs!$D$1)+15,1,0)))))</f>
        <v>#NAME?</v>
      </c>
      <c r="U94" s="280" t="e">
        <f aca="false">IF($A94="N/A"," ",IF('Pricing Inputs'!$AN$8=2,(N94-$H94),IF('Pricing Inputs'!$AN$3=2,IF((N94-$H94)&gt;0,N94-$H94,0),(xSPRDOPT(N94,$E94,$BU94,0,$BP94,$BS94,$BT94,($A94-Inputs!$D$1)+15,1,0)))))</f>
        <v>#NAME?</v>
      </c>
      <c r="V94" s="281" t="e">
        <f aca="false">IF($A94="N/A"," ",(IF('Pricing Inputs'!$AN$8=2,(O94-$H94),IF((O94-$H94)&lt;=0,0,(O94-$H94)))))</f>
        <v>#N/A</v>
      </c>
      <c r="W94" s="282" t="e">
        <f aca="false">IF($A94="N/A"," ",IF(0&lt;&gt;P94,IF('Pricing Inputs'!$AN$3=2,8*VLOOKUP($A94,NumberofDaysTable,2),(xSPRDOPT(I94,$E94,$BU94,0,$BP94,$BS94,$BT94,$A94-Inputs!$D$1,1,1))*(8*VLOOKUP($A94,NumberofDaysTable,2))),0))</f>
        <v>#NAME?</v>
      </c>
      <c r="X94" s="282" t="e">
        <f aca="false">IF($A94="N/A"," ",IF(Q94&lt;&gt;0,IF('Pricing Inputs'!$AN$3=2,8*VLOOKUP($A94,NumberofDaysTable,2),(xSPRDOPT(J94,$E94,$BU94,0,$BP94,$BS94,$BT94,$A94-Inputs!$D$1,1,1))*(8*VLOOKUP($A94,NumberofDaysTable,2))),0))</f>
        <v>#NAME?</v>
      </c>
      <c r="Y94" s="282" t="e">
        <f aca="false">IF($A94="N/A"," ",IF(R94&lt;&gt;0,IF('Pricing Inputs'!$AN$3=2,8*VLOOKUP($A94,NumberofDaysTable,3),(xSPRDOPT(K94,$E94,$BU94,0,$BP94,$BS94,$BT94,$A94-Inputs!$D$1,1,1))*(8*VLOOKUP($A94,NumberofDaysTable,3))),0))</f>
        <v>#NAME?</v>
      </c>
      <c r="Z94" s="282" t="e">
        <f aca="false">IF($A94="N/A"," ",IF(S94&lt;&gt;0,IF('Pricing Inputs'!$AN$3=2,8*VLOOKUP($A94,NumberofDaysTable,3),(xSPRDOPT(L94,$E94,$BU94,0,$BP94,$BS94,$BT94,$A94-Inputs!$D$1,1,1))*(8*VLOOKUP($A94,NumberofDaysTable,3))),0))</f>
        <v>#NAME?</v>
      </c>
      <c r="AA94" s="282" t="e">
        <f aca="false">IF($A94="N/A"," ",IF(T94&lt;&gt;0,IF('Pricing Inputs'!$AN$3=2,8*VLOOKUP($A94,NumberofDaysTable,4),(xSPRDOPT(M94,$E94,$BU94,0,$BP94,$BS94,$BT94,$A94-Inputs!$D$1,1,1))*(8*VLOOKUP($A94,NumberofDaysTable,4))),0))</f>
        <v>#NAME?</v>
      </c>
      <c r="AB94" s="282" t="e">
        <f aca="false">IF($A94="N/A"," ",IF(U94&lt;&gt;0,IF('Pricing Inputs'!$AN$3=2,8*VLOOKUP($A94,NumberofDaysTable,4),(xSPRDOPT(N94,$E94,$BU94,0,$BP94,$BS94,$BT94,$A94-Inputs!$D$1,1,1))*(8*VLOOKUP($A94,NumberofDaysTable,4))),0))</f>
        <v>#NAME?</v>
      </c>
      <c r="AC94" s="282" t="e">
        <f aca="false">IF($A94="N/A"," ",(IF(V94&lt;&gt;0,(8*VLOOKUP($A94,NumberofDaysTable,6)),0)))</f>
        <v>#N/A</v>
      </c>
      <c r="AD94" s="298" t="e">
        <f aca="false">IF($A94="N/A"," ",RANK(P94,$P$88:$V$99))</f>
        <v>#NAME?</v>
      </c>
      <c r="AE94" s="299" t="e">
        <f aca="false">IF($A94="N/A"," ",RANK(Q94,$P$88:$V$99))</f>
        <v>#NAME?</v>
      </c>
      <c r="AF94" s="299" t="e">
        <f aca="false">IF($A94="N/A"," ",RANK(R94,$P$88:$V$99))</f>
        <v>#NAME?</v>
      </c>
      <c r="AG94" s="299" t="e">
        <f aca="false">IF($A94="N/A"," ",RANK(S94,$P$88:$V$99))</f>
        <v>#NAME?</v>
      </c>
      <c r="AH94" s="299" t="e">
        <f aca="false">IF($A94="N/A"," ",RANK(T94,$P$88:$V$99))</f>
        <v>#NAME?</v>
      </c>
      <c r="AI94" s="299" t="e">
        <f aca="false">IF($A94="N/A"," ",RANK(U94,$P$88:$V$99))</f>
        <v>#NAME?</v>
      </c>
      <c r="AJ94" s="300" t="e">
        <f aca="false">IF($A94="N/A"," ",RANK(V94,$P$88:$V$99))</f>
        <v>#NAME?</v>
      </c>
      <c r="AK94" s="286" t="e">
        <f aca="false">IF($A94="N/A"," ",IF(AD94&lt;=$AJ$2,W94,0))</f>
        <v>#NAME?</v>
      </c>
      <c r="AL94" s="301" t="e">
        <f aca="false">IF($A94="N/A"," ",IF(AE94&lt;=$AJ$2,X94,0))</f>
        <v>#NAME?</v>
      </c>
      <c r="AM94" s="301" t="e">
        <f aca="false">IF($A94="N/A"," ",IF(AF94&lt;=$AJ$2,Y94,0))</f>
        <v>#NAME?</v>
      </c>
      <c r="AN94" s="301" t="e">
        <f aca="false">IF($A94="N/A"," ",IF(AG94&lt;=$AJ$2,Z94,0))</f>
        <v>#NAME?</v>
      </c>
      <c r="AO94" s="301" t="e">
        <f aca="false">IF($A94="N/A"," ",IF(AH94&lt;=$AJ$2,AA94,0))</f>
        <v>#NAME?</v>
      </c>
      <c r="AP94" s="301" t="e">
        <f aca="false">IF($A94="N/A"," ",IF(AI94&lt;=$AJ$2,AB94,0))</f>
        <v>#NAME?</v>
      </c>
      <c r="AQ94" s="301" t="e">
        <f aca="false">IF($A94="N/A"," ",IF(AJ94&lt;=$AJ$2,AC94,0))</f>
        <v>#NAME?</v>
      </c>
      <c r="AR94" s="300"/>
      <c r="AS94" s="288" t="e">
        <f aca="false">IF($A94="N/A"," ",IF(AND(AD94=$AJ$2+1,AK94=0),MIN($AR$99,W94),0))</f>
        <v>#NAME?</v>
      </c>
      <c r="AT94" s="302" t="e">
        <f aca="false">IF($A94="N/A"," ",IF(AND(AE94=$AJ$2+1,AL94=0),MIN($AR$99,X94),0))</f>
        <v>#NAME?</v>
      </c>
      <c r="AU94" s="302" t="e">
        <f aca="false">IF($A94="N/A"," ",IF(AND(AF94=$AJ$2+1,AM94=0),MIN($AR$99,Y94),0))</f>
        <v>#NAME?</v>
      </c>
      <c r="AV94" s="302" t="e">
        <f aca="false">IF($A94="N/A"," ",IF(AND(AG94=$AJ$2+1,AN94=0),MIN($AR$99,Z94),0))</f>
        <v>#NAME?</v>
      </c>
      <c r="AW94" s="302" t="e">
        <f aca="false">IF($A94="N/A"," ",IF(AND(AH94=$AJ$2+1,AO94=0),MIN($AR$99,AA94),0))</f>
        <v>#NAME?</v>
      </c>
      <c r="AX94" s="302" t="e">
        <f aca="false">IF($A94="N/A"," ",IF(AND(AI94=$AJ$2+1,AP94=0),MIN($AR$99,AB94),0))</f>
        <v>#NAME?</v>
      </c>
      <c r="AY94" s="302" t="e">
        <f aca="false">IF($A94="N/A"," ",IF(AND(AJ94=$AJ$2+1,AQ94=0),MIN($AR$99,AC94),0))</f>
        <v>#NAME?</v>
      </c>
      <c r="AZ94" s="300"/>
      <c r="BA94" s="291" t="n">
        <f aca="false">IF($A94="N/A"," ",(IF(MONTH(A94)&gt;=4,IF(MONTH(A94)&lt;=10,Inputs!$F$13,Inputs!$F$14),Inputs!$F$14))*$BW94)</f>
        <v>180</v>
      </c>
      <c r="BB94" s="292" t="e">
        <f aca="false">IF($A94="N/A"," ",(IF(AK94&gt;0,($BA94*(8*(VLOOKUP($A94,NumberofDaysTable,2)))*P94),0)+IF(AS94&gt;0,($BA94*((AS94))*P94),0)))</f>
        <v>#NAME?</v>
      </c>
      <c r="BC94" s="292" t="e">
        <f aca="false">IF($A94="N/A"," ",(IF(AL94&gt;0,($BA94*(8*(VLOOKUP($A94,NumberofDaysTable,2)))*Q94),0)+IF(AT94&gt;0,($BA94*((AT94))*Q94),0)))</f>
        <v>#NAME?</v>
      </c>
      <c r="BD94" s="292" t="e">
        <f aca="false">IF($A94="N/A"," ",(IF(AM94&gt;0,($BA94*(8*(VLOOKUP($A94,NumberofDaysTable,3)))*R94),0)+IF(AU94&gt;0,($BA94*((AU94))*R94),0)))</f>
        <v>#NAME?</v>
      </c>
      <c r="BE94" s="292" t="e">
        <f aca="false">IF($A94="N/A"," ",(IF(AN94&gt;0,($BA94*(8*(VLOOKUP($A94,NumberofDaysTable,3)))*S94),0)+IF(AV94&gt;0,($BA94*((AV94))*S94),0)))</f>
        <v>#NAME?</v>
      </c>
      <c r="BF94" s="292" t="e">
        <f aca="false">IF($A94="N/A"," ",(IF(AO94&gt;0,($BA94*(8*(VLOOKUP($A94,NumberofDaysTable,4)+VLOOKUP($A94,NumberofDaysTable,5)))*T94),0)+IF(AW94&gt;0,($BA94*((AW94))*T94),0)))</f>
        <v>#NAME?</v>
      </c>
      <c r="BG94" s="292" t="e">
        <f aca="false">IF($A94="N/A"," ",(IF(AP94&gt;0,($BA94*(8*(VLOOKUP($A94,NumberofDaysTable,4)+VLOOKUP($A94,NumberofDaysTable,5)))*U94),0)+IF(AX94&gt;0,($BA94*((AX94))*U94),0)))</f>
        <v>#NAME?</v>
      </c>
      <c r="BH94" s="292" t="e">
        <f aca="false">IF($A94="N/A"," ",($BA94*AQ94*V94))</f>
        <v>#NAME?</v>
      </c>
      <c r="BI94" s="292" t="e">
        <f aca="false">IF($A94="N/A"," ",SUM(BB94:BH94))</f>
        <v>#NAME?</v>
      </c>
      <c r="BJ94" s="293" t="e">
        <f aca="false">IF($A94="N/A"," ",(H94*(SUM(AK94:AQ94)+SUM(AS94:AY94))*BA94))</f>
        <v>#NAME?</v>
      </c>
      <c r="BK94" s="293" t="e">
        <f aca="false">IF($A94="N/A"," ",((C94*D94)*(SUM($AK94:$AQ94)+SUM($AS94:$AY94))*$BA94))</f>
        <v>#N/A</v>
      </c>
      <c r="BL94" s="293" t="e">
        <f aca="false">IF($A94="N/A"," ",(F94*(SUM($AK94:$AQ94)+SUM($AS94:$AY94))*$BA94))</f>
        <v>#NAME?</v>
      </c>
      <c r="BM94" s="293" t="e">
        <f aca="false">IF($A94="N/A"," ",(G94*(SUM($AK94:$AQ94)+SUM($AS94:$AY94))*$BA94))</f>
        <v>#NAME?</v>
      </c>
      <c r="BN94" s="294" t="n">
        <f aca="false">IF(A94="N/A"," ",(VLOOKUP(A94,PowerVolTable,(IF('Pricing Inputs'!$AT$3=2,7,IF('Pricing Inputs'!$AT$3=1,6,8))),FALSE())))</f>
        <v>0.283926486159316</v>
      </c>
      <c r="BO94" s="294" t="n">
        <f aca="false">IF(A94="N/A"," ",(VLOOKUP(A94,IntraPowerVol,(IF('Pricing Inputs'!$AT$3=2,3,IF('Pricing Inputs'!$AT$3=1,2,4))),FALSE())*VLOOKUP(MONTH($A94),Inputs!$A$28:$B$39,2)))</f>
        <v>3.45</v>
      </c>
      <c r="BP94" s="295" t="n">
        <f aca="false">IF($A94="N/A"," ",(IF(DateToday&gt;$A94,$BO94,((($BN94^2)*((($A94-1)-DateToday)/((EOMONTH($A94,0)+1)-DateToday-15)))+((($BO94)^2)*((15)/((EOMONTH($A94,0)+1)-DateToday-15))))^0.5)))</f>
        <v>3.45</v>
      </c>
      <c r="BQ94" s="294" t="e">
        <f aca="false">IF($A94="N/A"," ",(VLOOKUP($A94,GasVolTable,(IF('Pricing Inputs'!$AT$3=2,6,IF('Pricing Inputs'!$AT$3=1,7,5))),FALSE())))</f>
        <v>#N/A</v>
      </c>
      <c r="BR94" s="294" t="e">
        <f aca="false">IF($A94="N/A"," ",(VLOOKUP($A94,OmicronVol,(IF('Pricing Inputs'!$AT$3=2,3,IF('Pricing Inputs'!$AT$3=1,4,2))),FALSE())))</f>
        <v>#N/A</v>
      </c>
      <c r="BS94" s="295" t="e">
        <f aca="false">IF($A94="N/A"," ",IF('Pricing Inputs'!$AN$3=1,(IF(DateToday&gt;$A94,$BR94,((($BQ94^2)*((($A94-1)-DateToday)/((EOMONTH($A94,0)+1)-DateToday-15)))+((($BR94)^2)*((15)/((EOMONTH($A94,0)+1)-DateToday-15))))^0.5)),0.0001))</f>
        <v>#N/A</v>
      </c>
      <c r="BT94" s="294" t="n">
        <f aca="false">IF($A94="N/A"," ",IF('Pricing Inputs'!$AN$3=1,(VLOOKUP($A94,CorrelationTable,2,FALSE())),0))</f>
        <v>0.9</v>
      </c>
      <c r="BU94" s="296" t="e">
        <f aca="false">IF($A94="N/A"," ",F94+G94+(D94*(VLOOKUP($A94,'Gas Curves'!$B$17:$P$310,14,FALSE()))))</f>
        <v>#N/A</v>
      </c>
      <c r="BV94" s="294" t="n">
        <f aca="false">IF($A94="N/A"," ",IF('Pricing Inputs'!$AW$3=1,0,(VLOOKUP($A94,InterestRatesTable,2))))</f>
        <v>0</v>
      </c>
      <c r="BW94" s="297" t="n">
        <f aca="false">IF($A94="N/A"," ",(1+BV94/2)^(-2*((EOMONTH(A94,0)+20)-DateToday)/365.25))</f>
        <v>1</v>
      </c>
    </row>
    <row r="95" customFormat="false" ht="12.75" hidden="false" customHeight="false" outlineLevel="0" collapsed="false">
      <c r="A95" s="272" t="n">
        <f aca="false">IF(A94="N/A","N/A",IF(EDATE(A94,1)&gt;Inputs!$K$3,"N/A",EDATE(A94,1)))</f>
        <v>39661</v>
      </c>
      <c r="B95" s="273" t="n">
        <f aca="false">IF(A95="N/A"," ",YEAR(A95))</f>
        <v>2008</v>
      </c>
      <c r="C95" s="274" t="e">
        <f aca="false">IF(A95="N/A"," ",VLOOKUP(A95,ScaledPrice,10))</f>
        <v>#N/A</v>
      </c>
      <c r="D95" s="275" t="n">
        <f aca="false">IF(A95="N/A"," ",(VLOOKUP(MONTH($A95),Inputs!$A$14:$B$25,2))/1000)</f>
        <v>10.5</v>
      </c>
      <c r="E95" s="276" t="e">
        <f aca="false">IF($A95="N/A"," ",C95*D95)</f>
        <v>#N/A</v>
      </c>
      <c r="F95" s="277" t="n">
        <f aca="false">IF(A95="N/A"," ",Inputs!$F$6)</f>
        <v>2</v>
      </c>
      <c r="G95" s="277" t="n">
        <f aca="false">IF(A95="N/A"," ",Inputs!$F$9/IF(AND('Pricing Inputs'!$AQ$3&gt;=4,'Pricing Inputs'!$AQ$3&lt;=6),16,IF(AND('Pricing Inputs'!$AQ$3&gt;=7,'Pricing Inputs'!$AQ$3&lt;=9),8,24))/(BA95/BW95))</f>
        <v>0</v>
      </c>
      <c r="H95" s="278" t="e">
        <f aca="false">IF(A95="N/A"," ",(C95*D95)+F95+G95)</f>
        <v>#N/A</v>
      </c>
      <c r="I95" s="279" t="n">
        <f aca="false">VLOOKUP(A95,ScaledPrice,(IF(AND('Pricing Inputs'!$AQ$3&gt;=1,'Pricing Inputs'!$AQ$3&lt;=6),2,4)))</f>
        <v>75.4071684890446</v>
      </c>
      <c r="J95" s="279" t="n">
        <f aca="false">IF(A95="N/A"," ",IF(AND('Pricing Inputs'!$AQ$3&gt;=1,'Pricing Inputs'!$AQ$3&lt;=6),I95,(VLOOKUP(A95,ScaledPrice,2))*(2-(VLOOKUP(A95,ScaledPrice,3)))))</f>
        <v>60.5928315109554</v>
      </c>
      <c r="K95" s="279" t="n">
        <f aca="false">IF(A95="N/A"," ",IF(OR('Pricing Inputs'!$AQ$3=2,'Pricing Inputs'!$AQ$3=3,'Pricing Inputs'!$AQ$3=5,'Pricing Inputs'!$AQ$3=6,'Pricing Inputs'!$AQ$3=8,'Pricing Inputs'!$AQ$3=9),VLOOKUP(A95,ScaledPrice,IF(AND('Pricing Inputs'!$AQ$3&gt;=2,'Pricing Inputs'!$AQ$3&lt;=6),5,6)),0))</f>
        <v>47.1544301917364</v>
      </c>
      <c r="L95" s="279" t="n">
        <f aca="false">IF(A95="N/A"," ",IF(OR('Pricing Inputs'!$AQ$3=2,'Pricing Inputs'!$AQ$3=3,'Pricing Inputs'!$AQ$3=5,'Pricing Inputs'!$AQ$3=6,'Pricing Inputs'!$AQ$3=8,'Pricing Inputs'!$AQ$3=9),IF(AND('Pricing Inputs'!$AQ$3&gt;=2,'Pricing Inputs'!$AQ$3&lt;=6),K95,(VLOOKUP(A95,ScaledPrice,5))*(2-(VLOOKUP(A95,ScaledPrice,3)))),0))</f>
        <v>37.8905679772089</v>
      </c>
      <c r="M95" s="279" t="n">
        <f aca="false">IF(A95="N/A"," ",IF(OR('Pricing Inputs'!$AQ$3=3,'Pricing Inputs'!$AQ$3=6,'Pricing Inputs'!$AQ$3=9),(VLOOKUP(A95,ScaledPrice,IF(AND('Pricing Inputs'!$AQ$3&gt;=3,'Pricing Inputs'!$AQ$3&lt;=6),7,8))),0))</f>
        <v>34.6484859224178</v>
      </c>
      <c r="N95" s="279" t="n">
        <f aca="false">IF(A95="N/A"," ",IF(OR('Pricing Inputs'!$AQ$3=3,'Pricing Inputs'!$AQ$3=6,'Pricing Inputs'!$AQ$3=9),IF(AND('Pricing Inputs'!$AQ$3&gt;=3,'Pricing Inputs'!$AQ$3&lt;=6),M95,(VLOOKUP(A95,ScaledPrice,7))*(2-(VLOOKUP(A95,ScaledPrice,3)))),0))</f>
        <v>27.841515756049</v>
      </c>
      <c r="O95" s="279" t="n">
        <f aca="false">IF(A95="N/A"," ",IF(AND('Pricing Inputs'!$AQ$3&gt;=1,'Pricing Inputs'!$AQ$3&lt;=3),VLOOKUP(A95,ScaledPrice,9),0))</f>
        <v>0</v>
      </c>
      <c r="P95" s="280" t="e">
        <f aca="false">IF($A95="N/A"," ",IF('Pricing Inputs'!$AN$8=2,(I95-H95),IF('Pricing Inputs'!$AN$3=2,IF((I95-$H95)&gt;0,I95-$H95,0),(xSPRDOPT(I95,$E95,$BU95,0,$BP95,$BS95,$BT95,($A95-Inputs!$D$1)+15,1,0)))))</f>
        <v>#NAME?</v>
      </c>
      <c r="Q95" s="280" t="e">
        <f aca="false">IF($A95="N/A"," ",IF('Pricing Inputs'!$AN$8=2,(J95-$H95),IF('Pricing Inputs'!$AN$3=2,IF((J95-$H95)&gt;0,J95-$H95,0),(xSPRDOPT(J95,$E95,$BU95,0,$BP95,$BS95,$BT95,($A95-Inputs!$D$1)+15,1,0)))))</f>
        <v>#NAME?</v>
      </c>
      <c r="R95" s="280" t="e">
        <f aca="false">IF($A95="N/A"," ",IF('Pricing Inputs'!$AN$8=2,(K95-$H95),IF('Pricing Inputs'!$AN$3=2,IF((K95-$H95)&gt;0,K95-$H95,0),(xSPRDOPT(K95,$E95,$BU95,0,$BP95,$BS95,$BT95,($A95-Inputs!$D$1)+15,1,0)))))</f>
        <v>#NAME?</v>
      </c>
      <c r="S95" s="280" t="e">
        <f aca="false">IF($A95="N/A"," ",IF('Pricing Inputs'!$AN$8=2,(L95-$H95),IF('Pricing Inputs'!$AN$3=2,IF((L95-$H95)&gt;0,L95-$H95,0),(xSPRDOPT(L95,$E95,$BU95,0,$BP95,$BS95,$BT95,($A95-Inputs!$D$1)+15,1,0)))))</f>
        <v>#NAME?</v>
      </c>
      <c r="T95" s="280" t="e">
        <f aca="false">IF($A95="N/A"," ",IF('Pricing Inputs'!$AN$8=2,(M95-$H95),IF('Pricing Inputs'!$AN$3=2,IF((M95-$H95)&gt;0,M95-$H95,0),(xSPRDOPT(M95,$E95,$BU95,0,$BP95,$BS95,$BT95,($A95-Inputs!$D$1)+15,1,0)))))</f>
        <v>#NAME?</v>
      </c>
      <c r="U95" s="280" t="e">
        <f aca="false">IF($A95="N/A"," ",IF('Pricing Inputs'!$AN$8=2,(N95-$H95),IF('Pricing Inputs'!$AN$3=2,IF((N95-$H95)&gt;0,N95-$H95,0),(xSPRDOPT(N95,$E95,$BU95,0,$BP95,$BS95,$BT95,($A95-Inputs!$D$1)+15,1,0)))))</f>
        <v>#NAME?</v>
      </c>
      <c r="V95" s="281" t="e">
        <f aca="false">IF($A95="N/A"," ",(IF('Pricing Inputs'!$AN$8=2,(O95-$H95),IF((O95-$H95)&lt;=0,0,(O95-$H95)))))</f>
        <v>#N/A</v>
      </c>
      <c r="W95" s="282" t="e">
        <f aca="false">IF($A95="N/A"," ",IF(0&lt;&gt;P95,IF('Pricing Inputs'!$AN$3=2,8*VLOOKUP($A95,NumberofDaysTable,2),(xSPRDOPT(I95,$E95,$BU95,0,$BP95,$BS95,$BT95,$A95-Inputs!$D$1,1,1))*(8*VLOOKUP($A95,NumberofDaysTable,2))),0))</f>
        <v>#NAME?</v>
      </c>
      <c r="X95" s="282" t="e">
        <f aca="false">IF($A95="N/A"," ",IF(Q95&lt;&gt;0,IF('Pricing Inputs'!$AN$3=2,8*VLOOKUP($A95,NumberofDaysTable,2),(xSPRDOPT(J95,$E95,$BU95,0,$BP95,$BS95,$BT95,$A95-Inputs!$D$1,1,1))*(8*VLOOKUP($A95,NumberofDaysTable,2))),0))</f>
        <v>#NAME?</v>
      </c>
      <c r="Y95" s="282" t="e">
        <f aca="false">IF($A95="N/A"," ",IF(R95&lt;&gt;0,IF('Pricing Inputs'!$AN$3=2,8*VLOOKUP($A95,NumberofDaysTable,3),(xSPRDOPT(K95,$E95,$BU95,0,$BP95,$BS95,$BT95,$A95-Inputs!$D$1,1,1))*(8*VLOOKUP($A95,NumberofDaysTable,3))),0))</f>
        <v>#NAME?</v>
      </c>
      <c r="Z95" s="282" t="e">
        <f aca="false">IF($A95="N/A"," ",IF(S95&lt;&gt;0,IF('Pricing Inputs'!$AN$3=2,8*VLOOKUP($A95,NumberofDaysTable,3),(xSPRDOPT(L95,$E95,$BU95,0,$BP95,$BS95,$BT95,$A95-Inputs!$D$1,1,1))*(8*VLOOKUP($A95,NumberofDaysTable,3))),0))</f>
        <v>#NAME?</v>
      </c>
      <c r="AA95" s="282" t="e">
        <f aca="false">IF($A95="N/A"," ",IF(T95&lt;&gt;0,IF('Pricing Inputs'!$AN$3=2,8*VLOOKUP($A95,NumberofDaysTable,4),(xSPRDOPT(M95,$E95,$BU95,0,$BP95,$BS95,$BT95,$A95-Inputs!$D$1,1,1))*(8*VLOOKUP($A95,NumberofDaysTable,4))),0))</f>
        <v>#NAME?</v>
      </c>
      <c r="AB95" s="282" t="e">
        <f aca="false">IF($A95="N/A"," ",IF(U95&lt;&gt;0,IF('Pricing Inputs'!$AN$3=2,8*VLOOKUP($A95,NumberofDaysTable,4),(xSPRDOPT(N95,$E95,$BU95,0,$BP95,$BS95,$BT95,$A95-Inputs!$D$1,1,1))*(8*VLOOKUP($A95,NumberofDaysTable,4))),0))</f>
        <v>#NAME?</v>
      </c>
      <c r="AC95" s="282" t="e">
        <f aca="false">IF($A95="N/A"," ",(IF(V95&lt;&gt;0,(8*VLOOKUP($A95,NumberofDaysTable,6)),0)))</f>
        <v>#N/A</v>
      </c>
      <c r="AD95" s="298" t="e">
        <f aca="false">IF($A95="N/A"," ",RANK(P95,$P$88:$V$99))</f>
        <v>#NAME?</v>
      </c>
      <c r="AE95" s="299" t="e">
        <f aca="false">IF($A95="N/A"," ",RANK(Q95,$P$88:$V$99))</f>
        <v>#NAME?</v>
      </c>
      <c r="AF95" s="299" t="e">
        <f aca="false">IF($A95="N/A"," ",RANK(R95,$P$88:$V$99))</f>
        <v>#NAME?</v>
      </c>
      <c r="AG95" s="299" t="e">
        <f aca="false">IF($A95="N/A"," ",RANK(S95,$P$88:$V$99))</f>
        <v>#NAME?</v>
      </c>
      <c r="AH95" s="299" t="e">
        <f aca="false">IF($A95="N/A"," ",RANK(T95,$P$88:$V$99))</f>
        <v>#NAME?</v>
      </c>
      <c r="AI95" s="299" t="e">
        <f aca="false">IF($A95="N/A"," ",RANK(U95,$P$88:$V$99))</f>
        <v>#NAME?</v>
      </c>
      <c r="AJ95" s="300" t="e">
        <f aca="false">IF($A95="N/A"," ",RANK(V95,$P$88:$V$99))</f>
        <v>#NAME?</v>
      </c>
      <c r="AK95" s="286" t="e">
        <f aca="false">IF($A95="N/A"," ",IF(AD95&lt;=$AJ$2,W95,0))</f>
        <v>#NAME?</v>
      </c>
      <c r="AL95" s="301" t="e">
        <f aca="false">IF($A95="N/A"," ",IF(AE95&lt;=$AJ$2,X95,0))</f>
        <v>#NAME?</v>
      </c>
      <c r="AM95" s="301" t="e">
        <f aca="false">IF($A95="N/A"," ",IF(AF95&lt;=$AJ$2,Y95,0))</f>
        <v>#NAME?</v>
      </c>
      <c r="AN95" s="301" t="e">
        <f aca="false">IF($A95="N/A"," ",IF(AG95&lt;=$AJ$2,Z95,0))</f>
        <v>#NAME?</v>
      </c>
      <c r="AO95" s="301" t="e">
        <f aca="false">IF($A95="N/A"," ",IF(AH95&lt;=$AJ$2,AA95,0))</f>
        <v>#NAME?</v>
      </c>
      <c r="AP95" s="301" t="e">
        <f aca="false">IF($A95="N/A"," ",IF(AI95&lt;=$AJ$2,AB95,0))</f>
        <v>#NAME?</v>
      </c>
      <c r="AQ95" s="301" t="e">
        <f aca="false">IF($A95="N/A"," ",IF(AJ95&lt;=$AJ$2,AC95,0))</f>
        <v>#NAME?</v>
      </c>
      <c r="AR95" s="300"/>
      <c r="AS95" s="288" t="e">
        <f aca="false">IF($A95="N/A"," ",IF(AND(AD95=$AJ$2+1,AK95=0),MIN($AR$99,W95),0))</f>
        <v>#NAME?</v>
      </c>
      <c r="AT95" s="302" t="e">
        <f aca="false">IF($A95="N/A"," ",IF(AND(AE95=$AJ$2+1,AL95=0),MIN($AR$99,X95),0))</f>
        <v>#NAME?</v>
      </c>
      <c r="AU95" s="302" t="e">
        <f aca="false">IF($A95="N/A"," ",IF(AND(AF95=$AJ$2+1,AM95=0),MIN($AR$99,Y95),0))</f>
        <v>#NAME?</v>
      </c>
      <c r="AV95" s="302" t="e">
        <f aca="false">IF($A95="N/A"," ",IF(AND(AG95=$AJ$2+1,AN95=0),MIN($AR$99,Z95),0))</f>
        <v>#NAME?</v>
      </c>
      <c r="AW95" s="302" t="e">
        <f aca="false">IF($A95="N/A"," ",IF(AND(AH95=$AJ$2+1,AO95=0),MIN($AR$99,AA95),0))</f>
        <v>#NAME?</v>
      </c>
      <c r="AX95" s="302" t="e">
        <f aca="false">IF($A95="N/A"," ",IF(AND(AI95=$AJ$2+1,AP95=0),MIN($AR$99,AB95),0))</f>
        <v>#NAME?</v>
      </c>
      <c r="AY95" s="302" t="e">
        <f aca="false">IF($A95="N/A"," ",IF(AND(AJ95=$AJ$2+1,AQ95=0),MIN($AR$99,AC95),0))</f>
        <v>#NAME?</v>
      </c>
      <c r="AZ95" s="300"/>
      <c r="BA95" s="291" t="n">
        <f aca="false">IF($A95="N/A"," ",(IF(MONTH(A95)&gt;=4,IF(MONTH(A95)&lt;=10,Inputs!$F$13,Inputs!$F$14),Inputs!$F$14))*$BW95)</f>
        <v>180</v>
      </c>
      <c r="BB95" s="292" t="e">
        <f aca="false">IF($A95="N/A"," ",(IF(AK95&gt;0,($BA95*(8*(VLOOKUP($A95,NumberofDaysTable,2)))*P95),0)+IF(AS95&gt;0,($BA95*((AS95))*P95),0)))</f>
        <v>#NAME?</v>
      </c>
      <c r="BC95" s="292" t="e">
        <f aca="false">IF($A95="N/A"," ",(IF(AL95&gt;0,($BA95*(8*(VLOOKUP($A95,NumberofDaysTable,2)))*Q95),0)+IF(AT95&gt;0,($BA95*((AT95))*Q95),0)))</f>
        <v>#NAME?</v>
      </c>
      <c r="BD95" s="292" t="e">
        <f aca="false">IF($A95="N/A"," ",(IF(AM95&gt;0,($BA95*(8*(VLOOKUP($A95,NumberofDaysTable,3)))*R95),0)+IF(AU95&gt;0,($BA95*((AU95))*R95),0)))</f>
        <v>#NAME?</v>
      </c>
      <c r="BE95" s="292" t="e">
        <f aca="false">IF($A95="N/A"," ",(IF(AN95&gt;0,($BA95*(8*(VLOOKUP($A95,NumberofDaysTable,3)))*S95),0)+IF(AV95&gt;0,($BA95*((AV95))*S95),0)))</f>
        <v>#NAME?</v>
      </c>
      <c r="BF95" s="292" t="e">
        <f aca="false">IF($A95="N/A"," ",(IF(AO95&gt;0,($BA95*(8*(VLOOKUP($A95,NumberofDaysTable,4)+VLOOKUP($A95,NumberofDaysTable,5)))*T95),0)+IF(AW95&gt;0,($BA95*((AW95))*T95),0)))</f>
        <v>#NAME?</v>
      </c>
      <c r="BG95" s="292" t="e">
        <f aca="false">IF($A95="N/A"," ",(IF(AP95&gt;0,($BA95*(8*(VLOOKUP($A95,NumberofDaysTable,4)+VLOOKUP($A95,NumberofDaysTable,5)))*U95),0)+IF(AX95&gt;0,($BA95*((AX95))*U95),0)))</f>
        <v>#NAME?</v>
      </c>
      <c r="BH95" s="292" t="e">
        <f aca="false">IF($A95="N/A"," ",($BA95*AQ95*V95))</f>
        <v>#NAME?</v>
      </c>
      <c r="BI95" s="292" t="e">
        <f aca="false">IF($A95="N/A"," ",SUM(BB95:BH95))</f>
        <v>#NAME?</v>
      </c>
      <c r="BJ95" s="293" t="e">
        <f aca="false">IF($A95="N/A"," ",(H95*(SUM(AK95:AQ95)+SUM(AS95:AY95))*BA95))</f>
        <v>#NAME?</v>
      </c>
      <c r="BK95" s="293" t="e">
        <f aca="false">IF($A95="N/A"," ",((C95*D95)*(SUM($AK95:$AQ95)+SUM($AS95:$AY95))*$BA95))</f>
        <v>#N/A</v>
      </c>
      <c r="BL95" s="293" t="e">
        <f aca="false">IF($A95="N/A"," ",(F95*(SUM($AK95:$AQ95)+SUM($AS95:$AY95))*$BA95))</f>
        <v>#NAME?</v>
      </c>
      <c r="BM95" s="293" t="e">
        <f aca="false">IF($A95="N/A"," ",(G95*(SUM($AK95:$AQ95)+SUM($AS95:$AY95))*$BA95))</f>
        <v>#NAME?</v>
      </c>
      <c r="BN95" s="294" t="n">
        <f aca="false">IF(A95="N/A"," ",(VLOOKUP(A95,PowerVolTable,(IF('Pricing Inputs'!$AT$3=2,7,IF('Pricing Inputs'!$AT$3=1,6,8))),FALSE())))</f>
        <v>0.279369835302305</v>
      </c>
      <c r="BO95" s="294" t="n">
        <f aca="false">IF(A95="N/A"," ",(VLOOKUP(A95,IntraPowerVol,(IF('Pricing Inputs'!$AT$3=2,3,IF('Pricing Inputs'!$AT$3=1,2,4))),FALSE())*VLOOKUP(MONTH($A95),Inputs!$A$28:$B$39,2)))</f>
        <v>3.45</v>
      </c>
      <c r="BP95" s="295" t="n">
        <f aca="false">IF($A95="N/A"," ",(IF(DateToday&gt;$A95,$BO95,((($BN95^2)*((($A95-1)-DateToday)/((EOMONTH($A95,0)+1)-DateToday-15)))+((($BO95)^2)*((15)/((EOMONTH($A95,0)+1)-DateToday-15))))^0.5)))</f>
        <v>3.45</v>
      </c>
      <c r="BQ95" s="294" t="e">
        <f aca="false">IF($A95="N/A"," ",(VLOOKUP($A95,GasVolTable,(IF('Pricing Inputs'!$AT$3=2,6,IF('Pricing Inputs'!$AT$3=1,7,5))),FALSE())))</f>
        <v>#N/A</v>
      </c>
      <c r="BR95" s="294" t="e">
        <f aca="false">IF($A95="N/A"," ",(VLOOKUP($A95,OmicronVol,(IF('Pricing Inputs'!$AT$3=2,3,IF('Pricing Inputs'!$AT$3=1,4,2))),FALSE())))</f>
        <v>#N/A</v>
      </c>
      <c r="BS95" s="295" t="e">
        <f aca="false">IF($A95="N/A"," ",IF('Pricing Inputs'!$AN$3=1,(IF(DateToday&gt;$A95,$BR95,((($BQ95^2)*((($A95-1)-DateToday)/((EOMONTH($A95,0)+1)-DateToday-15)))+((($BR95)^2)*((15)/((EOMONTH($A95,0)+1)-DateToday-15))))^0.5)),0.0001))</f>
        <v>#N/A</v>
      </c>
      <c r="BT95" s="294" t="n">
        <f aca="false">IF($A95="N/A"," ",IF('Pricing Inputs'!$AN$3=1,(VLOOKUP($A95,CorrelationTable,2,FALSE())),0))</f>
        <v>0.9</v>
      </c>
      <c r="BU95" s="296" t="e">
        <f aca="false">IF($A95="N/A"," ",F95+G95+(D95*(VLOOKUP($A95,'Gas Curves'!$B$17:$P$310,14,FALSE()))))</f>
        <v>#N/A</v>
      </c>
      <c r="BV95" s="294" t="n">
        <f aca="false">IF($A95="N/A"," ",IF('Pricing Inputs'!$AW$3=1,0,(VLOOKUP($A95,InterestRatesTable,2))))</f>
        <v>0</v>
      </c>
      <c r="BW95" s="297" t="n">
        <f aca="false">IF($A95="N/A"," ",(1+BV95/2)^(-2*((EOMONTH(A95,0)+20)-DateToday)/365.25))</f>
        <v>1</v>
      </c>
    </row>
    <row r="96" customFormat="false" ht="12.75" hidden="false" customHeight="false" outlineLevel="0" collapsed="false">
      <c r="A96" s="272" t="n">
        <f aca="false">IF(A95="N/A","N/A",IF(EDATE(A95,1)&gt;Inputs!$K$3,"N/A",EDATE(A95,1)))</f>
        <v>39692</v>
      </c>
      <c r="B96" s="273" t="n">
        <f aca="false">IF(A96="N/A"," ",YEAR(A96))</f>
        <v>2008</v>
      </c>
      <c r="C96" s="274" t="e">
        <f aca="false">IF(A96="N/A"," ",VLOOKUP(A96,ScaledPrice,10))</f>
        <v>#N/A</v>
      </c>
      <c r="D96" s="275" t="n">
        <f aca="false">IF(A96="N/A"," ",(VLOOKUP(MONTH($A96),Inputs!$A$14:$B$25,2))/1000)</f>
        <v>10.5</v>
      </c>
      <c r="E96" s="276" t="e">
        <f aca="false">IF($A96="N/A"," ",C96*D96)</f>
        <v>#N/A</v>
      </c>
      <c r="F96" s="277" t="n">
        <f aca="false">IF(A96="N/A"," ",Inputs!$F$6)</f>
        <v>2</v>
      </c>
      <c r="G96" s="277" t="n">
        <f aca="false">IF(A96="N/A"," ",Inputs!$F$9/IF(AND('Pricing Inputs'!$AQ$3&gt;=4,'Pricing Inputs'!$AQ$3&lt;=6),16,IF(AND('Pricing Inputs'!$AQ$3&gt;=7,'Pricing Inputs'!$AQ$3&lt;=9),8,24))/(BA96/BW96))</f>
        <v>0</v>
      </c>
      <c r="H96" s="278" t="e">
        <f aca="false">IF(A96="N/A"," ",(C96*D96)+F96+G96)</f>
        <v>#N/A</v>
      </c>
      <c r="I96" s="279" t="n">
        <f aca="false">VLOOKUP(A96,ScaledPrice,(IF(AND('Pricing Inputs'!$AQ$3&gt;=1,'Pricing Inputs'!$AQ$3&lt;=6),2,4)))</f>
        <v>36.2404418361929</v>
      </c>
      <c r="J96" s="279" t="n">
        <f aca="false">IF(A96="N/A"," ",IF(AND('Pricing Inputs'!$AQ$3&gt;=1,'Pricing Inputs'!$AQ$3&lt;=6),I96,(VLOOKUP(A96,ScaledPrice,2))*(2-(VLOOKUP(A96,ScaledPrice,3)))))</f>
        <v>29.8595581638071</v>
      </c>
      <c r="K96" s="279" t="n">
        <f aca="false">IF(A96="N/A"," ",IF(OR('Pricing Inputs'!$AQ$3=2,'Pricing Inputs'!$AQ$3=3,'Pricing Inputs'!$AQ$3=5,'Pricing Inputs'!$AQ$3=6,'Pricing Inputs'!$AQ$3=8,'Pricing Inputs'!$AQ$3=9),VLOOKUP(A96,ScaledPrice,IF(AND('Pricing Inputs'!$AQ$3&gt;=2,'Pricing Inputs'!$AQ$3&lt;=6),5,6)),0))</f>
        <v>26.212639385174</v>
      </c>
      <c r="L96" s="279" t="n">
        <f aca="false">IF(A96="N/A"," ",IF(OR('Pricing Inputs'!$AQ$3=2,'Pricing Inputs'!$AQ$3=3,'Pricing Inputs'!$AQ$3=5,'Pricing Inputs'!$AQ$3=6,'Pricing Inputs'!$AQ$3=8,'Pricing Inputs'!$AQ$3=9),IF(AND('Pricing Inputs'!$AQ$3&gt;=2,'Pricing Inputs'!$AQ$3&lt;=6),K96,(VLOOKUP(A96,ScaledPrice,5))*(2-(VLOOKUP(A96,ScaledPrice,3)))),0))</f>
        <v>21.5973589363592</v>
      </c>
      <c r="M96" s="279" t="n">
        <f aca="false">IF(A96="N/A"," ",IF(OR('Pricing Inputs'!$AQ$3=3,'Pricing Inputs'!$AQ$3=6,'Pricing Inputs'!$AQ$3=9),(VLOOKUP(A96,ScaledPrice,IF(AND('Pricing Inputs'!$AQ$3&gt;=3,'Pricing Inputs'!$AQ$3&lt;=6),7,8))),0))</f>
        <v>26.7554245326205</v>
      </c>
      <c r="N96" s="279" t="n">
        <f aca="false">IF(A96="N/A"," ",IF(OR('Pricing Inputs'!$AQ$3=3,'Pricing Inputs'!$AQ$3=6,'Pricing Inputs'!$AQ$3=9),IF(AND('Pricing Inputs'!$AQ$3&gt;=3,'Pricing Inputs'!$AQ$3&lt;=6),M96,(VLOOKUP(A96,ScaledPrice,7))*(2-(VLOOKUP(A96,ScaledPrice,3)))),0))</f>
        <v>22.0445754673795</v>
      </c>
      <c r="O96" s="279" t="n">
        <f aca="false">IF(A96="N/A"," ",IF(AND('Pricing Inputs'!$AQ$3&gt;=1,'Pricing Inputs'!$AQ$3&lt;=3),VLOOKUP(A96,ScaledPrice,9),0))</f>
        <v>0</v>
      </c>
      <c r="P96" s="280" t="e">
        <f aca="false">IF($A96="N/A"," ",IF('Pricing Inputs'!$AN$8=2,(I96-H96),IF('Pricing Inputs'!$AN$3=2,IF((I96-$H96)&gt;0,I96-$H96,0),(xSPRDOPT(I96,$E96,$BU96,0,$BP96,$BS96,$BT96,($A96-Inputs!$D$1)+15,1,0)))))</f>
        <v>#NAME?</v>
      </c>
      <c r="Q96" s="280" t="e">
        <f aca="false">IF($A96="N/A"," ",IF('Pricing Inputs'!$AN$8=2,(J96-$H96),IF('Pricing Inputs'!$AN$3=2,IF((J96-$H96)&gt;0,J96-$H96,0),(xSPRDOPT(J96,$E96,$BU96,0,$BP96,$BS96,$BT96,($A96-Inputs!$D$1)+15,1,0)))))</f>
        <v>#NAME?</v>
      </c>
      <c r="R96" s="280" t="e">
        <f aca="false">IF($A96="N/A"," ",IF('Pricing Inputs'!$AN$8=2,(K96-$H96),IF('Pricing Inputs'!$AN$3=2,IF((K96-$H96)&gt;0,K96-$H96,0),(xSPRDOPT(K96,$E96,$BU96,0,$BP96,$BS96,$BT96,($A96-Inputs!$D$1)+15,1,0)))))</f>
        <v>#NAME?</v>
      </c>
      <c r="S96" s="280" t="e">
        <f aca="false">IF($A96="N/A"," ",IF('Pricing Inputs'!$AN$8=2,(L96-$H96),IF('Pricing Inputs'!$AN$3=2,IF((L96-$H96)&gt;0,L96-$H96,0),(xSPRDOPT(L96,$E96,$BU96,0,$BP96,$BS96,$BT96,($A96-Inputs!$D$1)+15,1,0)))))</f>
        <v>#NAME?</v>
      </c>
      <c r="T96" s="280" t="e">
        <f aca="false">IF($A96="N/A"," ",IF('Pricing Inputs'!$AN$8=2,(M96-$H96),IF('Pricing Inputs'!$AN$3=2,IF((M96-$H96)&gt;0,M96-$H96,0),(xSPRDOPT(M96,$E96,$BU96,0,$BP96,$BS96,$BT96,($A96-Inputs!$D$1)+15,1,0)))))</f>
        <v>#NAME?</v>
      </c>
      <c r="U96" s="280" t="e">
        <f aca="false">IF($A96="N/A"," ",IF('Pricing Inputs'!$AN$8=2,(N96-$H96),IF('Pricing Inputs'!$AN$3=2,IF((N96-$H96)&gt;0,N96-$H96,0),(xSPRDOPT(N96,$E96,$BU96,0,$BP96,$BS96,$BT96,($A96-Inputs!$D$1)+15,1,0)))))</f>
        <v>#NAME?</v>
      </c>
      <c r="V96" s="281" t="e">
        <f aca="false">IF($A96="N/A"," ",(IF('Pricing Inputs'!$AN$8=2,(O96-$H96),IF((O96-$H96)&lt;=0,0,(O96-$H96)))))</f>
        <v>#N/A</v>
      </c>
      <c r="W96" s="282" t="e">
        <f aca="false">IF($A96="N/A"," ",IF(0&lt;&gt;P96,IF('Pricing Inputs'!$AN$3=2,8*VLOOKUP($A96,NumberofDaysTable,2),(xSPRDOPT(I96,$E96,$BU96,0,$BP96,$BS96,$BT96,$A96-Inputs!$D$1,1,1))*(8*VLOOKUP($A96,NumberofDaysTable,2))),0))</f>
        <v>#NAME?</v>
      </c>
      <c r="X96" s="282" t="e">
        <f aca="false">IF($A96="N/A"," ",IF(Q96&lt;&gt;0,IF('Pricing Inputs'!$AN$3=2,8*VLOOKUP($A96,NumberofDaysTable,2),(xSPRDOPT(J96,$E96,$BU96,0,$BP96,$BS96,$BT96,$A96-Inputs!$D$1,1,1))*(8*VLOOKUP($A96,NumberofDaysTable,2))),0))</f>
        <v>#NAME?</v>
      </c>
      <c r="Y96" s="282" t="e">
        <f aca="false">IF($A96="N/A"," ",IF(R96&lt;&gt;0,IF('Pricing Inputs'!$AN$3=2,8*VLOOKUP($A96,NumberofDaysTable,3),(xSPRDOPT(K96,$E96,$BU96,0,$BP96,$BS96,$BT96,$A96-Inputs!$D$1,1,1))*(8*VLOOKUP($A96,NumberofDaysTable,3))),0))</f>
        <v>#NAME?</v>
      </c>
      <c r="Z96" s="282" t="e">
        <f aca="false">IF($A96="N/A"," ",IF(S96&lt;&gt;0,IF('Pricing Inputs'!$AN$3=2,8*VLOOKUP($A96,NumberofDaysTable,3),(xSPRDOPT(L96,$E96,$BU96,0,$BP96,$BS96,$BT96,$A96-Inputs!$D$1,1,1))*(8*VLOOKUP($A96,NumberofDaysTable,3))),0))</f>
        <v>#NAME?</v>
      </c>
      <c r="AA96" s="282" t="e">
        <f aca="false">IF($A96="N/A"," ",IF(T96&lt;&gt;0,IF('Pricing Inputs'!$AN$3=2,8*VLOOKUP($A96,NumberofDaysTable,4),(xSPRDOPT(M96,$E96,$BU96,0,$BP96,$BS96,$BT96,$A96-Inputs!$D$1,1,1))*(8*VLOOKUP($A96,NumberofDaysTable,4))),0))</f>
        <v>#NAME?</v>
      </c>
      <c r="AB96" s="282" t="e">
        <f aca="false">IF($A96="N/A"," ",IF(U96&lt;&gt;0,IF('Pricing Inputs'!$AN$3=2,8*VLOOKUP($A96,NumberofDaysTable,4),(xSPRDOPT(N96,$E96,$BU96,0,$BP96,$BS96,$BT96,$A96-Inputs!$D$1,1,1))*(8*VLOOKUP($A96,NumberofDaysTable,4))),0))</f>
        <v>#NAME?</v>
      </c>
      <c r="AC96" s="282" t="e">
        <f aca="false">IF($A96="N/A"," ",(IF(V96&lt;&gt;0,(8*VLOOKUP($A96,NumberofDaysTable,6)),0)))</f>
        <v>#N/A</v>
      </c>
      <c r="AD96" s="298" t="e">
        <f aca="false">IF($A96="N/A"," ",RANK(P96,$P$88:$V$99))</f>
        <v>#NAME?</v>
      </c>
      <c r="AE96" s="299" t="e">
        <f aca="false">IF($A96="N/A"," ",RANK(Q96,$P$88:$V$99))</f>
        <v>#NAME?</v>
      </c>
      <c r="AF96" s="299" t="e">
        <f aca="false">IF($A96="N/A"," ",RANK(R96,$P$88:$V$99))</f>
        <v>#NAME?</v>
      </c>
      <c r="AG96" s="299" t="e">
        <f aca="false">IF($A96="N/A"," ",RANK(S96,$P$88:$V$99))</f>
        <v>#NAME?</v>
      </c>
      <c r="AH96" s="299" t="e">
        <f aca="false">IF($A96="N/A"," ",RANK(T96,$P$88:$V$99))</f>
        <v>#NAME?</v>
      </c>
      <c r="AI96" s="299" t="e">
        <f aca="false">IF($A96="N/A"," ",RANK(U96,$P$88:$V$99))</f>
        <v>#NAME?</v>
      </c>
      <c r="AJ96" s="300" t="e">
        <f aca="false">IF($A96="N/A"," ",RANK(V96,$P$88:$V$99))</f>
        <v>#NAME?</v>
      </c>
      <c r="AK96" s="286" t="e">
        <f aca="false">IF($A96="N/A"," ",IF(AD96&lt;=$AJ$2,W96,0))</f>
        <v>#NAME?</v>
      </c>
      <c r="AL96" s="301" t="e">
        <f aca="false">IF($A96="N/A"," ",IF(AE96&lt;=$AJ$2,X96,0))</f>
        <v>#NAME?</v>
      </c>
      <c r="AM96" s="301" t="e">
        <f aca="false">IF($A96="N/A"," ",IF(AF96&lt;=$AJ$2,Y96,0))</f>
        <v>#NAME?</v>
      </c>
      <c r="AN96" s="301" t="e">
        <f aca="false">IF($A96="N/A"," ",IF(AG96&lt;=$AJ$2,Z96,0))</f>
        <v>#NAME?</v>
      </c>
      <c r="AO96" s="301" t="e">
        <f aca="false">IF($A96="N/A"," ",IF(AH96&lt;=$AJ$2,AA96,0))</f>
        <v>#NAME?</v>
      </c>
      <c r="AP96" s="301" t="e">
        <f aca="false">IF($A96="N/A"," ",IF(AI96&lt;=$AJ$2,AB96,0))</f>
        <v>#NAME?</v>
      </c>
      <c r="AQ96" s="301" t="e">
        <f aca="false">IF($A96="N/A"," ",IF(AJ96&lt;=$AJ$2,AC96,0))</f>
        <v>#NAME?</v>
      </c>
      <c r="AR96" s="300"/>
      <c r="AS96" s="288" t="e">
        <f aca="false">IF($A96="N/A"," ",IF(AND(AD96=$AJ$2+1,AK96=0),MIN($AR$99,W96),0))</f>
        <v>#NAME?</v>
      </c>
      <c r="AT96" s="302" t="e">
        <f aca="false">IF($A96="N/A"," ",IF(AND(AE96=$AJ$2+1,AL96=0),MIN($AR$99,X96),0))</f>
        <v>#NAME?</v>
      </c>
      <c r="AU96" s="302" t="e">
        <f aca="false">IF($A96="N/A"," ",IF(AND(AF96=$AJ$2+1,AM96=0),MIN($AR$99,Y96),0))</f>
        <v>#NAME?</v>
      </c>
      <c r="AV96" s="302" t="e">
        <f aca="false">IF($A96="N/A"," ",IF(AND(AG96=$AJ$2+1,AN96=0),MIN($AR$99,Z96),0))</f>
        <v>#NAME?</v>
      </c>
      <c r="AW96" s="302" t="e">
        <f aca="false">IF($A96="N/A"," ",IF(AND(AH96=$AJ$2+1,AO96=0),MIN($AR$99,AA96),0))</f>
        <v>#NAME?</v>
      </c>
      <c r="AX96" s="302" t="e">
        <f aca="false">IF($A96="N/A"," ",IF(AND(AI96=$AJ$2+1,AP96=0),MIN($AR$99,AB96),0))</f>
        <v>#NAME?</v>
      </c>
      <c r="AY96" s="302" t="e">
        <f aca="false">IF($A96="N/A"," ",IF(AND(AJ96=$AJ$2+1,AQ96=0),MIN($AR$99,AC96),0))</f>
        <v>#NAME?</v>
      </c>
      <c r="AZ96" s="300"/>
      <c r="BA96" s="291" t="n">
        <f aca="false">IF($A96="N/A"," ",(IF(MONTH(A96)&gt;=4,IF(MONTH(A96)&lt;=10,Inputs!$F$13,Inputs!$F$14),Inputs!$F$14))*$BW96)</f>
        <v>180</v>
      </c>
      <c r="BB96" s="292" t="e">
        <f aca="false">IF($A96="N/A"," ",(IF(AK96&gt;0,($BA96*(8*(VLOOKUP($A96,NumberofDaysTable,2)))*P96),0)+IF(AS96&gt;0,($BA96*((AS96))*P96),0)))</f>
        <v>#NAME?</v>
      </c>
      <c r="BC96" s="292" t="e">
        <f aca="false">IF($A96="N/A"," ",(IF(AL96&gt;0,($BA96*(8*(VLOOKUP($A96,NumberofDaysTable,2)))*Q96),0)+IF(AT96&gt;0,($BA96*((AT96))*Q96),0)))</f>
        <v>#NAME?</v>
      </c>
      <c r="BD96" s="292" t="e">
        <f aca="false">IF($A96="N/A"," ",(IF(AM96&gt;0,($BA96*(8*(VLOOKUP($A96,NumberofDaysTable,3)))*R96),0)+IF(AU96&gt;0,($BA96*((AU96))*R96),0)))</f>
        <v>#NAME?</v>
      </c>
      <c r="BE96" s="292" t="e">
        <f aca="false">IF($A96="N/A"," ",(IF(AN96&gt;0,($BA96*(8*(VLOOKUP($A96,NumberofDaysTable,3)))*S96),0)+IF(AV96&gt;0,($BA96*((AV96))*S96),0)))</f>
        <v>#NAME?</v>
      </c>
      <c r="BF96" s="292" t="e">
        <f aca="false">IF($A96="N/A"," ",(IF(AO96&gt;0,($BA96*(8*(VLOOKUP($A96,NumberofDaysTable,4)+VLOOKUP($A96,NumberofDaysTable,5)))*T96),0)+IF(AW96&gt;0,($BA96*((AW96))*T96),0)))</f>
        <v>#NAME?</v>
      </c>
      <c r="BG96" s="292" t="e">
        <f aca="false">IF($A96="N/A"," ",(IF(AP96&gt;0,($BA96*(8*(VLOOKUP($A96,NumberofDaysTable,4)+VLOOKUP($A96,NumberofDaysTable,5)))*U96),0)+IF(AX96&gt;0,($BA96*((AX96))*U96),0)))</f>
        <v>#NAME?</v>
      </c>
      <c r="BH96" s="292" t="e">
        <f aca="false">IF($A96="N/A"," ",($BA96*AQ96*V96))</f>
        <v>#NAME?</v>
      </c>
      <c r="BI96" s="292" t="e">
        <f aca="false">IF($A96="N/A"," ",SUM(BB96:BH96))</f>
        <v>#NAME?</v>
      </c>
      <c r="BJ96" s="293" t="e">
        <f aca="false">IF($A96="N/A"," ",(H96*(SUM(AK96:AQ96)+SUM(AS96:AY96))*BA96))</f>
        <v>#NAME?</v>
      </c>
      <c r="BK96" s="293" t="e">
        <f aca="false">IF($A96="N/A"," ",((C96*D96)*(SUM($AK96:$AQ96)+SUM($AS96:$AY96))*$BA96))</f>
        <v>#N/A</v>
      </c>
      <c r="BL96" s="293" t="e">
        <f aca="false">IF($A96="N/A"," ",(F96*(SUM($AK96:$AQ96)+SUM($AS96:$AY96))*$BA96))</f>
        <v>#NAME?</v>
      </c>
      <c r="BM96" s="293" t="e">
        <f aca="false">IF($A96="N/A"," ",(G96*(SUM($AK96:$AQ96)+SUM($AS96:$AY96))*$BA96))</f>
        <v>#NAME?</v>
      </c>
      <c r="BN96" s="294" t="n">
        <f aca="false">IF(A96="N/A"," ",(VLOOKUP(A96,PowerVolTable,(IF('Pricing Inputs'!$AT$3=2,7,IF('Pricing Inputs'!$AT$3=1,6,8))),FALSE())))</f>
        <v>0.185094300329648</v>
      </c>
      <c r="BO96" s="294" t="n">
        <f aca="false">IF(A96="N/A"," ",(VLOOKUP(A96,IntraPowerVol,(IF('Pricing Inputs'!$AT$3=2,3,IF('Pricing Inputs'!$AT$3=1,2,4))),FALSE())*VLOOKUP(MONTH($A96),Inputs!$A$28:$B$39,2)))</f>
        <v>1.725</v>
      </c>
      <c r="BP96" s="295" t="n">
        <f aca="false">IF($A96="N/A"," ",(IF(DateToday&gt;$A96,$BO96,((($BN96^2)*((($A96-1)-DateToday)/((EOMONTH($A96,0)+1)-DateToday-15)))+((($BO96)^2)*((15)/((EOMONTH($A96,0)+1)-DateToday-15))))^0.5)))</f>
        <v>1.725</v>
      </c>
      <c r="BQ96" s="294" t="e">
        <f aca="false">IF($A96="N/A"," ",(VLOOKUP($A96,GasVolTable,(IF('Pricing Inputs'!$AT$3=2,6,IF('Pricing Inputs'!$AT$3=1,7,5))),FALSE())))</f>
        <v>#N/A</v>
      </c>
      <c r="BR96" s="294" t="e">
        <f aca="false">IF($A96="N/A"," ",(VLOOKUP($A96,OmicronVol,(IF('Pricing Inputs'!$AT$3=2,3,IF('Pricing Inputs'!$AT$3=1,4,2))),FALSE())))</f>
        <v>#N/A</v>
      </c>
      <c r="BS96" s="295" t="e">
        <f aca="false">IF($A96="N/A"," ",IF('Pricing Inputs'!$AN$3=1,(IF(DateToday&gt;$A96,$BR96,((($BQ96^2)*((($A96-1)-DateToday)/((EOMONTH($A96,0)+1)-DateToday-15)))+((($BR96)^2)*((15)/((EOMONTH($A96,0)+1)-DateToday-15))))^0.5)),0.0001))</f>
        <v>#N/A</v>
      </c>
      <c r="BT96" s="294" t="n">
        <f aca="false">IF($A96="N/A"," ",IF('Pricing Inputs'!$AN$3=1,(VLOOKUP($A96,CorrelationTable,2,FALSE())),0))</f>
        <v>0.9</v>
      </c>
      <c r="BU96" s="296" t="e">
        <f aca="false">IF($A96="N/A"," ",F96+G96+(D96*(VLOOKUP($A96,'Gas Curves'!$B$17:$P$310,14,FALSE()))))</f>
        <v>#N/A</v>
      </c>
      <c r="BV96" s="294" t="n">
        <f aca="false">IF($A96="N/A"," ",IF('Pricing Inputs'!$AW$3=1,0,(VLOOKUP($A96,InterestRatesTable,2))))</f>
        <v>0</v>
      </c>
      <c r="BW96" s="297" t="n">
        <f aca="false">IF($A96="N/A"," ",(1+BV96/2)^(-2*((EOMONTH(A96,0)+20)-DateToday)/365.25))</f>
        <v>1</v>
      </c>
    </row>
    <row r="97" customFormat="false" ht="12.75" hidden="false" customHeight="false" outlineLevel="0" collapsed="false">
      <c r="A97" s="272" t="n">
        <f aca="false">IF(A96="N/A","N/A",IF(EDATE(A96,1)&gt;Inputs!$K$3,"N/A",EDATE(A96,1)))</f>
        <v>39722</v>
      </c>
      <c r="B97" s="273" t="n">
        <f aca="false">IF(A97="N/A"," ",YEAR(A97))</f>
        <v>2008</v>
      </c>
      <c r="C97" s="274" t="e">
        <f aca="false">IF(A97="N/A"," ",VLOOKUP(A97,ScaledPrice,10))</f>
        <v>#N/A</v>
      </c>
      <c r="D97" s="275" t="n">
        <f aca="false">IF(A97="N/A"," ",(VLOOKUP(MONTH($A97),Inputs!$A$14:$B$25,2))/1000)</f>
        <v>10.5</v>
      </c>
      <c r="E97" s="276" t="e">
        <f aca="false">IF($A97="N/A"," ",C97*D97)</f>
        <v>#N/A</v>
      </c>
      <c r="F97" s="277" t="n">
        <f aca="false">IF(A97="N/A"," ",Inputs!$F$6)</f>
        <v>2</v>
      </c>
      <c r="G97" s="277" t="n">
        <f aca="false">IF(A97="N/A"," ",Inputs!$F$9/IF(AND('Pricing Inputs'!$AQ$3&gt;=4,'Pricing Inputs'!$AQ$3&lt;=6),16,IF(AND('Pricing Inputs'!$AQ$3&gt;=7,'Pricing Inputs'!$AQ$3&lt;=9),8,24))/(BA97/BW97))</f>
        <v>0</v>
      </c>
      <c r="H97" s="278" t="e">
        <f aca="false">IF(A97="N/A"," ",(C97*D97)+F97+G97)</f>
        <v>#N/A</v>
      </c>
      <c r="I97" s="279" t="n">
        <f aca="false">VLOOKUP(A97,ScaledPrice,(IF(AND('Pricing Inputs'!$AQ$3&gt;=1,'Pricing Inputs'!$AQ$3&lt;=6),2,4)))</f>
        <v>30.39729</v>
      </c>
      <c r="J97" s="279" t="n">
        <f aca="false">IF(A97="N/A"," ",IF(AND('Pricing Inputs'!$AQ$3&gt;=1,'Pricing Inputs'!$AQ$3&lt;=6),I97,(VLOOKUP(A97,ScaledPrice,2))*(2-(VLOOKUP(A97,ScaledPrice,3)))))</f>
        <v>31.20271</v>
      </c>
      <c r="K97" s="279" t="n">
        <f aca="false">IF(A97="N/A"," ",IF(OR('Pricing Inputs'!$AQ$3=2,'Pricing Inputs'!$AQ$3=3,'Pricing Inputs'!$AQ$3=5,'Pricing Inputs'!$AQ$3=6,'Pricing Inputs'!$AQ$3=8,'Pricing Inputs'!$AQ$3=9),VLOOKUP(A97,ScaledPrice,IF(AND('Pricing Inputs'!$AQ$3&gt;=2,'Pricing Inputs'!$AQ$3&lt;=6),5,6)),0))</f>
        <v>23.686693567915</v>
      </c>
      <c r="L97" s="279" t="n">
        <f aca="false">IF(A97="N/A"," ",IF(OR('Pricing Inputs'!$AQ$3=2,'Pricing Inputs'!$AQ$3=3,'Pricing Inputs'!$AQ$3=5,'Pricing Inputs'!$AQ$3=6,'Pricing Inputs'!$AQ$3=8,'Pricing Inputs'!$AQ$3=9),IF(AND('Pricing Inputs'!$AQ$3&gt;=2,'Pricing Inputs'!$AQ$3&lt;=6),K97,(VLOOKUP(A97,ScaledPrice,5))*(2-(VLOOKUP(A97,ScaledPrice,3)))),0))</f>
        <v>24.3143066457081</v>
      </c>
      <c r="M97" s="279" t="n">
        <f aca="false">IF(A97="N/A"," ",IF(OR('Pricing Inputs'!$AQ$3=3,'Pricing Inputs'!$AQ$3=6,'Pricing Inputs'!$AQ$3=9),(VLOOKUP(A97,ScaledPrice,IF(AND('Pricing Inputs'!$AQ$3&gt;=3,'Pricing Inputs'!$AQ$3&lt;=6),7,8))),0))</f>
        <v>21.7133367593479</v>
      </c>
      <c r="N97" s="279" t="n">
        <f aca="false">IF(A97="N/A"," ",IF(OR('Pricing Inputs'!$AQ$3=3,'Pricing Inputs'!$AQ$3=6,'Pricing Inputs'!$AQ$3=9),IF(AND('Pricing Inputs'!$AQ$3&gt;=3,'Pricing Inputs'!$AQ$3&lt;=6),M97,(VLOOKUP(A97,ScaledPrice,7))*(2-(VLOOKUP(A97,ScaledPrice,3)))),0))</f>
        <v>22.2886629049587</v>
      </c>
      <c r="O97" s="279" t="n">
        <f aca="false">IF(A97="N/A"," ",IF(AND('Pricing Inputs'!$AQ$3&gt;=1,'Pricing Inputs'!$AQ$3&lt;=3),VLOOKUP(A97,ScaledPrice,9),0))</f>
        <v>0</v>
      </c>
      <c r="P97" s="280" t="e">
        <f aca="false">IF($A97="N/A"," ",IF('Pricing Inputs'!$AN$8=2,(I97-H97),IF('Pricing Inputs'!$AN$3=2,IF((I97-$H97)&gt;0,I97-$H97,0),(xSPRDOPT(I97,$E97,$BU97,0,$BP97,$BS97,$BT97,($A97-Inputs!$D$1)+15,1,0)))))</f>
        <v>#NAME?</v>
      </c>
      <c r="Q97" s="280" t="e">
        <f aca="false">IF($A97="N/A"," ",IF('Pricing Inputs'!$AN$8=2,(J97-$H97),IF('Pricing Inputs'!$AN$3=2,IF((J97-$H97)&gt;0,J97-$H97,0),(xSPRDOPT(J97,$E97,$BU97,0,$BP97,$BS97,$BT97,($A97-Inputs!$D$1)+15,1,0)))))</f>
        <v>#NAME?</v>
      </c>
      <c r="R97" s="280" t="e">
        <f aca="false">IF($A97="N/A"," ",IF('Pricing Inputs'!$AN$8=2,(K97-$H97),IF('Pricing Inputs'!$AN$3=2,IF((K97-$H97)&gt;0,K97-$H97,0),(xSPRDOPT(K97,$E97,$BU97,0,$BP97,$BS97,$BT97,($A97-Inputs!$D$1)+15,1,0)))))</f>
        <v>#NAME?</v>
      </c>
      <c r="S97" s="280" t="e">
        <f aca="false">IF($A97="N/A"," ",IF('Pricing Inputs'!$AN$8=2,(L97-$H97),IF('Pricing Inputs'!$AN$3=2,IF((L97-$H97)&gt;0,L97-$H97,0),(xSPRDOPT(L97,$E97,$BU97,0,$BP97,$BS97,$BT97,($A97-Inputs!$D$1)+15,1,0)))))</f>
        <v>#NAME?</v>
      </c>
      <c r="T97" s="280" t="e">
        <f aca="false">IF($A97="N/A"," ",IF('Pricing Inputs'!$AN$8=2,(M97-$H97),IF('Pricing Inputs'!$AN$3=2,IF((M97-$H97)&gt;0,M97-$H97,0),(xSPRDOPT(M97,$E97,$BU97,0,$BP97,$BS97,$BT97,($A97-Inputs!$D$1)+15,1,0)))))</f>
        <v>#NAME?</v>
      </c>
      <c r="U97" s="280" t="e">
        <f aca="false">IF($A97="N/A"," ",IF('Pricing Inputs'!$AN$8=2,(N97-$H97),IF('Pricing Inputs'!$AN$3=2,IF((N97-$H97)&gt;0,N97-$H97,0),(xSPRDOPT(N97,$E97,$BU97,0,$BP97,$BS97,$BT97,($A97-Inputs!$D$1)+15,1,0)))))</f>
        <v>#NAME?</v>
      </c>
      <c r="V97" s="281" t="e">
        <f aca="false">IF($A97="N/A"," ",(IF('Pricing Inputs'!$AN$8=2,(O97-$H97),IF((O97-$H97)&lt;=0,0,(O97-$H97)))))</f>
        <v>#N/A</v>
      </c>
      <c r="W97" s="282" t="e">
        <f aca="false">IF($A97="N/A"," ",IF(0&lt;&gt;P97,IF('Pricing Inputs'!$AN$3=2,8*VLOOKUP($A97,NumberofDaysTable,2),(xSPRDOPT(I97,$E97,$BU97,0,$BP97,$BS97,$BT97,$A97-Inputs!$D$1,1,1))*(8*VLOOKUP($A97,NumberofDaysTable,2))),0))</f>
        <v>#NAME?</v>
      </c>
      <c r="X97" s="282" t="e">
        <f aca="false">IF($A97="N/A"," ",IF(Q97&lt;&gt;0,IF('Pricing Inputs'!$AN$3=2,8*VLOOKUP($A97,NumberofDaysTable,2),(xSPRDOPT(J97,$E97,$BU97,0,$BP97,$BS97,$BT97,$A97-Inputs!$D$1,1,1))*(8*VLOOKUP($A97,NumberofDaysTable,2))),0))</f>
        <v>#NAME?</v>
      </c>
      <c r="Y97" s="282" t="e">
        <f aca="false">IF($A97="N/A"," ",IF(R97&lt;&gt;0,IF('Pricing Inputs'!$AN$3=2,8*VLOOKUP($A97,NumberofDaysTable,3),(xSPRDOPT(K97,$E97,$BU97,0,$BP97,$BS97,$BT97,$A97-Inputs!$D$1,1,1))*(8*VLOOKUP($A97,NumberofDaysTable,3))),0))</f>
        <v>#NAME?</v>
      </c>
      <c r="Z97" s="282" t="e">
        <f aca="false">IF($A97="N/A"," ",IF(S97&lt;&gt;0,IF('Pricing Inputs'!$AN$3=2,8*VLOOKUP($A97,NumberofDaysTable,3),(xSPRDOPT(L97,$E97,$BU97,0,$BP97,$BS97,$BT97,$A97-Inputs!$D$1,1,1))*(8*VLOOKUP($A97,NumberofDaysTable,3))),0))</f>
        <v>#NAME?</v>
      </c>
      <c r="AA97" s="282" t="e">
        <f aca="false">IF($A97="N/A"," ",IF(T97&lt;&gt;0,IF('Pricing Inputs'!$AN$3=2,8*VLOOKUP($A97,NumberofDaysTable,4),(xSPRDOPT(M97,$E97,$BU97,0,$BP97,$BS97,$BT97,$A97-Inputs!$D$1,1,1))*(8*VLOOKUP($A97,NumberofDaysTable,4))),0))</f>
        <v>#NAME?</v>
      </c>
      <c r="AB97" s="282" t="e">
        <f aca="false">IF($A97="N/A"," ",IF(U97&lt;&gt;0,IF('Pricing Inputs'!$AN$3=2,8*VLOOKUP($A97,NumberofDaysTable,4),(xSPRDOPT(N97,$E97,$BU97,0,$BP97,$BS97,$BT97,$A97-Inputs!$D$1,1,1))*(8*VLOOKUP($A97,NumberofDaysTable,4))),0))</f>
        <v>#NAME?</v>
      </c>
      <c r="AC97" s="282" t="e">
        <f aca="false">IF($A97="N/A"," ",(IF(V97&lt;&gt;0,(8*VLOOKUP($A97,NumberofDaysTable,6)),0)))</f>
        <v>#N/A</v>
      </c>
      <c r="AD97" s="298" t="e">
        <f aca="false">IF($A97="N/A"," ",RANK(P97,$P$88:$V$99))</f>
        <v>#NAME?</v>
      </c>
      <c r="AE97" s="299" t="e">
        <f aca="false">IF($A97="N/A"," ",RANK(Q97,$P$88:$V$99))</f>
        <v>#NAME?</v>
      </c>
      <c r="AF97" s="299" t="e">
        <f aca="false">IF($A97="N/A"," ",RANK(R97,$P$88:$V$99))</f>
        <v>#NAME?</v>
      </c>
      <c r="AG97" s="299" t="e">
        <f aca="false">IF($A97="N/A"," ",RANK(S97,$P$88:$V$99))</f>
        <v>#NAME?</v>
      </c>
      <c r="AH97" s="299" t="e">
        <f aca="false">IF($A97="N/A"," ",RANK(T97,$P$88:$V$99))</f>
        <v>#NAME?</v>
      </c>
      <c r="AI97" s="299" t="e">
        <f aca="false">IF($A97="N/A"," ",RANK(U97,$P$88:$V$99))</f>
        <v>#NAME?</v>
      </c>
      <c r="AJ97" s="300" t="e">
        <f aca="false">IF($A97="N/A"," ",RANK(V97,$P$88:$V$99))</f>
        <v>#NAME?</v>
      </c>
      <c r="AK97" s="286" t="e">
        <f aca="false">IF($A97="N/A"," ",IF(AD97&lt;=$AJ$2,W97,0))</f>
        <v>#NAME?</v>
      </c>
      <c r="AL97" s="301" t="e">
        <f aca="false">IF($A97="N/A"," ",IF(AE97&lt;=$AJ$2,X97,0))</f>
        <v>#NAME?</v>
      </c>
      <c r="AM97" s="301" t="e">
        <f aca="false">IF($A97="N/A"," ",IF(AF97&lt;=$AJ$2,Y97,0))</f>
        <v>#NAME?</v>
      </c>
      <c r="AN97" s="301" t="e">
        <f aca="false">IF($A97="N/A"," ",IF(AG97&lt;=$AJ$2,Z97,0))</f>
        <v>#NAME?</v>
      </c>
      <c r="AO97" s="301" t="e">
        <f aca="false">IF($A97="N/A"," ",IF(AH97&lt;=$AJ$2,AA97,0))</f>
        <v>#NAME?</v>
      </c>
      <c r="AP97" s="301" t="e">
        <f aca="false">IF($A97="N/A"," ",IF(AI97&lt;=$AJ$2,AB97,0))</f>
        <v>#NAME?</v>
      </c>
      <c r="AQ97" s="301" t="e">
        <f aca="false">IF($A97="N/A"," ",IF(AJ97&lt;=$AJ$2,AC97,0))</f>
        <v>#NAME?</v>
      </c>
      <c r="AR97" s="304" t="s">
        <v>1301</v>
      </c>
      <c r="AS97" s="288" t="e">
        <f aca="false">IF($A97="N/A"," ",IF(AND(AD97=$AJ$2+1,AK97=0),MIN($AR$99,W97),0))</f>
        <v>#NAME?</v>
      </c>
      <c r="AT97" s="302" t="e">
        <f aca="false">IF($A97="N/A"," ",IF(AND(AE97=$AJ$2+1,AL97=0),MIN($AR$99,X97),0))</f>
        <v>#NAME?</v>
      </c>
      <c r="AU97" s="302" t="e">
        <f aca="false">IF($A97="N/A"," ",IF(AND(AF97=$AJ$2+1,AM97=0),MIN($AR$99,Y97),0))</f>
        <v>#NAME?</v>
      </c>
      <c r="AV97" s="302" t="e">
        <f aca="false">IF($A97="N/A"," ",IF(AND(AG97=$AJ$2+1,AN97=0),MIN($AR$99,Z97),0))</f>
        <v>#NAME?</v>
      </c>
      <c r="AW97" s="302" t="e">
        <f aca="false">IF($A97="N/A"," ",IF(AND(AH97=$AJ$2+1,AO97=0),MIN($AR$99,AA97),0))</f>
        <v>#NAME?</v>
      </c>
      <c r="AX97" s="302" t="e">
        <f aca="false">IF($A97="N/A"," ",IF(AND(AI97=$AJ$2+1,AP97=0),MIN($AR$99,AB97),0))</f>
        <v>#NAME?</v>
      </c>
      <c r="AY97" s="302" t="e">
        <f aca="false">IF($A97="N/A"," ",IF(AND(AJ97=$AJ$2+1,AQ97=0),MIN($AR$99,AC97),0))</f>
        <v>#NAME?</v>
      </c>
      <c r="AZ97" s="303" t="s">
        <v>1328</v>
      </c>
      <c r="BA97" s="291" t="n">
        <f aca="false">IF($A97="N/A"," ",(IF(MONTH(A97)&gt;=4,IF(MONTH(A97)&lt;=10,Inputs!$F$13,Inputs!$F$14),Inputs!$F$14))*$BW97)</f>
        <v>180</v>
      </c>
      <c r="BB97" s="292" t="e">
        <f aca="false">IF($A97="N/A"," ",(IF(AK97&gt;0,($BA97*(8*(VLOOKUP($A97,NumberofDaysTable,2)))*P97),0)+IF(AS97&gt;0,($BA97*((AS97))*P97),0)))</f>
        <v>#NAME?</v>
      </c>
      <c r="BC97" s="292" t="e">
        <f aca="false">IF($A97="N/A"," ",(IF(AL97&gt;0,($BA97*(8*(VLOOKUP($A97,NumberofDaysTable,2)))*Q97),0)+IF(AT97&gt;0,($BA97*((AT97))*Q97),0)))</f>
        <v>#NAME?</v>
      </c>
      <c r="BD97" s="292" t="e">
        <f aca="false">IF($A97="N/A"," ",(IF(AM97&gt;0,($BA97*(8*(VLOOKUP($A97,NumberofDaysTable,3)))*R97),0)+IF(AU97&gt;0,($BA97*((AU97))*R97),0)))</f>
        <v>#NAME?</v>
      </c>
      <c r="BE97" s="292" t="e">
        <f aca="false">IF($A97="N/A"," ",(IF(AN97&gt;0,($BA97*(8*(VLOOKUP($A97,NumberofDaysTable,3)))*S97),0)+IF(AV97&gt;0,($BA97*((AV97))*S97),0)))</f>
        <v>#NAME?</v>
      </c>
      <c r="BF97" s="292" t="e">
        <f aca="false">IF($A97="N/A"," ",(IF(AO97&gt;0,($BA97*(8*(VLOOKUP($A97,NumberofDaysTable,4)+VLOOKUP($A97,NumberofDaysTable,5)))*T97),0)+IF(AW97&gt;0,($BA97*((AW97))*T97),0)))</f>
        <v>#NAME?</v>
      </c>
      <c r="BG97" s="292" t="e">
        <f aca="false">IF($A97="N/A"," ",(IF(AP97&gt;0,($BA97*(8*(VLOOKUP($A97,NumberofDaysTable,4)+VLOOKUP($A97,NumberofDaysTable,5)))*U97),0)+IF(AX97&gt;0,($BA97*((AX97))*U97),0)))</f>
        <v>#NAME?</v>
      </c>
      <c r="BH97" s="292" t="e">
        <f aca="false">IF($A97="N/A"," ",($BA97*AQ97*V97))</f>
        <v>#NAME?</v>
      </c>
      <c r="BI97" s="292" t="e">
        <f aca="false">IF($A97="N/A"," ",SUM(BB97:BH97))</f>
        <v>#NAME?</v>
      </c>
      <c r="BJ97" s="293" t="e">
        <f aca="false">IF($A97="N/A"," ",(H97*(SUM(AK97:AQ97)+SUM(AS97:AY97))*BA97))</f>
        <v>#NAME?</v>
      </c>
      <c r="BK97" s="293" t="e">
        <f aca="false">IF($A97="N/A"," ",((C97*D97)*(SUM($AK97:$AQ97)+SUM($AS97:$AY97))*$BA97))</f>
        <v>#N/A</v>
      </c>
      <c r="BL97" s="293" t="e">
        <f aca="false">IF($A97="N/A"," ",(F97*(SUM($AK97:$AQ97)+SUM($AS97:$AY97))*$BA97))</f>
        <v>#NAME?</v>
      </c>
      <c r="BM97" s="293" t="e">
        <f aca="false">IF($A97="N/A"," ",(G97*(SUM($AK97:$AQ97)+SUM($AS97:$AY97))*$BA97))</f>
        <v>#NAME?</v>
      </c>
      <c r="BN97" s="294" t="n">
        <f aca="false">IF(A97="N/A"," ",(VLOOKUP(A97,PowerVolTable,(IF('Pricing Inputs'!$AT$3=2,7,IF('Pricing Inputs'!$AT$3=1,6,8))),FALSE())))</f>
        <v>0.169067459384297</v>
      </c>
      <c r="BO97" s="294" t="n">
        <f aca="false">IF(A97="N/A"," ",(VLOOKUP(A97,IntraPowerVol,(IF('Pricing Inputs'!$AT$3=2,3,IF('Pricing Inputs'!$AT$3=1,2,4))),FALSE())*VLOOKUP(MONTH($A97),Inputs!$A$28:$B$39,2)))</f>
        <v>1.265</v>
      </c>
      <c r="BP97" s="295" t="n">
        <f aca="false">IF($A97="N/A"," ",(IF(DateToday&gt;$A97,$BO97,((($BN97^2)*((($A97-1)-DateToday)/((EOMONTH($A97,0)+1)-DateToday-15)))+((($BO97)^2)*((15)/((EOMONTH($A97,0)+1)-DateToday-15))))^0.5)))</f>
        <v>1.265</v>
      </c>
      <c r="BQ97" s="294" t="e">
        <f aca="false">IF($A97="N/A"," ",(VLOOKUP($A97,GasVolTable,(IF('Pricing Inputs'!$AT$3=2,6,IF('Pricing Inputs'!$AT$3=1,7,5))),FALSE())))</f>
        <v>#N/A</v>
      </c>
      <c r="BR97" s="294" t="e">
        <f aca="false">IF($A97="N/A"," ",(VLOOKUP($A97,OmicronVol,(IF('Pricing Inputs'!$AT$3=2,3,IF('Pricing Inputs'!$AT$3=1,4,2))),FALSE())))</f>
        <v>#N/A</v>
      </c>
      <c r="BS97" s="295" t="e">
        <f aca="false">IF($A97="N/A"," ",IF('Pricing Inputs'!$AN$3=1,(IF(DateToday&gt;$A97,$BR97,((($BQ97^2)*((($A97-1)-DateToday)/((EOMONTH($A97,0)+1)-DateToday-15)))+((($BR97)^2)*((15)/((EOMONTH($A97,0)+1)-DateToday-15))))^0.5)),0.0001))</f>
        <v>#N/A</v>
      </c>
      <c r="BT97" s="294" t="n">
        <f aca="false">IF($A97="N/A"," ",IF('Pricing Inputs'!$AN$3=1,(VLOOKUP($A97,CorrelationTable,2,FALSE())),0))</f>
        <v>0.9</v>
      </c>
      <c r="BU97" s="296" t="e">
        <f aca="false">IF($A97="N/A"," ",F97+G97+(D97*(VLOOKUP($A97,'Gas Curves'!$B$17:$P$310,14,FALSE()))))</f>
        <v>#N/A</v>
      </c>
      <c r="BV97" s="294" t="n">
        <f aca="false">IF($A97="N/A"," ",IF('Pricing Inputs'!$AW$3=1,0,(VLOOKUP($A97,InterestRatesTable,2))))</f>
        <v>0</v>
      </c>
      <c r="BW97" s="297" t="n">
        <f aca="false">IF($A97="N/A"," ",(1+BV97/2)^(-2*((EOMONTH(A97,0)+20)-DateToday)/365.25))</f>
        <v>1</v>
      </c>
    </row>
    <row r="98" customFormat="false" ht="12.75" hidden="false" customHeight="false" outlineLevel="0" collapsed="false">
      <c r="A98" s="272" t="n">
        <f aca="false">IF(A97="N/A","N/A",IF(EDATE(A97,1)&gt;Inputs!$K$3,"N/A",EDATE(A97,1)))</f>
        <v>39753</v>
      </c>
      <c r="B98" s="273" t="n">
        <f aca="false">IF(A98="N/A"," ",YEAR(A98))</f>
        <v>2008</v>
      </c>
      <c r="C98" s="274" t="e">
        <f aca="false">IF(A98="N/A"," ",VLOOKUP(A98,ScaledPrice,10))</f>
        <v>#N/A</v>
      </c>
      <c r="D98" s="275" t="n">
        <f aca="false">IF(A98="N/A"," ",(VLOOKUP(MONTH($A98),Inputs!$A$14:$B$25,2))/1000)</f>
        <v>10.5</v>
      </c>
      <c r="E98" s="276" t="e">
        <f aca="false">IF($A98="N/A"," ",C98*D98)</f>
        <v>#N/A</v>
      </c>
      <c r="F98" s="277" t="n">
        <f aca="false">IF(A98="N/A"," ",Inputs!$F$6)</f>
        <v>2</v>
      </c>
      <c r="G98" s="277" t="n">
        <f aca="false">IF(A98="N/A"," ",Inputs!$F$9/IF(AND('Pricing Inputs'!$AQ$3&gt;=4,'Pricing Inputs'!$AQ$3&lt;=6),16,IF(AND('Pricing Inputs'!$AQ$3&gt;=7,'Pricing Inputs'!$AQ$3&lt;=9),8,24))/(BA98/BW98))</f>
        <v>0</v>
      </c>
      <c r="H98" s="278" t="e">
        <f aca="false">IF(A98="N/A"," ",(C98*D98)+F98+G98)</f>
        <v>#N/A</v>
      </c>
      <c r="I98" s="279" t="n">
        <f aca="false">VLOOKUP(A98,ScaledPrice,(IF(AND('Pricing Inputs'!$AQ$3&gt;=1,'Pricing Inputs'!$AQ$3&lt;=6),2,4)))</f>
        <v>30.839089375</v>
      </c>
      <c r="J98" s="279" t="n">
        <f aca="false">IF(A98="N/A"," ",IF(AND('Pricing Inputs'!$AQ$3&gt;=1,'Pricing Inputs'!$AQ$3&lt;=6),I98,(VLOOKUP(A98,ScaledPrice,2))*(2-(VLOOKUP(A98,ScaledPrice,3)))))</f>
        <v>31.510910625</v>
      </c>
      <c r="K98" s="279" t="n">
        <f aca="false">IF(A98="N/A"," ",IF(OR('Pricing Inputs'!$AQ$3=2,'Pricing Inputs'!$AQ$3=3,'Pricing Inputs'!$AQ$3=5,'Pricing Inputs'!$AQ$3=6,'Pricing Inputs'!$AQ$3=8,'Pricing Inputs'!$AQ$3=9),VLOOKUP(A98,ScaledPrice,IF(AND('Pricing Inputs'!$AQ$3&gt;=2,'Pricing Inputs'!$AQ$3&lt;=6),5,6)),0))</f>
        <v>24.7353253885651</v>
      </c>
      <c r="L98" s="279" t="n">
        <f aca="false">IF(A98="N/A"," ",IF(OR('Pricing Inputs'!$AQ$3=2,'Pricing Inputs'!$AQ$3=3,'Pricing Inputs'!$AQ$3=5,'Pricing Inputs'!$AQ$3=6,'Pricing Inputs'!$AQ$3=8,'Pricing Inputs'!$AQ$3=9),IF(AND('Pricing Inputs'!$AQ$3&gt;=2,'Pricing Inputs'!$AQ$3&lt;=6),K98,(VLOOKUP(A98,ScaledPrice,5))*(2-(VLOOKUP(A98,ScaledPrice,3)))),0))</f>
        <v>25.2741777852631</v>
      </c>
      <c r="M98" s="279" t="n">
        <f aca="false">IF(A98="N/A"," ",IF(OR('Pricing Inputs'!$AQ$3=3,'Pricing Inputs'!$AQ$3=6,'Pricing Inputs'!$AQ$3=9),(VLOOKUP(A98,ScaledPrice,IF(AND('Pricing Inputs'!$AQ$3&gt;=3,'Pricing Inputs'!$AQ$3&lt;=6),7,8))),0))</f>
        <v>22.7566263313675</v>
      </c>
      <c r="N98" s="279" t="n">
        <f aca="false">IF(A98="N/A"," ",IF(OR('Pricing Inputs'!$AQ$3=3,'Pricing Inputs'!$AQ$3=6,'Pricing Inputs'!$AQ$3=9),IF(AND('Pricing Inputs'!$AQ$3&gt;=3,'Pricing Inputs'!$AQ$3&lt;=6),M98,(VLOOKUP(A98,ScaledPrice,7))*(2-(VLOOKUP(A98,ScaledPrice,3)))),0))</f>
        <v>23.2523733024216</v>
      </c>
      <c r="O98" s="279" t="n">
        <f aca="false">IF(A98="N/A"," ",IF(AND('Pricing Inputs'!$AQ$3&gt;=1,'Pricing Inputs'!$AQ$3&lt;=3),VLOOKUP(A98,ScaledPrice,9),0))</f>
        <v>0</v>
      </c>
      <c r="P98" s="280" t="e">
        <f aca="false">IF($A98="N/A"," ",IF('Pricing Inputs'!$AN$8=2,(I98-H98),IF('Pricing Inputs'!$AN$3=2,IF((I98-$H98)&gt;0,I98-$H98,0),(xSPRDOPT(I98,$E98,$BU98,0,$BP98,$BS98,$BT98,($A98-Inputs!$D$1)+15,1,0)))))</f>
        <v>#NAME?</v>
      </c>
      <c r="Q98" s="280" t="e">
        <f aca="false">IF($A98="N/A"," ",IF('Pricing Inputs'!$AN$8=2,(J98-$H98),IF('Pricing Inputs'!$AN$3=2,IF((J98-$H98)&gt;0,J98-$H98,0),(xSPRDOPT(J98,$E98,$BU98,0,$BP98,$BS98,$BT98,($A98-Inputs!$D$1)+15,1,0)))))</f>
        <v>#NAME?</v>
      </c>
      <c r="R98" s="280" t="e">
        <f aca="false">IF($A98="N/A"," ",IF('Pricing Inputs'!$AN$8=2,(K98-$H98),IF('Pricing Inputs'!$AN$3=2,IF((K98-$H98)&gt;0,K98-$H98,0),(xSPRDOPT(K98,$E98,$BU98,0,$BP98,$BS98,$BT98,($A98-Inputs!$D$1)+15,1,0)))))</f>
        <v>#NAME?</v>
      </c>
      <c r="S98" s="280" t="e">
        <f aca="false">IF($A98="N/A"," ",IF('Pricing Inputs'!$AN$8=2,(L98-$H98),IF('Pricing Inputs'!$AN$3=2,IF((L98-$H98)&gt;0,L98-$H98,0),(xSPRDOPT(L98,$E98,$BU98,0,$BP98,$BS98,$BT98,($A98-Inputs!$D$1)+15,1,0)))))</f>
        <v>#NAME?</v>
      </c>
      <c r="T98" s="280" t="e">
        <f aca="false">IF($A98="N/A"," ",IF('Pricing Inputs'!$AN$8=2,(M98-$H98),IF('Pricing Inputs'!$AN$3=2,IF((M98-$H98)&gt;0,M98-$H98,0),(xSPRDOPT(M98,$E98,$BU98,0,$BP98,$BS98,$BT98,($A98-Inputs!$D$1)+15,1,0)))))</f>
        <v>#NAME?</v>
      </c>
      <c r="U98" s="280" t="e">
        <f aca="false">IF($A98="N/A"," ",IF('Pricing Inputs'!$AN$8=2,(N98-$H98),IF('Pricing Inputs'!$AN$3=2,IF((N98-$H98)&gt;0,N98-$H98,0),(xSPRDOPT(N98,$E98,$BU98,0,$BP98,$BS98,$BT98,($A98-Inputs!$D$1)+15,1,0)))))</f>
        <v>#NAME?</v>
      </c>
      <c r="V98" s="281" t="e">
        <f aca="false">IF($A98="N/A"," ",(IF('Pricing Inputs'!$AN$8=2,(O98-$H98),IF((O98-$H98)&lt;=0,0,(O98-$H98)))))</f>
        <v>#N/A</v>
      </c>
      <c r="W98" s="282" t="e">
        <f aca="false">IF($A98="N/A"," ",IF(0&lt;&gt;P98,IF('Pricing Inputs'!$AN$3=2,8*VLOOKUP($A98,NumberofDaysTable,2),(xSPRDOPT(I98,$E98,$BU98,0,$BP98,$BS98,$BT98,$A98-Inputs!$D$1,1,1))*(8*VLOOKUP($A98,NumberofDaysTable,2))),0))</f>
        <v>#NAME?</v>
      </c>
      <c r="X98" s="282" t="e">
        <f aca="false">IF($A98="N/A"," ",IF(Q98&lt;&gt;0,IF('Pricing Inputs'!$AN$3=2,8*VLOOKUP($A98,NumberofDaysTable,2),(xSPRDOPT(J98,$E98,$BU98,0,$BP98,$BS98,$BT98,$A98-Inputs!$D$1,1,1))*(8*VLOOKUP($A98,NumberofDaysTable,2))),0))</f>
        <v>#NAME?</v>
      </c>
      <c r="Y98" s="282" t="e">
        <f aca="false">IF($A98="N/A"," ",IF(R98&lt;&gt;0,IF('Pricing Inputs'!$AN$3=2,8*VLOOKUP($A98,NumberofDaysTable,3),(xSPRDOPT(K98,$E98,$BU98,0,$BP98,$BS98,$BT98,$A98-Inputs!$D$1,1,1))*(8*VLOOKUP($A98,NumberofDaysTable,3))),0))</f>
        <v>#NAME?</v>
      </c>
      <c r="Z98" s="282" t="e">
        <f aca="false">IF($A98="N/A"," ",IF(S98&lt;&gt;0,IF('Pricing Inputs'!$AN$3=2,8*VLOOKUP($A98,NumberofDaysTable,3),(xSPRDOPT(L98,$E98,$BU98,0,$BP98,$BS98,$BT98,$A98-Inputs!$D$1,1,1))*(8*VLOOKUP($A98,NumberofDaysTable,3))),0))</f>
        <v>#NAME?</v>
      </c>
      <c r="AA98" s="282" t="e">
        <f aca="false">IF($A98="N/A"," ",IF(T98&lt;&gt;0,IF('Pricing Inputs'!$AN$3=2,8*VLOOKUP($A98,NumberofDaysTable,4),(xSPRDOPT(M98,$E98,$BU98,0,$BP98,$BS98,$BT98,$A98-Inputs!$D$1,1,1))*(8*VLOOKUP($A98,NumberofDaysTable,4))),0))</f>
        <v>#NAME?</v>
      </c>
      <c r="AB98" s="282" t="e">
        <f aca="false">IF($A98="N/A"," ",IF(U98&lt;&gt;0,IF('Pricing Inputs'!$AN$3=2,8*VLOOKUP($A98,NumberofDaysTable,4),(xSPRDOPT(N98,$E98,$BU98,0,$BP98,$BS98,$BT98,$A98-Inputs!$D$1,1,1))*(8*VLOOKUP($A98,NumberofDaysTable,4))),0))</f>
        <v>#NAME?</v>
      </c>
      <c r="AC98" s="282" t="e">
        <f aca="false">IF($A98="N/A"," ",(IF(V98&lt;&gt;0,(8*VLOOKUP($A98,NumberofDaysTable,6)),0)))</f>
        <v>#N/A</v>
      </c>
      <c r="AD98" s="298" t="e">
        <f aca="false">IF($A98="N/A"," ",RANK(P98,$P$88:$V$99))</f>
        <v>#NAME?</v>
      </c>
      <c r="AE98" s="299" t="e">
        <f aca="false">IF($A98="N/A"," ",RANK(Q98,$P$88:$V$99))</f>
        <v>#NAME?</v>
      </c>
      <c r="AF98" s="299" t="e">
        <f aca="false">IF($A98="N/A"," ",RANK(R98,$P$88:$V$99))</f>
        <v>#NAME?</v>
      </c>
      <c r="AG98" s="299" t="e">
        <f aca="false">IF($A98="N/A"," ",RANK(S98,$P$88:$V$99))</f>
        <v>#NAME?</v>
      </c>
      <c r="AH98" s="299" t="e">
        <f aca="false">IF($A98="N/A"," ",RANK(T98,$P$88:$V$99))</f>
        <v>#NAME?</v>
      </c>
      <c r="AI98" s="299" t="e">
        <f aca="false">IF($A98="N/A"," ",RANK(U98,$P$88:$V$99))</f>
        <v>#NAME?</v>
      </c>
      <c r="AJ98" s="300" t="e">
        <f aca="false">IF($A98="N/A"," ",RANK(V98,$P$88:$V$99))</f>
        <v>#NAME?</v>
      </c>
      <c r="AK98" s="286" t="e">
        <f aca="false">IF($A98="N/A"," ",IF(AD98&lt;=$AJ$2,W98,0))</f>
        <v>#NAME?</v>
      </c>
      <c r="AL98" s="301" t="e">
        <f aca="false">IF($A98="N/A"," ",IF(AE98&lt;=$AJ$2,X98,0))</f>
        <v>#NAME?</v>
      </c>
      <c r="AM98" s="301" t="e">
        <f aca="false">IF($A98="N/A"," ",IF(AF98&lt;=$AJ$2,Y98,0))</f>
        <v>#NAME?</v>
      </c>
      <c r="AN98" s="301" t="e">
        <f aca="false">IF($A98="N/A"," ",IF(AG98&lt;=$AJ$2,Z98,0))</f>
        <v>#NAME?</v>
      </c>
      <c r="AO98" s="301" t="e">
        <f aca="false">IF($A98="N/A"," ",IF(AH98&lt;=$AJ$2,AA98,0))</f>
        <v>#NAME?</v>
      </c>
      <c r="AP98" s="301" t="e">
        <f aca="false">IF($A98="N/A"," ",IF(AI98&lt;=$AJ$2,AB98,0))</f>
        <v>#NAME?</v>
      </c>
      <c r="AQ98" s="301" t="e">
        <f aca="false">IF($A98="N/A"," ",IF(AJ98&lt;=$AJ$2,AC98,0))</f>
        <v>#NAME?</v>
      </c>
      <c r="AR98" s="300" t="e">
        <f aca="false">SUM(AK88:AQ99)</f>
        <v>#NAME?</v>
      </c>
      <c r="AS98" s="288" t="e">
        <f aca="false">IF($A98="N/A"," ",IF(AND(AD98=$AJ$2+1,AK98=0),MIN($AR$99,W98),0))</f>
        <v>#NAME?</v>
      </c>
      <c r="AT98" s="302" t="e">
        <f aca="false">IF($A98="N/A"," ",IF(AND(AE98=$AJ$2+1,AL98=0),MIN($AR$99,X98),0))</f>
        <v>#NAME?</v>
      </c>
      <c r="AU98" s="302" t="e">
        <f aca="false">IF($A98="N/A"," ",IF(AND(AF98=$AJ$2+1,AM98=0),MIN($AR$99,Y98),0))</f>
        <v>#NAME?</v>
      </c>
      <c r="AV98" s="302" t="e">
        <f aca="false">IF($A98="N/A"," ",IF(AND(AG98=$AJ$2+1,AN98=0),MIN($AR$99,Z98),0))</f>
        <v>#NAME?</v>
      </c>
      <c r="AW98" s="302" t="e">
        <f aca="false">IF($A98="N/A"," ",IF(AND(AH98=$AJ$2+1,AO98=0),MIN($AR$99,AA98),0))</f>
        <v>#NAME?</v>
      </c>
      <c r="AX98" s="302" t="e">
        <f aca="false">IF($A98="N/A"," ",IF(AND(AI98=$AJ$2+1,AP98=0),MIN($AR$99,AB98),0))</f>
        <v>#NAME?</v>
      </c>
      <c r="AY98" s="302" t="e">
        <f aca="false">IF($A98="N/A"," ",IF(AND(AJ98=$AJ$2+1,AQ98=0),MIN($AR$99,AC98),0))</f>
        <v>#NAME?</v>
      </c>
      <c r="AZ98" s="300" t="e">
        <f aca="false">SUM(AS88:AY99)</f>
        <v>#NAME?</v>
      </c>
      <c r="BA98" s="291" t="n">
        <f aca="false">IF($A98="N/A"," ",(IF(MONTH(A98)&gt;=4,IF(MONTH(A98)&lt;=10,Inputs!$F$13,Inputs!$F$14),Inputs!$F$14))*$BW98)</f>
        <v>180</v>
      </c>
      <c r="BB98" s="292" t="e">
        <f aca="false">IF($A98="N/A"," ",(IF(AK98&gt;0,($BA98*(8*(VLOOKUP($A98,NumberofDaysTable,2)))*P98),0)+IF(AS98&gt;0,($BA98*((AS98))*P98),0)))</f>
        <v>#NAME?</v>
      </c>
      <c r="BC98" s="292" t="e">
        <f aca="false">IF($A98="N/A"," ",(IF(AL98&gt;0,($BA98*(8*(VLOOKUP($A98,NumberofDaysTable,2)))*Q98),0)+IF(AT98&gt;0,($BA98*((AT98))*Q98),0)))</f>
        <v>#NAME?</v>
      </c>
      <c r="BD98" s="292" t="e">
        <f aca="false">IF($A98="N/A"," ",(IF(AM98&gt;0,($BA98*(8*(VLOOKUP($A98,NumberofDaysTable,3)))*R98),0)+IF(AU98&gt;0,($BA98*((AU98))*R98),0)))</f>
        <v>#NAME?</v>
      </c>
      <c r="BE98" s="292" t="e">
        <f aca="false">IF($A98="N/A"," ",(IF(AN98&gt;0,($BA98*(8*(VLOOKUP($A98,NumberofDaysTable,3)))*S98),0)+IF(AV98&gt;0,($BA98*((AV98))*S98),0)))</f>
        <v>#NAME?</v>
      </c>
      <c r="BF98" s="292" t="e">
        <f aca="false">IF($A98="N/A"," ",(IF(AO98&gt;0,($BA98*(8*(VLOOKUP($A98,NumberofDaysTable,4)+VLOOKUP($A98,NumberofDaysTable,5)))*T98),0)+IF(AW98&gt;0,($BA98*((AW98))*T98),0)))</f>
        <v>#NAME?</v>
      </c>
      <c r="BG98" s="292" t="e">
        <f aca="false">IF($A98="N/A"," ",(IF(AP98&gt;0,($BA98*(8*(VLOOKUP($A98,NumberofDaysTable,4)+VLOOKUP($A98,NumberofDaysTable,5)))*U98),0)+IF(AX98&gt;0,($BA98*((AX98))*U98),0)))</f>
        <v>#NAME?</v>
      </c>
      <c r="BH98" s="292" t="e">
        <f aca="false">IF($A98="N/A"," ",($BA98*AQ98*V98))</f>
        <v>#NAME?</v>
      </c>
      <c r="BI98" s="292" t="e">
        <f aca="false">IF($A98="N/A"," ",SUM(BB98:BH98))</f>
        <v>#NAME?</v>
      </c>
      <c r="BJ98" s="293" t="e">
        <f aca="false">IF($A98="N/A"," ",(H98*(SUM(AK98:AQ98)+SUM(AS98:AY98))*BA98))</f>
        <v>#NAME?</v>
      </c>
      <c r="BK98" s="293" t="e">
        <f aca="false">IF($A98="N/A"," ",((C98*D98)*(SUM($AK98:$AQ98)+SUM($AS98:$AY98))*$BA98))</f>
        <v>#N/A</v>
      </c>
      <c r="BL98" s="293" t="e">
        <f aca="false">IF($A98="N/A"," ",(F98*(SUM($AK98:$AQ98)+SUM($AS98:$AY98))*$BA98))</f>
        <v>#NAME?</v>
      </c>
      <c r="BM98" s="293" t="e">
        <f aca="false">IF($A98="N/A"," ",(G98*(SUM($AK98:$AQ98)+SUM($AS98:$AY98))*$BA98))</f>
        <v>#NAME?</v>
      </c>
      <c r="BN98" s="294" t="n">
        <f aca="false">IF(A98="N/A"," ",(VLOOKUP(A98,PowerVolTable,(IF('Pricing Inputs'!$AT$3=2,7,IF('Pricing Inputs'!$AT$3=1,6,8))),FALSE())))</f>
        <v>0.169067459384297</v>
      </c>
      <c r="BO98" s="294" t="n">
        <f aca="false">IF(A98="N/A"," ",(VLOOKUP(A98,IntraPowerVol,(IF('Pricing Inputs'!$AT$3=2,3,IF('Pricing Inputs'!$AT$3=1,2,4))),FALSE())*VLOOKUP(MONTH($A98),Inputs!$A$28:$B$39,2)))</f>
        <v>1.4375</v>
      </c>
      <c r="BP98" s="295" t="n">
        <f aca="false">IF($A98="N/A"," ",(IF(DateToday&gt;$A98,$BO98,((($BN98^2)*((($A98-1)-DateToday)/((EOMONTH($A98,0)+1)-DateToday-15)))+((($BO98)^2)*((15)/((EOMONTH($A98,0)+1)-DateToday-15))))^0.5)))</f>
        <v>1.4375</v>
      </c>
      <c r="BQ98" s="294" t="e">
        <f aca="false">IF($A98="N/A"," ",(VLOOKUP($A98,GasVolTable,(IF('Pricing Inputs'!$AT$3=2,6,IF('Pricing Inputs'!$AT$3=1,7,5))),FALSE())))</f>
        <v>#N/A</v>
      </c>
      <c r="BR98" s="294" t="e">
        <f aca="false">IF($A98="N/A"," ",(VLOOKUP($A98,OmicronVol,(IF('Pricing Inputs'!$AT$3=2,3,IF('Pricing Inputs'!$AT$3=1,4,2))),FALSE())))</f>
        <v>#N/A</v>
      </c>
      <c r="BS98" s="295" t="e">
        <f aca="false">IF($A98="N/A"," ",IF('Pricing Inputs'!$AN$3=1,(IF(DateToday&gt;$A98,$BR98,((($BQ98^2)*((($A98-1)-DateToday)/((EOMONTH($A98,0)+1)-DateToday-15)))+((($BR98)^2)*((15)/((EOMONTH($A98,0)+1)-DateToday-15))))^0.5)),0.0001))</f>
        <v>#N/A</v>
      </c>
      <c r="BT98" s="294" t="n">
        <f aca="false">IF($A98="N/A"," ",IF('Pricing Inputs'!$AN$3=1,(VLOOKUP($A98,CorrelationTable,2,FALSE())),0))</f>
        <v>0.9</v>
      </c>
      <c r="BU98" s="296" t="e">
        <f aca="false">IF($A98="N/A"," ",F98+G98+(D98*(VLOOKUP($A98,'Gas Curves'!$B$17:$P$310,14,FALSE()))))</f>
        <v>#N/A</v>
      </c>
      <c r="BV98" s="294" t="n">
        <f aca="false">IF($A98="N/A"," ",IF('Pricing Inputs'!$AW$3=1,0,(VLOOKUP($A98,InterestRatesTable,2))))</f>
        <v>0</v>
      </c>
      <c r="BW98" s="297" t="n">
        <f aca="false">IF($A98="N/A"," ",(1+BV98/2)^(-2*((EOMONTH(A98,0)+20)-DateToday)/365.25))</f>
        <v>1</v>
      </c>
    </row>
    <row r="99" customFormat="false" ht="12.75" hidden="false" customHeight="false" outlineLevel="0" collapsed="false">
      <c r="A99" s="272" t="n">
        <f aca="false">IF(A98="N/A","N/A",IF(EDATE(A98,1)&gt;Inputs!$K$3,"N/A",EDATE(A98,1)))</f>
        <v>39783</v>
      </c>
      <c r="B99" s="273" t="n">
        <f aca="false">IF(A99="N/A"," ",YEAR(A99))</f>
        <v>2008</v>
      </c>
      <c r="C99" s="274" t="e">
        <f aca="false">IF(A99="N/A"," ",VLOOKUP(A99,ScaledPrice,10))</f>
        <v>#N/A</v>
      </c>
      <c r="D99" s="275" t="n">
        <f aca="false">IF(A99="N/A"," ",(VLOOKUP(MONTH($A99),Inputs!$A$14:$B$25,2))/1000)</f>
        <v>10.5</v>
      </c>
      <c r="E99" s="276" t="e">
        <f aca="false">IF($A99="N/A"," ",C99*D99)</f>
        <v>#N/A</v>
      </c>
      <c r="F99" s="277" t="n">
        <f aca="false">IF(A99="N/A"," ",Inputs!$F$6)</f>
        <v>2</v>
      </c>
      <c r="G99" s="277" t="n">
        <f aca="false">IF(A99="N/A"," ",Inputs!$F$9/IF(AND('Pricing Inputs'!$AQ$3&gt;=4,'Pricing Inputs'!$AQ$3&lt;=6),16,IF(AND('Pricing Inputs'!$AQ$3&gt;=7,'Pricing Inputs'!$AQ$3&lt;=9),8,24))/(BA99/BW99))</f>
        <v>0</v>
      </c>
      <c r="H99" s="278" t="e">
        <f aca="false">IF(A99="N/A"," ",(C99*D99)+F99+G99)</f>
        <v>#N/A</v>
      </c>
      <c r="I99" s="279" t="n">
        <f aca="false">VLOOKUP(A99,ScaledPrice,(IF(AND('Pricing Inputs'!$AQ$3&gt;=1,'Pricing Inputs'!$AQ$3&lt;=6),2,4)))</f>
        <v>30.383028771821</v>
      </c>
      <c r="J99" s="279" t="n">
        <f aca="false">IF(A99="N/A"," ",IF(AND('Pricing Inputs'!$AQ$3&gt;=1,'Pricing Inputs'!$AQ$3&lt;=6),I99,(VLOOKUP(A99,ScaledPrice,2))*(2-(VLOOKUP(A99,ScaledPrice,3)))))</f>
        <v>31.716971228179</v>
      </c>
      <c r="K99" s="279" t="n">
        <f aca="false">IF(A99="N/A"," ",IF(OR('Pricing Inputs'!$AQ$3=2,'Pricing Inputs'!$AQ$3=3,'Pricing Inputs'!$AQ$3=5,'Pricing Inputs'!$AQ$3=6,'Pricing Inputs'!$AQ$3=8,'Pricing Inputs'!$AQ$3=9),VLOOKUP(A99,ScaledPrice,IF(AND('Pricing Inputs'!$AQ$3&gt;=2,'Pricing Inputs'!$AQ$3&lt;=6),5,6)),0))</f>
        <v>25.8867303536123</v>
      </c>
      <c r="L99" s="279" t="n">
        <f aca="false">IF(A99="N/A"," ",IF(OR('Pricing Inputs'!$AQ$3=2,'Pricing Inputs'!$AQ$3=3,'Pricing Inputs'!$AQ$3=5,'Pricing Inputs'!$AQ$3=6,'Pricing Inputs'!$AQ$3=8,'Pricing Inputs'!$AQ$3=9),IF(AND('Pricing Inputs'!$AQ$3&gt;=2,'Pricing Inputs'!$AQ$3&lt;=6),K99,(VLOOKUP(A99,ScaledPrice,5))*(2-(VLOOKUP(A99,ScaledPrice,3)))),0))</f>
        <v>27.023266442042</v>
      </c>
      <c r="M99" s="279" t="n">
        <f aca="false">IF(A99="N/A"," ",IF(OR('Pricing Inputs'!$AQ$3=3,'Pricing Inputs'!$AQ$3=6,'Pricing Inputs'!$AQ$3=9),(VLOOKUP(A99,ScaledPrice,IF(AND('Pricing Inputs'!$AQ$3&gt;=3,'Pricing Inputs'!$AQ$3&lt;=6),7,8))),0))</f>
        <v>22.4570205195775</v>
      </c>
      <c r="N99" s="279" t="n">
        <f aca="false">IF(A99="N/A"," ",IF(OR('Pricing Inputs'!$AQ$3=3,'Pricing Inputs'!$AQ$3=6,'Pricing Inputs'!$AQ$3=9),IF(AND('Pricing Inputs'!$AQ$3&gt;=3,'Pricing Inputs'!$AQ$3&lt;=6),M99,(VLOOKUP(A99,ScaledPrice,7))*(2-(VLOOKUP(A99,ScaledPrice,3)))),0))</f>
        <v>23.4429779545436</v>
      </c>
      <c r="O99" s="279" t="n">
        <f aca="false">IF(A99="N/A"," ",IF(AND('Pricing Inputs'!$AQ$3&gt;=1,'Pricing Inputs'!$AQ$3&lt;=3),VLOOKUP(A99,ScaledPrice,9),0))</f>
        <v>0</v>
      </c>
      <c r="P99" s="280" t="e">
        <f aca="false">IF($A99="N/A"," ",IF('Pricing Inputs'!$AN$8=2,(I99-H99),IF('Pricing Inputs'!$AN$3=2,IF((I99-$H99)&gt;0,I99-$H99,0),(xSPRDOPT(I99,$E99,$BU99,0,$BP99,$BS99,$BT99,($A99-Inputs!$D$1)+15,1,0)))))</f>
        <v>#NAME?</v>
      </c>
      <c r="Q99" s="280" t="e">
        <f aca="false">IF($A99="N/A"," ",IF('Pricing Inputs'!$AN$8=2,(J99-$H99),IF('Pricing Inputs'!$AN$3=2,IF((J99-$H99)&gt;0,J99-$H99,0),(xSPRDOPT(J99,$E99,$BU99,0,$BP99,$BS99,$BT99,($A99-Inputs!$D$1)+15,1,0)))))</f>
        <v>#NAME?</v>
      </c>
      <c r="R99" s="280" t="e">
        <f aca="false">IF($A99="N/A"," ",IF('Pricing Inputs'!$AN$8=2,(K99-$H99),IF('Pricing Inputs'!$AN$3=2,IF((K99-$H99)&gt;0,K99-$H99,0),(xSPRDOPT(K99,$E99,$BU99,0,$BP99,$BS99,$BT99,($A99-Inputs!$D$1)+15,1,0)))))</f>
        <v>#NAME?</v>
      </c>
      <c r="S99" s="280" t="e">
        <f aca="false">IF($A99="N/A"," ",IF('Pricing Inputs'!$AN$8=2,(L99-$H99),IF('Pricing Inputs'!$AN$3=2,IF((L99-$H99)&gt;0,L99-$H99,0),(xSPRDOPT(L99,$E99,$BU99,0,$BP99,$BS99,$BT99,($A99-Inputs!$D$1)+15,1,0)))))</f>
        <v>#NAME?</v>
      </c>
      <c r="T99" s="280" t="e">
        <f aca="false">IF($A99="N/A"," ",IF('Pricing Inputs'!$AN$8=2,(M99-$H99),IF('Pricing Inputs'!$AN$3=2,IF((M99-$H99)&gt;0,M99-$H99,0),(xSPRDOPT(M99,$E99,$BU99,0,$BP99,$BS99,$BT99,($A99-Inputs!$D$1)+15,1,0)))))</f>
        <v>#NAME?</v>
      </c>
      <c r="U99" s="280" t="e">
        <f aca="false">IF($A99="N/A"," ",IF('Pricing Inputs'!$AN$8=2,(N99-$H99),IF('Pricing Inputs'!$AN$3=2,IF((N99-$H99)&gt;0,N99-$H99,0),(xSPRDOPT(N99,$E99,$BU99,0,$BP99,$BS99,$BT99,($A99-Inputs!$D$1)+15,1,0)))))</f>
        <v>#NAME?</v>
      </c>
      <c r="V99" s="281" t="e">
        <f aca="false">IF($A99="N/A"," ",(IF('Pricing Inputs'!$AN$8=2,(O99-$H99),IF((O99-$H99)&lt;=0,0,(O99-$H99)))))</f>
        <v>#N/A</v>
      </c>
      <c r="W99" s="282" t="e">
        <f aca="false">IF($A99="N/A"," ",IF(0&lt;&gt;P99,IF('Pricing Inputs'!$AN$3=2,8*VLOOKUP($A99,NumberofDaysTable,2),(xSPRDOPT(I99,$E99,$BU99,0,$BP99,$BS99,$BT99,$A99-Inputs!$D$1,1,1))*(8*VLOOKUP($A99,NumberofDaysTable,2))),0))</f>
        <v>#NAME?</v>
      </c>
      <c r="X99" s="282" t="e">
        <f aca="false">IF($A99="N/A"," ",IF(Q99&lt;&gt;0,IF('Pricing Inputs'!$AN$3=2,8*VLOOKUP($A99,NumberofDaysTable,2),(xSPRDOPT(J99,$E99,$BU99,0,$BP99,$BS99,$BT99,$A99-Inputs!$D$1,1,1))*(8*VLOOKUP($A99,NumberofDaysTable,2))),0))</f>
        <v>#NAME?</v>
      </c>
      <c r="Y99" s="282" t="e">
        <f aca="false">IF($A99="N/A"," ",IF(R99&lt;&gt;0,IF('Pricing Inputs'!$AN$3=2,8*VLOOKUP($A99,NumberofDaysTable,3),(xSPRDOPT(K99,$E99,$BU99,0,$BP99,$BS99,$BT99,$A99-Inputs!$D$1,1,1))*(8*VLOOKUP($A99,NumberofDaysTable,3))),0))</f>
        <v>#NAME?</v>
      </c>
      <c r="Z99" s="282" t="e">
        <f aca="false">IF($A99="N/A"," ",IF(S99&lt;&gt;0,IF('Pricing Inputs'!$AN$3=2,8*VLOOKUP($A99,NumberofDaysTable,3),(xSPRDOPT(L99,$E99,$BU99,0,$BP99,$BS99,$BT99,$A99-Inputs!$D$1,1,1))*(8*VLOOKUP($A99,NumberofDaysTable,3))),0))</f>
        <v>#NAME?</v>
      </c>
      <c r="AA99" s="282" t="e">
        <f aca="false">IF($A99="N/A"," ",IF(T99&lt;&gt;0,IF('Pricing Inputs'!$AN$3=2,8*VLOOKUP($A99,NumberofDaysTable,4),(xSPRDOPT(M99,$E99,$BU99,0,$BP99,$BS99,$BT99,$A99-Inputs!$D$1,1,1))*(8*VLOOKUP($A99,NumberofDaysTable,4))),0))</f>
        <v>#NAME?</v>
      </c>
      <c r="AB99" s="282" t="e">
        <f aca="false">IF($A99="N/A"," ",IF(U99&lt;&gt;0,IF('Pricing Inputs'!$AN$3=2,8*VLOOKUP($A99,NumberofDaysTable,4),(xSPRDOPT(N99,$E99,$BU99,0,$BP99,$BS99,$BT99,$A99-Inputs!$D$1,1,1))*(8*VLOOKUP($A99,NumberofDaysTable,4))),0))</f>
        <v>#NAME?</v>
      </c>
      <c r="AC99" s="282" t="e">
        <f aca="false">IF($A99="N/A"," ",(IF(V99&lt;&gt;0,(8*VLOOKUP($A99,NumberofDaysTable,6)),0)))</f>
        <v>#N/A</v>
      </c>
      <c r="AD99" s="305" t="e">
        <f aca="false">IF($A99="N/A"," ",RANK(P99,$P$88:$V$99))</f>
        <v>#NAME?</v>
      </c>
      <c r="AE99" s="306" t="e">
        <f aca="false">IF($A99="N/A"," ",RANK(Q99,$P$88:$V$99))</f>
        <v>#NAME?</v>
      </c>
      <c r="AF99" s="306" t="e">
        <f aca="false">IF($A99="N/A"," ",RANK(R99,$P$88:$V$99))</f>
        <v>#NAME?</v>
      </c>
      <c r="AG99" s="306" t="e">
        <f aca="false">IF($A99="N/A"," ",RANK(S99,$P$88:$V$99))</f>
        <v>#NAME?</v>
      </c>
      <c r="AH99" s="306" t="e">
        <f aca="false">IF($A99="N/A"," ",RANK(T99,$P$88:$V$99))</f>
        <v>#NAME?</v>
      </c>
      <c r="AI99" s="306" t="e">
        <f aca="false">IF($A99="N/A"," ",RANK(U99,$P$88:$V$99))</f>
        <v>#NAME?</v>
      </c>
      <c r="AJ99" s="307" t="e">
        <f aca="false">IF($A99="N/A"," ",RANK(V99,$P$88:$V$99))</f>
        <v>#NAME?</v>
      </c>
      <c r="AK99" s="308" t="e">
        <f aca="false">IF($A99="N/A"," ",IF(AD99&lt;=$AJ$2,W99,0))</f>
        <v>#NAME?</v>
      </c>
      <c r="AL99" s="309" t="e">
        <f aca="false">IF($A99="N/A"," ",IF(AE99&lt;=$AJ$2,X99,0))</f>
        <v>#NAME?</v>
      </c>
      <c r="AM99" s="309" t="e">
        <f aca="false">IF($A99="N/A"," ",IF(AF99&lt;=$AJ$2,Y99,0))</f>
        <v>#NAME?</v>
      </c>
      <c r="AN99" s="309" t="e">
        <f aca="false">IF($A99="N/A"," ",IF(AG99&lt;=$AJ$2,Z99,0))</f>
        <v>#NAME?</v>
      </c>
      <c r="AO99" s="309" t="e">
        <f aca="false">IF($A99="N/A"," ",IF(AH99&lt;=$AJ$2,AA99,0))</f>
        <v>#NAME?</v>
      </c>
      <c r="AP99" s="309" t="e">
        <f aca="false">IF($A99="N/A"," ",IF(AI99&lt;=$AJ$2,AB99,0))</f>
        <v>#NAME?</v>
      </c>
      <c r="AQ99" s="309" t="e">
        <f aca="false">IF($A99="N/A"," ",IF(AJ99&lt;=$AJ$2,AC99,0))</f>
        <v>#NAME?</v>
      </c>
      <c r="AR99" s="307" t="e">
        <f aca="false">IF(($AP$2-AR98)&gt;=0,$AP$2-AR98,0)</f>
        <v>#NAME?</v>
      </c>
      <c r="AS99" s="310" t="e">
        <f aca="false">IF($A99="N/A"," ",IF(AND(AD99=$AJ$2+1,AK99=0),MIN($AR$99,W99),0))</f>
        <v>#NAME?</v>
      </c>
      <c r="AT99" s="311" t="e">
        <f aca="false">IF($A99="N/A"," ",IF(AND(AE99=$AJ$2+1,AL99=0),MIN($AR$99,X99),0))</f>
        <v>#NAME?</v>
      </c>
      <c r="AU99" s="311" t="e">
        <f aca="false">IF($A99="N/A"," ",IF(AND(AF99=$AJ$2+1,AM99=0),MIN($AR$99,Y99),0))</f>
        <v>#NAME?</v>
      </c>
      <c r="AV99" s="311" t="e">
        <f aca="false">IF($A99="N/A"," ",IF(AND(AG99=$AJ$2+1,AN99=0),MIN($AR$99,Z99),0))</f>
        <v>#NAME?</v>
      </c>
      <c r="AW99" s="311" t="e">
        <f aca="false">IF($A99="N/A"," ",IF(AND(AH99=$AJ$2+1,AO99=0),MIN($AR$99,AA99),0))</f>
        <v>#NAME?</v>
      </c>
      <c r="AX99" s="311" t="e">
        <f aca="false">IF($A99="N/A"," ",IF(AND(AI99=$AJ$2+1,AP99=0),MIN($AR$99,AB99),0))</f>
        <v>#NAME?</v>
      </c>
      <c r="AY99" s="311" t="e">
        <f aca="false">IF($A99="N/A"," ",IF(AND(AJ99=$AJ$2+1,AQ99=0),MIN($AR$99,AC99),0))</f>
        <v>#NAME?</v>
      </c>
      <c r="AZ99" s="312" t="e">
        <f aca="false">AR98+AZ98</f>
        <v>#NAME?</v>
      </c>
      <c r="BA99" s="291" t="n">
        <f aca="false">IF($A99="N/A"," ",(IF(MONTH(A99)&gt;=4,IF(MONTH(A99)&lt;=10,Inputs!$F$13,Inputs!$F$14),Inputs!$F$14))*$BW99)</f>
        <v>180</v>
      </c>
      <c r="BB99" s="292" t="e">
        <f aca="false">IF($A99="N/A"," ",(IF(AK99&gt;0,($BA99*(8*(VLOOKUP($A99,NumberofDaysTable,2)))*P99),0)+IF(AS99&gt;0,($BA99*((AS99))*P99),0)))</f>
        <v>#NAME?</v>
      </c>
      <c r="BC99" s="292" t="e">
        <f aca="false">IF($A99="N/A"," ",(IF(AL99&gt;0,($BA99*(8*(VLOOKUP($A99,NumberofDaysTable,2)))*Q99),0)+IF(AT99&gt;0,($BA99*((AT99))*Q99),0)))</f>
        <v>#NAME?</v>
      </c>
      <c r="BD99" s="292" t="e">
        <f aca="false">IF($A99="N/A"," ",(IF(AM99&gt;0,($BA99*(8*(VLOOKUP($A99,NumberofDaysTable,3)))*R99),0)+IF(AU99&gt;0,($BA99*((AU99))*R99),0)))</f>
        <v>#NAME?</v>
      </c>
      <c r="BE99" s="292" t="e">
        <f aca="false">IF($A99="N/A"," ",(IF(AN99&gt;0,($BA99*(8*(VLOOKUP($A99,NumberofDaysTable,3)))*S99),0)+IF(AV99&gt;0,($BA99*((AV99))*S99),0)))</f>
        <v>#NAME?</v>
      </c>
      <c r="BF99" s="292" t="e">
        <f aca="false">IF($A99="N/A"," ",(IF(AO99&gt;0,($BA99*(8*(VLOOKUP($A99,NumberofDaysTable,4)+VLOOKUP($A99,NumberofDaysTable,5)))*T99),0)+IF(AW99&gt;0,($BA99*((AW99))*T99),0)))</f>
        <v>#NAME?</v>
      </c>
      <c r="BG99" s="292" t="e">
        <f aca="false">IF($A99="N/A"," ",(IF(AP99&gt;0,($BA99*(8*(VLOOKUP($A99,NumberofDaysTable,4)+VLOOKUP($A99,NumberofDaysTable,5)))*U99),0)+IF(AX99&gt;0,($BA99*((AX99))*U99),0)))</f>
        <v>#NAME?</v>
      </c>
      <c r="BH99" s="292" t="e">
        <f aca="false">IF($A99="N/A"," ",($BA99*AQ99*V99))</f>
        <v>#NAME?</v>
      </c>
      <c r="BI99" s="292" t="e">
        <f aca="false">IF($A99="N/A"," ",SUM(BB99:BH99))</f>
        <v>#NAME?</v>
      </c>
      <c r="BJ99" s="293" t="e">
        <f aca="false">IF($A99="N/A"," ",(H99*(SUM(AK99:AQ99)+SUM(AS99:AY99))*BA99))</f>
        <v>#NAME?</v>
      </c>
      <c r="BK99" s="293" t="e">
        <f aca="false">IF($A99="N/A"," ",((C99*D99)*(SUM($AK99:$AQ99)+SUM($AS99:$AY99))*$BA99))</f>
        <v>#N/A</v>
      </c>
      <c r="BL99" s="293" t="e">
        <f aca="false">IF($A99="N/A"," ",(F99*(SUM($AK99:$AQ99)+SUM($AS99:$AY99))*$BA99))</f>
        <v>#NAME?</v>
      </c>
      <c r="BM99" s="293" t="e">
        <f aca="false">IF($A99="N/A"," ",(G99*(SUM($AK99:$AQ99)+SUM($AS99:$AY99))*$BA99))</f>
        <v>#NAME?</v>
      </c>
      <c r="BN99" s="294" t="n">
        <f aca="false">IF(A99="N/A"," ",(VLOOKUP(A99,PowerVolTable,(IF('Pricing Inputs'!$AT$3=2,7,IF('Pricing Inputs'!$AT$3=1,6,8))),FALSE())))</f>
        <v>0.175101093622547</v>
      </c>
      <c r="BO99" s="294" t="n">
        <f aca="false">IF(A99="N/A"," ",(VLOOKUP(A99,IntraPowerVol,(IF('Pricing Inputs'!$AT$3=2,3,IF('Pricing Inputs'!$AT$3=1,2,4))),FALSE())*VLOOKUP(MONTH($A99),Inputs!$A$28:$B$39,2)))</f>
        <v>1.4375</v>
      </c>
      <c r="BP99" s="295" t="n">
        <f aca="false">IF($A99="N/A"," ",(IF(DateToday&gt;$A99,$BO99,((($BN99^2)*((($A99-1)-DateToday)/((EOMONTH($A99,0)+1)-DateToday-15)))+((($BO99)^2)*((15)/((EOMONTH($A99,0)+1)-DateToday-15))))^0.5)))</f>
        <v>1.4375</v>
      </c>
      <c r="BQ99" s="294" t="e">
        <f aca="false">IF($A99="N/A"," ",(VLOOKUP($A99,GasVolTable,(IF('Pricing Inputs'!$AT$3=2,6,IF('Pricing Inputs'!$AT$3=1,7,5))),FALSE())))</f>
        <v>#N/A</v>
      </c>
      <c r="BR99" s="294" t="e">
        <f aca="false">IF($A99="N/A"," ",(VLOOKUP($A99,OmicronVol,(IF('Pricing Inputs'!$AT$3=2,3,IF('Pricing Inputs'!$AT$3=1,4,2))),FALSE())))</f>
        <v>#N/A</v>
      </c>
      <c r="BS99" s="295" t="e">
        <f aca="false">IF($A99="N/A"," ",IF('Pricing Inputs'!$AN$3=1,(IF(DateToday&gt;$A99,$BR99,((($BQ99^2)*((($A99-1)-DateToday)/((EOMONTH($A99,0)+1)-DateToday-15)))+((($BR99)^2)*((15)/((EOMONTH($A99,0)+1)-DateToday-15))))^0.5)),0.0001))</f>
        <v>#N/A</v>
      </c>
      <c r="BT99" s="294" t="n">
        <f aca="false">IF($A99="N/A"," ",IF('Pricing Inputs'!$AN$3=1,(VLOOKUP($A99,CorrelationTable,2,FALSE())),0))</f>
        <v>0.9</v>
      </c>
      <c r="BU99" s="296" t="e">
        <f aca="false">IF($A99="N/A"," ",F99+G99+(D99*(VLOOKUP($A99,'Gas Curves'!$B$17:$P$310,14,FALSE()))))</f>
        <v>#N/A</v>
      </c>
      <c r="BV99" s="294" t="n">
        <f aca="false">IF($A99="N/A"," ",IF('Pricing Inputs'!$AW$3=1,0,(VLOOKUP($A99,InterestRatesTable,2))))</f>
        <v>0</v>
      </c>
      <c r="BW99" s="297" t="n">
        <f aca="false">IF($A99="N/A"," ",(1+BV99/2)^(-2*((EOMONTH(A99,0)+20)-DateToday)/365.25))</f>
        <v>1</v>
      </c>
    </row>
    <row r="100" customFormat="false" ht="12.75" hidden="false" customHeight="false" outlineLevel="0" collapsed="false">
      <c r="A100" s="272" t="n">
        <f aca="false">IF(A99="N/A","N/A",IF(EDATE(A99,1)&gt;Inputs!$K$3,"N/A",EDATE(A99,1)))</f>
        <v>39814</v>
      </c>
      <c r="B100" s="273" t="n">
        <f aca="false">IF(A100="N/A"," ",YEAR(A100))</f>
        <v>2009</v>
      </c>
      <c r="C100" s="274" t="e">
        <f aca="false">IF(A100="N/A"," ",VLOOKUP(A100,ScaledPrice,10))</f>
        <v>#N/A</v>
      </c>
      <c r="D100" s="275" t="n">
        <f aca="false">IF(A100="N/A"," ",(VLOOKUP(MONTH($A100),Inputs!$A$14:$B$25,2))/1000)</f>
        <v>10.5</v>
      </c>
      <c r="E100" s="276" t="e">
        <f aca="false">IF($A100="N/A"," ",C100*D100)</f>
        <v>#N/A</v>
      </c>
      <c r="F100" s="277" t="n">
        <f aca="false">IF(A100="N/A"," ",Inputs!$F$6)</f>
        <v>2</v>
      </c>
      <c r="G100" s="277" t="n">
        <f aca="false">IF(A100="N/A"," ",Inputs!$F$9/IF(AND('Pricing Inputs'!$AQ$3&gt;=4,'Pricing Inputs'!$AQ$3&lt;=6),16,IF(AND('Pricing Inputs'!$AQ$3&gt;=7,'Pricing Inputs'!$AQ$3&lt;=9),8,24))/(BA100/BW100))</f>
        <v>0</v>
      </c>
      <c r="H100" s="278" t="e">
        <f aca="false">IF(A100="N/A"," ",(C100*D100)+F100+G100)</f>
        <v>#N/A</v>
      </c>
      <c r="I100" s="279" t="n">
        <f aca="false">VLOOKUP(A100,ScaledPrice,(IF(AND('Pricing Inputs'!$AQ$3&gt;=1,'Pricing Inputs'!$AQ$3&lt;=6),2,4)))</f>
        <v>36.003765323233</v>
      </c>
      <c r="J100" s="279" t="n">
        <f aca="false">IF(A100="N/A"," ",IF(AND('Pricing Inputs'!$AQ$3&gt;=1,'Pricing Inputs'!$AQ$3&lt;=6),I100,(VLOOKUP(A100,ScaledPrice,2))*(2-(VLOOKUP(A100,ScaledPrice,3)))))</f>
        <v>38.296234676767</v>
      </c>
      <c r="K100" s="279" t="n">
        <f aca="false">IF(A100="N/A"," ",IF(OR('Pricing Inputs'!$AQ$3=2,'Pricing Inputs'!$AQ$3=3,'Pricing Inputs'!$AQ$3=5,'Pricing Inputs'!$AQ$3=6,'Pricing Inputs'!$AQ$3=8,'Pricing Inputs'!$AQ$3=9),VLOOKUP(A100,ScaledPrice,IF(AND('Pricing Inputs'!$AQ$3&gt;=2,'Pricing Inputs'!$AQ$3&lt;=6),5,6)),0))</f>
        <v>28.927788223623</v>
      </c>
      <c r="L100" s="279" t="n">
        <f aca="false">IF(A100="N/A"," ",IF(OR('Pricing Inputs'!$AQ$3=2,'Pricing Inputs'!$AQ$3=3,'Pricing Inputs'!$AQ$3=5,'Pricing Inputs'!$AQ$3=6,'Pricing Inputs'!$AQ$3=8,'Pricing Inputs'!$AQ$3=9),IF(AND('Pricing Inputs'!$AQ$3&gt;=2,'Pricing Inputs'!$AQ$3&lt;=6),K100,(VLOOKUP(A100,ScaledPrice,5))*(2-(VLOOKUP(A100,ScaledPrice,3)))),0))</f>
        <v>30.7697085720313</v>
      </c>
      <c r="M100" s="279" t="n">
        <f aca="false">IF(A100="N/A"," ",IF(OR('Pricing Inputs'!$AQ$3=3,'Pricing Inputs'!$AQ$3=6,'Pricing Inputs'!$AQ$3=9),(VLOOKUP(A100,ScaledPrice,IF(AND('Pricing Inputs'!$AQ$3&gt;=3,'Pricing Inputs'!$AQ$3&lt;=6),7,8))),0))</f>
        <v>27.477705567179</v>
      </c>
      <c r="N100" s="279" t="n">
        <f aca="false">IF(A100="N/A"," ",IF(OR('Pricing Inputs'!$AQ$3=3,'Pricing Inputs'!$AQ$3=6,'Pricing Inputs'!$AQ$3=9),IF(AND('Pricing Inputs'!$AQ$3&gt;=3,'Pricing Inputs'!$AQ$3&lt;=6),M100,(VLOOKUP(A100,ScaledPrice,7))*(2-(VLOOKUP(A100,ScaledPrice,3)))),0))</f>
        <v>29.2272947379967</v>
      </c>
      <c r="O100" s="279" t="n">
        <f aca="false">IF(A100="N/A"," ",IF(AND('Pricing Inputs'!$AQ$3&gt;=1,'Pricing Inputs'!$AQ$3&lt;=3),VLOOKUP(A100,ScaledPrice,9),0))</f>
        <v>0</v>
      </c>
      <c r="P100" s="280" t="e">
        <f aca="false">IF($A100="N/A"," ",IF('Pricing Inputs'!$AN$8=2,(I100-H100),IF('Pricing Inputs'!$AN$3=2,IF((I100-$H100)&gt;0,I100-$H100,0),(xSPRDOPT(I100,$E100,$BU100,0,$BP100,$BS100,$BT100,($A100-Inputs!$D$1)+15,1,0)))))</f>
        <v>#NAME?</v>
      </c>
      <c r="Q100" s="280" t="e">
        <f aca="false">IF($A100="N/A"," ",IF('Pricing Inputs'!$AN$8=2,(J100-$H100),IF('Pricing Inputs'!$AN$3=2,IF((J100-$H100)&gt;0,J100-$H100,0),(xSPRDOPT(J100,$E100,$BU100,0,$BP100,$BS100,$BT100,($A100-Inputs!$D$1)+15,1,0)))))</f>
        <v>#NAME?</v>
      </c>
      <c r="R100" s="280" t="e">
        <f aca="false">IF($A100="N/A"," ",IF('Pricing Inputs'!$AN$8=2,(K100-$H100),IF('Pricing Inputs'!$AN$3=2,IF((K100-$H100)&gt;0,K100-$H100,0),(xSPRDOPT(K100,$E100,$BU100,0,$BP100,$BS100,$BT100,($A100-Inputs!$D$1)+15,1,0)))))</f>
        <v>#NAME?</v>
      </c>
      <c r="S100" s="280" t="e">
        <f aca="false">IF($A100="N/A"," ",IF('Pricing Inputs'!$AN$8=2,(L100-$H100),IF('Pricing Inputs'!$AN$3=2,IF((L100-$H100)&gt;0,L100-$H100,0),(xSPRDOPT(L100,$E100,$BU100,0,$BP100,$BS100,$BT100,($A100-Inputs!$D$1)+15,1,0)))))</f>
        <v>#NAME?</v>
      </c>
      <c r="T100" s="280" t="e">
        <f aca="false">IF($A100="N/A"," ",IF('Pricing Inputs'!$AN$8=2,(M100-$H100),IF('Pricing Inputs'!$AN$3=2,IF((M100-$H100)&gt;0,M100-$H100,0),(xSPRDOPT(M100,$E100,$BU100,0,$BP100,$BS100,$BT100,($A100-Inputs!$D$1)+15,1,0)))))</f>
        <v>#NAME?</v>
      </c>
      <c r="U100" s="280" t="e">
        <f aca="false">IF($A100="N/A"," ",IF('Pricing Inputs'!$AN$8=2,(N100-$H100),IF('Pricing Inputs'!$AN$3=2,IF((N100-$H100)&gt;0,N100-$H100,0),(xSPRDOPT(N100,$E100,$BU100,0,$BP100,$BS100,$BT100,($A100-Inputs!$D$1)+15,1,0)))))</f>
        <v>#NAME?</v>
      </c>
      <c r="V100" s="281" t="e">
        <f aca="false">IF($A100="N/A"," ",(IF('Pricing Inputs'!$AN$8=2,(O100-$H100),IF((O100-$H100)&lt;=0,0,(O100-$H100)))))</f>
        <v>#N/A</v>
      </c>
      <c r="W100" s="282" t="e">
        <f aca="false">IF($A100="N/A"," ",IF(0&lt;&gt;P100,IF('Pricing Inputs'!$AN$3=2,8*VLOOKUP($A100,NumberofDaysTable,2),(xSPRDOPT(I100,$E100,$BU100,0,$BP100,$BS100,$BT100,$A100-Inputs!$D$1,1,1))*(8*VLOOKUP($A100,NumberofDaysTable,2))),0))</f>
        <v>#NAME?</v>
      </c>
      <c r="X100" s="282" t="e">
        <f aca="false">IF($A100="N/A"," ",IF(Q100&lt;&gt;0,IF('Pricing Inputs'!$AN$3=2,8*VLOOKUP($A100,NumberofDaysTable,2),(xSPRDOPT(J100,$E100,$BU100,0,$BP100,$BS100,$BT100,$A100-Inputs!$D$1,1,1))*(8*VLOOKUP($A100,NumberofDaysTable,2))),0))</f>
        <v>#NAME?</v>
      </c>
      <c r="Y100" s="282" t="e">
        <f aca="false">IF($A100="N/A"," ",IF(R100&lt;&gt;0,IF('Pricing Inputs'!$AN$3=2,8*VLOOKUP($A100,NumberofDaysTable,3),(xSPRDOPT(K100,$E100,$BU100,0,$BP100,$BS100,$BT100,$A100-Inputs!$D$1,1,1))*(8*VLOOKUP($A100,NumberofDaysTable,3))),0))</f>
        <v>#NAME?</v>
      </c>
      <c r="Z100" s="282" t="e">
        <f aca="false">IF($A100="N/A"," ",IF(S100&lt;&gt;0,IF('Pricing Inputs'!$AN$3=2,8*VLOOKUP($A100,NumberofDaysTable,3),(xSPRDOPT(L100,$E100,$BU100,0,$BP100,$BS100,$BT100,$A100-Inputs!$D$1,1,1))*(8*VLOOKUP($A100,NumberofDaysTable,3))),0))</f>
        <v>#NAME?</v>
      </c>
      <c r="AA100" s="282" t="e">
        <f aca="false">IF($A100="N/A"," ",IF(T100&lt;&gt;0,IF('Pricing Inputs'!$AN$3=2,8*VLOOKUP($A100,NumberofDaysTable,4),(xSPRDOPT(M100,$E100,$BU100,0,$BP100,$BS100,$BT100,$A100-Inputs!$D$1,1,1))*(8*VLOOKUP($A100,NumberofDaysTable,4))),0))</f>
        <v>#NAME?</v>
      </c>
      <c r="AB100" s="282" t="e">
        <f aca="false">IF($A100="N/A"," ",IF(U100&lt;&gt;0,IF('Pricing Inputs'!$AN$3=2,8*VLOOKUP($A100,NumberofDaysTable,4),(xSPRDOPT(N100,$E100,$BU100,0,$BP100,$BS100,$BT100,$A100-Inputs!$D$1,1,1))*(8*VLOOKUP($A100,NumberofDaysTable,4))),0))</f>
        <v>#NAME?</v>
      </c>
      <c r="AC100" s="282" t="e">
        <f aca="false">IF($A100="N/A"," ",(IF(V100&lt;&gt;0,(8*VLOOKUP($A100,NumberofDaysTable,6)),0)))</f>
        <v>#N/A</v>
      </c>
      <c r="AD100" s="283" t="e">
        <f aca="false">IF($A100="N/A"," ",RANK(P100,$P$100:$V$111))</f>
        <v>#NAME?</v>
      </c>
      <c r="AE100" s="284" t="e">
        <f aca="false">IF($A100="N/A"," ",RANK(Q100,$P$100:$V$111))</f>
        <v>#NAME?</v>
      </c>
      <c r="AF100" s="284" t="e">
        <f aca="false">IF($A100="N/A"," ",RANK(R100,$P$100:$V$111))</f>
        <v>#NAME?</v>
      </c>
      <c r="AG100" s="284" t="e">
        <f aca="false">IF($A100="N/A"," ",RANK(S100,$P$100:$V$111))</f>
        <v>#NAME?</v>
      </c>
      <c r="AH100" s="284" t="e">
        <f aca="false">IF($A100="N/A"," ",RANK(T100,$P$100:$V$111))</f>
        <v>#NAME?</v>
      </c>
      <c r="AI100" s="284" t="e">
        <f aca="false">IF($A100="N/A"," ",RANK(U100,$P$100:$V$111))</f>
        <v>#NAME?</v>
      </c>
      <c r="AJ100" s="285" t="e">
        <f aca="false">IF($A100="N/A"," ",RANK(V100,$P$100:$V$111))</f>
        <v>#NAME?</v>
      </c>
      <c r="AK100" s="313" t="e">
        <f aca="false">IF($A100="N/A"," ",IF(AD100&lt;=$AJ$2,W100,0))</f>
        <v>#NAME?</v>
      </c>
      <c r="AL100" s="287" t="e">
        <f aca="false">IF($A100="N/A"," ",IF(AE100&lt;=$AJ$2,X100,0))</f>
        <v>#NAME?</v>
      </c>
      <c r="AM100" s="287" t="e">
        <f aca="false">IF($A100="N/A"," ",IF(AF100&lt;=$AJ$2,Y100,0))</f>
        <v>#NAME?</v>
      </c>
      <c r="AN100" s="287" t="e">
        <f aca="false">IF($A100="N/A"," ",IF(AG100&lt;=$AJ$2,Z100,0))</f>
        <v>#NAME?</v>
      </c>
      <c r="AO100" s="287" t="e">
        <f aca="false">IF($A100="N/A"," ",IF(AH100&lt;=$AJ$2,AA100,0))</f>
        <v>#NAME?</v>
      </c>
      <c r="AP100" s="287" t="e">
        <f aca="false">IF($A100="N/A"," ",IF(AI100&lt;=$AJ$2,AB100,0))</f>
        <v>#NAME?</v>
      </c>
      <c r="AQ100" s="287" t="e">
        <f aca="false">IF($A100="N/A"," ",IF(AJ100&lt;=$AJ$2,AC100,0))</f>
        <v>#NAME?</v>
      </c>
      <c r="AR100" s="285"/>
      <c r="AS100" s="314" t="e">
        <f aca="false">IF($A100="N/A"," ",IF(AND(AD100=$AJ$2+1,AK100=0),MIN($AR$111,W100),0))</f>
        <v>#NAME?</v>
      </c>
      <c r="AT100" s="289" t="e">
        <f aca="false">IF($A100="N/A"," ",IF(AND(AE100=$AJ$2+1,AL100=0),MIN($AR$111,X100),0))</f>
        <v>#NAME?</v>
      </c>
      <c r="AU100" s="289" t="e">
        <f aca="false">IF($A100="N/A"," ",IF(AND(AF100=$AJ$2+1,AM100=0),MIN($AR$111,Y100),0))</f>
        <v>#NAME?</v>
      </c>
      <c r="AV100" s="289" t="e">
        <f aca="false">IF($A100="N/A"," ",IF(AND(AG100=$AJ$2+1,AN100=0),MIN($AR$111,Z100),0))</f>
        <v>#NAME?</v>
      </c>
      <c r="AW100" s="289" t="e">
        <f aca="false">IF($A100="N/A"," ",IF(AND(AH100=$AJ$2+1,AO100=0),MIN($AR$111,AA100),0))</f>
        <v>#NAME?</v>
      </c>
      <c r="AX100" s="289" t="e">
        <f aca="false">IF($A100="N/A"," ",IF(AND(AI100=$AJ$2+1,AP100=0),MIN($AR$111,AB100),0))</f>
        <v>#NAME?</v>
      </c>
      <c r="AY100" s="289" t="e">
        <f aca="false">IF($A100="N/A"," ",IF(AND(AJ100=$AJ$2+1,AQ100=0),MIN($AR$111,AC100),0))</f>
        <v>#NAME?</v>
      </c>
      <c r="AZ100" s="285"/>
      <c r="BA100" s="291" t="n">
        <f aca="false">IF($A100="N/A"," ",(IF(MONTH(A100)&gt;=4,IF(MONTH(A100)&lt;=10,Inputs!$F$13,Inputs!$F$14),Inputs!$F$14))*$BW100)</f>
        <v>180</v>
      </c>
      <c r="BB100" s="292" t="e">
        <f aca="false">IF($A100="N/A"," ",(IF(AK100&gt;0,($BA100*(8*(VLOOKUP($A100,NumberofDaysTable,2)))*P100),0)+IF(AS100&gt;0,($BA100*((AS100))*P100),0)))</f>
        <v>#NAME?</v>
      </c>
      <c r="BC100" s="292" t="e">
        <f aca="false">IF($A100="N/A"," ",(IF(AL100&gt;0,($BA100*(8*(VLOOKUP($A100,NumberofDaysTable,2)))*Q100),0)+IF(AT100&gt;0,($BA100*((AT100))*Q100),0)))</f>
        <v>#NAME?</v>
      </c>
      <c r="BD100" s="292" t="e">
        <f aca="false">IF($A100="N/A"," ",(IF(AM100&gt;0,($BA100*(8*(VLOOKUP($A100,NumberofDaysTable,3)))*R100),0)+IF(AU100&gt;0,($BA100*((AU100))*R100),0)))</f>
        <v>#NAME?</v>
      </c>
      <c r="BE100" s="292" t="e">
        <f aca="false">IF($A100="N/A"," ",(IF(AN100&gt;0,($BA100*(8*(VLOOKUP($A100,NumberofDaysTable,3)))*S100),0)+IF(AV100&gt;0,($BA100*((AV100))*S100),0)))</f>
        <v>#NAME?</v>
      </c>
      <c r="BF100" s="292" t="e">
        <f aca="false">IF($A100="N/A"," ",(IF(AO100&gt;0,($BA100*(8*(VLOOKUP($A100,NumberofDaysTable,4)+VLOOKUP($A100,NumberofDaysTable,5)))*T100),0)+IF(AW100&gt;0,($BA100*((AW100))*T100),0)))</f>
        <v>#NAME?</v>
      </c>
      <c r="BG100" s="292" t="e">
        <f aca="false">IF($A100="N/A"," ",(IF(AP100&gt;0,($BA100*(8*(VLOOKUP($A100,NumberofDaysTable,4)+VLOOKUP($A100,NumberofDaysTable,5)))*U100),0)+IF(AX100&gt;0,($BA100*((AX100))*U100),0)))</f>
        <v>#NAME?</v>
      </c>
      <c r="BH100" s="292" t="e">
        <f aca="false">IF($A100="N/A"," ",($BA100*AQ100*V100))</f>
        <v>#NAME?</v>
      </c>
      <c r="BI100" s="292" t="e">
        <f aca="false">IF($A100="N/A"," ",SUM(BB100:BH100))</f>
        <v>#NAME?</v>
      </c>
      <c r="BJ100" s="293" t="e">
        <f aca="false">IF($A100="N/A"," ",(H100*(SUM(AK100:AQ100)+SUM(AS100:AY100))*BA100))</f>
        <v>#NAME?</v>
      </c>
      <c r="BK100" s="293" t="e">
        <f aca="false">IF($A100="N/A"," ",((C100*D100)*(SUM($AK100:$AQ100)+SUM($AS100:$AY100))*$BA100))</f>
        <v>#N/A</v>
      </c>
      <c r="BL100" s="293" t="e">
        <f aca="false">IF($A100="N/A"," ",(F100*(SUM($AK100:$AQ100)+SUM($AS100:$AY100))*$BA100))</f>
        <v>#NAME?</v>
      </c>
      <c r="BM100" s="293" t="e">
        <f aca="false">IF($A100="N/A"," ",(G100*(SUM($AK100:$AQ100)+SUM($AS100:$AY100))*$BA100))</f>
        <v>#NAME?</v>
      </c>
      <c r="BN100" s="294" t="n">
        <f aca="false">IF(A100="N/A"," ",(VLOOKUP(A100,PowerVolTable,(IF('Pricing Inputs'!$AT$3=2,7,IF('Pricing Inputs'!$AT$3=1,6,8))),FALSE())))</f>
        <v>0.188411402486094</v>
      </c>
      <c r="BO100" s="294" t="n">
        <f aca="false">IF(A100="N/A"," ",(VLOOKUP(A100,IntraPowerVol,(IF('Pricing Inputs'!$AT$3=2,3,IF('Pricing Inputs'!$AT$3=1,2,4))),FALSE())*VLOOKUP(MONTH($A100),Inputs!$A$28:$B$39,2)))</f>
        <v>2.3</v>
      </c>
      <c r="BP100" s="295" t="n">
        <f aca="false">IF($A100="N/A"," ",(IF(DateToday&gt;$A100,$BO100,((($BN100^2)*((($A100-1)-DateToday)/((EOMONTH($A100,0)+1)-DateToday-15)))+((($BO100)^2)*((15)/((EOMONTH($A100,0)+1)-DateToday-15))))^0.5)))</f>
        <v>2.3</v>
      </c>
      <c r="BQ100" s="294" t="e">
        <f aca="false">IF($A100="N/A"," ",(VLOOKUP($A100,GasVolTable,(IF('Pricing Inputs'!$AT$3=2,6,IF('Pricing Inputs'!$AT$3=1,7,5))),FALSE())))</f>
        <v>#N/A</v>
      </c>
      <c r="BR100" s="294" t="e">
        <f aca="false">IF($A100="N/A"," ",(VLOOKUP($A100,OmicronVol,(IF('Pricing Inputs'!$AT$3=2,3,IF('Pricing Inputs'!$AT$3=1,4,2))),FALSE())))</f>
        <v>#N/A</v>
      </c>
      <c r="BS100" s="295" t="e">
        <f aca="false">IF($A100="N/A"," ",IF('Pricing Inputs'!$AN$3=1,(IF(DateToday&gt;$A100,$BR100,((($BQ100^2)*((($A100-1)-DateToday)/((EOMONTH($A100,0)+1)-DateToday-15)))+((($BR100)^2)*((15)/((EOMONTH($A100,0)+1)-DateToday-15))))^0.5)),0.0001))</f>
        <v>#N/A</v>
      </c>
      <c r="BT100" s="294" t="n">
        <f aca="false">IF($A100="N/A"," ",IF('Pricing Inputs'!$AN$3=1,(VLOOKUP($A100,CorrelationTable,2,FALSE())),0))</f>
        <v>0.9</v>
      </c>
      <c r="BU100" s="296" t="e">
        <f aca="false">IF($A100="N/A"," ",F100+G100+(D100*(VLOOKUP($A100,'Gas Curves'!$B$17:$P$310,14,FALSE()))))</f>
        <v>#N/A</v>
      </c>
      <c r="BV100" s="294" t="n">
        <f aca="false">IF($A100="N/A"," ",IF('Pricing Inputs'!$AW$3=1,0,(VLOOKUP($A100,InterestRatesTable,2))))</f>
        <v>0</v>
      </c>
      <c r="BW100" s="297" t="n">
        <f aca="false">IF($A100="N/A"," ",(1+BV100/2)^(-2*((EOMONTH(A100,0)+20)-DateToday)/365.25))</f>
        <v>1</v>
      </c>
    </row>
    <row r="101" customFormat="false" ht="12.75" hidden="false" customHeight="false" outlineLevel="0" collapsed="false">
      <c r="A101" s="272" t="n">
        <f aca="false">IF(A100="N/A","N/A",IF(EDATE(A100,1)&gt;Inputs!$K$3,"N/A",EDATE(A100,1)))</f>
        <v>39845</v>
      </c>
      <c r="B101" s="273" t="n">
        <f aca="false">IF(A101="N/A"," ",YEAR(A101))</f>
        <v>2009</v>
      </c>
      <c r="C101" s="274" t="e">
        <f aca="false">IF(A101="N/A"," ",VLOOKUP(A101,ScaledPrice,10))</f>
        <v>#N/A</v>
      </c>
      <c r="D101" s="275" t="n">
        <f aca="false">IF(A101="N/A"," ",(VLOOKUP(MONTH($A101),Inputs!$A$14:$B$25,2))/1000)</f>
        <v>10.5</v>
      </c>
      <c r="E101" s="276" t="e">
        <f aca="false">IF($A101="N/A"," ",C101*D101)</f>
        <v>#N/A</v>
      </c>
      <c r="F101" s="277" t="n">
        <f aca="false">IF(A101="N/A"," ",Inputs!$F$6)</f>
        <v>2</v>
      </c>
      <c r="G101" s="277" t="n">
        <f aca="false">IF(A101="N/A"," ",Inputs!$F$9/IF(AND('Pricing Inputs'!$AQ$3&gt;=4,'Pricing Inputs'!$AQ$3&lt;=6),16,IF(AND('Pricing Inputs'!$AQ$3&gt;=7,'Pricing Inputs'!$AQ$3&lt;=9),8,24))/(BA101/BW101))</f>
        <v>0</v>
      </c>
      <c r="H101" s="278" t="e">
        <f aca="false">IF(A101="N/A"," ",(C101*D101)+F101+G101)</f>
        <v>#N/A</v>
      </c>
      <c r="I101" s="279" t="n">
        <f aca="false">VLOOKUP(A101,ScaledPrice,(IF(AND('Pricing Inputs'!$AQ$3&gt;=1,'Pricing Inputs'!$AQ$3&lt;=6),2,4)))</f>
        <v>36.003765323233</v>
      </c>
      <c r="J101" s="279" t="n">
        <f aca="false">IF(A101="N/A"," ",IF(AND('Pricing Inputs'!$AQ$3&gt;=1,'Pricing Inputs'!$AQ$3&lt;=6),I101,(VLOOKUP(A101,ScaledPrice,2))*(2-(VLOOKUP(A101,ScaledPrice,3)))))</f>
        <v>38.296234676767</v>
      </c>
      <c r="K101" s="279" t="n">
        <f aca="false">IF(A101="N/A"," ",IF(OR('Pricing Inputs'!$AQ$3=2,'Pricing Inputs'!$AQ$3=3,'Pricing Inputs'!$AQ$3=5,'Pricing Inputs'!$AQ$3=6,'Pricing Inputs'!$AQ$3=8,'Pricing Inputs'!$AQ$3=9),VLOOKUP(A101,ScaledPrice,IF(AND('Pricing Inputs'!$AQ$3&gt;=2,'Pricing Inputs'!$AQ$3&lt;=6),5,6)),0))</f>
        <v>27.9562212906877</v>
      </c>
      <c r="L101" s="279" t="n">
        <f aca="false">IF(A101="N/A"," ",IF(OR('Pricing Inputs'!$AQ$3=2,'Pricing Inputs'!$AQ$3=3,'Pricing Inputs'!$AQ$3=5,'Pricing Inputs'!$AQ$3=6,'Pricing Inputs'!$AQ$3=8,'Pricing Inputs'!$AQ$3=9),IF(AND('Pricing Inputs'!$AQ$3&gt;=2,'Pricing Inputs'!$AQ$3&lt;=6),K101,(VLOOKUP(A101,ScaledPrice,5))*(2-(VLOOKUP(A101,ScaledPrice,3)))),0))</f>
        <v>29.7362790144881</v>
      </c>
      <c r="M101" s="279" t="n">
        <f aca="false">IF(A101="N/A"," ",IF(OR('Pricing Inputs'!$AQ$3=3,'Pricing Inputs'!$AQ$3=6,'Pricing Inputs'!$AQ$3=9),(VLOOKUP(A101,ScaledPrice,IF(AND('Pricing Inputs'!$AQ$3&gt;=3,'Pricing Inputs'!$AQ$3&lt;=6),7,8))),0))</f>
        <v>25.5345676346109</v>
      </c>
      <c r="N101" s="279" t="n">
        <f aca="false">IF(A101="N/A"," ",IF(OR('Pricing Inputs'!$AQ$3=3,'Pricing Inputs'!$AQ$3=6,'Pricing Inputs'!$AQ$3=9),IF(AND('Pricing Inputs'!$AQ$3&gt;=3,'Pricing Inputs'!$AQ$3&lt;=6),M101,(VLOOKUP(A101,ScaledPrice,7))*(2-(VLOOKUP(A101,ScaledPrice,3)))),0))</f>
        <v>27.1604312972739</v>
      </c>
      <c r="O101" s="279" t="n">
        <f aca="false">IF(A101="N/A"," ",IF(AND('Pricing Inputs'!$AQ$3&gt;=1,'Pricing Inputs'!$AQ$3&lt;=3),VLOOKUP(A101,ScaledPrice,9),0))</f>
        <v>0</v>
      </c>
      <c r="P101" s="280" t="e">
        <f aca="false">IF($A101="N/A"," ",IF('Pricing Inputs'!$AN$8=2,(I101-H101),IF('Pricing Inputs'!$AN$3=2,IF((I101-$H101)&gt;0,I101-$H101,0),(xSPRDOPT(I101,$E101,$BU101,0,$BP101,$BS101,$BT101,($A101-Inputs!$D$1)+15,1,0)))))</f>
        <v>#NAME?</v>
      </c>
      <c r="Q101" s="280" t="e">
        <f aca="false">IF($A101="N/A"," ",IF('Pricing Inputs'!$AN$8=2,(J101-$H101),IF('Pricing Inputs'!$AN$3=2,IF((J101-$H101)&gt;0,J101-$H101,0),(xSPRDOPT(J101,$E101,$BU101,0,$BP101,$BS101,$BT101,($A101-Inputs!$D$1)+15,1,0)))))</f>
        <v>#NAME?</v>
      </c>
      <c r="R101" s="280" t="e">
        <f aca="false">IF($A101="N/A"," ",IF('Pricing Inputs'!$AN$8=2,(K101-$H101),IF('Pricing Inputs'!$AN$3=2,IF((K101-$H101)&gt;0,K101-$H101,0),(xSPRDOPT(K101,$E101,$BU101,0,$BP101,$BS101,$BT101,($A101-Inputs!$D$1)+15,1,0)))))</f>
        <v>#NAME?</v>
      </c>
      <c r="S101" s="280" t="e">
        <f aca="false">IF($A101="N/A"," ",IF('Pricing Inputs'!$AN$8=2,(L101-$H101),IF('Pricing Inputs'!$AN$3=2,IF((L101-$H101)&gt;0,L101-$H101,0),(xSPRDOPT(L101,$E101,$BU101,0,$BP101,$BS101,$BT101,($A101-Inputs!$D$1)+15,1,0)))))</f>
        <v>#NAME?</v>
      </c>
      <c r="T101" s="280" t="e">
        <f aca="false">IF($A101="N/A"," ",IF('Pricing Inputs'!$AN$8=2,(M101-$H101),IF('Pricing Inputs'!$AN$3=2,IF((M101-$H101)&gt;0,M101-$H101,0),(xSPRDOPT(M101,$E101,$BU101,0,$BP101,$BS101,$BT101,($A101-Inputs!$D$1)+15,1,0)))))</f>
        <v>#NAME?</v>
      </c>
      <c r="U101" s="280" t="e">
        <f aca="false">IF($A101="N/A"," ",IF('Pricing Inputs'!$AN$8=2,(N101-$H101),IF('Pricing Inputs'!$AN$3=2,IF((N101-$H101)&gt;0,N101-$H101,0),(xSPRDOPT(N101,$E101,$BU101,0,$BP101,$BS101,$BT101,($A101-Inputs!$D$1)+15,1,0)))))</f>
        <v>#NAME?</v>
      </c>
      <c r="V101" s="281" t="e">
        <f aca="false">IF($A101="N/A"," ",(IF('Pricing Inputs'!$AN$8=2,(O101-$H101),IF((O101-$H101)&lt;=0,0,(O101-$H101)))))</f>
        <v>#N/A</v>
      </c>
      <c r="W101" s="282" t="e">
        <f aca="false">IF($A101="N/A"," ",IF(0&lt;&gt;P101,IF('Pricing Inputs'!$AN$3=2,8*VLOOKUP($A101,NumberofDaysTable,2),(xSPRDOPT(I101,$E101,$BU101,0,$BP101,$BS101,$BT101,$A101-Inputs!$D$1,1,1))*(8*VLOOKUP($A101,NumberofDaysTable,2))),0))</f>
        <v>#NAME?</v>
      </c>
      <c r="X101" s="282" t="e">
        <f aca="false">IF($A101="N/A"," ",IF(Q101&lt;&gt;0,IF('Pricing Inputs'!$AN$3=2,8*VLOOKUP($A101,NumberofDaysTable,2),(xSPRDOPT(J101,$E101,$BU101,0,$BP101,$BS101,$BT101,$A101-Inputs!$D$1,1,1))*(8*VLOOKUP($A101,NumberofDaysTable,2))),0))</f>
        <v>#NAME?</v>
      </c>
      <c r="Y101" s="282" t="e">
        <f aca="false">IF($A101="N/A"," ",IF(R101&lt;&gt;0,IF('Pricing Inputs'!$AN$3=2,8*VLOOKUP($A101,NumberofDaysTable,3),(xSPRDOPT(K101,$E101,$BU101,0,$BP101,$BS101,$BT101,$A101-Inputs!$D$1,1,1))*(8*VLOOKUP($A101,NumberofDaysTable,3))),0))</f>
        <v>#NAME?</v>
      </c>
      <c r="Z101" s="282" t="e">
        <f aca="false">IF($A101="N/A"," ",IF(S101&lt;&gt;0,IF('Pricing Inputs'!$AN$3=2,8*VLOOKUP($A101,NumberofDaysTable,3),(xSPRDOPT(L101,$E101,$BU101,0,$BP101,$BS101,$BT101,$A101-Inputs!$D$1,1,1))*(8*VLOOKUP($A101,NumberofDaysTable,3))),0))</f>
        <v>#NAME?</v>
      </c>
      <c r="AA101" s="282" t="e">
        <f aca="false">IF($A101="N/A"," ",IF(T101&lt;&gt;0,IF('Pricing Inputs'!$AN$3=2,8*VLOOKUP($A101,NumberofDaysTable,4),(xSPRDOPT(M101,$E101,$BU101,0,$BP101,$BS101,$BT101,$A101-Inputs!$D$1,1,1))*(8*VLOOKUP($A101,NumberofDaysTable,4))),0))</f>
        <v>#NAME?</v>
      </c>
      <c r="AB101" s="282" t="e">
        <f aca="false">IF($A101="N/A"," ",IF(U101&lt;&gt;0,IF('Pricing Inputs'!$AN$3=2,8*VLOOKUP($A101,NumberofDaysTable,4),(xSPRDOPT(N101,$E101,$BU101,0,$BP101,$BS101,$BT101,$A101-Inputs!$D$1,1,1))*(8*VLOOKUP($A101,NumberofDaysTable,4))),0))</f>
        <v>#NAME?</v>
      </c>
      <c r="AC101" s="282" t="e">
        <f aca="false">IF($A101="N/A"," ",(IF(V101&lt;&gt;0,(8*VLOOKUP($A101,NumberofDaysTable,6)),0)))</f>
        <v>#N/A</v>
      </c>
      <c r="AD101" s="298" t="e">
        <f aca="false">IF($A101="N/A"," ",RANK(P101,$P$100:$V$111))</f>
        <v>#NAME?</v>
      </c>
      <c r="AE101" s="299" t="e">
        <f aca="false">IF($A101="N/A"," ",RANK(Q101,$P$100:$V$111))</f>
        <v>#NAME?</v>
      </c>
      <c r="AF101" s="299" t="e">
        <f aca="false">IF($A101="N/A"," ",RANK(R101,$P$100:$V$111))</f>
        <v>#NAME?</v>
      </c>
      <c r="AG101" s="299" t="e">
        <f aca="false">IF($A101="N/A"," ",RANK(S101,$P$100:$V$111))</f>
        <v>#NAME?</v>
      </c>
      <c r="AH101" s="299" t="e">
        <f aca="false">IF($A101="N/A"," ",RANK(T101,$P$100:$V$111))</f>
        <v>#NAME?</v>
      </c>
      <c r="AI101" s="299" t="e">
        <f aca="false">IF($A101="N/A"," ",RANK(U101,$P$100:$V$111))</f>
        <v>#NAME?</v>
      </c>
      <c r="AJ101" s="300" t="e">
        <f aca="false">IF($A101="N/A"," ",RANK(V101,$P$100:$V$111))</f>
        <v>#NAME?</v>
      </c>
      <c r="AK101" s="286" t="e">
        <f aca="false">IF($A101="N/A"," ",IF(AD101&lt;=$AJ$2,W101,0))</f>
        <v>#NAME?</v>
      </c>
      <c r="AL101" s="301" t="e">
        <f aca="false">IF($A101="N/A"," ",IF(AE101&lt;=$AJ$2,X101,0))</f>
        <v>#NAME?</v>
      </c>
      <c r="AM101" s="301" t="e">
        <f aca="false">IF($A101="N/A"," ",IF(AF101&lt;=$AJ$2,Y101,0))</f>
        <v>#NAME?</v>
      </c>
      <c r="AN101" s="301" t="e">
        <f aca="false">IF($A101="N/A"," ",IF(AG101&lt;=$AJ$2,Z101,0))</f>
        <v>#NAME?</v>
      </c>
      <c r="AO101" s="301" t="e">
        <f aca="false">IF($A101="N/A"," ",IF(AH101&lt;=$AJ$2,AA101,0))</f>
        <v>#NAME?</v>
      </c>
      <c r="AP101" s="301" t="e">
        <f aca="false">IF($A101="N/A"," ",IF(AI101&lt;=$AJ$2,AB101,0))</f>
        <v>#NAME?</v>
      </c>
      <c r="AQ101" s="301" t="e">
        <f aca="false">IF($A101="N/A"," ",IF(AJ101&lt;=$AJ$2,AC101,0))</f>
        <v>#NAME?</v>
      </c>
      <c r="AR101" s="300"/>
      <c r="AS101" s="288" t="e">
        <f aca="false">IF($A101="N/A"," ",IF(AND(AD101=$AJ$2+1,AK101=0),MIN($AR$111,W101),0))</f>
        <v>#NAME?</v>
      </c>
      <c r="AT101" s="302" t="e">
        <f aca="false">IF($A101="N/A"," ",IF(AND(AE101=$AJ$2+1,AL101=0),MIN($AR$111,X101),0))</f>
        <v>#NAME?</v>
      </c>
      <c r="AU101" s="302" t="e">
        <f aca="false">IF($A101="N/A"," ",IF(AND(AF101=$AJ$2+1,AM101=0),MIN($AR$111,Y101),0))</f>
        <v>#NAME?</v>
      </c>
      <c r="AV101" s="302" t="e">
        <f aca="false">IF($A101="N/A"," ",IF(AND(AG101=$AJ$2+1,AN101=0),MIN($AR$111,Z101),0))</f>
        <v>#NAME?</v>
      </c>
      <c r="AW101" s="302" t="e">
        <f aca="false">IF($A101="N/A"," ",IF(AND(AH101=$AJ$2+1,AO101=0),MIN($AR$111,AA101),0))</f>
        <v>#NAME?</v>
      </c>
      <c r="AX101" s="302" t="e">
        <f aca="false">IF($A101="N/A"," ",IF(AND(AI101=$AJ$2+1,AP101=0),MIN($AR$111,AB101),0))</f>
        <v>#NAME?</v>
      </c>
      <c r="AY101" s="302" t="e">
        <f aca="false">IF($A101="N/A"," ",IF(AND(AJ101=$AJ$2+1,AQ101=0),MIN($AR$111,AC101),0))</f>
        <v>#NAME?</v>
      </c>
      <c r="AZ101" s="300"/>
      <c r="BA101" s="291" t="n">
        <f aca="false">IF($A101="N/A"," ",(IF(MONTH(A101)&gt;=4,IF(MONTH(A101)&lt;=10,Inputs!$F$13,Inputs!$F$14),Inputs!$F$14))*$BW101)</f>
        <v>180</v>
      </c>
      <c r="BB101" s="292" t="e">
        <f aca="false">IF($A101="N/A"," ",(IF(AK101&gt;0,($BA101*(8*(VLOOKUP($A101,NumberofDaysTable,2)))*P101),0)+IF(AS101&gt;0,($BA101*((AS101))*P101),0)))</f>
        <v>#NAME?</v>
      </c>
      <c r="BC101" s="292" t="e">
        <f aca="false">IF($A101="N/A"," ",(IF(AL101&gt;0,($BA101*(8*(VLOOKUP($A101,NumberofDaysTable,2)))*Q101),0)+IF(AT101&gt;0,($BA101*((AT101))*Q101),0)))</f>
        <v>#NAME?</v>
      </c>
      <c r="BD101" s="292" t="e">
        <f aca="false">IF($A101="N/A"," ",(IF(AM101&gt;0,($BA101*(8*(VLOOKUP($A101,NumberofDaysTable,3)))*R101),0)+IF(AU101&gt;0,($BA101*((AU101))*R101),0)))</f>
        <v>#NAME?</v>
      </c>
      <c r="BE101" s="292" t="e">
        <f aca="false">IF($A101="N/A"," ",(IF(AN101&gt;0,($BA101*(8*(VLOOKUP($A101,NumberofDaysTable,3)))*S101),0)+IF(AV101&gt;0,($BA101*((AV101))*S101),0)))</f>
        <v>#NAME?</v>
      </c>
      <c r="BF101" s="292" t="e">
        <f aca="false">IF($A101="N/A"," ",(IF(AO101&gt;0,($BA101*(8*(VLOOKUP($A101,NumberofDaysTable,4)+VLOOKUP($A101,NumberofDaysTable,5)))*T101),0)+IF(AW101&gt;0,($BA101*((AW101))*T101),0)))</f>
        <v>#NAME?</v>
      </c>
      <c r="BG101" s="292" t="e">
        <f aca="false">IF($A101="N/A"," ",(IF(AP101&gt;0,($BA101*(8*(VLOOKUP($A101,NumberofDaysTable,4)+VLOOKUP($A101,NumberofDaysTable,5)))*U101),0)+IF(AX101&gt;0,($BA101*((AX101))*U101),0)))</f>
        <v>#NAME?</v>
      </c>
      <c r="BH101" s="292" t="e">
        <f aca="false">IF($A101="N/A"," ",($BA101*AQ101*V101))</f>
        <v>#NAME?</v>
      </c>
      <c r="BI101" s="292" t="e">
        <f aca="false">IF($A101="N/A"," ",SUM(BB101:BH101))</f>
        <v>#NAME?</v>
      </c>
      <c r="BJ101" s="293" t="e">
        <f aca="false">IF($A101="N/A"," ",(H101*(SUM(AK101:AQ101)+SUM(AS101:AY101))*BA101))</f>
        <v>#NAME?</v>
      </c>
      <c r="BK101" s="293" t="e">
        <f aca="false">IF($A101="N/A"," ",((C101*D101)*(SUM($AK101:$AQ101)+SUM($AS101:$AY101))*$BA101))</f>
        <v>#N/A</v>
      </c>
      <c r="BL101" s="293" t="e">
        <f aca="false">IF($A101="N/A"," ",(F101*(SUM($AK101:$AQ101)+SUM($AS101:$AY101))*$BA101))</f>
        <v>#NAME?</v>
      </c>
      <c r="BM101" s="293" t="e">
        <f aca="false">IF($A101="N/A"," ",(G101*(SUM($AK101:$AQ101)+SUM($AS101:$AY101))*$BA101))</f>
        <v>#NAME?</v>
      </c>
      <c r="BN101" s="294" t="n">
        <f aca="false">IF(A101="N/A"," ",(VLOOKUP(A101,PowerVolTable,(IF('Pricing Inputs'!$AT$3=2,7,IF('Pricing Inputs'!$AT$3=1,6,8))),FALSE())))</f>
        <v>0.181777198173203</v>
      </c>
      <c r="BO101" s="294" t="n">
        <f aca="false">IF(A101="N/A"," ",(VLOOKUP(A101,IntraPowerVol,(IF('Pricing Inputs'!$AT$3=2,3,IF('Pricing Inputs'!$AT$3=1,2,4))),FALSE())*VLOOKUP(MONTH($A101),Inputs!$A$28:$B$39,2)))</f>
        <v>2.3</v>
      </c>
      <c r="BP101" s="295" t="n">
        <f aca="false">IF($A101="N/A"," ",(IF(DateToday&gt;$A101,$BO101,((($BN101^2)*((($A101-1)-DateToday)/((EOMONTH($A101,0)+1)-DateToday-15)))+((($BO101)^2)*((15)/((EOMONTH($A101,0)+1)-DateToday-15))))^0.5)))</f>
        <v>2.3</v>
      </c>
      <c r="BQ101" s="294" t="e">
        <f aca="false">IF($A101="N/A"," ",(VLOOKUP($A101,GasVolTable,(IF('Pricing Inputs'!$AT$3=2,6,IF('Pricing Inputs'!$AT$3=1,7,5))),FALSE())))</f>
        <v>#N/A</v>
      </c>
      <c r="BR101" s="294" t="e">
        <f aca="false">IF($A101="N/A"," ",(VLOOKUP($A101,OmicronVol,(IF('Pricing Inputs'!$AT$3=2,3,IF('Pricing Inputs'!$AT$3=1,4,2))),FALSE())))</f>
        <v>#N/A</v>
      </c>
      <c r="BS101" s="295" t="e">
        <f aca="false">IF($A101="N/A"," ",IF('Pricing Inputs'!$AN$3=1,(IF(DateToday&gt;$A101,$BR101,((($BQ101^2)*((($A101-1)-DateToday)/((EOMONTH($A101,0)+1)-DateToday-15)))+((($BR101)^2)*((15)/((EOMONTH($A101,0)+1)-DateToday-15))))^0.5)),0.0001))</f>
        <v>#N/A</v>
      </c>
      <c r="BT101" s="294" t="n">
        <f aca="false">IF($A101="N/A"," ",IF('Pricing Inputs'!$AN$3=1,(VLOOKUP($A101,CorrelationTable,2,FALSE())),0))</f>
        <v>0.9</v>
      </c>
      <c r="BU101" s="296" t="e">
        <f aca="false">IF($A101="N/A"," ",F101+G101+(D101*(VLOOKUP($A101,'Gas Curves'!$B$17:$P$310,14,FALSE()))))</f>
        <v>#N/A</v>
      </c>
      <c r="BV101" s="294" t="n">
        <f aca="false">IF($A101="N/A"," ",IF('Pricing Inputs'!$AW$3=1,0,(VLOOKUP($A101,InterestRatesTable,2))))</f>
        <v>0</v>
      </c>
      <c r="BW101" s="297" t="n">
        <f aca="false">IF($A101="N/A"," ",(1+BV101/2)^(-2*((EOMONTH(A101,0)+20)-DateToday)/365.25))</f>
        <v>1</v>
      </c>
    </row>
    <row r="102" customFormat="false" ht="12.75" hidden="false" customHeight="false" outlineLevel="0" collapsed="false">
      <c r="A102" s="272" t="n">
        <f aca="false">IF(A101="N/A","N/A",IF(EDATE(A101,1)&gt;Inputs!$K$3,"N/A",EDATE(A101,1)))</f>
        <v>39873</v>
      </c>
      <c r="B102" s="273" t="n">
        <f aca="false">IF(A102="N/A"," ",YEAR(A102))</f>
        <v>2009</v>
      </c>
      <c r="C102" s="274" t="e">
        <f aca="false">IF(A102="N/A"," ",VLOOKUP(A102,ScaledPrice,10))</f>
        <v>#N/A</v>
      </c>
      <c r="D102" s="275" t="n">
        <f aca="false">IF(A102="N/A"," ",(VLOOKUP(MONTH($A102),Inputs!$A$14:$B$25,2))/1000)</f>
        <v>10.5</v>
      </c>
      <c r="E102" s="276" t="e">
        <f aca="false">IF($A102="N/A"," ",C102*D102)</f>
        <v>#N/A</v>
      </c>
      <c r="F102" s="277" t="n">
        <f aca="false">IF(A102="N/A"," ",Inputs!$F$6)</f>
        <v>2</v>
      </c>
      <c r="G102" s="277" t="n">
        <f aca="false">IF(A102="N/A"," ",Inputs!$F$9/IF(AND('Pricing Inputs'!$AQ$3&gt;=4,'Pricing Inputs'!$AQ$3&lt;=6),16,IF(AND('Pricing Inputs'!$AQ$3&gt;=7,'Pricing Inputs'!$AQ$3&lt;=9),8,24))/(BA102/BW102))</f>
        <v>0</v>
      </c>
      <c r="H102" s="278" t="e">
        <f aca="false">IF(A102="N/A"," ",(C102*D102)+F102+G102)</f>
        <v>#N/A</v>
      </c>
      <c r="I102" s="279" t="n">
        <f aca="false">VLOOKUP(A102,ScaledPrice,(IF(AND('Pricing Inputs'!$AQ$3&gt;=1,'Pricing Inputs'!$AQ$3&lt;=6),2,4)))</f>
        <v>32.45311</v>
      </c>
      <c r="J102" s="279" t="n">
        <f aca="false">IF(A102="N/A"," ",IF(AND('Pricing Inputs'!$AQ$3&gt;=1,'Pricing Inputs'!$AQ$3&lt;=6),I102,(VLOOKUP(A102,ScaledPrice,2))*(2-(VLOOKUP(A102,ScaledPrice,3)))))</f>
        <v>34.34689</v>
      </c>
      <c r="K102" s="279" t="n">
        <f aca="false">IF(A102="N/A"," ",IF(OR('Pricing Inputs'!$AQ$3=2,'Pricing Inputs'!$AQ$3=3,'Pricing Inputs'!$AQ$3=5,'Pricing Inputs'!$AQ$3=6,'Pricing Inputs'!$AQ$3=8,'Pricing Inputs'!$AQ$3=9),VLOOKUP(A102,ScaledPrice,IF(AND('Pricing Inputs'!$AQ$3&gt;=2,'Pricing Inputs'!$AQ$3&lt;=6),5,6)),0))</f>
        <v>21.4100644520187</v>
      </c>
      <c r="L102" s="279" t="n">
        <f aca="false">IF(A102="N/A"," ",IF(OR('Pricing Inputs'!$AQ$3=2,'Pricing Inputs'!$AQ$3=3,'Pricing Inputs'!$AQ$3=5,'Pricing Inputs'!$AQ$3=6,'Pricing Inputs'!$AQ$3=8,'Pricing Inputs'!$AQ$3=9),IF(AND('Pricing Inputs'!$AQ$3&gt;=2,'Pricing Inputs'!$AQ$3&lt;=6),K102,(VLOOKUP(A102,ScaledPrice,5))*(2-(VLOOKUP(A102,ScaledPrice,3)))),0))</f>
        <v>22.6594347545242</v>
      </c>
      <c r="M102" s="279" t="n">
        <f aca="false">IF(A102="N/A"," ",IF(OR('Pricing Inputs'!$AQ$3=3,'Pricing Inputs'!$AQ$3=6,'Pricing Inputs'!$AQ$3=9),(VLOOKUP(A102,ScaledPrice,IF(AND('Pricing Inputs'!$AQ$3&gt;=3,'Pricing Inputs'!$AQ$3&lt;=6),7,8))),0))</f>
        <v>21.0503103575134</v>
      </c>
      <c r="N102" s="279" t="n">
        <f aca="false">IF(A102="N/A"," ",IF(OR('Pricing Inputs'!$AQ$3=3,'Pricing Inputs'!$AQ$3=6,'Pricing Inputs'!$AQ$3=9),IF(AND('Pricing Inputs'!$AQ$3&gt;=3,'Pricing Inputs'!$AQ$3&lt;=6),M102,(VLOOKUP(A102,ScaledPrice,7))*(2-(VLOOKUP(A102,ScaledPrice,3)))),0))</f>
        <v>22.2786874452209</v>
      </c>
      <c r="O102" s="279" t="n">
        <f aca="false">IF(A102="N/A"," ",IF(AND('Pricing Inputs'!$AQ$3&gt;=1,'Pricing Inputs'!$AQ$3&lt;=3),VLOOKUP(A102,ScaledPrice,9),0))</f>
        <v>0</v>
      </c>
      <c r="P102" s="280" t="e">
        <f aca="false">IF($A102="N/A"," ",IF('Pricing Inputs'!$AN$8=2,(I102-H102),IF('Pricing Inputs'!$AN$3=2,IF((I102-$H102)&gt;0,I102-$H102,0),(xSPRDOPT(I102,$E102,$BU102,0,$BP102,$BS102,$BT102,($A102-Inputs!$D$1)+15,1,0)))))</f>
        <v>#NAME?</v>
      </c>
      <c r="Q102" s="280" t="e">
        <f aca="false">IF($A102="N/A"," ",IF('Pricing Inputs'!$AN$8=2,(J102-$H102),IF('Pricing Inputs'!$AN$3=2,IF((J102-$H102)&gt;0,J102-$H102,0),(xSPRDOPT(J102,$E102,$BU102,0,$BP102,$BS102,$BT102,($A102-Inputs!$D$1)+15,1,0)))))</f>
        <v>#NAME?</v>
      </c>
      <c r="R102" s="280" t="e">
        <f aca="false">IF($A102="N/A"," ",IF('Pricing Inputs'!$AN$8=2,(K102-$H102),IF('Pricing Inputs'!$AN$3=2,IF((K102-$H102)&gt;0,K102-$H102,0),(xSPRDOPT(K102,$E102,$BU102,0,$BP102,$BS102,$BT102,($A102-Inputs!$D$1)+15,1,0)))))</f>
        <v>#NAME?</v>
      </c>
      <c r="S102" s="280" t="e">
        <f aca="false">IF($A102="N/A"," ",IF('Pricing Inputs'!$AN$8=2,(L102-$H102),IF('Pricing Inputs'!$AN$3=2,IF((L102-$H102)&gt;0,L102-$H102,0),(xSPRDOPT(L102,$E102,$BU102,0,$BP102,$BS102,$BT102,($A102-Inputs!$D$1)+15,1,0)))))</f>
        <v>#NAME?</v>
      </c>
      <c r="T102" s="280" t="e">
        <f aca="false">IF($A102="N/A"," ",IF('Pricing Inputs'!$AN$8=2,(M102-$H102),IF('Pricing Inputs'!$AN$3=2,IF((M102-$H102)&gt;0,M102-$H102,0),(xSPRDOPT(M102,$E102,$BU102,0,$BP102,$BS102,$BT102,($A102-Inputs!$D$1)+15,1,0)))))</f>
        <v>#NAME?</v>
      </c>
      <c r="U102" s="280" t="e">
        <f aca="false">IF($A102="N/A"," ",IF('Pricing Inputs'!$AN$8=2,(N102-$H102),IF('Pricing Inputs'!$AN$3=2,IF((N102-$H102)&gt;0,N102-$H102,0),(xSPRDOPT(N102,$E102,$BU102,0,$BP102,$BS102,$BT102,($A102-Inputs!$D$1)+15,1,0)))))</f>
        <v>#NAME?</v>
      </c>
      <c r="V102" s="281" t="e">
        <f aca="false">IF($A102="N/A"," ",(IF('Pricing Inputs'!$AN$8=2,(O102-$H102),IF((O102-$H102)&lt;=0,0,(O102-$H102)))))</f>
        <v>#N/A</v>
      </c>
      <c r="W102" s="282" t="e">
        <f aca="false">IF($A102="N/A"," ",IF(0&lt;&gt;P102,IF('Pricing Inputs'!$AN$3=2,8*VLOOKUP($A102,NumberofDaysTable,2),(xSPRDOPT(I102,$E102,$BU102,0,$BP102,$BS102,$BT102,$A102-Inputs!$D$1,1,1))*(8*VLOOKUP($A102,NumberofDaysTable,2))),0))</f>
        <v>#NAME?</v>
      </c>
      <c r="X102" s="282" t="e">
        <f aca="false">IF($A102="N/A"," ",IF(Q102&lt;&gt;0,IF('Pricing Inputs'!$AN$3=2,8*VLOOKUP($A102,NumberofDaysTable,2),(xSPRDOPT(J102,$E102,$BU102,0,$BP102,$BS102,$BT102,$A102-Inputs!$D$1,1,1))*(8*VLOOKUP($A102,NumberofDaysTable,2))),0))</f>
        <v>#NAME?</v>
      </c>
      <c r="Y102" s="282" t="e">
        <f aca="false">IF($A102="N/A"," ",IF(R102&lt;&gt;0,IF('Pricing Inputs'!$AN$3=2,8*VLOOKUP($A102,NumberofDaysTable,3),(xSPRDOPT(K102,$E102,$BU102,0,$BP102,$BS102,$BT102,$A102-Inputs!$D$1,1,1))*(8*VLOOKUP($A102,NumberofDaysTable,3))),0))</f>
        <v>#NAME?</v>
      </c>
      <c r="Z102" s="282" t="e">
        <f aca="false">IF($A102="N/A"," ",IF(S102&lt;&gt;0,IF('Pricing Inputs'!$AN$3=2,8*VLOOKUP($A102,NumberofDaysTable,3),(xSPRDOPT(L102,$E102,$BU102,0,$BP102,$BS102,$BT102,$A102-Inputs!$D$1,1,1))*(8*VLOOKUP($A102,NumberofDaysTable,3))),0))</f>
        <v>#NAME?</v>
      </c>
      <c r="AA102" s="282" t="e">
        <f aca="false">IF($A102="N/A"," ",IF(T102&lt;&gt;0,IF('Pricing Inputs'!$AN$3=2,8*VLOOKUP($A102,NumberofDaysTable,4),(xSPRDOPT(M102,$E102,$BU102,0,$BP102,$BS102,$BT102,$A102-Inputs!$D$1,1,1))*(8*VLOOKUP($A102,NumberofDaysTable,4))),0))</f>
        <v>#NAME?</v>
      </c>
      <c r="AB102" s="282" t="e">
        <f aca="false">IF($A102="N/A"," ",IF(U102&lt;&gt;0,IF('Pricing Inputs'!$AN$3=2,8*VLOOKUP($A102,NumberofDaysTable,4),(xSPRDOPT(N102,$E102,$BU102,0,$BP102,$BS102,$BT102,$A102-Inputs!$D$1,1,1))*(8*VLOOKUP($A102,NumberofDaysTable,4))),0))</f>
        <v>#NAME?</v>
      </c>
      <c r="AC102" s="282" t="e">
        <f aca="false">IF($A102="N/A"," ",(IF(V102&lt;&gt;0,(8*VLOOKUP($A102,NumberofDaysTable,6)),0)))</f>
        <v>#N/A</v>
      </c>
      <c r="AD102" s="298" t="e">
        <f aca="false">IF($A102="N/A"," ",RANK(P102,$P$100:$V$111))</f>
        <v>#NAME?</v>
      </c>
      <c r="AE102" s="299" t="e">
        <f aca="false">IF($A102="N/A"," ",RANK(Q102,$P$100:$V$111))</f>
        <v>#NAME?</v>
      </c>
      <c r="AF102" s="299" t="e">
        <f aca="false">IF($A102="N/A"," ",RANK(R102,$P$100:$V$111))</f>
        <v>#NAME?</v>
      </c>
      <c r="AG102" s="299" t="e">
        <f aca="false">IF($A102="N/A"," ",RANK(S102,$P$100:$V$111))</f>
        <v>#NAME?</v>
      </c>
      <c r="AH102" s="299" t="e">
        <f aca="false">IF($A102="N/A"," ",RANK(T102,$P$100:$V$111))</f>
        <v>#NAME?</v>
      </c>
      <c r="AI102" s="299" t="e">
        <f aca="false">IF($A102="N/A"," ",RANK(U102,$P$100:$V$111))</f>
        <v>#NAME?</v>
      </c>
      <c r="AJ102" s="300" t="e">
        <f aca="false">IF($A102="N/A"," ",RANK(V102,$P$100:$V$111))</f>
        <v>#NAME?</v>
      </c>
      <c r="AK102" s="286" t="e">
        <f aca="false">IF($A102="N/A"," ",IF(AD102&lt;=$AJ$2,W102,0))</f>
        <v>#NAME?</v>
      </c>
      <c r="AL102" s="301" t="e">
        <f aca="false">IF($A102="N/A"," ",IF(AE102&lt;=$AJ$2,X102,0))</f>
        <v>#NAME?</v>
      </c>
      <c r="AM102" s="301" t="e">
        <f aca="false">IF($A102="N/A"," ",IF(AF102&lt;=$AJ$2,Y102,0))</f>
        <v>#NAME?</v>
      </c>
      <c r="AN102" s="301" t="e">
        <f aca="false">IF($A102="N/A"," ",IF(AG102&lt;=$AJ$2,Z102,0))</f>
        <v>#NAME?</v>
      </c>
      <c r="AO102" s="301" t="e">
        <f aca="false">IF($A102="N/A"," ",IF(AH102&lt;=$AJ$2,AA102,0))</f>
        <v>#NAME?</v>
      </c>
      <c r="AP102" s="301" t="e">
        <f aca="false">IF($A102="N/A"," ",IF(AI102&lt;=$AJ$2,AB102,0))</f>
        <v>#NAME?</v>
      </c>
      <c r="AQ102" s="301" t="e">
        <f aca="false">IF($A102="N/A"," ",IF(AJ102&lt;=$AJ$2,AC102,0))</f>
        <v>#NAME?</v>
      </c>
      <c r="AR102" s="300"/>
      <c r="AS102" s="288" t="e">
        <f aca="false">IF($A102="N/A"," ",IF(AND(AD102=$AJ$2+1,AK102=0),MIN($AR$111,W102),0))</f>
        <v>#NAME?</v>
      </c>
      <c r="AT102" s="302" t="e">
        <f aca="false">IF($A102="N/A"," ",IF(AND(AE102=$AJ$2+1,AL102=0),MIN($AR$111,X102),0))</f>
        <v>#NAME?</v>
      </c>
      <c r="AU102" s="302" t="e">
        <f aca="false">IF($A102="N/A"," ",IF(AND(AF102=$AJ$2+1,AM102=0),MIN($AR$111,Y102),0))</f>
        <v>#NAME?</v>
      </c>
      <c r="AV102" s="302" t="e">
        <f aca="false">IF($A102="N/A"," ",IF(AND(AG102=$AJ$2+1,AN102=0),MIN($AR$111,Z102),0))</f>
        <v>#NAME?</v>
      </c>
      <c r="AW102" s="302" t="e">
        <f aca="false">IF($A102="N/A"," ",IF(AND(AH102=$AJ$2+1,AO102=0),MIN($AR$111,AA102),0))</f>
        <v>#NAME?</v>
      </c>
      <c r="AX102" s="302" t="e">
        <f aca="false">IF($A102="N/A"," ",IF(AND(AI102=$AJ$2+1,AP102=0),MIN($AR$111,AB102),0))</f>
        <v>#NAME?</v>
      </c>
      <c r="AY102" s="302" t="e">
        <f aca="false">IF($A102="N/A"," ",IF(AND(AJ102=$AJ$2+1,AQ102=0),MIN($AR$111,AC102),0))</f>
        <v>#NAME?</v>
      </c>
      <c r="AZ102" s="300"/>
      <c r="BA102" s="291" t="n">
        <f aca="false">IF($A102="N/A"," ",(IF(MONTH(A102)&gt;=4,IF(MONTH(A102)&lt;=10,Inputs!$F$13,Inputs!$F$14),Inputs!$F$14))*$BW102)</f>
        <v>180</v>
      </c>
      <c r="BB102" s="292" t="e">
        <f aca="false">IF($A102="N/A"," ",(IF(AK102&gt;0,($BA102*(8*(VLOOKUP($A102,NumberofDaysTable,2)))*P102),0)+IF(AS102&gt;0,($BA102*((AS102))*P102),0)))</f>
        <v>#NAME?</v>
      </c>
      <c r="BC102" s="292" t="e">
        <f aca="false">IF($A102="N/A"," ",(IF(AL102&gt;0,($BA102*(8*(VLOOKUP($A102,NumberofDaysTable,2)))*Q102),0)+IF(AT102&gt;0,($BA102*((AT102))*Q102),0)))</f>
        <v>#NAME?</v>
      </c>
      <c r="BD102" s="292" t="e">
        <f aca="false">IF($A102="N/A"," ",(IF(AM102&gt;0,($BA102*(8*(VLOOKUP($A102,NumberofDaysTable,3)))*R102),0)+IF(AU102&gt;0,($BA102*((AU102))*R102),0)))</f>
        <v>#NAME?</v>
      </c>
      <c r="BE102" s="292" t="e">
        <f aca="false">IF($A102="N/A"," ",(IF(AN102&gt;0,($BA102*(8*(VLOOKUP($A102,NumberofDaysTable,3)))*S102),0)+IF(AV102&gt;0,($BA102*((AV102))*S102),0)))</f>
        <v>#NAME?</v>
      </c>
      <c r="BF102" s="292" t="e">
        <f aca="false">IF($A102="N/A"," ",(IF(AO102&gt;0,($BA102*(8*(VLOOKUP($A102,NumberofDaysTable,4)+VLOOKUP($A102,NumberofDaysTable,5)))*T102),0)+IF(AW102&gt;0,($BA102*((AW102))*T102),0)))</f>
        <v>#NAME?</v>
      </c>
      <c r="BG102" s="292" t="e">
        <f aca="false">IF($A102="N/A"," ",(IF(AP102&gt;0,($BA102*(8*(VLOOKUP($A102,NumberofDaysTable,4)+VLOOKUP($A102,NumberofDaysTable,5)))*U102),0)+IF(AX102&gt;0,($BA102*((AX102))*U102),0)))</f>
        <v>#NAME?</v>
      </c>
      <c r="BH102" s="292" t="e">
        <f aca="false">IF($A102="N/A"," ",($BA102*AQ102*V102))</f>
        <v>#NAME?</v>
      </c>
      <c r="BI102" s="292" t="e">
        <f aca="false">IF($A102="N/A"," ",SUM(BB102:BH102))</f>
        <v>#NAME?</v>
      </c>
      <c r="BJ102" s="293" t="e">
        <f aca="false">IF($A102="N/A"," ",(H102*(SUM(AK102:AQ102)+SUM(AS102:AY102))*BA102))</f>
        <v>#NAME?</v>
      </c>
      <c r="BK102" s="293" t="e">
        <f aca="false">IF($A102="N/A"," ",((C102*D102)*(SUM($AK102:$AQ102)+SUM($AS102:$AY102))*$BA102))</f>
        <v>#N/A</v>
      </c>
      <c r="BL102" s="293" t="e">
        <f aca="false">IF($A102="N/A"," ",(F102*(SUM($AK102:$AQ102)+SUM($AS102:$AY102))*$BA102))</f>
        <v>#NAME?</v>
      </c>
      <c r="BM102" s="293" t="e">
        <f aca="false">IF($A102="N/A"," ",(G102*(SUM($AK102:$AQ102)+SUM($AS102:$AY102))*$BA102))</f>
        <v>#NAME?</v>
      </c>
      <c r="BN102" s="294" t="n">
        <f aca="false">IF(A102="N/A"," ",(VLOOKUP(A102,PowerVolTable,(IF('Pricing Inputs'!$AT$3=2,7,IF('Pricing Inputs'!$AT$3=1,6,8))),FALSE())))</f>
        <v>0.177183011686526</v>
      </c>
      <c r="BO102" s="294" t="n">
        <f aca="false">IF(A102="N/A"," ",(VLOOKUP(A102,IntraPowerVol,(IF('Pricing Inputs'!$AT$3=2,3,IF('Pricing Inputs'!$AT$3=1,2,4))),FALSE())*VLOOKUP(MONTH($A102),Inputs!$A$28:$B$39,2)))</f>
        <v>1.495</v>
      </c>
      <c r="BP102" s="295" t="n">
        <f aca="false">IF($A102="N/A"," ",(IF(DateToday&gt;$A102,$BO102,((($BN102^2)*((($A102-1)-DateToday)/((EOMONTH($A102,0)+1)-DateToday-15)))+((($BO102)^2)*((15)/((EOMONTH($A102,0)+1)-DateToday-15))))^0.5)))</f>
        <v>1.495</v>
      </c>
      <c r="BQ102" s="294" t="e">
        <f aca="false">IF($A102="N/A"," ",(VLOOKUP($A102,GasVolTable,(IF('Pricing Inputs'!$AT$3=2,6,IF('Pricing Inputs'!$AT$3=1,7,5))),FALSE())))</f>
        <v>#N/A</v>
      </c>
      <c r="BR102" s="294" t="e">
        <f aca="false">IF($A102="N/A"," ",(VLOOKUP($A102,OmicronVol,(IF('Pricing Inputs'!$AT$3=2,3,IF('Pricing Inputs'!$AT$3=1,4,2))),FALSE())))</f>
        <v>#N/A</v>
      </c>
      <c r="BS102" s="295" t="e">
        <f aca="false">IF($A102="N/A"," ",IF('Pricing Inputs'!$AN$3=1,(IF(DateToday&gt;$A102,$BR102,((($BQ102^2)*((($A102-1)-DateToday)/((EOMONTH($A102,0)+1)-DateToday-15)))+((($BR102)^2)*((15)/((EOMONTH($A102,0)+1)-DateToday-15))))^0.5)),0.0001))</f>
        <v>#N/A</v>
      </c>
      <c r="BT102" s="294" t="n">
        <f aca="false">IF($A102="N/A"," ",IF('Pricing Inputs'!$AN$3=1,(VLOOKUP($A102,CorrelationTable,2,FALSE())),0))</f>
        <v>0.9</v>
      </c>
      <c r="BU102" s="296" t="e">
        <f aca="false">IF($A102="N/A"," ",F102+G102+(D102*(VLOOKUP($A102,'Gas Curves'!$B$17:$P$310,14,FALSE()))))</f>
        <v>#N/A</v>
      </c>
      <c r="BV102" s="294" t="n">
        <f aca="false">IF($A102="N/A"," ",IF('Pricing Inputs'!$AW$3=1,0,(VLOOKUP($A102,InterestRatesTable,2))))</f>
        <v>0</v>
      </c>
      <c r="BW102" s="297" t="n">
        <f aca="false">IF($A102="N/A"," ",(1+BV102/2)^(-2*((EOMONTH(A102,0)+20)-DateToday)/365.25))</f>
        <v>1</v>
      </c>
    </row>
    <row r="103" customFormat="false" ht="12.75" hidden="false" customHeight="false" outlineLevel="0" collapsed="false">
      <c r="A103" s="272" t="n">
        <f aca="false">IF(A102="N/A","N/A",IF(EDATE(A102,1)&gt;Inputs!$K$3,"N/A",EDATE(A102,1)))</f>
        <v>39904</v>
      </c>
      <c r="B103" s="273" t="n">
        <f aca="false">IF(A103="N/A"," ",YEAR(A103))</f>
        <v>2009</v>
      </c>
      <c r="C103" s="274" t="e">
        <f aca="false">IF(A103="N/A"," ",VLOOKUP(A103,ScaledPrice,10))</f>
        <v>#N/A</v>
      </c>
      <c r="D103" s="275" t="n">
        <f aca="false">IF(A103="N/A"," ",(VLOOKUP(MONTH($A103),Inputs!$A$14:$B$25,2))/1000)</f>
        <v>10.5</v>
      </c>
      <c r="E103" s="276" t="e">
        <f aca="false">IF($A103="N/A"," ",C103*D103)</f>
        <v>#N/A</v>
      </c>
      <c r="F103" s="277" t="n">
        <f aca="false">IF(A103="N/A"," ",Inputs!$F$6)</f>
        <v>2</v>
      </c>
      <c r="G103" s="277" t="n">
        <f aca="false">IF(A103="N/A"," ",Inputs!$F$9/IF(AND('Pricing Inputs'!$AQ$3&gt;=4,'Pricing Inputs'!$AQ$3&lt;=6),16,IF(AND('Pricing Inputs'!$AQ$3&gt;=7,'Pricing Inputs'!$AQ$3&lt;=9),8,24))/(BA103/BW103))</f>
        <v>0</v>
      </c>
      <c r="H103" s="278" t="e">
        <f aca="false">IF(A103="N/A"," ",(C103*D103)+F103+G103)</f>
        <v>#N/A</v>
      </c>
      <c r="I103" s="279" t="n">
        <f aca="false">VLOOKUP(A103,ScaledPrice,(IF(AND('Pricing Inputs'!$AQ$3&gt;=1,'Pricing Inputs'!$AQ$3&lt;=6),2,4)))</f>
        <v>29.7383966698891</v>
      </c>
      <c r="J103" s="279" t="n">
        <f aca="false">IF(A103="N/A"," ",IF(AND('Pricing Inputs'!$AQ$3&gt;=1,'Pricing Inputs'!$AQ$3&lt;=6),I103,(VLOOKUP(A103,ScaledPrice,2))*(2-(VLOOKUP(A103,ScaledPrice,3)))))</f>
        <v>34.5616033301109</v>
      </c>
      <c r="K103" s="279" t="n">
        <f aca="false">IF(A103="N/A"," ",IF(OR('Pricing Inputs'!$AQ$3=2,'Pricing Inputs'!$AQ$3=3,'Pricing Inputs'!$AQ$3=5,'Pricing Inputs'!$AQ$3=6,'Pricing Inputs'!$AQ$3=8,'Pricing Inputs'!$AQ$3=9),VLOOKUP(A103,ScaledPrice,IF(AND('Pricing Inputs'!$AQ$3&gt;=2,'Pricing Inputs'!$AQ$3&lt;=6),5,6)),0))</f>
        <v>21.0134381158209</v>
      </c>
      <c r="L103" s="279" t="n">
        <f aca="false">IF(A103="N/A"," ",IF(OR('Pricing Inputs'!$AQ$3=2,'Pricing Inputs'!$AQ$3=3,'Pricing Inputs'!$AQ$3=5,'Pricing Inputs'!$AQ$3=6,'Pricing Inputs'!$AQ$3=8,'Pricing Inputs'!$AQ$3=9),IF(AND('Pricing Inputs'!$AQ$3&gt;=2,'Pricing Inputs'!$AQ$3&lt;=6),K103,(VLOOKUP(A103,ScaledPrice,5))*(2-(VLOOKUP(A103,ScaledPrice,3)))),0))</f>
        <v>24.4215624945306</v>
      </c>
      <c r="M103" s="279" t="n">
        <f aca="false">IF(A103="N/A"," ",IF(OR('Pricing Inputs'!$AQ$3=3,'Pricing Inputs'!$AQ$3=6,'Pricing Inputs'!$AQ$3=9),(VLOOKUP(A103,ScaledPrice,IF(AND('Pricing Inputs'!$AQ$3&gt;=3,'Pricing Inputs'!$AQ$3&lt;=6),7,8))),0))</f>
        <v>19.8271385814232</v>
      </c>
      <c r="N103" s="279" t="n">
        <f aca="false">IF(A103="N/A"," ",IF(OR('Pricing Inputs'!$AQ$3=3,'Pricing Inputs'!$AQ$3=6,'Pricing Inputs'!$AQ$3=9),IF(AND('Pricing Inputs'!$AQ$3&gt;=3,'Pricing Inputs'!$AQ$3&lt;=6),M103,(VLOOKUP(A103,ScaledPrice,7))*(2-(VLOOKUP(A103,ScaledPrice,3)))),0))</f>
        <v>23.0428595875221</v>
      </c>
      <c r="O103" s="279" t="n">
        <f aca="false">IF(A103="N/A"," ",IF(AND('Pricing Inputs'!$AQ$3&gt;=1,'Pricing Inputs'!$AQ$3&lt;=3),VLOOKUP(A103,ScaledPrice,9),0))</f>
        <v>0</v>
      </c>
      <c r="P103" s="280" t="e">
        <f aca="false">IF($A103="N/A"," ",IF('Pricing Inputs'!$AN$8=2,(I103-H103),IF('Pricing Inputs'!$AN$3=2,IF((I103-$H103)&gt;0,I103-$H103,0),(xSPRDOPT(I103,$E103,$BU103,0,$BP103,$BS103,$BT103,($A103-Inputs!$D$1)+15,1,0)))))</f>
        <v>#NAME?</v>
      </c>
      <c r="Q103" s="280" t="e">
        <f aca="false">IF($A103="N/A"," ",IF('Pricing Inputs'!$AN$8=2,(J103-$H103),IF('Pricing Inputs'!$AN$3=2,IF((J103-$H103)&gt;0,J103-$H103,0),(xSPRDOPT(J103,$E103,$BU103,0,$BP103,$BS103,$BT103,($A103-Inputs!$D$1)+15,1,0)))))</f>
        <v>#NAME?</v>
      </c>
      <c r="R103" s="280" t="e">
        <f aca="false">IF($A103="N/A"," ",IF('Pricing Inputs'!$AN$8=2,(K103-$H103),IF('Pricing Inputs'!$AN$3=2,IF((K103-$H103)&gt;0,K103-$H103,0),(xSPRDOPT(K103,$E103,$BU103,0,$BP103,$BS103,$BT103,($A103-Inputs!$D$1)+15,1,0)))))</f>
        <v>#NAME?</v>
      </c>
      <c r="S103" s="280" t="e">
        <f aca="false">IF($A103="N/A"," ",IF('Pricing Inputs'!$AN$8=2,(L103-$H103),IF('Pricing Inputs'!$AN$3=2,IF((L103-$H103)&gt;0,L103-$H103,0),(xSPRDOPT(L103,$E103,$BU103,0,$BP103,$BS103,$BT103,($A103-Inputs!$D$1)+15,1,0)))))</f>
        <v>#NAME?</v>
      </c>
      <c r="T103" s="280" t="e">
        <f aca="false">IF($A103="N/A"," ",IF('Pricing Inputs'!$AN$8=2,(M103-$H103),IF('Pricing Inputs'!$AN$3=2,IF((M103-$H103)&gt;0,M103-$H103,0),(xSPRDOPT(M103,$E103,$BU103,0,$BP103,$BS103,$BT103,($A103-Inputs!$D$1)+15,1,0)))))</f>
        <v>#NAME?</v>
      </c>
      <c r="U103" s="280" t="e">
        <f aca="false">IF($A103="N/A"," ",IF('Pricing Inputs'!$AN$8=2,(N103-$H103),IF('Pricing Inputs'!$AN$3=2,IF((N103-$H103)&gt;0,N103-$H103,0),(xSPRDOPT(N103,$E103,$BU103,0,$BP103,$BS103,$BT103,($A103-Inputs!$D$1)+15,1,0)))))</f>
        <v>#NAME?</v>
      </c>
      <c r="V103" s="281" t="e">
        <f aca="false">IF($A103="N/A"," ",(IF('Pricing Inputs'!$AN$8=2,(O103-$H103),IF((O103-$H103)&lt;=0,0,(O103-$H103)))))</f>
        <v>#N/A</v>
      </c>
      <c r="W103" s="282" t="e">
        <f aca="false">IF($A103="N/A"," ",IF(0&lt;&gt;P103,IF('Pricing Inputs'!$AN$3=2,8*VLOOKUP($A103,NumberofDaysTable,2),(xSPRDOPT(I103,$E103,$BU103,0,$BP103,$BS103,$BT103,$A103-Inputs!$D$1,1,1))*(8*VLOOKUP($A103,NumberofDaysTable,2))),0))</f>
        <v>#NAME?</v>
      </c>
      <c r="X103" s="282" t="e">
        <f aca="false">IF($A103="N/A"," ",IF(Q103&lt;&gt;0,IF('Pricing Inputs'!$AN$3=2,8*VLOOKUP($A103,NumberofDaysTable,2),(xSPRDOPT(J103,$E103,$BU103,0,$BP103,$BS103,$BT103,$A103-Inputs!$D$1,1,1))*(8*VLOOKUP($A103,NumberofDaysTable,2))),0))</f>
        <v>#NAME?</v>
      </c>
      <c r="Y103" s="282" t="e">
        <f aca="false">IF($A103="N/A"," ",IF(R103&lt;&gt;0,IF('Pricing Inputs'!$AN$3=2,8*VLOOKUP($A103,NumberofDaysTable,3),(xSPRDOPT(K103,$E103,$BU103,0,$BP103,$BS103,$BT103,$A103-Inputs!$D$1,1,1))*(8*VLOOKUP($A103,NumberofDaysTable,3))),0))</f>
        <v>#NAME?</v>
      </c>
      <c r="Z103" s="282" t="e">
        <f aca="false">IF($A103="N/A"," ",IF(S103&lt;&gt;0,IF('Pricing Inputs'!$AN$3=2,8*VLOOKUP($A103,NumberofDaysTable,3),(xSPRDOPT(L103,$E103,$BU103,0,$BP103,$BS103,$BT103,$A103-Inputs!$D$1,1,1))*(8*VLOOKUP($A103,NumberofDaysTable,3))),0))</f>
        <v>#NAME?</v>
      </c>
      <c r="AA103" s="282" t="e">
        <f aca="false">IF($A103="N/A"," ",IF(T103&lt;&gt;0,IF('Pricing Inputs'!$AN$3=2,8*VLOOKUP($A103,NumberofDaysTable,4),(xSPRDOPT(M103,$E103,$BU103,0,$BP103,$BS103,$BT103,$A103-Inputs!$D$1,1,1))*(8*VLOOKUP($A103,NumberofDaysTable,4))),0))</f>
        <v>#NAME?</v>
      </c>
      <c r="AB103" s="282" t="e">
        <f aca="false">IF($A103="N/A"," ",IF(U103&lt;&gt;0,IF('Pricing Inputs'!$AN$3=2,8*VLOOKUP($A103,NumberofDaysTable,4),(xSPRDOPT(N103,$E103,$BU103,0,$BP103,$BS103,$BT103,$A103-Inputs!$D$1,1,1))*(8*VLOOKUP($A103,NumberofDaysTable,4))),0))</f>
        <v>#NAME?</v>
      </c>
      <c r="AC103" s="282" t="e">
        <f aca="false">IF($A103="N/A"," ",(IF(V103&lt;&gt;0,(8*VLOOKUP($A103,NumberofDaysTable,6)),0)))</f>
        <v>#N/A</v>
      </c>
      <c r="AD103" s="298" t="e">
        <f aca="false">IF($A103="N/A"," ",RANK(P103,$P$100:$V$111))</f>
        <v>#NAME?</v>
      </c>
      <c r="AE103" s="299" t="e">
        <f aca="false">IF($A103="N/A"," ",RANK(Q103,$P$100:$V$111))</f>
        <v>#NAME?</v>
      </c>
      <c r="AF103" s="299" t="e">
        <f aca="false">IF($A103="N/A"," ",RANK(R103,$P$100:$V$111))</f>
        <v>#NAME?</v>
      </c>
      <c r="AG103" s="299" t="e">
        <f aca="false">IF($A103="N/A"," ",RANK(S103,$P$100:$V$111))</f>
        <v>#NAME?</v>
      </c>
      <c r="AH103" s="299" t="e">
        <f aca="false">IF($A103="N/A"," ",RANK(T103,$P$100:$V$111))</f>
        <v>#NAME?</v>
      </c>
      <c r="AI103" s="299" t="e">
        <f aca="false">IF($A103="N/A"," ",RANK(U103,$P$100:$V$111))</f>
        <v>#NAME?</v>
      </c>
      <c r="AJ103" s="300" t="e">
        <f aca="false">IF($A103="N/A"," ",RANK(V103,$P$100:$V$111))</f>
        <v>#NAME?</v>
      </c>
      <c r="AK103" s="286" t="e">
        <f aca="false">IF($A103="N/A"," ",IF(AD103&lt;=$AJ$2,W103,0))</f>
        <v>#NAME?</v>
      </c>
      <c r="AL103" s="301" t="e">
        <f aca="false">IF($A103="N/A"," ",IF(AE103&lt;=$AJ$2,X103,0))</f>
        <v>#NAME?</v>
      </c>
      <c r="AM103" s="301" t="e">
        <f aca="false">IF($A103="N/A"," ",IF(AF103&lt;=$AJ$2,Y103,0))</f>
        <v>#NAME?</v>
      </c>
      <c r="AN103" s="301" t="e">
        <f aca="false">IF($A103="N/A"," ",IF(AG103&lt;=$AJ$2,Z103,0))</f>
        <v>#NAME?</v>
      </c>
      <c r="AO103" s="301" t="e">
        <f aca="false">IF($A103="N/A"," ",IF(AH103&lt;=$AJ$2,AA103,0))</f>
        <v>#NAME?</v>
      </c>
      <c r="AP103" s="301" t="e">
        <f aca="false">IF($A103="N/A"," ",IF(AI103&lt;=$AJ$2,AB103,0))</f>
        <v>#NAME?</v>
      </c>
      <c r="AQ103" s="301" t="e">
        <f aca="false">IF($A103="N/A"," ",IF(AJ103&lt;=$AJ$2,AC103,0))</f>
        <v>#NAME?</v>
      </c>
      <c r="AR103" s="300"/>
      <c r="AS103" s="288" t="e">
        <f aca="false">IF($A103="N/A"," ",IF(AND(AD103=$AJ$2+1,AK103=0),MIN($AR$111,W103),0))</f>
        <v>#NAME?</v>
      </c>
      <c r="AT103" s="302" t="e">
        <f aca="false">IF($A103="N/A"," ",IF(AND(AE103=$AJ$2+1,AL103=0),MIN($AR$111,X103),0))</f>
        <v>#NAME?</v>
      </c>
      <c r="AU103" s="302" t="e">
        <f aca="false">IF($A103="N/A"," ",IF(AND(AF103=$AJ$2+1,AM103=0),MIN($AR$111,Y103),0))</f>
        <v>#NAME?</v>
      </c>
      <c r="AV103" s="302" t="e">
        <f aca="false">IF($A103="N/A"," ",IF(AND(AG103=$AJ$2+1,AN103=0),MIN($AR$111,Z103),0))</f>
        <v>#NAME?</v>
      </c>
      <c r="AW103" s="302" t="e">
        <f aca="false">IF($A103="N/A"," ",IF(AND(AH103=$AJ$2+1,AO103=0),MIN($AR$111,AA103),0))</f>
        <v>#NAME?</v>
      </c>
      <c r="AX103" s="302" t="e">
        <f aca="false">IF($A103="N/A"," ",IF(AND(AI103=$AJ$2+1,AP103=0),MIN($AR$111,AB103),0))</f>
        <v>#NAME?</v>
      </c>
      <c r="AY103" s="302" t="e">
        <f aca="false">IF($A103="N/A"," ",IF(AND(AJ103=$AJ$2+1,AQ103=0),MIN($AR$111,AC103),0))</f>
        <v>#NAME?</v>
      </c>
      <c r="AZ103" s="300"/>
      <c r="BA103" s="291" t="n">
        <f aca="false">IF($A103="N/A"," ",(IF(MONTH(A103)&gt;=4,IF(MONTH(A103)&lt;=10,Inputs!$F$13,Inputs!$F$14),Inputs!$F$14))*$BW103)</f>
        <v>180</v>
      </c>
      <c r="BB103" s="292" t="e">
        <f aca="false">IF($A103="N/A"," ",(IF(AK103&gt;0,($BA103*(8*(VLOOKUP($A103,NumberofDaysTable,2)))*P103),0)+IF(AS103&gt;0,($BA103*((AS103))*P103),0)))</f>
        <v>#NAME?</v>
      </c>
      <c r="BC103" s="292" t="e">
        <f aca="false">IF($A103="N/A"," ",(IF(AL103&gt;0,($BA103*(8*(VLOOKUP($A103,NumberofDaysTable,2)))*Q103),0)+IF(AT103&gt;0,($BA103*((AT103))*Q103),0)))</f>
        <v>#NAME?</v>
      </c>
      <c r="BD103" s="292" t="e">
        <f aca="false">IF($A103="N/A"," ",(IF(AM103&gt;0,($BA103*(8*(VLOOKUP($A103,NumberofDaysTable,3)))*R103),0)+IF(AU103&gt;0,($BA103*((AU103))*R103),0)))</f>
        <v>#NAME?</v>
      </c>
      <c r="BE103" s="292" t="e">
        <f aca="false">IF($A103="N/A"," ",(IF(AN103&gt;0,($BA103*(8*(VLOOKUP($A103,NumberofDaysTable,3)))*S103),0)+IF(AV103&gt;0,($BA103*((AV103))*S103),0)))</f>
        <v>#NAME?</v>
      </c>
      <c r="BF103" s="292" t="e">
        <f aca="false">IF($A103="N/A"," ",(IF(AO103&gt;0,($BA103*(8*(VLOOKUP($A103,NumberofDaysTable,4)+VLOOKUP($A103,NumberofDaysTable,5)))*T103),0)+IF(AW103&gt;0,($BA103*((AW103))*T103),0)))</f>
        <v>#NAME?</v>
      </c>
      <c r="BG103" s="292" t="e">
        <f aca="false">IF($A103="N/A"," ",(IF(AP103&gt;0,($BA103*(8*(VLOOKUP($A103,NumberofDaysTable,4)+VLOOKUP($A103,NumberofDaysTable,5)))*U103),0)+IF(AX103&gt;0,($BA103*((AX103))*U103),0)))</f>
        <v>#NAME?</v>
      </c>
      <c r="BH103" s="292" t="e">
        <f aca="false">IF($A103="N/A"," ",($BA103*AQ103*V103))</f>
        <v>#NAME?</v>
      </c>
      <c r="BI103" s="292" t="e">
        <f aca="false">IF($A103="N/A"," ",SUM(BB103:BH103))</f>
        <v>#NAME?</v>
      </c>
      <c r="BJ103" s="293" t="e">
        <f aca="false">IF($A103="N/A"," ",(H103*(SUM(AK103:AQ103)+SUM(AS103:AY103))*BA103))</f>
        <v>#NAME?</v>
      </c>
      <c r="BK103" s="293" t="e">
        <f aca="false">IF($A103="N/A"," ",((C103*D103)*(SUM($AK103:$AQ103)+SUM($AS103:$AY103))*$BA103))</f>
        <v>#N/A</v>
      </c>
      <c r="BL103" s="293" t="e">
        <f aca="false">IF($A103="N/A"," ",(F103*(SUM($AK103:$AQ103)+SUM($AS103:$AY103))*$BA103))</f>
        <v>#NAME?</v>
      </c>
      <c r="BM103" s="293" t="e">
        <f aca="false">IF($A103="N/A"," ",(G103*(SUM($AK103:$AQ103)+SUM($AS103:$AY103))*$BA103))</f>
        <v>#NAME?</v>
      </c>
      <c r="BN103" s="294" t="n">
        <f aca="false">IF(A103="N/A"," ",(VLOOKUP(A103,PowerVolTable,(IF('Pricing Inputs'!$AT$3=2,7,IF('Pricing Inputs'!$AT$3=1,6,8))),FALSE())))</f>
        <v>0.157927233668361</v>
      </c>
      <c r="BO103" s="294" t="n">
        <f aca="false">IF(A103="N/A"," ",(VLOOKUP(A103,IntraPowerVol,(IF('Pricing Inputs'!$AT$3=2,3,IF('Pricing Inputs'!$AT$3=1,2,4))),FALSE())*VLOOKUP(MONTH($A103),Inputs!$A$28:$B$39,2)))</f>
        <v>1.265</v>
      </c>
      <c r="BP103" s="295" t="n">
        <f aca="false">IF($A103="N/A"," ",(IF(DateToday&gt;$A103,$BO103,((($BN103^2)*((($A103-1)-DateToday)/((EOMONTH($A103,0)+1)-DateToday-15)))+((($BO103)^2)*((15)/((EOMONTH($A103,0)+1)-DateToday-15))))^0.5)))</f>
        <v>1.265</v>
      </c>
      <c r="BQ103" s="294" t="e">
        <f aca="false">IF($A103="N/A"," ",(VLOOKUP($A103,GasVolTable,(IF('Pricing Inputs'!$AT$3=2,6,IF('Pricing Inputs'!$AT$3=1,7,5))),FALSE())))</f>
        <v>#N/A</v>
      </c>
      <c r="BR103" s="294" t="e">
        <f aca="false">IF($A103="N/A"," ",(VLOOKUP($A103,OmicronVol,(IF('Pricing Inputs'!$AT$3=2,3,IF('Pricing Inputs'!$AT$3=1,4,2))),FALSE())))</f>
        <v>#N/A</v>
      </c>
      <c r="BS103" s="295" t="e">
        <f aca="false">IF($A103="N/A"," ",IF('Pricing Inputs'!$AN$3=1,(IF(DateToday&gt;$A103,$BR103,((($BQ103^2)*((($A103-1)-DateToday)/((EOMONTH($A103,0)+1)-DateToday-15)))+((($BR103)^2)*((15)/((EOMONTH($A103,0)+1)-DateToday-15))))^0.5)),0.0001))</f>
        <v>#N/A</v>
      </c>
      <c r="BT103" s="294" t="n">
        <f aca="false">IF($A103="N/A"," ",IF('Pricing Inputs'!$AN$3=1,(VLOOKUP($A103,CorrelationTable,2,FALSE())),0))</f>
        <v>0.9</v>
      </c>
      <c r="BU103" s="296" t="e">
        <f aca="false">IF($A103="N/A"," ",F103+G103+(D103*(VLOOKUP($A103,'Gas Curves'!$B$17:$P$310,14,FALSE()))))</f>
        <v>#N/A</v>
      </c>
      <c r="BV103" s="294" t="n">
        <f aca="false">IF($A103="N/A"," ",IF('Pricing Inputs'!$AW$3=1,0,(VLOOKUP($A103,InterestRatesTable,2))))</f>
        <v>0</v>
      </c>
      <c r="BW103" s="297" t="n">
        <f aca="false">IF($A103="N/A"," ",(1+BV103/2)^(-2*((EOMONTH(A103,0)+20)-DateToday)/365.25))</f>
        <v>1</v>
      </c>
    </row>
    <row r="104" customFormat="false" ht="12.75" hidden="false" customHeight="false" outlineLevel="0" collapsed="false">
      <c r="A104" s="272" t="n">
        <f aca="false">IF(A103="N/A","N/A",IF(EDATE(A103,1)&gt;Inputs!$K$3,"N/A",EDATE(A103,1)))</f>
        <v>39934</v>
      </c>
      <c r="B104" s="273" t="n">
        <f aca="false">IF(A104="N/A"," ",YEAR(A104))</f>
        <v>2009</v>
      </c>
      <c r="C104" s="274" t="e">
        <f aca="false">IF(A104="N/A"," ",VLOOKUP(A104,ScaledPrice,10))</f>
        <v>#N/A</v>
      </c>
      <c r="D104" s="275" t="n">
        <f aca="false">IF(A104="N/A"," ",(VLOOKUP(MONTH($A104),Inputs!$A$14:$B$25,2))/1000)</f>
        <v>10.5</v>
      </c>
      <c r="E104" s="276" t="e">
        <f aca="false">IF($A104="N/A"," ",C104*D104)</f>
        <v>#N/A</v>
      </c>
      <c r="F104" s="277" t="n">
        <f aca="false">IF(A104="N/A"," ",Inputs!$F$6)</f>
        <v>2</v>
      </c>
      <c r="G104" s="277" t="n">
        <f aca="false">IF(A104="N/A"," ",Inputs!$F$9/IF(AND('Pricing Inputs'!$AQ$3&gt;=4,'Pricing Inputs'!$AQ$3&lt;=6),16,IF(AND('Pricing Inputs'!$AQ$3&gt;=7,'Pricing Inputs'!$AQ$3&lt;=9),8,24))/(BA104/BW104))</f>
        <v>0</v>
      </c>
      <c r="H104" s="278" t="e">
        <f aca="false">IF(A104="N/A"," ",(C104*D104)+F104+G104)</f>
        <v>#N/A</v>
      </c>
      <c r="I104" s="279" t="n">
        <f aca="false">VLOOKUP(A104,ScaledPrice,(IF(AND('Pricing Inputs'!$AQ$3&gt;=1,'Pricing Inputs'!$AQ$3&lt;=6),2,4)))</f>
        <v>33.205939024515</v>
      </c>
      <c r="J104" s="279" t="n">
        <f aca="false">IF(A104="N/A"," ",IF(AND('Pricing Inputs'!$AQ$3&gt;=1,'Pricing Inputs'!$AQ$3&lt;=6),I104,(VLOOKUP(A104,ScaledPrice,2))*(2-(VLOOKUP(A104,ScaledPrice,3)))))</f>
        <v>35.0940609754851</v>
      </c>
      <c r="K104" s="279" t="n">
        <f aca="false">IF(A104="N/A"," ",IF(OR('Pricing Inputs'!$AQ$3=2,'Pricing Inputs'!$AQ$3=3,'Pricing Inputs'!$AQ$3=5,'Pricing Inputs'!$AQ$3=6,'Pricing Inputs'!$AQ$3=8,'Pricing Inputs'!$AQ$3=9),VLOOKUP(A104,ScaledPrice,IF(AND('Pricing Inputs'!$AQ$3&gt;=2,'Pricing Inputs'!$AQ$3&lt;=6),5,6)),0))</f>
        <v>22.2013061584378</v>
      </c>
      <c r="L104" s="279" t="n">
        <f aca="false">IF(A104="N/A"," ",IF(OR('Pricing Inputs'!$AQ$3=2,'Pricing Inputs'!$AQ$3=3,'Pricing Inputs'!$AQ$3=5,'Pricing Inputs'!$AQ$3=6,'Pricing Inputs'!$AQ$3=8,'Pricing Inputs'!$AQ$3=9),IF(AND('Pricing Inputs'!$AQ$3&gt;=2,'Pricing Inputs'!$AQ$3&lt;=6),K104,(VLOOKUP(A104,ScaledPrice,5))*(2-(VLOOKUP(A104,ScaledPrice,3)))),0))</f>
        <v>23.4636939941501</v>
      </c>
      <c r="M104" s="279" t="n">
        <f aca="false">IF(A104="N/A"," ",IF(OR('Pricing Inputs'!$AQ$3=3,'Pricing Inputs'!$AQ$3=6,'Pricing Inputs'!$AQ$3=9),(VLOOKUP(A104,ScaledPrice,IF(AND('Pricing Inputs'!$AQ$3&gt;=3,'Pricing Inputs'!$AQ$3&lt;=6),7,8))),0))</f>
        <v>21.3577874984842</v>
      </c>
      <c r="N104" s="279" t="n">
        <f aca="false">IF(A104="N/A"," ",IF(OR('Pricing Inputs'!$AQ$3=3,'Pricing Inputs'!$AQ$3=6,'Pricing Inputs'!$AQ$3=9),IF(AND('Pricing Inputs'!$AQ$3&gt;=3,'Pricing Inputs'!$AQ$3&lt;=6),M104,(VLOOKUP(A104,ScaledPrice,7))*(2-(VLOOKUP(A104,ScaledPrice,3)))),0))</f>
        <v>22.5722120437522</v>
      </c>
      <c r="O104" s="279" t="n">
        <f aca="false">IF(A104="N/A"," ",IF(AND('Pricing Inputs'!$AQ$3&gt;=1,'Pricing Inputs'!$AQ$3&lt;=3),VLOOKUP(A104,ScaledPrice,9),0))</f>
        <v>0</v>
      </c>
      <c r="P104" s="280" t="e">
        <f aca="false">IF($A104="N/A"," ",IF('Pricing Inputs'!$AN$8=2,(I104-H104),IF('Pricing Inputs'!$AN$3=2,IF((I104-$H104)&gt;0,I104-$H104,0),(xSPRDOPT(I104,$E104,$BU104,0,$BP104,$BS104,$BT104,($A104-Inputs!$D$1)+15,1,0)))))</f>
        <v>#NAME?</v>
      </c>
      <c r="Q104" s="280" t="e">
        <f aca="false">IF($A104="N/A"," ",IF('Pricing Inputs'!$AN$8=2,(J104-$H104),IF('Pricing Inputs'!$AN$3=2,IF((J104-$H104)&gt;0,J104-$H104,0),(xSPRDOPT(J104,$E104,$BU104,0,$BP104,$BS104,$BT104,($A104-Inputs!$D$1)+15,1,0)))))</f>
        <v>#NAME?</v>
      </c>
      <c r="R104" s="280" t="e">
        <f aca="false">IF($A104="N/A"," ",IF('Pricing Inputs'!$AN$8=2,(K104-$H104),IF('Pricing Inputs'!$AN$3=2,IF((K104-$H104)&gt;0,K104-$H104,0),(xSPRDOPT(K104,$E104,$BU104,0,$BP104,$BS104,$BT104,($A104-Inputs!$D$1)+15,1,0)))))</f>
        <v>#NAME?</v>
      </c>
      <c r="S104" s="280" t="e">
        <f aca="false">IF($A104="N/A"," ",IF('Pricing Inputs'!$AN$8=2,(L104-$H104),IF('Pricing Inputs'!$AN$3=2,IF((L104-$H104)&gt;0,L104-$H104,0),(xSPRDOPT(L104,$E104,$BU104,0,$BP104,$BS104,$BT104,($A104-Inputs!$D$1)+15,1,0)))))</f>
        <v>#NAME?</v>
      </c>
      <c r="T104" s="280" t="e">
        <f aca="false">IF($A104="N/A"," ",IF('Pricing Inputs'!$AN$8=2,(M104-$H104),IF('Pricing Inputs'!$AN$3=2,IF((M104-$H104)&gt;0,M104-$H104,0),(xSPRDOPT(M104,$E104,$BU104,0,$BP104,$BS104,$BT104,($A104-Inputs!$D$1)+15,1,0)))))</f>
        <v>#NAME?</v>
      </c>
      <c r="U104" s="280" t="e">
        <f aca="false">IF($A104="N/A"," ",IF('Pricing Inputs'!$AN$8=2,(N104-$H104),IF('Pricing Inputs'!$AN$3=2,IF((N104-$H104)&gt;0,N104-$H104,0),(xSPRDOPT(N104,$E104,$BU104,0,$BP104,$BS104,$BT104,($A104-Inputs!$D$1)+15,1,0)))))</f>
        <v>#NAME?</v>
      </c>
      <c r="V104" s="281" t="e">
        <f aca="false">IF($A104="N/A"," ",(IF('Pricing Inputs'!$AN$8=2,(O104-$H104),IF((O104-$H104)&lt;=0,0,(O104-$H104)))))</f>
        <v>#N/A</v>
      </c>
      <c r="W104" s="282" t="e">
        <f aca="false">IF($A104="N/A"," ",IF(0&lt;&gt;P104,IF('Pricing Inputs'!$AN$3=2,8*VLOOKUP($A104,NumberofDaysTable,2),(xSPRDOPT(I104,$E104,$BU104,0,$BP104,$BS104,$BT104,$A104-Inputs!$D$1,1,1))*(8*VLOOKUP($A104,NumberofDaysTable,2))),0))</f>
        <v>#NAME?</v>
      </c>
      <c r="X104" s="282" t="e">
        <f aca="false">IF($A104="N/A"," ",IF(Q104&lt;&gt;0,IF('Pricing Inputs'!$AN$3=2,8*VLOOKUP($A104,NumberofDaysTable,2),(xSPRDOPT(J104,$E104,$BU104,0,$BP104,$BS104,$BT104,$A104-Inputs!$D$1,1,1))*(8*VLOOKUP($A104,NumberofDaysTable,2))),0))</f>
        <v>#NAME?</v>
      </c>
      <c r="Y104" s="282" t="e">
        <f aca="false">IF($A104="N/A"," ",IF(R104&lt;&gt;0,IF('Pricing Inputs'!$AN$3=2,8*VLOOKUP($A104,NumberofDaysTable,3),(xSPRDOPT(K104,$E104,$BU104,0,$BP104,$BS104,$BT104,$A104-Inputs!$D$1,1,1))*(8*VLOOKUP($A104,NumberofDaysTable,3))),0))</f>
        <v>#NAME?</v>
      </c>
      <c r="Z104" s="282" t="e">
        <f aca="false">IF($A104="N/A"," ",IF(S104&lt;&gt;0,IF('Pricing Inputs'!$AN$3=2,8*VLOOKUP($A104,NumberofDaysTable,3),(xSPRDOPT(L104,$E104,$BU104,0,$BP104,$BS104,$BT104,$A104-Inputs!$D$1,1,1))*(8*VLOOKUP($A104,NumberofDaysTable,3))),0))</f>
        <v>#NAME?</v>
      </c>
      <c r="AA104" s="282" t="e">
        <f aca="false">IF($A104="N/A"," ",IF(T104&lt;&gt;0,IF('Pricing Inputs'!$AN$3=2,8*VLOOKUP($A104,NumberofDaysTable,4),(xSPRDOPT(M104,$E104,$BU104,0,$BP104,$BS104,$BT104,$A104-Inputs!$D$1,1,1))*(8*VLOOKUP($A104,NumberofDaysTable,4))),0))</f>
        <v>#NAME?</v>
      </c>
      <c r="AB104" s="282" t="e">
        <f aca="false">IF($A104="N/A"," ",IF(U104&lt;&gt;0,IF('Pricing Inputs'!$AN$3=2,8*VLOOKUP($A104,NumberofDaysTable,4),(xSPRDOPT(N104,$E104,$BU104,0,$BP104,$BS104,$BT104,$A104-Inputs!$D$1,1,1))*(8*VLOOKUP($A104,NumberofDaysTable,4))),0))</f>
        <v>#NAME?</v>
      </c>
      <c r="AC104" s="282" t="e">
        <f aca="false">IF($A104="N/A"," ",(IF(V104&lt;&gt;0,(8*VLOOKUP($A104,NumberofDaysTable,6)),0)))</f>
        <v>#N/A</v>
      </c>
      <c r="AD104" s="298" t="e">
        <f aca="false">IF($A104="N/A"," ",RANK(P104,$P$100:$V$111))</f>
        <v>#NAME?</v>
      </c>
      <c r="AE104" s="299" t="e">
        <f aca="false">IF($A104="N/A"," ",RANK(Q104,$P$100:$V$111))</f>
        <v>#NAME?</v>
      </c>
      <c r="AF104" s="299" t="e">
        <f aca="false">IF($A104="N/A"," ",RANK(R104,$P$100:$V$111))</f>
        <v>#NAME?</v>
      </c>
      <c r="AG104" s="299" t="e">
        <f aca="false">IF($A104="N/A"," ",RANK(S104,$P$100:$V$111))</f>
        <v>#NAME?</v>
      </c>
      <c r="AH104" s="299" t="e">
        <f aca="false">IF($A104="N/A"," ",RANK(T104,$P$100:$V$111))</f>
        <v>#NAME?</v>
      </c>
      <c r="AI104" s="299" t="e">
        <f aca="false">IF($A104="N/A"," ",RANK(U104,$P$100:$V$111))</f>
        <v>#NAME?</v>
      </c>
      <c r="AJ104" s="300" t="e">
        <f aca="false">IF($A104="N/A"," ",RANK(V104,$P$100:$V$111))</f>
        <v>#NAME?</v>
      </c>
      <c r="AK104" s="286" t="e">
        <f aca="false">IF($A104="N/A"," ",IF(AD104&lt;=$AJ$2,W104,0))</f>
        <v>#NAME?</v>
      </c>
      <c r="AL104" s="301" t="e">
        <f aca="false">IF($A104="N/A"," ",IF(AE104&lt;=$AJ$2,X104,0))</f>
        <v>#NAME?</v>
      </c>
      <c r="AM104" s="301" t="e">
        <f aca="false">IF($A104="N/A"," ",IF(AF104&lt;=$AJ$2,Y104,0))</f>
        <v>#NAME?</v>
      </c>
      <c r="AN104" s="301" t="e">
        <f aca="false">IF($A104="N/A"," ",IF(AG104&lt;=$AJ$2,Z104,0))</f>
        <v>#NAME?</v>
      </c>
      <c r="AO104" s="301" t="e">
        <f aca="false">IF($A104="N/A"," ",IF(AH104&lt;=$AJ$2,AA104,0))</f>
        <v>#NAME?</v>
      </c>
      <c r="AP104" s="301" t="e">
        <f aca="false">IF($A104="N/A"," ",IF(AI104&lt;=$AJ$2,AB104,0))</f>
        <v>#NAME?</v>
      </c>
      <c r="AQ104" s="301" t="e">
        <f aca="false">IF($A104="N/A"," ",IF(AJ104&lt;=$AJ$2,AC104,0))</f>
        <v>#NAME?</v>
      </c>
      <c r="AR104" s="300"/>
      <c r="AS104" s="288" t="e">
        <f aca="false">IF($A104="N/A"," ",IF(AND(AD104=$AJ$2+1,AK104=0),MIN($AR$111,W104),0))</f>
        <v>#NAME?</v>
      </c>
      <c r="AT104" s="302" t="e">
        <f aca="false">IF($A104="N/A"," ",IF(AND(AE104=$AJ$2+1,AL104=0),MIN($AR$111,X104),0))</f>
        <v>#NAME?</v>
      </c>
      <c r="AU104" s="302" t="e">
        <f aca="false">IF($A104="N/A"," ",IF(AND(AF104=$AJ$2+1,AM104=0),MIN($AR$111,Y104),0))</f>
        <v>#NAME?</v>
      </c>
      <c r="AV104" s="302" t="e">
        <f aca="false">IF($A104="N/A"," ",IF(AND(AG104=$AJ$2+1,AN104=0),MIN($AR$111,Z104),0))</f>
        <v>#NAME?</v>
      </c>
      <c r="AW104" s="302" t="e">
        <f aca="false">IF($A104="N/A"," ",IF(AND(AH104=$AJ$2+1,AO104=0),MIN($AR$111,AA104),0))</f>
        <v>#NAME?</v>
      </c>
      <c r="AX104" s="302" t="e">
        <f aca="false">IF($A104="N/A"," ",IF(AND(AI104=$AJ$2+1,AP104=0),MIN($AR$111,AB104),0))</f>
        <v>#NAME?</v>
      </c>
      <c r="AY104" s="302" t="e">
        <f aca="false">IF($A104="N/A"," ",IF(AND(AJ104=$AJ$2+1,AQ104=0),MIN($AR$111,AC104),0))</f>
        <v>#NAME?</v>
      </c>
      <c r="AZ104" s="300"/>
      <c r="BA104" s="291" t="n">
        <f aca="false">IF($A104="N/A"," ",(IF(MONTH(A104)&gt;=4,IF(MONTH(A104)&lt;=10,Inputs!$F$13,Inputs!$F$14),Inputs!$F$14))*$BW104)</f>
        <v>180</v>
      </c>
      <c r="BB104" s="292" t="e">
        <f aca="false">IF($A104="N/A"," ",(IF(AK104&gt;0,($BA104*(8*(VLOOKUP($A104,NumberofDaysTable,2)))*P104),0)+IF(AS104&gt;0,($BA104*((AS104))*P104),0)))</f>
        <v>#NAME?</v>
      </c>
      <c r="BC104" s="292" t="e">
        <f aca="false">IF($A104="N/A"," ",(IF(AL104&gt;0,($BA104*(8*(VLOOKUP($A104,NumberofDaysTable,2)))*Q104),0)+IF(AT104&gt;0,($BA104*((AT104))*Q104),0)))</f>
        <v>#NAME?</v>
      </c>
      <c r="BD104" s="292" t="e">
        <f aca="false">IF($A104="N/A"," ",(IF(AM104&gt;0,($BA104*(8*(VLOOKUP($A104,NumberofDaysTable,3)))*R104),0)+IF(AU104&gt;0,($BA104*((AU104))*R104),0)))</f>
        <v>#NAME?</v>
      </c>
      <c r="BE104" s="292" t="e">
        <f aca="false">IF($A104="N/A"," ",(IF(AN104&gt;0,($BA104*(8*(VLOOKUP($A104,NumberofDaysTable,3)))*S104),0)+IF(AV104&gt;0,($BA104*((AV104))*S104),0)))</f>
        <v>#NAME?</v>
      </c>
      <c r="BF104" s="292" t="e">
        <f aca="false">IF($A104="N/A"," ",(IF(AO104&gt;0,($BA104*(8*(VLOOKUP($A104,NumberofDaysTable,4)+VLOOKUP($A104,NumberofDaysTable,5)))*T104),0)+IF(AW104&gt;0,($BA104*((AW104))*T104),0)))</f>
        <v>#NAME?</v>
      </c>
      <c r="BG104" s="292" t="e">
        <f aca="false">IF($A104="N/A"," ",(IF(AP104&gt;0,($BA104*(8*(VLOOKUP($A104,NumberofDaysTable,4)+VLOOKUP($A104,NumberofDaysTable,5)))*U104),0)+IF(AX104&gt;0,($BA104*((AX104))*U104),0)))</f>
        <v>#NAME?</v>
      </c>
      <c r="BH104" s="292" t="e">
        <f aca="false">IF($A104="N/A"," ",($BA104*AQ104*V104))</f>
        <v>#NAME?</v>
      </c>
      <c r="BI104" s="292" t="e">
        <f aca="false">IF($A104="N/A"," ",SUM(BB104:BH104))</f>
        <v>#NAME?</v>
      </c>
      <c r="BJ104" s="293" t="e">
        <f aca="false">IF($A104="N/A"," ",(H104*(SUM(AK104:AQ104)+SUM(AS104:AY104))*BA104))</f>
        <v>#NAME?</v>
      </c>
      <c r="BK104" s="293" t="e">
        <f aca="false">IF($A104="N/A"," ",((C104*D104)*(SUM($AK104:$AQ104)+SUM($AS104:$AY104))*$BA104))</f>
        <v>#N/A</v>
      </c>
      <c r="BL104" s="293" t="e">
        <f aca="false">IF($A104="N/A"," ",(F104*(SUM($AK104:$AQ104)+SUM($AS104:$AY104))*$BA104))</f>
        <v>#NAME?</v>
      </c>
      <c r="BM104" s="293" t="e">
        <f aca="false">IF($A104="N/A"," ",(G104*(SUM($AK104:$AQ104)+SUM($AS104:$AY104))*$BA104))</f>
        <v>#NAME?</v>
      </c>
      <c r="BN104" s="294" t="n">
        <f aca="false">IF(A104="N/A"," ",(VLOOKUP(A104,PowerVolTable,(IF('Pricing Inputs'!$AT$3=2,7,IF('Pricing Inputs'!$AT$3=1,6,8))),FALSE())))</f>
        <v>0.181810369194768</v>
      </c>
      <c r="BO104" s="294" t="n">
        <f aca="false">IF(A104="N/A"," ",(VLOOKUP(A104,IntraPowerVol,(IF('Pricing Inputs'!$AT$3=2,3,IF('Pricing Inputs'!$AT$3=1,2,4))),FALSE())*VLOOKUP(MONTH($A104),Inputs!$A$28:$B$39,2)))</f>
        <v>1.265</v>
      </c>
      <c r="BP104" s="295" t="n">
        <f aca="false">IF($A104="N/A"," ",(IF(DateToday&gt;$A104,$BO104,((($BN104^2)*((($A104-1)-DateToday)/((EOMONTH($A104,0)+1)-DateToday-15)))+((($BO104)^2)*((15)/((EOMONTH($A104,0)+1)-DateToday-15))))^0.5)))</f>
        <v>1.265</v>
      </c>
      <c r="BQ104" s="294" t="e">
        <f aca="false">IF($A104="N/A"," ",(VLOOKUP($A104,GasVolTable,(IF('Pricing Inputs'!$AT$3=2,6,IF('Pricing Inputs'!$AT$3=1,7,5))),FALSE())))</f>
        <v>#N/A</v>
      </c>
      <c r="BR104" s="294" t="e">
        <f aca="false">IF($A104="N/A"," ",(VLOOKUP($A104,OmicronVol,(IF('Pricing Inputs'!$AT$3=2,3,IF('Pricing Inputs'!$AT$3=1,4,2))),FALSE())))</f>
        <v>#N/A</v>
      </c>
      <c r="BS104" s="295" t="e">
        <f aca="false">IF($A104="N/A"," ",IF('Pricing Inputs'!$AN$3=1,(IF(DateToday&gt;$A104,$BR104,((($BQ104^2)*((($A104-1)-DateToday)/((EOMONTH($A104,0)+1)-DateToday-15)))+((($BR104)^2)*((15)/((EOMONTH($A104,0)+1)-DateToday-15))))^0.5)),0.0001))</f>
        <v>#N/A</v>
      </c>
      <c r="BT104" s="294" t="n">
        <f aca="false">IF($A104="N/A"," ",IF('Pricing Inputs'!$AN$3=1,(VLOOKUP($A104,CorrelationTable,2,FALSE())),0))</f>
        <v>0.9</v>
      </c>
      <c r="BU104" s="296" t="e">
        <f aca="false">IF($A104="N/A"," ",F104+G104+(D104*(VLOOKUP($A104,'Gas Curves'!$B$17:$P$310,14,FALSE()))))</f>
        <v>#N/A</v>
      </c>
      <c r="BV104" s="294" t="n">
        <f aca="false">IF($A104="N/A"," ",IF('Pricing Inputs'!$AW$3=1,0,(VLOOKUP($A104,InterestRatesTable,2))))</f>
        <v>0</v>
      </c>
      <c r="BW104" s="297" t="n">
        <f aca="false">IF($A104="N/A"," ",(1+BV104/2)^(-2*((EOMONTH(A104,0)+20)-DateToday)/365.25))</f>
        <v>1</v>
      </c>
    </row>
    <row r="105" customFormat="false" ht="12.75" hidden="false" customHeight="false" outlineLevel="0" collapsed="false">
      <c r="A105" s="272" t="n">
        <f aca="false">IF(A104="N/A","N/A",IF(EDATE(A104,1)&gt;Inputs!$K$3,"N/A",EDATE(A104,1)))</f>
        <v>39965</v>
      </c>
      <c r="B105" s="273" t="n">
        <f aca="false">IF(A105="N/A"," ",YEAR(A105))</f>
        <v>2009</v>
      </c>
      <c r="C105" s="274" t="e">
        <f aca="false">IF(A105="N/A"," ",VLOOKUP(A105,ScaledPrice,10))</f>
        <v>#N/A</v>
      </c>
      <c r="D105" s="275" t="n">
        <f aca="false">IF(A105="N/A"," ",(VLOOKUP(MONTH($A105),Inputs!$A$14:$B$25,2))/1000)</f>
        <v>10.5</v>
      </c>
      <c r="E105" s="276" t="e">
        <f aca="false">IF($A105="N/A"," ",C105*D105)</f>
        <v>#N/A</v>
      </c>
      <c r="F105" s="277" t="n">
        <f aca="false">IF(A105="N/A"," ",Inputs!$F$6)</f>
        <v>2</v>
      </c>
      <c r="G105" s="277" t="n">
        <f aca="false">IF(A105="N/A"," ",Inputs!$F$9/IF(AND('Pricing Inputs'!$AQ$3&gt;=4,'Pricing Inputs'!$AQ$3&lt;=6),16,IF(AND('Pricing Inputs'!$AQ$3&gt;=7,'Pricing Inputs'!$AQ$3&lt;=9),8,24))/(BA105/BW105))</f>
        <v>0</v>
      </c>
      <c r="H105" s="278" t="e">
        <f aca="false">IF(A105="N/A"," ",(C105*D105)+F105+G105)</f>
        <v>#N/A</v>
      </c>
      <c r="I105" s="279" t="n">
        <f aca="false">VLOOKUP(A105,ScaledPrice,(IF(AND('Pricing Inputs'!$AQ$3&gt;=1,'Pricing Inputs'!$AQ$3&lt;=6),2,4)))</f>
        <v>58.4400033552825</v>
      </c>
      <c r="J105" s="279" t="n">
        <f aca="false">IF(A105="N/A"," ",IF(AND('Pricing Inputs'!$AQ$3&gt;=1,'Pricing Inputs'!$AQ$3&lt;=6),I105,(VLOOKUP(A105,ScaledPrice,2))*(2-(VLOOKUP(A105,ScaledPrice,3)))))</f>
        <v>44.0599966447175</v>
      </c>
      <c r="K105" s="279" t="n">
        <f aca="false">IF(A105="N/A"," ",IF(OR('Pricing Inputs'!$AQ$3=2,'Pricing Inputs'!$AQ$3=3,'Pricing Inputs'!$AQ$3=5,'Pricing Inputs'!$AQ$3=6,'Pricing Inputs'!$AQ$3=8,'Pricing Inputs'!$AQ$3=9),VLOOKUP(A105,ScaledPrice,IF(AND('Pricing Inputs'!$AQ$3&gt;=2,'Pricing Inputs'!$AQ$3&lt;=6),5,6)),0))</f>
        <v>31.0829551293277</v>
      </c>
      <c r="L105" s="279" t="n">
        <f aca="false">IF(A105="N/A"," ",IF(OR('Pricing Inputs'!$AQ$3=2,'Pricing Inputs'!$AQ$3=3,'Pricing Inputs'!$AQ$3=5,'Pricing Inputs'!$AQ$3=6,'Pricing Inputs'!$AQ$3=8,'Pricing Inputs'!$AQ$3=9),IF(AND('Pricing Inputs'!$AQ$3&gt;=2,'Pricing Inputs'!$AQ$3&lt;=6),K105,(VLOOKUP(A105,ScaledPrice,5))*(2-(VLOOKUP(A105,ScaledPrice,3)))),0))</f>
        <v>23.4345451758481</v>
      </c>
      <c r="M105" s="279" t="n">
        <f aca="false">IF(A105="N/A"," ",IF(OR('Pricing Inputs'!$AQ$3=3,'Pricing Inputs'!$AQ$3=6,'Pricing Inputs'!$AQ$3=9),(VLOOKUP(A105,ScaledPrice,IF(AND('Pricing Inputs'!$AQ$3&gt;=3,'Pricing Inputs'!$AQ$3&lt;=6),7,8))),0))</f>
        <v>23.6525218116144</v>
      </c>
      <c r="N105" s="279" t="n">
        <f aca="false">IF(A105="N/A"," ",IF(OR('Pricing Inputs'!$AQ$3=3,'Pricing Inputs'!$AQ$3=6,'Pricing Inputs'!$AQ$3=9),IF(AND('Pricing Inputs'!$AQ$3&gt;=3,'Pricing Inputs'!$AQ$3&lt;=6),M105,(VLOOKUP(A105,ScaledPrice,7))*(2-(VLOOKUP(A105,ScaledPrice,3)))),0))</f>
        <v>17.8324772728583</v>
      </c>
      <c r="O105" s="279" t="n">
        <f aca="false">IF(A105="N/A"," ",IF(AND('Pricing Inputs'!$AQ$3&gt;=1,'Pricing Inputs'!$AQ$3&lt;=3),VLOOKUP(A105,ScaledPrice,9),0))</f>
        <v>0</v>
      </c>
      <c r="P105" s="280" t="e">
        <f aca="false">IF($A105="N/A"," ",IF('Pricing Inputs'!$AN$8=2,(I105-H105),IF('Pricing Inputs'!$AN$3=2,IF((I105-$H105)&gt;0,I105-$H105,0),(xSPRDOPT(I105,$E105,$BU105,0,$BP105,$BS105,$BT105,($A105-Inputs!$D$1)+15,1,0)))))</f>
        <v>#NAME?</v>
      </c>
      <c r="Q105" s="280" t="e">
        <f aca="false">IF($A105="N/A"," ",IF('Pricing Inputs'!$AN$8=2,(J105-$H105),IF('Pricing Inputs'!$AN$3=2,IF((J105-$H105)&gt;0,J105-$H105,0),(xSPRDOPT(J105,$E105,$BU105,0,$BP105,$BS105,$BT105,($A105-Inputs!$D$1)+15,1,0)))))</f>
        <v>#NAME?</v>
      </c>
      <c r="R105" s="280" t="e">
        <f aca="false">IF($A105="N/A"," ",IF('Pricing Inputs'!$AN$8=2,(K105-$H105),IF('Pricing Inputs'!$AN$3=2,IF((K105-$H105)&gt;0,K105-$H105,0),(xSPRDOPT(K105,$E105,$BU105,0,$BP105,$BS105,$BT105,($A105-Inputs!$D$1)+15,1,0)))))</f>
        <v>#NAME?</v>
      </c>
      <c r="S105" s="280" t="e">
        <f aca="false">IF($A105="N/A"," ",IF('Pricing Inputs'!$AN$8=2,(L105-$H105),IF('Pricing Inputs'!$AN$3=2,IF((L105-$H105)&gt;0,L105-$H105,0),(xSPRDOPT(L105,$E105,$BU105,0,$BP105,$BS105,$BT105,($A105-Inputs!$D$1)+15,1,0)))))</f>
        <v>#NAME?</v>
      </c>
      <c r="T105" s="280" t="e">
        <f aca="false">IF($A105="N/A"," ",IF('Pricing Inputs'!$AN$8=2,(M105-$H105),IF('Pricing Inputs'!$AN$3=2,IF((M105-$H105)&gt;0,M105-$H105,0),(xSPRDOPT(M105,$E105,$BU105,0,$BP105,$BS105,$BT105,($A105-Inputs!$D$1)+15,1,0)))))</f>
        <v>#NAME?</v>
      </c>
      <c r="U105" s="280" t="e">
        <f aca="false">IF($A105="N/A"," ",IF('Pricing Inputs'!$AN$8=2,(N105-$H105),IF('Pricing Inputs'!$AN$3=2,IF((N105-$H105)&gt;0,N105-$H105,0),(xSPRDOPT(N105,$E105,$BU105,0,$BP105,$BS105,$BT105,($A105-Inputs!$D$1)+15,1,0)))))</f>
        <v>#NAME?</v>
      </c>
      <c r="V105" s="281" t="e">
        <f aca="false">IF($A105="N/A"," ",(IF('Pricing Inputs'!$AN$8=2,(O105-$H105),IF((O105-$H105)&lt;=0,0,(O105-$H105)))))</f>
        <v>#N/A</v>
      </c>
      <c r="W105" s="282" t="e">
        <f aca="false">IF($A105="N/A"," ",IF(0&lt;&gt;P105,IF('Pricing Inputs'!$AN$3=2,8*VLOOKUP($A105,NumberofDaysTable,2),(xSPRDOPT(I105,$E105,$BU105,0,$BP105,$BS105,$BT105,$A105-Inputs!$D$1,1,1))*(8*VLOOKUP($A105,NumberofDaysTable,2))),0))</f>
        <v>#NAME?</v>
      </c>
      <c r="X105" s="282" t="e">
        <f aca="false">IF($A105="N/A"," ",IF(Q105&lt;&gt;0,IF('Pricing Inputs'!$AN$3=2,8*VLOOKUP($A105,NumberofDaysTable,2),(xSPRDOPT(J105,$E105,$BU105,0,$BP105,$BS105,$BT105,$A105-Inputs!$D$1,1,1))*(8*VLOOKUP($A105,NumberofDaysTable,2))),0))</f>
        <v>#NAME?</v>
      </c>
      <c r="Y105" s="282" t="e">
        <f aca="false">IF($A105="N/A"," ",IF(R105&lt;&gt;0,IF('Pricing Inputs'!$AN$3=2,8*VLOOKUP($A105,NumberofDaysTable,3),(xSPRDOPT(K105,$E105,$BU105,0,$BP105,$BS105,$BT105,$A105-Inputs!$D$1,1,1))*(8*VLOOKUP($A105,NumberofDaysTable,3))),0))</f>
        <v>#NAME?</v>
      </c>
      <c r="Z105" s="282" t="e">
        <f aca="false">IF($A105="N/A"," ",IF(S105&lt;&gt;0,IF('Pricing Inputs'!$AN$3=2,8*VLOOKUP($A105,NumberofDaysTable,3),(xSPRDOPT(L105,$E105,$BU105,0,$BP105,$BS105,$BT105,$A105-Inputs!$D$1,1,1))*(8*VLOOKUP($A105,NumberofDaysTable,3))),0))</f>
        <v>#NAME?</v>
      </c>
      <c r="AA105" s="282" t="e">
        <f aca="false">IF($A105="N/A"," ",IF(T105&lt;&gt;0,IF('Pricing Inputs'!$AN$3=2,8*VLOOKUP($A105,NumberofDaysTable,4),(xSPRDOPT(M105,$E105,$BU105,0,$BP105,$BS105,$BT105,$A105-Inputs!$D$1,1,1))*(8*VLOOKUP($A105,NumberofDaysTable,4))),0))</f>
        <v>#NAME?</v>
      </c>
      <c r="AB105" s="282" t="e">
        <f aca="false">IF($A105="N/A"," ",IF(U105&lt;&gt;0,IF('Pricing Inputs'!$AN$3=2,8*VLOOKUP($A105,NumberofDaysTable,4),(xSPRDOPT(N105,$E105,$BU105,0,$BP105,$BS105,$BT105,$A105-Inputs!$D$1,1,1))*(8*VLOOKUP($A105,NumberofDaysTable,4))),0))</f>
        <v>#NAME?</v>
      </c>
      <c r="AC105" s="282" t="e">
        <f aca="false">IF($A105="N/A"," ",(IF(V105&lt;&gt;0,(8*VLOOKUP($A105,NumberofDaysTable,6)),0)))</f>
        <v>#N/A</v>
      </c>
      <c r="AD105" s="298" t="e">
        <f aca="false">IF($A105="N/A"," ",RANK(P105,$P$100:$V$111))</f>
        <v>#NAME?</v>
      </c>
      <c r="AE105" s="299" t="e">
        <f aca="false">IF($A105="N/A"," ",RANK(Q105,$P$100:$V$111))</f>
        <v>#NAME?</v>
      </c>
      <c r="AF105" s="299" t="e">
        <f aca="false">IF($A105="N/A"," ",RANK(R105,$P$100:$V$111))</f>
        <v>#NAME?</v>
      </c>
      <c r="AG105" s="299" t="e">
        <f aca="false">IF($A105="N/A"," ",RANK(S105,$P$100:$V$111))</f>
        <v>#NAME?</v>
      </c>
      <c r="AH105" s="299" t="e">
        <f aca="false">IF($A105="N/A"," ",RANK(T105,$P$100:$V$111))</f>
        <v>#NAME?</v>
      </c>
      <c r="AI105" s="299" t="e">
        <f aca="false">IF($A105="N/A"," ",RANK(U105,$P$100:$V$111))</f>
        <v>#NAME?</v>
      </c>
      <c r="AJ105" s="300" t="e">
        <f aca="false">IF($A105="N/A"," ",RANK(V105,$P$100:$V$111))</f>
        <v>#NAME?</v>
      </c>
      <c r="AK105" s="286" t="e">
        <f aca="false">IF($A105="N/A"," ",IF(AD105&lt;=$AJ$2,W105,0))</f>
        <v>#NAME?</v>
      </c>
      <c r="AL105" s="301" t="e">
        <f aca="false">IF($A105="N/A"," ",IF(AE105&lt;=$AJ$2,X105,0))</f>
        <v>#NAME?</v>
      </c>
      <c r="AM105" s="301" t="e">
        <f aca="false">IF($A105="N/A"," ",IF(AF105&lt;=$AJ$2,Y105,0))</f>
        <v>#NAME?</v>
      </c>
      <c r="AN105" s="301" t="e">
        <f aca="false">IF($A105="N/A"," ",IF(AG105&lt;=$AJ$2,Z105,0))</f>
        <v>#NAME?</v>
      </c>
      <c r="AO105" s="301" t="e">
        <f aca="false">IF($A105="N/A"," ",IF(AH105&lt;=$AJ$2,AA105,0))</f>
        <v>#NAME?</v>
      </c>
      <c r="AP105" s="301" t="e">
        <f aca="false">IF($A105="N/A"," ",IF(AI105&lt;=$AJ$2,AB105,0))</f>
        <v>#NAME?</v>
      </c>
      <c r="AQ105" s="301" t="e">
        <f aca="false">IF($A105="N/A"," ",IF(AJ105&lt;=$AJ$2,AC105,0))</f>
        <v>#NAME?</v>
      </c>
      <c r="AR105" s="300"/>
      <c r="AS105" s="288" t="e">
        <f aca="false">IF($A105="N/A"," ",IF(AND(AD105=$AJ$2+1,AK105=0),MIN($AR$111,W105),0))</f>
        <v>#NAME?</v>
      </c>
      <c r="AT105" s="302" t="e">
        <f aca="false">IF($A105="N/A"," ",IF(AND(AE105=$AJ$2+1,AL105=0),MIN($AR$111,X105),0))</f>
        <v>#NAME?</v>
      </c>
      <c r="AU105" s="302" t="e">
        <f aca="false">IF($A105="N/A"," ",IF(AND(AF105=$AJ$2+1,AM105=0),MIN($AR$111,Y105),0))</f>
        <v>#NAME?</v>
      </c>
      <c r="AV105" s="302" t="e">
        <f aca="false">IF($A105="N/A"," ",IF(AND(AG105=$AJ$2+1,AN105=0),MIN($AR$111,Z105),0))</f>
        <v>#NAME?</v>
      </c>
      <c r="AW105" s="302" t="e">
        <f aca="false">IF($A105="N/A"," ",IF(AND(AH105=$AJ$2+1,AO105=0),MIN($AR$111,AA105),0))</f>
        <v>#NAME?</v>
      </c>
      <c r="AX105" s="302" t="e">
        <f aca="false">IF($A105="N/A"," ",IF(AND(AI105=$AJ$2+1,AP105=0),MIN($AR$111,AB105),0))</f>
        <v>#NAME?</v>
      </c>
      <c r="AY105" s="302" t="e">
        <f aca="false">IF($A105="N/A"," ",IF(AND(AJ105=$AJ$2+1,AQ105=0),MIN($AR$111,AC105),0))</f>
        <v>#NAME?</v>
      </c>
      <c r="AZ105" s="300"/>
      <c r="BA105" s="291" t="n">
        <f aca="false">IF($A105="N/A"," ",(IF(MONTH(A105)&gt;=4,IF(MONTH(A105)&lt;=10,Inputs!$F$13,Inputs!$F$14),Inputs!$F$14))*$BW105)</f>
        <v>180</v>
      </c>
      <c r="BB105" s="292" t="e">
        <f aca="false">IF($A105="N/A"," ",(IF(AK105&gt;0,($BA105*(8*(VLOOKUP($A105,NumberofDaysTable,2)))*P105),0)+IF(AS105&gt;0,($BA105*((AS105))*P105),0)))</f>
        <v>#NAME?</v>
      </c>
      <c r="BC105" s="292" t="e">
        <f aca="false">IF($A105="N/A"," ",(IF(AL105&gt;0,($BA105*(8*(VLOOKUP($A105,NumberofDaysTable,2)))*Q105),0)+IF(AT105&gt;0,($BA105*((AT105))*Q105),0)))</f>
        <v>#NAME?</v>
      </c>
      <c r="BD105" s="292" t="e">
        <f aca="false">IF($A105="N/A"," ",(IF(AM105&gt;0,($BA105*(8*(VLOOKUP($A105,NumberofDaysTable,3)))*R105),0)+IF(AU105&gt;0,($BA105*((AU105))*R105),0)))</f>
        <v>#NAME?</v>
      </c>
      <c r="BE105" s="292" t="e">
        <f aca="false">IF($A105="N/A"," ",(IF(AN105&gt;0,($BA105*(8*(VLOOKUP($A105,NumberofDaysTable,3)))*S105),0)+IF(AV105&gt;0,($BA105*((AV105))*S105),0)))</f>
        <v>#NAME?</v>
      </c>
      <c r="BF105" s="292" t="e">
        <f aca="false">IF($A105="N/A"," ",(IF(AO105&gt;0,($BA105*(8*(VLOOKUP($A105,NumberofDaysTable,4)+VLOOKUP($A105,NumberofDaysTable,5)))*T105),0)+IF(AW105&gt;0,($BA105*((AW105))*T105),0)))</f>
        <v>#NAME?</v>
      </c>
      <c r="BG105" s="292" t="e">
        <f aca="false">IF($A105="N/A"," ",(IF(AP105&gt;0,($BA105*(8*(VLOOKUP($A105,NumberofDaysTable,4)+VLOOKUP($A105,NumberofDaysTable,5)))*U105),0)+IF(AX105&gt;0,($BA105*((AX105))*U105),0)))</f>
        <v>#NAME?</v>
      </c>
      <c r="BH105" s="292" t="e">
        <f aca="false">IF($A105="N/A"," ",($BA105*AQ105*V105))</f>
        <v>#NAME?</v>
      </c>
      <c r="BI105" s="292" t="e">
        <f aca="false">IF($A105="N/A"," ",SUM(BB105:BH105))</f>
        <v>#NAME?</v>
      </c>
      <c r="BJ105" s="293" t="e">
        <f aca="false">IF($A105="N/A"," ",(H105*(SUM(AK105:AQ105)+SUM(AS105:AY105))*BA105))</f>
        <v>#NAME?</v>
      </c>
      <c r="BK105" s="293" t="e">
        <f aca="false">IF($A105="N/A"," ",((C105*D105)*(SUM($AK105:$AQ105)+SUM($AS105:$AY105))*$BA105))</f>
        <v>#N/A</v>
      </c>
      <c r="BL105" s="293" t="e">
        <f aca="false">IF($A105="N/A"," ",(F105*(SUM($AK105:$AQ105)+SUM($AS105:$AY105))*$BA105))</f>
        <v>#NAME?</v>
      </c>
      <c r="BM105" s="293" t="e">
        <f aca="false">IF($A105="N/A"," ",(G105*(SUM($AK105:$AQ105)+SUM($AS105:$AY105))*$BA105))</f>
        <v>#NAME?</v>
      </c>
      <c r="BN105" s="294" t="n">
        <f aca="false">IF(A105="N/A"," ",(VLOOKUP(A105,PowerVolTable,(IF('Pricing Inputs'!$AT$3=2,7,IF('Pricing Inputs'!$AT$3=1,6,8))),FALSE())))</f>
        <v>0.22793467468014</v>
      </c>
      <c r="BO105" s="294" t="n">
        <f aca="false">IF(A105="N/A"," ",(VLOOKUP(A105,IntraPowerVol,(IF('Pricing Inputs'!$AT$3=2,3,IF('Pricing Inputs'!$AT$3=1,2,4))),FALSE())*VLOOKUP(MONTH($A105),Inputs!$A$28:$B$39,2)))</f>
        <v>2.3</v>
      </c>
      <c r="BP105" s="295" t="n">
        <f aca="false">IF($A105="N/A"," ",(IF(DateToday&gt;$A105,$BO105,((($BN105^2)*((($A105-1)-DateToday)/((EOMONTH($A105,0)+1)-DateToday-15)))+((($BO105)^2)*((15)/((EOMONTH($A105,0)+1)-DateToday-15))))^0.5)))</f>
        <v>2.3</v>
      </c>
      <c r="BQ105" s="294" t="e">
        <f aca="false">IF($A105="N/A"," ",(VLOOKUP($A105,GasVolTable,(IF('Pricing Inputs'!$AT$3=2,6,IF('Pricing Inputs'!$AT$3=1,7,5))),FALSE())))</f>
        <v>#N/A</v>
      </c>
      <c r="BR105" s="294" t="e">
        <f aca="false">IF($A105="N/A"," ",(VLOOKUP($A105,OmicronVol,(IF('Pricing Inputs'!$AT$3=2,3,IF('Pricing Inputs'!$AT$3=1,4,2))),FALSE())))</f>
        <v>#N/A</v>
      </c>
      <c r="BS105" s="295" t="e">
        <f aca="false">IF($A105="N/A"," ",IF('Pricing Inputs'!$AN$3=1,(IF(DateToday&gt;$A105,$BR105,((($BQ105^2)*((($A105-1)-DateToday)/((EOMONTH($A105,0)+1)-DateToday-15)))+((($BR105)^2)*((15)/((EOMONTH($A105,0)+1)-DateToday-15))))^0.5)),0.0001))</f>
        <v>#N/A</v>
      </c>
      <c r="BT105" s="294" t="n">
        <f aca="false">IF($A105="N/A"," ",IF('Pricing Inputs'!$AN$3=1,(VLOOKUP($A105,CorrelationTable,2,FALSE())),0))</f>
        <v>0.9</v>
      </c>
      <c r="BU105" s="296" t="e">
        <f aca="false">IF($A105="N/A"," ",F105+G105+(D105*(VLOOKUP($A105,'Gas Curves'!$B$17:$P$310,14,FALSE()))))</f>
        <v>#N/A</v>
      </c>
      <c r="BV105" s="294" t="n">
        <f aca="false">IF($A105="N/A"," ",IF('Pricing Inputs'!$AW$3=1,0,(VLOOKUP($A105,InterestRatesTable,2))))</f>
        <v>0</v>
      </c>
      <c r="BW105" s="297" t="n">
        <f aca="false">IF($A105="N/A"," ",(1+BV105/2)^(-2*((EOMONTH(A105,0)+20)-DateToday)/365.25))</f>
        <v>1</v>
      </c>
    </row>
    <row r="106" customFormat="false" ht="12.75" hidden="false" customHeight="false" outlineLevel="0" collapsed="false">
      <c r="A106" s="272" t="n">
        <f aca="false">IF(A105="N/A","N/A",IF(EDATE(A105,1)&gt;Inputs!$K$3,"N/A",EDATE(A105,1)))</f>
        <v>39995</v>
      </c>
      <c r="B106" s="273" t="n">
        <f aca="false">IF(A106="N/A"," ",YEAR(A106))</f>
        <v>2009</v>
      </c>
      <c r="C106" s="274" t="e">
        <f aca="false">IF(A106="N/A"," ",VLOOKUP(A106,ScaledPrice,10))</f>
        <v>#N/A</v>
      </c>
      <c r="D106" s="275" t="n">
        <f aca="false">IF(A106="N/A"," ",(VLOOKUP(MONTH($A106),Inputs!$A$14:$B$25,2))/1000)</f>
        <v>10.5</v>
      </c>
      <c r="E106" s="276" t="e">
        <f aca="false">IF($A106="N/A"," ",C106*D106)</f>
        <v>#N/A</v>
      </c>
      <c r="F106" s="277" t="n">
        <f aca="false">IF(A106="N/A"," ",Inputs!$F$6)</f>
        <v>2</v>
      </c>
      <c r="G106" s="277" t="n">
        <f aca="false">IF(A106="N/A"," ",Inputs!$F$9/IF(AND('Pricing Inputs'!$AQ$3&gt;=4,'Pricing Inputs'!$AQ$3&lt;=6),16,IF(AND('Pricing Inputs'!$AQ$3&gt;=7,'Pricing Inputs'!$AQ$3&lt;=9),8,24))/(BA106/BW106))</f>
        <v>0</v>
      </c>
      <c r="H106" s="278" t="e">
        <f aca="false">IF(A106="N/A"," ",(C106*D106)+F106+G106)</f>
        <v>#N/A</v>
      </c>
      <c r="I106" s="279" t="n">
        <f aca="false">VLOOKUP(A106,ScaledPrice,(IF(AND('Pricing Inputs'!$AQ$3&gt;=1,'Pricing Inputs'!$AQ$3&lt;=6),2,4)))</f>
        <v>88.7790361349933</v>
      </c>
      <c r="J106" s="279" t="n">
        <f aca="false">IF(A106="N/A"," ",IF(AND('Pricing Inputs'!$AQ$3&gt;=1,'Pricing Inputs'!$AQ$3&lt;=6),I106,(VLOOKUP(A106,ScaledPrice,2))*(2-(VLOOKUP(A106,ScaledPrice,3)))))</f>
        <v>60.2209638650067</v>
      </c>
      <c r="K106" s="279" t="n">
        <f aca="false">IF(A106="N/A"," ",IF(OR('Pricing Inputs'!$AQ$3=2,'Pricing Inputs'!$AQ$3=3,'Pricing Inputs'!$AQ$3=5,'Pricing Inputs'!$AQ$3=6,'Pricing Inputs'!$AQ$3=8,'Pricing Inputs'!$AQ$3=9),VLOOKUP(A106,ScaledPrice,IF(AND('Pricing Inputs'!$AQ$3&gt;=2,'Pricing Inputs'!$AQ$3&lt;=6),5,6)),0))</f>
        <v>48.2162514788884</v>
      </c>
      <c r="L106" s="279" t="n">
        <f aca="false">IF(A106="N/A"," ",IF(OR('Pricing Inputs'!$AQ$3=2,'Pricing Inputs'!$AQ$3=3,'Pricing Inputs'!$AQ$3=5,'Pricing Inputs'!$AQ$3=6,'Pricing Inputs'!$AQ$3=8,'Pricing Inputs'!$AQ$3=9),IF(AND('Pricing Inputs'!$AQ$3&gt;=2,'Pricing Inputs'!$AQ$3&lt;=6),K106,(VLOOKUP(A106,ScaledPrice,5))*(2-(VLOOKUP(A106,ScaledPrice,3)))),0))</f>
        <v>32.7062476055843</v>
      </c>
      <c r="M106" s="279" t="n">
        <f aca="false">IF(A106="N/A"," ",IF(OR('Pricing Inputs'!$AQ$3=3,'Pricing Inputs'!$AQ$3=6,'Pricing Inputs'!$AQ$3=9),(VLOOKUP(A106,ScaledPrice,IF(AND('Pricing Inputs'!$AQ$3&gt;=3,'Pricing Inputs'!$AQ$3&lt;=6),7,8))),0))</f>
        <v>35.6873843924777</v>
      </c>
      <c r="N106" s="279" t="n">
        <f aca="false">IF(A106="N/A"," ",IF(OR('Pricing Inputs'!$AQ$3=3,'Pricing Inputs'!$AQ$3=6,'Pricing Inputs'!$AQ$3=9),IF(AND('Pricing Inputs'!$AQ$3&gt;=3,'Pricing Inputs'!$AQ$3&lt;=6),M106,(VLOOKUP(A106,ScaledPrice,7))*(2-(VLOOKUP(A106,ScaledPrice,3)))),0))</f>
        <v>24.207614539407</v>
      </c>
      <c r="O106" s="279" t="n">
        <f aca="false">IF(A106="N/A"," ",IF(AND('Pricing Inputs'!$AQ$3&gt;=1,'Pricing Inputs'!$AQ$3&lt;=3),VLOOKUP(A106,ScaledPrice,9),0))</f>
        <v>0</v>
      </c>
      <c r="P106" s="280" t="e">
        <f aca="false">IF($A106="N/A"," ",IF('Pricing Inputs'!$AN$8=2,(I106-H106),IF('Pricing Inputs'!$AN$3=2,IF((I106-$H106)&gt;0,I106-$H106,0),(xSPRDOPT(I106,$E106,$BU106,0,$BP106,$BS106,$BT106,($A106-Inputs!$D$1)+15,1,0)))))</f>
        <v>#NAME?</v>
      </c>
      <c r="Q106" s="280" t="e">
        <f aca="false">IF($A106="N/A"," ",IF('Pricing Inputs'!$AN$8=2,(J106-$H106),IF('Pricing Inputs'!$AN$3=2,IF((J106-$H106)&gt;0,J106-$H106,0),(xSPRDOPT(J106,$E106,$BU106,0,$BP106,$BS106,$BT106,($A106-Inputs!$D$1)+15,1,0)))))</f>
        <v>#NAME?</v>
      </c>
      <c r="R106" s="280" t="e">
        <f aca="false">IF($A106="N/A"," ",IF('Pricing Inputs'!$AN$8=2,(K106-$H106),IF('Pricing Inputs'!$AN$3=2,IF((K106-$H106)&gt;0,K106-$H106,0),(xSPRDOPT(K106,$E106,$BU106,0,$BP106,$BS106,$BT106,($A106-Inputs!$D$1)+15,1,0)))))</f>
        <v>#NAME?</v>
      </c>
      <c r="S106" s="280" t="e">
        <f aca="false">IF($A106="N/A"," ",IF('Pricing Inputs'!$AN$8=2,(L106-$H106),IF('Pricing Inputs'!$AN$3=2,IF((L106-$H106)&gt;0,L106-$H106,0),(xSPRDOPT(L106,$E106,$BU106,0,$BP106,$BS106,$BT106,($A106-Inputs!$D$1)+15,1,0)))))</f>
        <v>#NAME?</v>
      </c>
      <c r="T106" s="280" t="e">
        <f aca="false">IF($A106="N/A"," ",IF('Pricing Inputs'!$AN$8=2,(M106-$H106),IF('Pricing Inputs'!$AN$3=2,IF((M106-$H106)&gt;0,M106-$H106,0),(xSPRDOPT(M106,$E106,$BU106,0,$BP106,$BS106,$BT106,($A106-Inputs!$D$1)+15,1,0)))))</f>
        <v>#NAME?</v>
      </c>
      <c r="U106" s="280" t="e">
        <f aca="false">IF($A106="N/A"," ",IF('Pricing Inputs'!$AN$8=2,(N106-$H106),IF('Pricing Inputs'!$AN$3=2,IF((N106-$H106)&gt;0,N106-$H106,0),(xSPRDOPT(N106,$E106,$BU106,0,$BP106,$BS106,$BT106,($A106-Inputs!$D$1)+15,1,0)))))</f>
        <v>#NAME?</v>
      </c>
      <c r="V106" s="281" t="e">
        <f aca="false">IF($A106="N/A"," ",(IF('Pricing Inputs'!$AN$8=2,(O106-$H106),IF((O106-$H106)&lt;=0,0,(O106-$H106)))))</f>
        <v>#N/A</v>
      </c>
      <c r="W106" s="282" t="e">
        <f aca="false">IF($A106="N/A"," ",IF(0&lt;&gt;P106,IF('Pricing Inputs'!$AN$3=2,8*VLOOKUP($A106,NumberofDaysTable,2),(xSPRDOPT(I106,$E106,$BU106,0,$BP106,$BS106,$BT106,$A106-Inputs!$D$1,1,1))*(8*VLOOKUP($A106,NumberofDaysTable,2))),0))</f>
        <v>#NAME?</v>
      </c>
      <c r="X106" s="282" t="e">
        <f aca="false">IF($A106="N/A"," ",IF(Q106&lt;&gt;0,IF('Pricing Inputs'!$AN$3=2,8*VLOOKUP($A106,NumberofDaysTable,2),(xSPRDOPT(J106,$E106,$BU106,0,$BP106,$BS106,$BT106,$A106-Inputs!$D$1,1,1))*(8*VLOOKUP($A106,NumberofDaysTable,2))),0))</f>
        <v>#NAME?</v>
      </c>
      <c r="Y106" s="282" t="e">
        <f aca="false">IF($A106="N/A"," ",IF(R106&lt;&gt;0,IF('Pricing Inputs'!$AN$3=2,8*VLOOKUP($A106,NumberofDaysTable,3),(xSPRDOPT(K106,$E106,$BU106,0,$BP106,$BS106,$BT106,$A106-Inputs!$D$1,1,1))*(8*VLOOKUP($A106,NumberofDaysTable,3))),0))</f>
        <v>#NAME?</v>
      </c>
      <c r="Z106" s="282" t="e">
        <f aca="false">IF($A106="N/A"," ",IF(S106&lt;&gt;0,IF('Pricing Inputs'!$AN$3=2,8*VLOOKUP($A106,NumberofDaysTable,3),(xSPRDOPT(L106,$E106,$BU106,0,$BP106,$BS106,$BT106,$A106-Inputs!$D$1,1,1))*(8*VLOOKUP($A106,NumberofDaysTable,3))),0))</f>
        <v>#NAME?</v>
      </c>
      <c r="AA106" s="282" t="e">
        <f aca="false">IF($A106="N/A"," ",IF(T106&lt;&gt;0,IF('Pricing Inputs'!$AN$3=2,8*VLOOKUP($A106,NumberofDaysTable,4),(xSPRDOPT(M106,$E106,$BU106,0,$BP106,$BS106,$BT106,$A106-Inputs!$D$1,1,1))*(8*VLOOKUP($A106,NumberofDaysTable,4))),0))</f>
        <v>#NAME?</v>
      </c>
      <c r="AB106" s="282" t="e">
        <f aca="false">IF($A106="N/A"," ",IF(U106&lt;&gt;0,IF('Pricing Inputs'!$AN$3=2,8*VLOOKUP($A106,NumberofDaysTable,4),(xSPRDOPT(N106,$E106,$BU106,0,$BP106,$BS106,$BT106,$A106-Inputs!$D$1,1,1))*(8*VLOOKUP($A106,NumberofDaysTable,4))),0))</f>
        <v>#NAME?</v>
      </c>
      <c r="AC106" s="282" t="e">
        <f aca="false">IF($A106="N/A"," ",(IF(V106&lt;&gt;0,(8*VLOOKUP($A106,NumberofDaysTable,6)),0)))</f>
        <v>#N/A</v>
      </c>
      <c r="AD106" s="298" t="e">
        <f aca="false">IF($A106="N/A"," ",RANK(P106,$P$100:$V$111))</f>
        <v>#NAME?</v>
      </c>
      <c r="AE106" s="299" t="e">
        <f aca="false">IF($A106="N/A"," ",RANK(Q106,$P$100:$V$111))</f>
        <v>#NAME?</v>
      </c>
      <c r="AF106" s="299" t="e">
        <f aca="false">IF($A106="N/A"," ",RANK(R106,$P$100:$V$111))</f>
        <v>#NAME?</v>
      </c>
      <c r="AG106" s="299" t="e">
        <f aca="false">IF($A106="N/A"," ",RANK(S106,$P$100:$V$111))</f>
        <v>#NAME?</v>
      </c>
      <c r="AH106" s="299" t="e">
        <f aca="false">IF($A106="N/A"," ",RANK(T106,$P$100:$V$111))</f>
        <v>#NAME?</v>
      </c>
      <c r="AI106" s="299" t="e">
        <f aca="false">IF($A106="N/A"," ",RANK(U106,$P$100:$V$111))</f>
        <v>#NAME?</v>
      </c>
      <c r="AJ106" s="300" t="e">
        <f aca="false">IF($A106="N/A"," ",RANK(V106,$P$100:$V$111))</f>
        <v>#NAME?</v>
      </c>
      <c r="AK106" s="286" t="e">
        <f aca="false">IF($A106="N/A"," ",IF(AD106&lt;=$AJ$2,W106,0))</f>
        <v>#NAME?</v>
      </c>
      <c r="AL106" s="301" t="e">
        <f aca="false">IF($A106="N/A"," ",IF(AE106&lt;=$AJ$2,X106,0))</f>
        <v>#NAME?</v>
      </c>
      <c r="AM106" s="301" t="e">
        <f aca="false">IF($A106="N/A"," ",IF(AF106&lt;=$AJ$2,Y106,0))</f>
        <v>#NAME?</v>
      </c>
      <c r="AN106" s="301" t="e">
        <f aca="false">IF($A106="N/A"," ",IF(AG106&lt;=$AJ$2,Z106,0))</f>
        <v>#NAME?</v>
      </c>
      <c r="AO106" s="301" t="e">
        <f aca="false">IF($A106="N/A"," ",IF(AH106&lt;=$AJ$2,AA106,0))</f>
        <v>#NAME?</v>
      </c>
      <c r="AP106" s="301" t="e">
        <f aca="false">IF($A106="N/A"," ",IF(AI106&lt;=$AJ$2,AB106,0))</f>
        <v>#NAME?</v>
      </c>
      <c r="AQ106" s="301" t="e">
        <f aca="false">IF($A106="N/A"," ",IF(AJ106&lt;=$AJ$2,AC106,0))</f>
        <v>#NAME?</v>
      </c>
      <c r="AR106" s="300"/>
      <c r="AS106" s="288" t="e">
        <f aca="false">IF($A106="N/A"," ",IF(AND(AD106=$AJ$2+1,AK106=0),MIN($AR$111,W106),0))</f>
        <v>#NAME?</v>
      </c>
      <c r="AT106" s="302" t="e">
        <f aca="false">IF($A106="N/A"," ",IF(AND(AE106=$AJ$2+1,AL106=0),MIN($AR$111,X106),0))</f>
        <v>#NAME?</v>
      </c>
      <c r="AU106" s="302" t="e">
        <f aca="false">IF($A106="N/A"," ",IF(AND(AF106=$AJ$2+1,AM106=0),MIN($AR$111,Y106),0))</f>
        <v>#NAME?</v>
      </c>
      <c r="AV106" s="302" t="e">
        <f aca="false">IF($A106="N/A"," ",IF(AND(AG106=$AJ$2+1,AN106=0),MIN($AR$111,Z106),0))</f>
        <v>#NAME?</v>
      </c>
      <c r="AW106" s="302" t="e">
        <f aca="false">IF($A106="N/A"," ",IF(AND(AH106=$AJ$2+1,AO106=0),MIN($AR$111,AA106),0))</f>
        <v>#NAME?</v>
      </c>
      <c r="AX106" s="302" t="e">
        <f aca="false">IF($A106="N/A"," ",IF(AND(AI106=$AJ$2+1,AP106=0),MIN($AR$111,AB106),0))</f>
        <v>#NAME?</v>
      </c>
      <c r="AY106" s="302" t="e">
        <f aca="false">IF($A106="N/A"," ",IF(AND(AJ106=$AJ$2+1,AQ106=0),MIN($AR$111,AC106),0))</f>
        <v>#NAME?</v>
      </c>
      <c r="AZ106" s="300"/>
      <c r="BA106" s="291" t="n">
        <f aca="false">IF($A106="N/A"," ",(IF(MONTH(A106)&gt;=4,IF(MONTH(A106)&lt;=10,Inputs!$F$13,Inputs!$F$14),Inputs!$F$14))*$BW106)</f>
        <v>180</v>
      </c>
      <c r="BB106" s="292" t="e">
        <f aca="false">IF($A106="N/A"," ",(IF(AK106&gt;0,($BA106*(8*(VLOOKUP($A106,NumberofDaysTable,2)))*P106),0)+IF(AS106&gt;0,($BA106*((AS106))*P106),0)))</f>
        <v>#NAME?</v>
      </c>
      <c r="BC106" s="292" t="e">
        <f aca="false">IF($A106="N/A"," ",(IF(AL106&gt;0,($BA106*(8*(VLOOKUP($A106,NumberofDaysTable,2)))*Q106),0)+IF(AT106&gt;0,($BA106*((AT106))*Q106),0)))</f>
        <v>#NAME?</v>
      </c>
      <c r="BD106" s="292" t="e">
        <f aca="false">IF($A106="N/A"," ",(IF(AM106&gt;0,($BA106*(8*(VLOOKUP($A106,NumberofDaysTable,3)))*R106),0)+IF(AU106&gt;0,($BA106*((AU106))*R106),0)))</f>
        <v>#NAME?</v>
      </c>
      <c r="BE106" s="292" t="e">
        <f aca="false">IF($A106="N/A"," ",(IF(AN106&gt;0,($BA106*(8*(VLOOKUP($A106,NumberofDaysTable,3)))*S106),0)+IF(AV106&gt;0,($BA106*((AV106))*S106),0)))</f>
        <v>#NAME?</v>
      </c>
      <c r="BF106" s="292" t="e">
        <f aca="false">IF($A106="N/A"," ",(IF(AO106&gt;0,($BA106*(8*(VLOOKUP($A106,NumberofDaysTable,4)+VLOOKUP($A106,NumberofDaysTable,5)))*T106),0)+IF(AW106&gt;0,($BA106*((AW106))*T106),0)))</f>
        <v>#NAME?</v>
      </c>
      <c r="BG106" s="292" t="e">
        <f aca="false">IF($A106="N/A"," ",(IF(AP106&gt;0,($BA106*(8*(VLOOKUP($A106,NumberofDaysTable,4)+VLOOKUP($A106,NumberofDaysTable,5)))*U106),0)+IF(AX106&gt;0,($BA106*((AX106))*U106),0)))</f>
        <v>#NAME?</v>
      </c>
      <c r="BH106" s="292" t="e">
        <f aca="false">IF($A106="N/A"," ",($BA106*AQ106*V106))</f>
        <v>#NAME?</v>
      </c>
      <c r="BI106" s="292" t="e">
        <f aca="false">IF($A106="N/A"," ",SUM(BB106:BH106))</f>
        <v>#NAME?</v>
      </c>
      <c r="BJ106" s="293" t="e">
        <f aca="false">IF($A106="N/A"," ",(H106*(SUM(AK106:AQ106)+SUM(AS106:AY106))*BA106))</f>
        <v>#NAME?</v>
      </c>
      <c r="BK106" s="293" t="e">
        <f aca="false">IF($A106="N/A"," ",((C106*D106)*(SUM($AK106:$AQ106)+SUM($AS106:$AY106))*$BA106))</f>
        <v>#N/A</v>
      </c>
      <c r="BL106" s="293" t="e">
        <f aca="false">IF($A106="N/A"," ",(F106*(SUM($AK106:$AQ106)+SUM($AS106:$AY106))*$BA106))</f>
        <v>#NAME?</v>
      </c>
      <c r="BM106" s="293" t="e">
        <f aca="false">IF($A106="N/A"," ",(G106*(SUM($AK106:$AQ106)+SUM($AS106:$AY106))*$BA106))</f>
        <v>#NAME?</v>
      </c>
      <c r="BN106" s="294" t="n">
        <f aca="false">IF(A106="N/A"," ",(VLOOKUP(A106,PowerVolTable,(IF('Pricing Inputs'!$AT$3=2,7,IF('Pricing Inputs'!$AT$3=1,6,8))),FALSE())))</f>
        <v>0.269730161851351</v>
      </c>
      <c r="BO106" s="294" t="n">
        <f aca="false">IF(A106="N/A"," ",(VLOOKUP(A106,IntraPowerVol,(IF('Pricing Inputs'!$AT$3=2,3,IF('Pricing Inputs'!$AT$3=1,2,4))),FALSE())*VLOOKUP(MONTH($A106),Inputs!$A$28:$B$39,2)))</f>
        <v>3.45</v>
      </c>
      <c r="BP106" s="295" t="n">
        <f aca="false">IF($A106="N/A"," ",(IF(DateToday&gt;$A106,$BO106,((($BN106^2)*((($A106-1)-DateToday)/((EOMONTH($A106,0)+1)-DateToday-15)))+((($BO106)^2)*((15)/((EOMONTH($A106,0)+1)-DateToday-15))))^0.5)))</f>
        <v>3.45</v>
      </c>
      <c r="BQ106" s="294" t="e">
        <f aca="false">IF($A106="N/A"," ",(VLOOKUP($A106,GasVolTable,(IF('Pricing Inputs'!$AT$3=2,6,IF('Pricing Inputs'!$AT$3=1,7,5))),FALSE())))</f>
        <v>#N/A</v>
      </c>
      <c r="BR106" s="294" t="e">
        <f aca="false">IF($A106="N/A"," ",(VLOOKUP($A106,OmicronVol,(IF('Pricing Inputs'!$AT$3=2,3,IF('Pricing Inputs'!$AT$3=1,4,2))),FALSE())))</f>
        <v>#N/A</v>
      </c>
      <c r="BS106" s="295" t="e">
        <f aca="false">IF($A106="N/A"," ",IF('Pricing Inputs'!$AN$3=1,(IF(DateToday&gt;$A106,$BR106,((($BQ106^2)*((($A106-1)-DateToday)/((EOMONTH($A106,0)+1)-DateToday-15)))+((($BR106)^2)*((15)/((EOMONTH($A106,0)+1)-DateToday-15))))^0.5)),0.0001))</f>
        <v>#N/A</v>
      </c>
      <c r="BT106" s="294" t="n">
        <f aca="false">IF($A106="N/A"," ",IF('Pricing Inputs'!$AN$3=1,(VLOOKUP($A106,CorrelationTable,2,FALSE())),0))</f>
        <v>0.9</v>
      </c>
      <c r="BU106" s="296" t="e">
        <f aca="false">IF($A106="N/A"," ",F106+G106+(D106*(VLOOKUP($A106,'Gas Curves'!$B$17:$P$310,14,FALSE()))))</f>
        <v>#N/A</v>
      </c>
      <c r="BV106" s="294" t="n">
        <f aca="false">IF($A106="N/A"," ",IF('Pricing Inputs'!$AW$3=1,0,(VLOOKUP($A106,InterestRatesTable,2))))</f>
        <v>0</v>
      </c>
      <c r="BW106" s="297" t="n">
        <f aca="false">IF($A106="N/A"," ",(1+BV106/2)^(-2*((EOMONTH(A106,0)+20)-DateToday)/365.25))</f>
        <v>1</v>
      </c>
    </row>
    <row r="107" customFormat="false" ht="12.75" hidden="false" customHeight="false" outlineLevel="0" collapsed="false">
      <c r="A107" s="272" t="n">
        <f aca="false">IF(A106="N/A","N/A",IF(EDATE(A106,1)&gt;Inputs!$K$3,"N/A",EDATE(A106,1)))</f>
        <v>40026</v>
      </c>
      <c r="B107" s="273" t="n">
        <f aca="false">IF(A107="N/A"," ",YEAR(A107))</f>
        <v>2009</v>
      </c>
      <c r="C107" s="274" t="e">
        <f aca="false">IF(A107="N/A"," ",VLOOKUP(A107,ScaledPrice,10))</f>
        <v>#N/A</v>
      </c>
      <c r="D107" s="275" t="n">
        <f aca="false">IF(A107="N/A"," ",(VLOOKUP(MONTH($A107),Inputs!$A$14:$B$25,2))/1000)</f>
        <v>10.5</v>
      </c>
      <c r="E107" s="276" t="e">
        <f aca="false">IF($A107="N/A"," ",C107*D107)</f>
        <v>#N/A</v>
      </c>
      <c r="F107" s="277" t="n">
        <f aca="false">IF(A107="N/A"," ",Inputs!$F$6)</f>
        <v>2</v>
      </c>
      <c r="G107" s="277" t="n">
        <f aca="false">IF(A107="N/A"," ",Inputs!$F$9/IF(AND('Pricing Inputs'!$AQ$3&gt;=4,'Pricing Inputs'!$AQ$3&lt;=6),16,IF(AND('Pricing Inputs'!$AQ$3&gt;=7,'Pricing Inputs'!$AQ$3&lt;=9),8,24))/(BA107/BW107))</f>
        <v>0</v>
      </c>
      <c r="H107" s="278" t="e">
        <f aca="false">IF(A107="N/A"," ",(C107*D107)+F107+G107)</f>
        <v>#N/A</v>
      </c>
      <c r="I107" s="279" t="n">
        <f aca="false">VLOOKUP(A107,ScaledPrice,(IF(AND('Pricing Inputs'!$AQ$3&gt;=1,'Pricing Inputs'!$AQ$3&lt;=6),2,4)))</f>
        <v>77.6250263857812</v>
      </c>
      <c r="J107" s="279" t="n">
        <f aca="false">IF(A107="N/A"," ",IF(AND('Pricing Inputs'!$AQ$3&gt;=1,'Pricing Inputs'!$AQ$3&lt;=6),I107,(VLOOKUP(A107,ScaledPrice,2))*(2-(VLOOKUP(A107,ScaledPrice,3)))))</f>
        <v>62.3749736142188</v>
      </c>
      <c r="K107" s="279" t="n">
        <f aca="false">IF(A107="N/A"," ",IF(OR('Pricing Inputs'!$AQ$3=2,'Pricing Inputs'!$AQ$3=3,'Pricing Inputs'!$AQ$3=5,'Pricing Inputs'!$AQ$3=6,'Pricing Inputs'!$AQ$3=8,'Pricing Inputs'!$AQ$3=9),VLOOKUP(A107,ScaledPrice,IF(AND('Pricing Inputs'!$AQ$3&gt;=2,'Pricing Inputs'!$AQ$3&lt;=6),5,6)),0))</f>
        <v>47.3762159814101</v>
      </c>
      <c r="L107" s="279" t="n">
        <f aca="false">IF(A107="N/A"," ",IF(OR('Pricing Inputs'!$AQ$3=2,'Pricing Inputs'!$AQ$3=3,'Pricing Inputs'!$AQ$3=5,'Pricing Inputs'!$AQ$3=6,'Pricing Inputs'!$AQ$3=8,'Pricing Inputs'!$AQ$3=9),IF(AND('Pricing Inputs'!$AQ$3&gt;=2,'Pricing Inputs'!$AQ$3&lt;=6),K107,(VLOOKUP(A107,ScaledPrice,5))*(2-(VLOOKUP(A107,ScaledPrice,3)))),0))</f>
        <v>38.0687821875353</v>
      </c>
      <c r="M107" s="279" t="n">
        <f aca="false">IF(A107="N/A"," ",IF(OR('Pricing Inputs'!$AQ$3=3,'Pricing Inputs'!$AQ$3=6,'Pricing Inputs'!$AQ$3=9),(VLOOKUP(A107,ScaledPrice,IF(AND('Pricing Inputs'!$AQ$3&gt;=3,'Pricing Inputs'!$AQ$3&lt;=6),7,8))),0))</f>
        <v>34.8702717120915</v>
      </c>
      <c r="N107" s="279" t="n">
        <f aca="false">IF(A107="N/A"," ",IF(OR('Pricing Inputs'!$AQ$3=3,'Pricing Inputs'!$AQ$3=6,'Pricing Inputs'!$AQ$3=9),IF(AND('Pricing Inputs'!$AQ$3&gt;=3,'Pricing Inputs'!$AQ$3&lt;=6),M107,(VLOOKUP(A107,ScaledPrice,7))*(2-(VLOOKUP(A107,ScaledPrice,3)))),0))</f>
        <v>28.0197299663753</v>
      </c>
      <c r="O107" s="279" t="n">
        <f aca="false">IF(A107="N/A"," ",IF(AND('Pricing Inputs'!$AQ$3&gt;=1,'Pricing Inputs'!$AQ$3&lt;=3),VLOOKUP(A107,ScaledPrice,9),0))</f>
        <v>0</v>
      </c>
      <c r="P107" s="280" t="e">
        <f aca="false">IF($A107="N/A"," ",IF('Pricing Inputs'!$AN$8=2,(I107-H107),IF('Pricing Inputs'!$AN$3=2,IF((I107-$H107)&gt;0,I107-$H107,0),(xSPRDOPT(I107,$E107,$BU107,0,$BP107,$BS107,$BT107,($A107-Inputs!$D$1)+15,1,0)))))</f>
        <v>#NAME?</v>
      </c>
      <c r="Q107" s="280" t="e">
        <f aca="false">IF($A107="N/A"," ",IF('Pricing Inputs'!$AN$8=2,(J107-$H107),IF('Pricing Inputs'!$AN$3=2,IF((J107-$H107)&gt;0,J107-$H107,0),(xSPRDOPT(J107,$E107,$BU107,0,$BP107,$BS107,$BT107,($A107-Inputs!$D$1)+15,1,0)))))</f>
        <v>#NAME?</v>
      </c>
      <c r="R107" s="280" t="e">
        <f aca="false">IF($A107="N/A"," ",IF('Pricing Inputs'!$AN$8=2,(K107-$H107),IF('Pricing Inputs'!$AN$3=2,IF((K107-$H107)&gt;0,K107-$H107,0),(xSPRDOPT(K107,$E107,$BU107,0,$BP107,$BS107,$BT107,($A107-Inputs!$D$1)+15,1,0)))))</f>
        <v>#NAME?</v>
      </c>
      <c r="S107" s="280" t="e">
        <f aca="false">IF($A107="N/A"," ",IF('Pricing Inputs'!$AN$8=2,(L107-$H107),IF('Pricing Inputs'!$AN$3=2,IF((L107-$H107)&gt;0,L107-$H107,0),(xSPRDOPT(L107,$E107,$BU107,0,$BP107,$BS107,$BT107,($A107-Inputs!$D$1)+15,1,0)))))</f>
        <v>#NAME?</v>
      </c>
      <c r="T107" s="280" t="e">
        <f aca="false">IF($A107="N/A"," ",IF('Pricing Inputs'!$AN$8=2,(M107-$H107),IF('Pricing Inputs'!$AN$3=2,IF((M107-$H107)&gt;0,M107-$H107,0),(xSPRDOPT(M107,$E107,$BU107,0,$BP107,$BS107,$BT107,($A107-Inputs!$D$1)+15,1,0)))))</f>
        <v>#NAME?</v>
      </c>
      <c r="U107" s="280" t="e">
        <f aca="false">IF($A107="N/A"," ",IF('Pricing Inputs'!$AN$8=2,(N107-$H107),IF('Pricing Inputs'!$AN$3=2,IF((N107-$H107)&gt;0,N107-$H107,0),(xSPRDOPT(N107,$E107,$BU107,0,$BP107,$BS107,$BT107,($A107-Inputs!$D$1)+15,1,0)))))</f>
        <v>#NAME?</v>
      </c>
      <c r="V107" s="281" t="e">
        <f aca="false">IF($A107="N/A"," ",(IF('Pricing Inputs'!$AN$8=2,(O107-$H107),IF((O107-$H107)&lt;=0,0,(O107-$H107)))))</f>
        <v>#N/A</v>
      </c>
      <c r="W107" s="282" t="e">
        <f aca="false">IF($A107="N/A"," ",IF(0&lt;&gt;P107,IF('Pricing Inputs'!$AN$3=2,8*VLOOKUP($A107,NumberofDaysTable,2),(xSPRDOPT(I107,$E107,$BU107,0,$BP107,$BS107,$BT107,$A107-Inputs!$D$1,1,1))*(8*VLOOKUP($A107,NumberofDaysTable,2))),0))</f>
        <v>#NAME?</v>
      </c>
      <c r="X107" s="282" t="e">
        <f aca="false">IF($A107="N/A"," ",IF(Q107&lt;&gt;0,IF('Pricing Inputs'!$AN$3=2,8*VLOOKUP($A107,NumberofDaysTable,2),(xSPRDOPT(J107,$E107,$BU107,0,$BP107,$BS107,$BT107,$A107-Inputs!$D$1,1,1))*(8*VLOOKUP($A107,NumberofDaysTable,2))),0))</f>
        <v>#NAME?</v>
      </c>
      <c r="Y107" s="282" t="e">
        <f aca="false">IF($A107="N/A"," ",IF(R107&lt;&gt;0,IF('Pricing Inputs'!$AN$3=2,8*VLOOKUP($A107,NumberofDaysTable,3),(xSPRDOPT(K107,$E107,$BU107,0,$BP107,$BS107,$BT107,$A107-Inputs!$D$1,1,1))*(8*VLOOKUP($A107,NumberofDaysTable,3))),0))</f>
        <v>#NAME?</v>
      </c>
      <c r="Z107" s="282" t="e">
        <f aca="false">IF($A107="N/A"," ",IF(S107&lt;&gt;0,IF('Pricing Inputs'!$AN$3=2,8*VLOOKUP($A107,NumberofDaysTable,3),(xSPRDOPT(L107,$E107,$BU107,0,$BP107,$BS107,$BT107,$A107-Inputs!$D$1,1,1))*(8*VLOOKUP($A107,NumberofDaysTable,3))),0))</f>
        <v>#NAME?</v>
      </c>
      <c r="AA107" s="282" t="e">
        <f aca="false">IF($A107="N/A"," ",IF(T107&lt;&gt;0,IF('Pricing Inputs'!$AN$3=2,8*VLOOKUP($A107,NumberofDaysTable,4),(xSPRDOPT(M107,$E107,$BU107,0,$BP107,$BS107,$BT107,$A107-Inputs!$D$1,1,1))*(8*VLOOKUP($A107,NumberofDaysTable,4))),0))</f>
        <v>#NAME?</v>
      </c>
      <c r="AB107" s="282" t="e">
        <f aca="false">IF($A107="N/A"," ",IF(U107&lt;&gt;0,IF('Pricing Inputs'!$AN$3=2,8*VLOOKUP($A107,NumberofDaysTable,4),(xSPRDOPT(N107,$E107,$BU107,0,$BP107,$BS107,$BT107,$A107-Inputs!$D$1,1,1))*(8*VLOOKUP($A107,NumberofDaysTable,4))),0))</f>
        <v>#NAME?</v>
      </c>
      <c r="AC107" s="282" t="e">
        <f aca="false">IF($A107="N/A"," ",(IF(V107&lt;&gt;0,(8*VLOOKUP($A107,NumberofDaysTable,6)),0)))</f>
        <v>#N/A</v>
      </c>
      <c r="AD107" s="298" t="e">
        <f aca="false">IF($A107="N/A"," ",RANK(P107,$P$100:$V$111))</f>
        <v>#NAME?</v>
      </c>
      <c r="AE107" s="299" t="e">
        <f aca="false">IF($A107="N/A"," ",RANK(Q107,$P$100:$V$111))</f>
        <v>#NAME?</v>
      </c>
      <c r="AF107" s="299" t="e">
        <f aca="false">IF($A107="N/A"," ",RANK(R107,$P$100:$V$111))</f>
        <v>#NAME?</v>
      </c>
      <c r="AG107" s="299" t="e">
        <f aca="false">IF($A107="N/A"," ",RANK(S107,$P$100:$V$111))</f>
        <v>#NAME?</v>
      </c>
      <c r="AH107" s="299" t="e">
        <f aca="false">IF($A107="N/A"," ",RANK(T107,$P$100:$V$111))</f>
        <v>#NAME?</v>
      </c>
      <c r="AI107" s="299" t="e">
        <f aca="false">IF($A107="N/A"," ",RANK(U107,$P$100:$V$111))</f>
        <v>#NAME?</v>
      </c>
      <c r="AJ107" s="300" t="e">
        <f aca="false">IF($A107="N/A"," ",RANK(V107,$P$100:$V$111))</f>
        <v>#NAME?</v>
      </c>
      <c r="AK107" s="286" t="e">
        <f aca="false">IF($A107="N/A"," ",IF(AD107&lt;=$AJ$2,W107,0))</f>
        <v>#NAME?</v>
      </c>
      <c r="AL107" s="301" t="e">
        <f aca="false">IF($A107="N/A"," ",IF(AE107&lt;=$AJ$2,X107,0))</f>
        <v>#NAME?</v>
      </c>
      <c r="AM107" s="301" t="e">
        <f aca="false">IF($A107="N/A"," ",IF(AF107&lt;=$AJ$2,Y107,0))</f>
        <v>#NAME?</v>
      </c>
      <c r="AN107" s="301" t="e">
        <f aca="false">IF($A107="N/A"," ",IF(AG107&lt;=$AJ$2,Z107,0))</f>
        <v>#NAME?</v>
      </c>
      <c r="AO107" s="301" t="e">
        <f aca="false">IF($A107="N/A"," ",IF(AH107&lt;=$AJ$2,AA107,0))</f>
        <v>#NAME?</v>
      </c>
      <c r="AP107" s="301" t="e">
        <f aca="false">IF($A107="N/A"," ",IF(AI107&lt;=$AJ$2,AB107,0))</f>
        <v>#NAME?</v>
      </c>
      <c r="AQ107" s="301" t="e">
        <f aca="false">IF($A107="N/A"," ",IF(AJ107&lt;=$AJ$2,AC107,0))</f>
        <v>#NAME?</v>
      </c>
      <c r="AR107" s="300"/>
      <c r="AS107" s="288" t="e">
        <f aca="false">IF($A107="N/A"," ",IF(AND(AD107=$AJ$2+1,AK107=0),MIN($AR$111,W107),0))</f>
        <v>#NAME?</v>
      </c>
      <c r="AT107" s="302" t="e">
        <f aca="false">IF($A107="N/A"," ",IF(AND(AE107=$AJ$2+1,AL107=0),MIN($AR$111,X107),0))</f>
        <v>#NAME?</v>
      </c>
      <c r="AU107" s="302" t="e">
        <f aca="false">IF($A107="N/A"," ",IF(AND(AF107=$AJ$2+1,AM107=0),MIN($AR$111,Y107),0))</f>
        <v>#NAME?</v>
      </c>
      <c r="AV107" s="302" t="e">
        <f aca="false">IF($A107="N/A"," ",IF(AND(AG107=$AJ$2+1,AN107=0),MIN($AR$111,Z107),0))</f>
        <v>#NAME?</v>
      </c>
      <c r="AW107" s="302" t="e">
        <f aca="false">IF($A107="N/A"," ",IF(AND(AH107=$AJ$2+1,AO107=0),MIN($AR$111,AA107),0))</f>
        <v>#NAME?</v>
      </c>
      <c r="AX107" s="302" t="e">
        <f aca="false">IF($A107="N/A"," ",IF(AND(AI107=$AJ$2+1,AP107=0),MIN($AR$111,AB107),0))</f>
        <v>#NAME?</v>
      </c>
      <c r="AY107" s="302" t="e">
        <f aca="false">IF($A107="N/A"," ",IF(AND(AJ107=$AJ$2+1,AQ107=0),MIN($AR$111,AC107),0))</f>
        <v>#NAME?</v>
      </c>
      <c r="AZ107" s="300"/>
      <c r="BA107" s="291" t="n">
        <f aca="false">IF($A107="N/A"," ",(IF(MONTH(A107)&gt;=4,IF(MONTH(A107)&lt;=10,Inputs!$F$13,Inputs!$F$14),Inputs!$F$14))*$BW107)</f>
        <v>180</v>
      </c>
      <c r="BB107" s="292" t="e">
        <f aca="false">IF($A107="N/A"," ",(IF(AK107&gt;0,($BA107*(8*(VLOOKUP($A107,NumberofDaysTable,2)))*P107),0)+IF(AS107&gt;0,($BA107*((AS107))*P107),0)))</f>
        <v>#NAME?</v>
      </c>
      <c r="BC107" s="292" t="e">
        <f aca="false">IF($A107="N/A"," ",(IF(AL107&gt;0,($BA107*(8*(VLOOKUP($A107,NumberofDaysTable,2)))*Q107),0)+IF(AT107&gt;0,($BA107*((AT107))*Q107),0)))</f>
        <v>#NAME?</v>
      </c>
      <c r="BD107" s="292" t="e">
        <f aca="false">IF($A107="N/A"," ",(IF(AM107&gt;0,($BA107*(8*(VLOOKUP($A107,NumberofDaysTable,3)))*R107),0)+IF(AU107&gt;0,($BA107*((AU107))*R107),0)))</f>
        <v>#NAME?</v>
      </c>
      <c r="BE107" s="292" t="e">
        <f aca="false">IF($A107="N/A"," ",(IF(AN107&gt;0,($BA107*(8*(VLOOKUP($A107,NumberofDaysTable,3)))*S107),0)+IF(AV107&gt;0,($BA107*((AV107))*S107),0)))</f>
        <v>#NAME?</v>
      </c>
      <c r="BF107" s="292" t="e">
        <f aca="false">IF($A107="N/A"," ",(IF(AO107&gt;0,($BA107*(8*(VLOOKUP($A107,NumberofDaysTable,4)+VLOOKUP($A107,NumberofDaysTable,5)))*T107),0)+IF(AW107&gt;0,($BA107*((AW107))*T107),0)))</f>
        <v>#NAME?</v>
      </c>
      <c r="BG107" s="292" t="e">
        <f aca="false">IF($A107="N/A"," ",(IF(AP107&gt;0,($BA107*(8*(VLOOKUP($A107,NumberofDaysTable,4)+VLOOKUP($A107,NumberofDaysTable,5)))*U107),0)+IF(AX107&gt;0,($BA107*((AX107))*U107),0)))</f>
        <v>#NAME?</v>
      </c>
      <c r="BH107" s="292" t="e">
        <f aca="false">IF($A107="N/A"," ",($BA107*AQ107*V107))</f>
        <v>#NAME?</v>
      </c>
      <c r="BI107" s="292" t="e">
        <f aca="false">IF($A107="N/A"," ",SUM(BB107:BH107))</f>
        <v>#NAME?</v>
      </c>
      <c r="BJ107" s="293" t="e">
        <f aca="false">IF($A107="N/A"," ",(H107*(SUM(AK107:AQ107)+SUM(AS107:AY107))*BA107))</f>
        <v>#NAME?</v>
      </c>
      <c r="BK107" s="293" t="e">
        <f aca="false">IF($A107="N/A"," ",((C107*D107)*(SUM($AK107:$AQ107)+SUM($AS107:$AY107))*$BA107))</f>
        <v>#N/A</v>
      </c>
      <c r="BL107" s="293" t="e">
        <f aca="false">IF($A107="N/A"," ",(F107*(SUM($AK107:$AQ107)+SUM($AS107:$AY107))*$BA107))</f>
        <v>#NAME?</v>
      </c>
      <c r="BM107" s="293" t="e">
        <f aca="false">IF($A107="N/A"," ",(G107*(SUM($AK107:$AQ107)+SUM($AS107:$AY107))*$BA107))</f>
        <v>#NAME?</v>
      </c>
      <c r="BN107" s="294" t="n">
        <f aca="false">IF(A107="N/A"," ",(VLOOKUP(A107,PowerVolTable,(IF('Pricing Inputs'!$AT$3=2,7,IF('Pricing Inputs'!$AT$3=1,6,8))),FALSE())))</f>
        <v>0.265401343537189</v>
      </c>
      <c r="BO107" s="294" t="n">
        <f aca="false">IF(A107="N/A"," ",(VLOOKUP(A107,IntraPowerVol,(IF('Pricing Inputs'!$AT$3=2,3,IF('Pricing Inputs'!$AT$3=1,2,4))),FALSE())*VLOOKUP(MONTH($A107),Inputs!$A$28:$B$39,2)))</f>
        <v>3.45</v>
      </c>
      <c r="BP107" s="295" t="n">
        <f aca="false">IF($A107="N/A"," ",(IF(DateToday&gt;$A107,$BO107,((($BN107^2)*((($A107-1)-DateToday)/((EOMONTH($A107,0)+1)-DateToday-15)))+((($BO107)^2)*((15)/((EOMONTH($A107,0)+1)-DateToday-15))))^0.5)))</f>
        <v>3.45</v>
      </c>
      <c r="BQ107" s="294" t="e">
        <f aca="false">IF($A107="N/A"," ",(VLOOKUP($A107,GasVolTable,(IF('Pricing Inputs'!$AT$3=2,6,IF('Pricing Inputs'!$AT$3=1,7,5))),FALSE())))</f>
        <v>#N/A</v>
      </c>
      <c r="BR107" s="294" t="e">
        <f aca="false">IF($A107="N/A"," ",(VLOOKUP($A107,OmicronVol,(IF('Pricing Inputs'!$AT$3=2,3,IF('Pricing Inputs'!$AT$3=1,4,2))),FALSE())))</f>
        <v>#N/A</v>
      </c>
      <c r="BS107" s="295" t="e">
        <f aca="false">IF($A107="N/A"," ",IF('Pricing Inputs'!$AN$3=1,(IF(DateToday&gt;$A107,$BR107,((($BQ107^2)*((($A107-1)-DateToday)/((EOMONTH($A107,0)+1)-DateToday-15)))+((($BR107)^2)*((15)/((EOMONTH($A107,0)+1)-DateToday-15))))^0.5)),0.0001))</f>
        <v>#N/A</v>
      </c>
      <c r="BT107" s="294" t="n">
        <f aca="false">IF($A107="N/A"," ",IF('Pricing Inputs'!$AN$3=1,(VLOOKUP($A107,CorrelationTable,2,FALSE())),0))</f>
        <v>0.9</v>
      </c>
      <c r="BU107" s="296" t="e">
        <f aca="false">IF($A107="N/A"," ",F107+G107+(D107*(VLOOKUP($A107,'Gas Curves'!$B$17:$P$310,14,FALSE()))))</f>
        <v>#N/A</v>
      </c>
      <c r="BV107" s="294" t="n">
        <f aca="false">IF($A107="N/A"," ",IF('Pricing Inputs'!$AW$3=1,0,(VLOOKUP($A107,InterestRatesTable,2))))</f>
        <v>0</v>
      </c>
      <c r="BW107" s="297" t="n">
        <f aca="false">IF($A107="N/A"," ",(1+BV107/2)^(-2*((EOMONTH(A107,0)+20)-DateToday)/365.25))</f>
        <v>1</v>
      </c>
    </row>
    <row r="108" customFormat="false" ht="12.75" hidden="false" customHeight="false" outlineLevel="0" collapsed="false">
      <c r="A108" s="272" t="n">
        <f aca="false">IF(A107="N/A","N/A",IF(EDATE(A107,1)&gt;Inputs!$K$3,"N/A",EDATE(A107,1)))</f>
        <v>40057</v>
      </c>
      <c r="B108" s="273" t="n">
        <f aca="false">IF(A108="N/A"," ",YEAR(A108))</f>
        <v>2009</v>
      </c>
      <c r="C108" s="274" t="e">
        <f aca="false">IF(A108="N/A"," ",VLOOKUP(A108,ScaledPrice,10))</f>
        <v>#N/A</v>
      </c>
      <c r="D108" s="275" t="n">
        <f aca="false">IF(A108="N/A"," ",(VLOOKUP(MONTH($A108),Inputs!$A$14:$B$25,2))/1000)</f>
        <v>10.5</v>
      </c>
      <c r="E108" s="276" t="e">
        <f aca="false">IF($A108="N/A"," ",C108*D108)</f>
        <v>#N/A</v>
      </c>
      <c r="F108" s="277" t="n">
        <f aca="false">IF(A108="N/A"," ",Inputs!$F$6)</f>
        <v>2</v>
      </c>
      <c r="G108" s="277" t="n">
        <f aca="false">IF(A108="N/A"," ",Inputs!$F$9/IF(AND('Pricing Inputs'!$AQ$3&gt;=4,'Pricing Inputs'!$AQ$3&lt;=6),16,IF(AND('Pricing Inputs'!$AQ$3&gt;=7,'Pricing Inputs'!$AQ$3&lt;=9),8,24))/(BA108/BW108))</f>
        <v>0</v>
      </c>
      <c r="H108" s="278" t="e">
        <f aca="false">IF(A108="N/A"," ",(C108*D108)+F108+G108)</f>
        <v>#N/A</v>
      </c>
      <c r="I108" s="279" t="n">
        <f aca="false">VLOOKUP(A108,ScaledPrice,(IF(AND('Pricing Inputs'!$AQ$3&gt;=1,'Pricing Inputs'!$AQ$3&lt;=6),2,4)))</f>
        <v>36.3500952154249</v>
      </c>
      <c r="J108" s="279" t="n">
        <f aca="false">IF(A108="N/A"," ",IF(AND('Pricing Inputs'!$AQ$3&gt;=1,'Pricing Inputs'!$AQ$3&lt;=6),I108,(VLOOKUP(A108,ScaledPrice,2))*(2-(VLOOKUP(A108,ScaledPrice,3)))))</f>
        <v>29.9499047845751</v>
      </c>
      <c r="K108" s="279" t="n">
        <f aca="false">IF(A108="N/A"," ",IF(OR('Pricing Inputs'!$AQ$3=2,'Pricing Inputs'!$AQ$3=3,'Pricing Inputs'!$AQ$3=5,'Pricing Inputs'!$AQ$3=6,'Pricing Inputs'!$AQ$3=8,'Pricing Inputs'!$AQ$3=9),VLOOKUP(A108,ScaledPrice,IF(AND('Pricing Inputs'!$AQ$3&gt;=2,'Pricing Inputs'!$AQ$3&lt;=6),5,6)),0))</f>
        <v>26.4319461436381</v>
      </c>
      <c r="L108" s="279" t="n">
        <f aca="false">IF(A108="N/A"," ",IF(OR('Pricing Inputs'!$AQ$3=2,'Pricing Inputs'!$AQ$3=3,'Pricing Inputs'!$AQ$3=5,'Pricing Inputs'!$AQ$3=6,'Pricing Inputs'!$AQ$3=8,'Pricing Inputs'!$AQ$3=9),IF(AND('Pricing Inputs'!$AQ$3&gt;=2,'Pricing Inputs'!$AQ$3&lt;=6),K108,(VLOOKUP(A108,ScaledPrice,5))*(2-(VLOOKUP(A108,ScaledPrice,3)))),0))</f>
        <v>21.7780521778951</v>
      </c>
      <c r="M108" s="279" t="n">
        <f aca="false">IF(A108="N/A"," ",IF(OR('Pricing Inputs'!$AQ$3=3,'Pricing Inputs'!$AQ$3=6,'Pricing Inputs'!$AQ$3=9),(VLOOKUP(A108,ScaledPrice,IF(AND('Pricing Inputs'!$AQ$3&gt;=3,'Pricing Inputs'!$AQ$3&lt;=6),7,8))),0))</f>
        <v>26.9747312910846</v>
      </c>
      <c r="N108" s="279" t="n">
        <f aca="false">IF(A108="N/A"," ",IF(OR('Pricing Inputs'!$AQ$3=3,'Pricing Inputs'!$AQ$3=6,'Pricing Inputs'!$AQ$3=9),IF(AND('Pricing Inputs'!$AQ$3&gt;=3,'Pricing Inputs'!$AQ$3&lt;=6),M108,(VLOOKUP(A108,ScaledPrice,7))*(2-(VLOOKUP(A108,ScaledPrice,3)))),0))</f>
        <v>22.2252687089154</v>
      </c>
      <c r="O108" s="279" t="n">
        <f aca="false">IF(A108="N/A"," ",IF(AND('Pricing Inputs'!$AQ$3&gt;=1,'Pricing Inputs'!$AQ$3&lt;=3),VLOOKUP(A108,ScaledPrice,9),0))</f>
        <v>0</v>
      </c>
      <c r="P108" s="280" t="e">
        <f aca="false">IF($A108="N/A"," ",IF('Pricing Inputs'!$AN$8=2,(I108-H108),IF('Pricing Inputs'!$AN$3=2,IF((I108-$H108)&gt;0,I108-$H108,0),(xSPRDOPT(I108,$E108,$BU108,0,$BP108,$BS108,$BT108,($A108-Inputs!$D$1)+15,1,0)))))</f>
        <v>#NAME?</v>
      </c>
      <c r="Q108" s="280" t="e">
        <f aca="false">IF($A108="N/A"," ",IF('Pricing Inputs'!$AN$8=2,(J108-$H108),IF('Pricing Inputs'!$AN$3=2,IF((J108-$H108)&gt;0,J108-$H108,0),(xSPRDOPT(J108,$E108,$BU108,0,$BP108,$BS108,$BT108,($A108-Inputs!$D$1)+15,1,0)))))</f>
        <v>#NAME?</v>
      </c>
      <c r="R108" s="280" t="e">
        <f aca="false">IF($A108="N/A"," ",IF('Pricing Inputs'!$AN$8=2,(K108-$H108),IF('Pricing Inputs'!$AN$3=2,IF((K108-$H108)&gt;0,K108-$H108,0),(xSPRDOPT(K108,$E108,$BU108,0,$BP108,$BS108,$BT108,($A108-Inputs!$D$1)+15,1,0)))))</f>
        <v>#NAME?</v>
      </c>
      <c r="S108" s="280" t="e">
        <f aca="false">IF($A108="N/A"," ",IF('Pricing Inputs'!$AN$8=2,(L108-$H108),IF('Pricing Inputs'!$AN$3=2,IF((L108-$H108)&gt;0,L108-$H108,0),(xSPRDOPT(L108,$E108,$BU108,0,$BP108,$BS108,$BT108,($A108-Inputs!$D$1)+15,1,0)))))</f>
        <v>#NAME?</v>
      </c>
      <c r="T108" s="280" t="e">
        <f aca="false">IF($A108="N/A"," ",IF('Pricing Inputs'!$AN$8=2,(M108-$H108),IF('Pricing Inputs'!$AN$3=2,IF((M108-$H108)&gt;0,M108-$H108,0),(xSPRDOPT(M108,$E108,$BU108,0,$BP108,$BS108,$BT108,($A108-Inputs!$D$1)+15,1,0)))))</f>
        <v>#NAME?</v>
      </c>
      <c r="U108" s="280" t="e">
        <f aca="false">IF($A108="N/A"," ",IF('Pricing Inputs'!$AN$8=2,(N108-$H108),IF('Pricing Inputs'!$AN$3=2,IF((N108-$H108)&gt;0,N108-$H108,0),(xSPRDOPT(N108,$E108,$BU108,0,$BP108,$BS108,$BT108,($A108-Inputs!$D$1)+15,1,0)))))</f>
        <v>#NAME?</v>
      </c>
      <c r="V108" s="281" t="e">
        <f aca="false">IF($A108="N/A"," ",(IF('Pricing Inputs'!$AN$8=2,(O108-$H108),IF((O108-$H108)&lt;=0,0,(O108-$H108)))))</f>
        <v>#N/A</v>
      </c>
      <c r="W108" s="282" t="e">
        <f aca="false">IF($A108="N/A"," ",IF(0&lt;&gt;P108,IF('Pricing Inputs'!$AN$3=2,8*VLOOKUP($A108,NumberofDaysTable,2),(xSPRDOPT(I108,$E108,$BU108,0,$BP108,$BS108,$BT108,$A108-Inputs!$D$1,1,1))*(8*VLOOKUP($A108,NumberofDaysTable,2))),0))</f>
        <v>#NAME?</v>
      </c>
      <c r="X108" s="282" t="e">
        <f aca="false">IF($A108="N/A"," ",IF(Q108&lt;&gt;0,IF('Pricing Inputs'!$AN$3=2,8*VLOOKUP($A108,NumberofDaysTable,2),(xSPRDOPT(J108,$E108,$BU108,0,$BP108,$BS108,$BT108,$A108-Inputs!$D$1,1,1))*(8*VLOOKUP($A108,NumberofDaysTable,2))),0))</f>
        <v>#NAME?</v>
      </c>
      <c r="Y108" s="282" t="e">
        <f aca="false">IF($A108="N/A"," ",IF(R108&lt;&gt;0,IF('Pricing Inputs'!$AN$3=2,8*VLOOKUP($A108,NumberofDaysTable,3),(xSPRDOPT(K108,$E108,$BU108,0,$BP108,$BS108,$BT108,$A108-Inputs!$D$1,1,1))*(8*VLOOKUP($A108,NumberofDaysTable,3))),0))</f>
        <v>#NAME?</v>
      </c>
      <c r="Z108" s="282" t="e">
        <f aca="false">IF($A108="N/A"," ",IF(S108&lt;&gt;0,IF('Pricing Inputs'!$AN$3=2,8*VLOOKUP($A108,NumberofDaysTable,3),(xSPRDOPT(L108,$E108,$BU108,0,$BP108,$BS108,$BT108,$A108-Inputs!$D$1,1,1))*(8*VLOOKUP($A108,NumberofDaysTable,3))),0))</f>
        <v>#NAME?</v>
      </c>
      <c r="AA108" s="282" t="e">
        <f aca="false">IF($A108="N/A"," ",IF(T108&lt;&gt;0,IF('Pricing Inputs'!$AN$3=2,8*VLOOKUP($A108,NumberofDaysTable,4),(xSPRDOPT(M108,$E108,$BU108,0,$BP108,$BS108,$BT108,$A108-Inputs!$D$1,1,1))*(8*VLOOKUP($A108,NumberofDaysTable,4))),0))</f>
        <v>#NAME?</v>
      </c>
      <c r="AB108" s="282" t="e">
        <f aca="false">IF($A108="N/A"," ",IF(U108&lt;&gt;0,IF('Pricing Inputs'!$AN$3=2,8*VLOOKUP($A108,NumberofDaysTable,4),(xSPRDOPT(N108,$E108,$BU108,0,$BP108,$BS108,$BT108,$A108-Inputs!$D$1,1,1))*(8*VLOOKUP($A108,NumberofDaysTable,4))),0))</f>
        <v>#NAME?</v>
      </c>
      <c r="AC108" s="282" t="e">
        <f aca="false">IF($A108="N/A"," ",(IF(V108&lt;&gt;0,(8*VLOOKUP($A108,NumberofDaysTable,6)),0)))</f>
        <v>#N/A</v>
      </c>
      <c r="AD108" s="298" t="e">
        <f aca="false">IF($A108="N/A"," ",RANK(P108,$P$100:$V$111))</f>
        <v>#NAME?</v>
      </c>
      <c r="AE108" s="299" t="e">
        <f aca="false">IF($A108="N/A"," ",RANK(Q108,$P$100:$V$111))</f>
        <v>#NAME?</v>
      </c>
      <c r="AF108" s="299" t="e">
        <f aca="false">IF($A108="N/A"," ",RANK(R108,$P$100:$V$111))</f>
        <v>#NAME?</v>
      </c>
      <c r="AG108" s="299" t="e">
        <f aca="false">IF($A108="N/A"," ",RANK(S108,$P$100:$V$111))</f>
        <v>#NAME?</v>
      </c>
      <c r="AH108" s="299" t="e">
        <f aca="false">IF($A108="N/A"," ",RANK(T108,$P$100:$V$111))</f>
        <v>#NAME?</v>
      </c>
      <c r="AI108" s="299" t="e">
        <f aca="false">IF($A108="N/A"," ",RANK(U108,$P$100:$V$111))</f>
        <v>#NAME?</v>
      </c>
      <c r="AJ108" s="300" t="e">
        <f aca="false">IF($A108="N/A"," ",RANK(V108,$P$100:$V$111))</f>
        <v>#NAME?</v>
      </c>
      <c r="AK108" s="286" t="e">
        <f aca="false">IF($A108="N/A"," ",IF(AD108&lt;=$AJ$2,W108,0))</f>
        <v>#NAME?</v>
      </c>
      <c r="AL108" s="301" t="e">
        <f aca="false">IF($A108="N/A"," ",IF(AE108&lt;=$AJ$2,X108,0))</f>
        <v>#NAME?</v>
      </c>
      <c r="AM108" s="301" t="e">
        <f aca="false">IF($A108="N/A"," ",IF(AF108&lt;=$AJ$2,Y108,0))</f>
        <v>#NAME?</v>
      </c>
      <c r="AN108" s="301" t="e">
        <f aca="false">IF($A108="N/A"," ",IF(AG108&lt;=$AJ$2,Z108,0))</f>
        <v>#NAME?</v>
      </c>
      <c r="AO108" s="301" t="e">
        <f aca="false">IF($A108="N/A"," ",IF(AH108&lt;=$AJ$2,AA108,0))</f>
        <v>#NAME?</v>
      </c>
      <c r="AP108" s="301" t="e">
        <f aca="false">IF($A108="N/A"," ",IF(AI108&lt;=$AJ$2,AB108,0))</f>
        <v>#NAME?</v>
      </c>
      <c r="AQ108" s="301" t="e">
        <f aca="false">IF($A108="N/A"," ",IF(AJ108&lt;=$AJ$2,AC108,0))</f>
        <v>#NAME?</v>
      </c>
      <c r="AR108" s="300"/>
      <c r="AS108" s="288" t="e">
        <f aca="false">IF($A108="N/A"," ",IF(AND(AD108=$AJ$2+1,AK108=0),MIN($AR$111,W108),0))</f>
        <v>#NAME?</v>
      </c>
      <c r="AT108" s="302" t="e">
        <f aca="false">IF($A108="N/A"," ",IF(AND(AE108=$AJ$2+1,AL108=0),MIN($AR$111,X108),0))</f>
        <v>#NAME?</v>
      </c>
      <c r="AU108" s="302" t="e">
        <f aca="false">IF($A108="N/A"," ",IF(AND(AF108=$AJ$2+1,AM108=0),MIN($AR$111,Y108),0))</f>
        <v>#NAME?</v>
      </c>
      <c r="AV108" s="302" t="e">
        <f aca="false">IF($A108="N/A"," ",IF(AND(AG108=$AJ$2+1,AN108=0),MIN($AR$111,Z108),0))</f>
        <v>#NAME?</v>
      </c>
      <c r="AW108" s="302" t="e">
        <f aca="false">IF($A108="N/A"," ",IF(AND(AH108=$AJ$2+1,AO108=0),MIN($AR$111,AA108),0))</f>
        <v>#NAME?</v>
      </c>
      <c r="AX108" s="302" t="e">
        <f aca="false">IF($A108="N/A"," ",IF(AND(AI108=$AJ$2+1,AP108=0),MIN($AR$111,AB108),0))</f>
        <v>#NAME?</v>
      </c>
      <c r="AY108" s="302" t="e">
        <f aca="false">IF($A108="N/A"," ",IF(AND(AJ108=$AJ$2+1,AQ108=0),MIN($AR$111,AC108),0))</f>
        <v>#NAME?</v>
      </c>
      <c r="AZ108" s="300"/>
      <c r="BA108" s="291" t="n">
        <f aca="false">IF($A108="N/A"," ",(IF(MONTH(A108)&gt;=4,IF(MONTH(A108)&lt;=10,Inputs!$F$13,Inputs!$F$14),Inputs!$F$14))*$BW108)</f>
        <v>180</v>
      </c>
      <c r="BB108" s="292" t="e">
        <f aca="false">IF($A108="N/A"," ",(IF(AK108&gt;0,($BA108*(8*(VLOOKUP($A108,NumberofDaysTable,2)))*P108),0)+IF(AS108&gt;0,($BA108*((AS108))*P108),0)))</f>
        <v>#NAME?</v>
      </c>
      <c r="BC108" s="292" t="e">
        <f aca="false">IF($A108="N/A"," ",(IF(AL108&gt;0,($BA108*(8*(VLOOKUP($A108,NumberofDaysTable,2)))*Q108),0)+IF(AT108&gt;0,($BA108*((AT108))*Q108),0)))</f>
        <v>#NAME?</v>
      </c>
      <c r="BD108" s="292" t="e">
        <f aca="false">IF($A108="N/A"," ",(IF(AM108&gt;0,($BA108*(8*(VLOOKUP($A108,NumberofDaysTable,3)))*R108),0)+IF(AU108&gt;0,($BA108*((AU108))*R108),0)))</f>
        <v>#NAME?</v>
      </c>
      <c r="BE108" s="292" t="e">
        <f aca="false">IF($A108="N/A"," ",(IF(AN108&gt;0,($BA108*(8*(VLOOKUP($A108,NumberofDaysTable,3)))*S108),0)+IF(AV108&gt;0,($BA108*((AV108))*S108),0)))</f>
        <v>#NAME?</v>
      </c>
      <c r="BF108" s="292" t="e">
        <f aca="false">IF($A108="N/A"," ",(IF(AO108&gt;0,($BA108*(8*(VLOOKUP($A108,NumberofDaysTable,4)+VLOOKUP($A108,NumberofDaysTable,5)))*T108),0)+IF(AW108&gt;0,($BA108*((AW108))*T108),0)))</f>
        <v>#NAME?</v>
      </c>
      <c r="BG108" s="292" t="e">
        <f aca="false">IF($A108="N/A"," ",(IF(AP108&gt;0,($BA108*(8*(VLOOKUP($A108,NumberofDaysTable,4)+VLOOKUP($A108,NumberofDaysTable,5)))*U108),0)+IF(AX108&gt;0,($BA108*((AX108))*U108),0)))</f>
        <v>#NAME?</v>
      </c>
      <c r="BH108" s="292" t="e">
        <f aca="false">IF($A108="N/A"," ",($BA108*AQ108*V108))</f>
        <v>#NAME?</v>
      </c>
      <c r="BI108" s="292" t="e">
        <f aca="false">IF($A108="N/A"," ",SUM(BB108:BH108))</f>
        <v>#NAME?</v>
      </c>
      <c r="BJ108" s="293" t="e">
        <f aca="false">IF($A108="N/A"," ",(H108*(SUM(AK108:AQ108)+SUM(AS108:AY108))*BA108))</f>
        <v>#NAME?</v>
      </c>
      <c r="BK108" s="293" t="e">
        <f aca="false">IF($A108="N/A"," ",((C108*D108)*(SUM($AK108:$AQ108)+SUM($AS108:$AY108))*$BA108))</f>
        <v>#N/A</v>
      </c>
      <c r="BL108" s="293" t="e">
        <f aca="false">IF($A108="N/A"," ",(F108*(SUM($AK108:$AQ108)+SUM($AS108:$AY108))*$BA108))</f>
        <v>#NAME?</v>
      </c>
      <c r="BM108" s="293" t="e">
        <f aca="false">IF($A108="N/A"," ",(G108*(SUM($AK108:$AQ108)+SUM($AS108:$AY108))*$BA108))</f>
        <v>#NAME?</v>
      </c>
      <c r="BN108" s="294" t="n">
        <f aca="false">IF(A108="N/A"," ",(VLOOKUP(A108,PowerVolTable,(IF('Pricing Inputs'!$AT$3=2,7,IF('Pricing Inputs'!$AT$3=1,6,8))),FALSE())))</f>
        <v>0.175839585313166</v>
      </c>
      <c r="BO108" s="294" t="n">
        <f aca="false">IF(A108="N/A"," ",(VLOOKUP(A108,IntraPowerVol,(IF('Pricing Inputs'!$AT$3=2,3,IF('Pricing Inputs'!$AT$3=1,2,4))),FALSE())*VLOOKUP(MONTH($A108),Inputs!$A$28:$B$39,2)))</f>
        <v>1.725</v>
      </c>
      <c r="BP108" s="295" t="n">
        <f aca="false">IF($A108="N/A"," ",(IF(DateToday&gt;$A108,$BO108,((($BN108^2)*((($A108-1)-DateToday)/((EOMONTH($A108,0)+1)-DateToday-15)))+((($BO108)^2)*((15)/((EOMONTH($A108,0)+1)-DateToday-15))))^0.5)))</f>
        <v>1.725</v>
      </c>
      <c r="BQ108" s="294" t="e">
        <f aca="false">IF($A108="N/A"," ",(VLOOKUP($A108,GasVolTable,(IF('Pricing Inputs'!$AT$3=2,6,IF('Pricing Inputs'!$AT$3=1,7,5))),FALSE())))</f>
        <v>#N/A</v>
      </c>
      <c r="BR108" s="294" t="e">
        <f aca="false">IF($A108="N/A"," ",(VLOOKUP($A108,OmicronVol,(IF('Pricing Inputs'!$AT$3=2,3,IF('Pricing Inputs'!$AT$3=1,4,2))),FALSE())))</f>
        <v>#N/A</v>
      </c>
      <c r="BS108" s="295" t="e">
        <f aca="false">IF($A108="N/A"," ",IF('Pricing Inputs'!$AN$3=1,(IF(DateToday&gt;$A108,$BR108,((($BQ108^2)*((($A108-1)-DateToday)/((EOMONTH($A108,0)+1)-DateToday-15)))+((($BR108)^2)*((15)/((EOMONTH($A108,0)+1)-DateToday-15))))^0.5)),0.0001))</f>
        <v>#N/A</v>
      </c>
      <c r="BT108" s="294" t="n">
        <f aca="false">IF($A108="N/A"," ",IF('Pricing Inputs'!$AN$3=1,(VLOOKUP($A108,CorrelationTable,2,FALSE())),0))</f>
        <v>0.9</v>
      </c>
      <c r="BU108" s="296" t="e">
        <f aca="false">IF($A108="N/A"," ",F108+G108+(D108*(VLOOKUP($A108,'Gas Curves'!$B$17:$P$310,14,FALSE()))))</f>
        <v>#N/A</v>
      </c>
      <c r="BV108" s="294" t="n">
        <f aca="false">IF($A108="N/A"," ",IF('Pricing Inputs'!$AW$3=1,0,(VLOOKUP($A108,InterestRatesTable,2))))</f>
        <v>0</v>
      </c>
      <c r="BW108" s="297" t="n">
        <f aca="false">IF($A108="N/A"," ",(1+BV108/2)^(-2*((EOMONTH(A108,0)+20)-DateToday)/365.25))</f>
        <v>1</v>
      </c>
    </row>
    <row r="109" customFormat="false" ht="12.75" hidden="false" customHeight="false" outlineLevel="0" collapsed="false">
      <c r="A109" s="272" t="n">
        <f aca="false">IF(A108="N/A","N/A",IF(EDATE(A108,1)&gt;Inputs!$K$3,"N/A",EDATE(A108,1)))</f>
        <v>40087</v>
      </c>
      <c r="B109" s="273" t="n">
        <f aca="false">IF(A109="N/A"," ",YEAR(A109))</f>
        <v>2009</v>
      </c>
      <c r="C109" s="274" t="e">
        <f aca="false">IF(A109="N/A"," ",VLOOKUP(A109,ScaledPrice,10))</f>
        <v>#N/A</v>
      </c>
      <c r="D109" s="275" t="n">
        <f aca="false">IF(A109="N/A"," ",(VLOOKUP(MONTH($A109),Inputs!$A$14:$B$25,2))/1000)</f>
        <v>10.5</v>
      </c>
      <c r="E109" s="276" t="e">
        <f aca="false">IF($A109="N/A"," ",C109*D109)</f>
        <v>#N/A</v>
      </c>
      <c r="F109" s="277" t="n">
        <f aca="false">IF(A109="N/A"," ",Inputs!$F$6)</f>
        <v>2</v>
      </c>
      <c r="G109" s="277" t="n">
        <f aca="false">IF(A109="N/A"," ",Inputs!$F$9/IF(AND('Pricing Inputs'!$AQ$3&gt;=4,'Pricing Inputs'!$AQ$3&lt;=6),16,IF(AND('Pricing Inputs'!$AQ$3&gt;=7,'Pricing Inputs'!$AQ$3&lt;=9),8,24))/(BA109/BW109))</f>
        <v>0</v>
      </c>
      <c r="H109" s="278" t="e">
        <f aca="false">IF(A109="N/A"," ",(C109*D109)+F109+G109)</f>
        <v>#N/A</v>
      </c>
      <c r="I109" s="279" t="n">
        <f aca="false">VLOOKUP(A109,ScaledPrice,(IF(AND('Pricing Inputs'!$AQ$3&gt;=1,'Pricing Inputs'!$AQ$3&lt;=6),2,4)))</f>
        <v>30.4959825</v>
      </c>
      <c r="J109" s="279" t="n">
        <f aca="false">IF(A109="N/A"," ",IF(AND('Pricing Inputs'!$AQ$3&gt;=1,'Pricing Inputs'!$AQ$3&lt;=6),I109,(VLOOKUP(A109,ScaledPrice,2))*(2-(VLOOKUP(A109,ScaledPrice,3)))))</f>
        <v>31.3040175</v>
      </c>
      <c r="K109" s="279" t="n">
        <f aca="false">IF(A109="N/A"," ",IF(OR('Pricing Inputs'!$AQ$3=2,'Pricing Inputs'!$AQ$3=3,'Pricing Inputs'!$AQ$3=5,'Pricing Inputs'!$AQ$3=6,'Pricing Inputs'!$AQ$3=8,'Pricing Inputs'!$AQ$3=9),VLOOKUP(A109,ScaledPrice,IF(AND('Pricing Inputs'!$AQ$3&gt;=2,'Pricing Inputs'!$AQ$3&lt;=6),5,6)),0))</f>
        <v>23.884078567915</v>
      </c>
      <c r="L109" s="279" t="n">
        <f aca="false">IF(A109="N/A"," ",IF(OR('Pricing Inputs'!$AQ$3=2,'Pricing Inputs'!$AQ$3=3,'Pricing Inputs'!$AQ$3=5,'Pricing Inputs'!$AQ$3=6,'Pricing Inputs'!$AQ$3=8,'Pricing Inputs'!$AQ$3=9),IF(AND('Pricing Inputs'!$AQ$3&gt;=2,'Pricing Inputs'!$AQ$3&lt;=6),K109,(VLOOKUP(A109,ScaledPrice,5))*(2-(VLOOKUP(A109,ScaledPrice,3)))),0))</f>
        <v>24.5169216457081</v>
      </c>
      <c r="M109" s="279" t="n">
        <f aca="false">IF(A109="N/A"," ",IF(OR('Pricing Inputs'!$AQ$3=3,'Pricing Inputs'!$AQ$3=6,'Pricing Inputs'!$AQ$3=9),(VLOOKUP(A109,ScaledPrice,IF(AND('Pricing Inputs'!$AQ$3&gt;=3,'Pricing Inputs'!$AQ$3&lt;=6),7,8))),0))</f>
        <v>21.9107217593479</v>
      </c>
      <c r="N109" s="279" t="n">
        <f aca="false">IF(A109="N/A"," ",IF(OR('Pricing Inputs'!$AQ$3=3,'Pricing Inputs'!$AQ$3=6,'Pricing Inputs'!$AQ$3=9),IF(AND('Pricing Inputs'!$AQ$3&gt;=3,'Pricing Inputs'!$AQ$3&lt;=6),M109,(VLOOKUP(A109,ScaledPrice,7))*(2-(VLOOKUP(A109,ScaledPrice,3)))),0))</f>
        <v>22.4912779049587</v>
      </c>
      <c r="O109" s="279" t="n">
        <f aca="false">IF(A109="N/A"," ",IF(AND('Pricing Inputs'!$AQ$3&gt;=1,'Pricing Inputs'!$AQ$3&lt;=3),VLOOKUP(A109,ScaledPrice,9),0))</f>
        <v>0</v>
      </c>
      <c r="P109" s="280" t="e">
        <f aca="false">IF($A109="N/A"," ",IF('Pricing Inputs'!$AN$8=2,(I109-H109),IF('Pricing Inputs'!$AN$3=2,IF((I109-$H109)&gt;0,I109-$H109,0),(xSPRDOPT(I109,$E109,$BU109,0,$BP109,$BS109,$BT109,($A109-Inputs!$D$1)+15,1,0)))))</f>
        <v>#NAME?</v>
      </c>
      <c r="Q109" s="280" t="e">
        <f aca="false">IF($A109="N/A"," ",IF('Pricing Inputs'!$AN$8=2,(J109-$H109),IF('Pricing Inputs'!$AN$3=2,IF((J109-$H109)&gt;0,J109-$H109,0),(xSPRDOPT(J109,$E109,$BU109,0,$BP109,$BS109,$BT109,($A109-Inputs!$D$1)+15,1,0)))))</f>
        <v>#NAME?</v>
      </c>
      <c r="R109" s="280" t="e">
        <f aca="false">IF($A109="N/A"," ",IF('Pricing Inputs'!$AN$8=2,(K109-$H109),IF('Pricing Inputs'!$AN$3=2,IF((K109-$H109)&gt;0,K109-$H109,0),(xSPRDOPT(K109,$E109,$BU109,0,$BP109,$BS109,$BT109,($A109-Inputs!$D$1)+15,1,0)))))</f>
        <v>#NAME?</v>
      </c>
      <c r="S109" s="280" t="e">
        <f aca="false">IF($A109="N/A"," ",IF('Pricing Inputs'!$AN$8=2,(L109-$H109),IF('Pricing Inputs'!$AN$3=2,IF((L109-$H109)&gt;0,L109-$H109,0),(xSPRDOPT(L109,$E109,$BU109,0,$BP109,$BS109,$BT109,($A109-Inputs!$D$1)+15,1,0)))))</f>
        <v>#NAME?</v>
      </c>
      <c r="T109" s="280" t="e">
        <f aca="false">IF($A109="N/A"," ",IF('Pricing Inputs'!$AN$8=2,(M109-$H109),IF('Pricing Inputs'!$AN$3=2,IF((M109-$H109)&gt;0,M109-$H109,0),(xSPRDOPT(M109,$E109,$BU109,0,$BP109,$BS109,$BT109,($A109-Inputs!$D$1)+15,1,0)))))</f>
        <v>#NAME?</v>
      </c>
      <c r="U109" s="280" t="e">
        <f aca="false">IF($A109="N/A"," ",IF('Pricing Inputs'!$AN$8=2,(N109-$H109),IF('Pricing Inputs'!$AN$3=2,IF((N109-$H109)&gt;0,N109-$H109,0),(xSPRDOPT(N109,$E109,$BU109,0,$BP109,$BS109,$BT109,($A109-Inputs!$D$1)+15,1,0)))))</f>
        <v>#NAME?</v>
      </c>
      <c r="V109" s="281" t="e">
        <f aca="false">IF($A109="N/A"," ",(IF('Pricing Inputs'!$AN$8=2,(O109-$H109),IF((O109-$H109)&lt;=0,0,(O109-$H109)))))</f>
        <v>#N/A</v>
      </c>
      <c r="W109" s="282" t="e">
        <f aca="false">IF($A109="N/A"," ",IF(0&lt;&gt;P109,IF('Pricing Inputs'!$AN$3=2,8*VLOOKUP($A109,NumberofDaysTable,2),(xSPRDOPT(I109,$E109,$BU109,0,$BP109,$BS109,$BT109,$A109-Inputs!$D$1,1,1))*(8*VLOOKUP($A109,NumberofDaysTable,2))),0))</f>
        <v>#NAME?</v>
      </c>
      <c r="X109" s="282" t="e">
        <f aca="false">IF($A109="N/A"," ",IF(Q109&lt;&gt;0,IF('Pricing Inputs'!$AN$3=2,8*VLOOKUP($A109,NumberofDaysTable,2),(xSPRDOPT(J109,$E109,$BU109,0,$BP109,$BS109,$BT109,$A109-Inputs!$D$1,1,1))*(8*VLOOKUP($A109,NumberofDaysTable,2))),0))</f>
        <v>#NAME?</v>
      </c>
      <c r="Y109" s="282" t="e">
        <f aca="false">IF($A109="N/A"," ",IF(R109&lt;&gt;0,IF('Pricing Inputs'!$AN$3=2,8*VLOOKUP($A109,NumberofDaysTable,3),(xSPRDOPT(K109,$E109,$BU109,0,$BP109,$BS109,$BT109,$A109-Inputs!$D$1,1,1))*(8*VLOOKUP($A109,NumberofDaysTable,3))),0))</f>
        <v>#NAME?</v>
      </c>
      <c r="Z109" s="282" t="e">
        <f aca="false">IF($A109="N/A"," ",IF(S109&lt;&gt;0,IF('Pricing Inputs'!$AN$3=2,8*VLOOKUP($A109,NumberofDaysTable,3),(xSPRDOPT(L109,$E109,$BU109,0,$BP109,$BS109,$BT109,$A109-Inputs!$D$1,1,1))*(8*VLOOKUP($A109,NumberofDaysTable,3))),0))</f>
        <v>#NAME?</v>
      </c>
      <c r="AA109" s="282" t="e">
        <f aca="false">IF($A109="N/A"," ",IF(T109&lt;&gt;0,IF('Pricing Inputs'!$AN$3=2,8*VLOOKUP($A109,NumberofDaysTable,4),(xSPRDOPT(M109,$E109,$BU109,0,$BP109,$BS109,$BT109,$A109-Inputs!$D$1,1,1))*(8*VLOOKUP($A109,NumberofDaysTable,4))),0))</f>
        <v>#NAME?</v>
      </c>
      <c r="AB109" s="282" t="e">
        <f aca="false">IF($A109="N/A"," ",IF(U109&lt;&gt;0,IF('Pricing Inputs'!$AN$3=2,8*VLOOKUP($A109,NumberofDaysTable,4),(xSPRDOPT(N109,$E109,$BU109,0,$BP109,$BS109,$BT109,$A109-Inputs!$D$1,1,1))*(8*VLOOKUP($A109,NumberofDaysTable,4))),0))</f>
        <v>#NAME?</v>
      </c>
      <c r="AC109" s="282" t="e">
        <f aca="false">IF($A109="N/A"," ",(IF(V109&lt;&gt;0,(8*VLOOKUP($A109,NumberofDaysTable,6)),0)))</f>
        <v>#N/A</v>
      </c>
      <c r="AD109" s="298" t="e">
        <f aca="false">IF($A109="N/A"," ",RANK(P109,$P$100:$V$111))</f>
        <v>#NAME?</v>
      </c>
      <c r="AE109" s="299" t="e">
        <f aca="false">IF($A109="N/A"," ",RANK(Q109,$P$100:$V$111))</f>
        <v>#NAME?</v>
      </c>
      <c r="AF109" s="299" t="e">
        <f aca="false">IF($A109="N/A"," ",RANK(R109,$P$100:$V$111))</f>
        <v>#NAME?</v>
      </c>
      <c r="AG109" s="299" t="e">
        <f aca="false">IF($A109="N/A"," ",RANK(S109,$P$100:$V$111))</f>
        <v>#NAME?</v>
      </c>
      <c r="AH109" s="299" t="e">
        <f aca="false">IF($A109="N/A"," ",RANK(T109,$P$100:$V$111))</f>
        <v>#NAME?</v>
      </c>
      <c r="AI109" s="299" t="e">
        <f aca="false">IF($A109="N/A"," ",RANK(U109,$P$100:$V$111))</f>
        <v>#NAME?</v>
      </c>
      <c r="AJ109" s="300" t="e">
        <f aca="false">IF($A109="N/A"," ",RANK(V109,$P$100:$V$111))</f>
        <v>#NAME?</v>
      </c>
      <c r="AK109" s="286" t="e">
        <f aca="false">IF($A109="N/A"," ",IF(AD109&lt;=$AJ$2,W109,0))</f>
        <v>#NAME?</v>
      </c>
      <c r="AL109" s="301" t="e">
        <f aca="false">IF($A109="N/A"," ",IF(AE109&lt;=$AJ$2,X109,0))</f>
        <v>#NAME?</v>
      </c>
      <c r="AM109" s="301" t="e">
        <f aca="false">IF($A109="N/A"," ",IF(AF109&lt;=$AJ$2,Y109,0))</f>
        <v>#NAME?</v>
      </c>
      <c r="AN109" s="301" t="e">
        <f aca="false">IF($A109="N/A"," ",IF(AG109&lt;=$AJ$2,Z109,0))</f>
        <v>#NAME?</v>
      </c>
      <c r="AO109" s="301" t="e">
        <f aca="false">IF($A109="N/A"," ",IF(AH109&lt;=$AJ$2,AA109,0))</f>
        <v>#NAME?</v>
      </c>
      <c r="AP109" s="301" t="e">
        <f aca="false">IF($A109="N/A"," ",IF(AI109&lt;=$AJ$2,AB109,0))</f>
        <v>#NAME?</v>
      </c>
      <c r="AQ109" s="301" t="e">
        <f aca="false">IF($A109="N/A"," ",IF(AJ109&lt;=$AJ$2,AC109,0))</f>
        <v>#NAME?</v>
      </c>
      <c r="AR109" s="304" t="s">
        <v>1301</v>
      </c>
      <c r="AS109" s="288" t="e">
        <f aca="false">IF($A109="N/A"," ",IF(AND(AD109=$AJ$2+1,AK109=0),MIN($AR$111,W109),0))</f>
        <v>#NAME?</v>
      </c>
      <c r="AT109" s="302" t="e">
        <f aca="false">IF($A109="N/A"," ",IF(AND(AE109=$AJ$2+1,AL109=0),MIN($AR$111,X109),0))</f>
        <v>#NAME?</v>
      </c>
      <c r="AU109" s="302" t="e">
        <f aca="false">IF($A109="N/A"," ",IF(AND(AF109=$AJ$2+1,AM109=0),MIN($AR$111,Y109),0))</f>
        <v>#NAME?</v>
      </c>
      <c r="AV109" s="302" t="e">
        <f aca="false">IF($A109="N/A"," ",IF(AND(AG109=$AJ$2+1,AN109=0),MIN($AR$111,Z109),0))</f>
        <v>#NAME?</v>
      </c>
      <c r="AW109" s="302" t="e">
        <f aca="false">IF($A109="N/A"," ",IF(AND(AH109=$AJ$2+1,AO109=0),MIN($AR$111,AA109),0))</f>
        <v>#NAME?</v>
      </c>
      <c r="AX109" s="302" t="e">
        <f aca="false">IF($A109="N/A"," ",IF(AND(AI109=$AJ$2+1,AP109=0),MIN($AR$111,AB109),0))</f>
        <v>#NAME?</v>
      </c>
      <c r="AY109" s="302" t="e">
        <f aca="false">IF($A109="N/A"," ",IF(AND(AJ109=$AJ$2+1,AQ109=0),MIN($AR$111,AC109),0))</f>
        <v>#NAME?</v>
      </c>
      <c r="AZ109" s="303" t="s">
        <v>1328</v>
      </c>
      <c r="BA109" s="291" t="n">
        <f aca="false">IF($A109="N/A"," ",(IF(MONTH(A109)&gt;=4,IF(MONTH(A109)&lt;=10,Inputs!$F$13,Inputs!$F$14),Inputs!$F$14))*$BW109)</f>
        <v>180</v>
      </c>
      <c r="BB109" s="292" t="e">
        <f aca="false">IF($A109="N/A"," ",(IF(AK109&gt;0,($BA109*(8*(VLOOKUP($A109,NumberofDaysTable,2)))*P109),0)+IF(AS109&gt;0,($BA109*((AS109))*P109),0)))</f>
        <v>#NAME?</v>
      </c>
      <c r="BC109" s="292" t="e">
        <f aca="false">IF($A109="N/A"," ",(IF(AL109&gt;0,($BA109*(8*(VLOOKUP($A109,NumberofDaysTable,2)))*Q109),0)+IF(AT109&gt;0,($BA109*((AT109))*Q109),0)))</f>
        <v>#NAME?</v>
      </c>
      <c r="BD109" s="292" t="e">
        <f aca="false">IF($A109="N/A"," ",(IF(AM109&gt;0,($BA109*(8*(VLOOKUP($A109,NumberofDaysTable,3)))*R109),0)+IF(AU109&gt;0,($BA109*((AU109))*R109),0)))</f>
        <v>#NAME?</v>
      </c>
      <c r="BE109" s="292" t="e">
        <f aca="false">IF($A109="N/A"," ",(IF(AN109&gt;0,($BA109*(8*(VLOOKUP($A109,NumberofDaysTable,3)))*S109),0)+IF(AV109&gt;0,($BA109*((AV109))*S109),0)))</f>
        <v>#NAME?</v>
      </c>
      <c r="BF109" s="292" t="e">
        <f aca="false">IF($A109="N/A"," ",(IF(AO109&gt;0,($BA109*(8*(VLOOKUP($A109,NumberofDaysTable,4)+VLOOKUP($A109,NumberofDaysTable,5)))*T109),0)+IF(AW109&gt;0,($BA109*((AW109))*T109),0)))</f>
        <v>#NAME?</v>
      </c>
      <c r="BG109" s="292" t="e">
        <f aca="false">IF($A109="N/A"," ",(IF(AP109&gt;0,($BA109*(8*(VLOOKUP($A109,NumberofDaysTable,4)+VLOOKUP($A109,NumberofDaysTable,5)))*U109),0)+IF(AX109&gt;0,($BA109*((AX109))*U109),0)))</f>
        <v>#NAME?</v>
      </c>
      <c r="BH109" s="292" t="e">
        <f aca="false">IF($A109="N/A"," ",($BA109*AQ109*V109))</f>
        <v>#NAME?</v>
      </c>
      <c r="BI109" s="292" t="e">
        <f aca="false">IF($A109="N/A"," ",SUM(BB109:BH109))</f>
        <v>#NAME?</v>
      </c>
      <c r="BJ109" s="293" t="e">
        <f aca="false">IF($A109="N/A"," ",(H109*(SUM(AK109:AQ109)+SUM(AS109:AY109))*BA109))</f>
        <v>#NAME?</v>
      </c>
      <c r="BK109" s="293" t="e">
        <f aca="false">IF($A109="N/A"," ",((C109*D109)*(SUM($AK109:$AQ109)+SUM($AS109:$AY109))*$BA109))</f>
        <v>#N/A</v>
      </c>
      <c r="BL109" s="293" t="e">
        <f aca="false">IF($A109="N/A"," ",(F109*(SUM($AK109:$AQ109)+SUM($AS109:$AY109))*$BA109))</f>
        <v>#NAME?</v>
      </c>
      <c r="BM109" s="293" t="e">
        <f aca="false">IF($A109="N/A"," ",(G109*(SUM($AK109:$AQ109)+SUM($AS109:$AY109))*$BA109))</f>
        <v>#NAME?</v>
      </c>
      <c r="BN109" s="294" t="n">
        <f aca="false">IF(A109="N/A"," ",(VLOOKUP(A109,PowerVolTable,(IF('Pricing Inputs'!$AT$3=2,7,IF('Pricing Inputs'!$AT$3=1,6,8))),FALSE())))</f>
        <v>0.160614086415082</v>
      </c>
      <c r="BO109" s="294" t="n">
        <f aca="false">IF(A109="N/A"," ",(VLOOKUP(A109,IntraPowerVol,(IF('Pricing Inputs'!$AT$3=2,3,IF('Pricing Inputs'!$AT$3=1,2,4))),FALSE())*VLOOKUP(MONTH($A109),Inputs!$A$28:$B$39,2)))</f>
        <v>1.265</v>
      </c>
      <c r="BP109" s="295" t="n">
        <f aca="false">IF($A109="N/A"," ",(IF(DateToday&gt;$A109,$BO109,((($BN109^2)*((($A109-1)-DateToday)/((EOMONTH($A109,0)+1)-DateToday-15)))+((($BO109)^2)*((15)/((EOMONTH($A109,0)+1)-DateToday-15))))^0.5)))</f>
        <v>1.265</v>
      </c>
      <c r="BQ109" s="294" t="e">
        <f aca="false">IF($A109="N/A"," ",(VLOOKUP($A109,GasVolTable,(IF('Pricing Inputs'!$AT$3=2,6,IF('Pricing Inputs'!$AT$3=1,7,5))),FALSE())))</f>
        <v>#N/A</v>
      </c>
      <c r="BR109" s="294" t="e">
        <f aca="false">IF($A109="N/A"," ",(VLOOKUP($A109,OmicronVol,(IF('Pricing Inputs'!$AT$3=2,3,IF('Pricing Inputs'!$AT$3=1,4,2))),FALSE())))</f>
        <v>#N/A</v>
      </c>
      <c r="BS109" s="295" t="e">
        <f aca="false">IF($A109="N/A"," ",IF('Pricing Inputs'!$AN$3=1,(IF(DateToday&gt;$A109,$BR109,((($BQ109^2)*((($A109-1)-DateToday)/((EOMONTH($A109,0)+1)-DateToday-15)))+((($BR109)^2)*((15)/((EOMONTH($A109,0)+1)-DateToday-15))))^0.5)),0.0001))</f>
        <v>#N/A</v>
      </c>
      <c r="BT109" s="294" t="n">
        <f aca="false">IF($A109="N/A"," ",IF('Pricing Inputs'!$AN$3=1,(VLOOKUP($A109,CorrelationTable,2,FALSE())),0))</f>
        <v>0.9</v>
      </c>
      <c r="BU109" s="296" t="e">
        <f aca="false">IF($A109="N/A"," ",F109+G109+(D109*(VLOOKUP($A109,'Gas Curves'!$B$17:$P$310,14,FALSE()))))</f>
        <v>#N/A</v>
      </c>
      <c r="BV109" s="294" t="n">
        <f aca="false">IF($A109="N/A"," ",IF('Pricing Inputs'!$AW$3=1,0,(VLOOKUP($A109,InterestRatesTable,2))))</f>
        <v>0</v>
      </c>
      <c r="BW109" s="297" t="n">
        <f aca="false">IF($A109="N/A"," ",(1+BV109/2)^(-2*((EOMONTH(A109,0)+20)-DateToday)/365.25))</f>
        <v>1</v>
      </c>
    </row>
    <row r="110" customFormat="false" ht="12.75" hidden="false" customHeight="false" outlineLevel="0" collapsed="false">
      <c r="A110" s="272" t="n">
        <f aca="false">IF(A109="N/A","N/A",IF(EDATE(A109,1)&gt;Inputs!$K$3,"N/A",EDATE(A109,1)))</f>
        <v>40118</v>
      </c>
      <c r="B110" s="273" t="n">
        <f aca="false">IF(A110="N/A"," ",YEAR(A110))</f>
        <v>2009</v>
      </c>
      <c r="C110" s="274" t="e">
        <f aca="false">IF(A110="N/A"," ",VLOOKUP(A110,ScaledPrice,10))</f>
        <v>#N/A</v>
      </c>
      <c r="D110" s="275" t="n">
        <f aca="false">IF(A110="N/A"," ",(VLOOKUP(MONTH($A110),Inputs!$A$14:$B$25,2))/1000)</f>
        <v>10.5</v>
      </c>
      <c r="E110" s="276" t="e">
        <f aca="false">IF($A110="N/A"," ",C110*D110)</f>
        <v>#N/A</v>
      </c>
      <c r="F110" s="277" t="n">
        <f aca="false">IF(A110="N/A"," ",Inputs!$F$6)</f>
        <v>2</v>
      </c>
      <c r="G110" s="277" t="n">
        <f aca="false">IF(A110="N/A"," ",Inputs!$F$9/IF(AND('Pricing Inputs'!$AQ$3&gt;=4,'Pricing Inputs'!$AQ$3&lt;=6),16,IF(AND('Pricing Inputs'!$AQ$3&gt;=7,'Pricing Inputs'!$AQ$3&lt;=9),8,24))/(BA110/BW110))</f>
        <v>0</v>
      </c>
      <c r="H110" s="278" t="e">
        <f aca="false">IF(A110="N/A"," ",(C110*D110)+F110+G110)</f>
        <v>#N/A</v>
      </c>
      <c r="I110" s="279" t="n">
        <f aca="false">VLOOKUP(A110,ScaledPrice,(IF(AND('Pricing Inputs'!$AQ$3&gt;=1,'Pricing Inputs'!$AQ$3&lt;=6),2,4)))</f>
        <v>30.938011875</v>
      </c>
      <c r="J110" s="279" t="n">
        <f aca="false">IF(A110="N/A"," ",IF(AND('Pricing Inputs'!$AQ$3&gt;=1,'Pricing Inputs'!$AQ$3&lt;=6),I110,(VLOOKUP(A110,ScaledPrice,2))*(2-(VLOOKUP(A110,ScaledPrice,3)))))</f>
        <v>31.611988125</v>
      </c>
      <c r="K110" s="279" t="n">
        <f aca="false">IF(A110="N/A"," ",IF(OR('Pricing Inputs'!$AQ$3=2,'Pricing Inputs'!$AQ$3=3,'Pricing Inputs'!$AQ$3=5,'Pricing Inputs'!$AQ$3=6,'Pricing Inputs'!$AQ$3=8,'Pricing Inputs'!$AQ$3=9),VLOOKUP(A110,ScaledPrice,IF(AND('Pricing Inputs'!$AQ$3&gt;=2,'Pricing Inputs'!$AQ$3&lt;=6),5,6)),0))</f>
        <v>24.9331703885651</v>
      </c>
      <c r="L110" s="279" t="n">
        <f aca="false">IF(A110="N/A"," ",IF(OR('Pricing Inputs'!$AQ$3=2,'Pricing Inputs'!$AQ$3=3,'Pricing Inputs'!$AQ$3=5,'Pricing Inputs'!$AQ$3=6,'Pricing Inputs'!$AQ$3=8,'Pricing Inputs'!$AQ$3=9),IF(AND('Pricing Inputs'!$AQ$3&gt;=2,'Pricing Inputs'!$AQ$3&lt;=6),K110,(VLOOKUP(A110,ScaledPrice,5))*(2-(VLOOKUP(A110,ScaledPrice,3)))),0))</f>
        <v>25.4763327852631</v>
      </c>
      <c r="M110" s="279" t="n">
        <f aca="false">IF(A110="N/A"," ",IF(OR('Pricing Inputs'!$AQ$3=3,'Pricing Inputs'!$AQ$3=6,'Pricing Inputs'!$AQ$3=9),(VLOOKUP(A110,ScaledPrice,IF(AND('Pricing Inputs'!$AQ$3&gt;=3,'Pricing Inputs'!$AQ$3&lt;=6),7,8))),0))</f>
        <v>22.9544713313675</v>
      </c>
      <c r="N110" s="279" t="n">
        <f aca="false">IF(A110="N/A"," ",IF(OR('Pricing Inputs'!$AQ$3=3,'Pricing Inputs'!$AQ$3=6,'Pricing Inputs'!$AQ$3=9),IF(AND('Pricing Inputs'!$AQ$3&gt;=3,'Pricing Inputs'!$AQ$3&lt;=6),M110,(VLOOKUP(A110,ScaledPrice,7))*(2-(VLOOKUP(A110,ScaledPrice,3)))),0))</f>
        <v>23.4545283024216</v>
      </c>
      <c r="O110" s="279" t="n">
        <f aca="false">IF(A110="N/A"," ",IF(AND('Pricing Inputs'!$AQ$3&gt;=1,'Pricing Inputs'!$AQ$3&lt;=3),VLOOKUP(A110,ScaledPrice,9),0))</f>
        <v>0</v>
      </c>
      <c r="P110" s="280" t="e">
        <f aca="false">IF($A110="N/A"," ",IF('Pricing Inputs'!$AN$8=2,(I110-H110),IF('Pricing Inputs'!$AN$3=2,IF((I110-$H110)&gt;0,I110-$H110,0),(xSPRDOPT(I110,$E110,$BU110,0,$BP110,$BS110,$BT110,($A110-Inputs!$D$1)+15,1,0)))))</f>
        <v>#NAME?</v>
      </c>
      <c r="Q110" s="280" t="e">
        <f aca="false">IF($A110="N/A"," ",IF('Pricing Inputs'!$AN$8=2,(J110-$H110),IF('Pricing Inputs'!$AN$3=2,IF((J110-$H110)&gt;0,J110-$H110,0),(xSPRDOPT(J110,$E110,$BU110,0,$BP110,$BS110,$BT110,($A110-Inputs!$D$1)+15,1,0)))))</f>
        <v>#NAME?</v>
      </c>
      <c r="R110" s="280" t="e">
        <f aca="false">IF($A110="N/A"," ",IF('Pricing Inputs'!$AN$8=2,(K110-$H110),IF('Pricing Inputs'!$AN$3=2,IF((K110-$H110)&gt;0,K110-$H110,0),(xSPRDOPT(K110,$E110,$BU110,0,$BP110,$BS110,$BT110,($A110-Inputs!$D$1)+15,1,0)))))</f>
        <v>#NAME?</v>
      </c>
      <c r="S110" s="280" t="e">
        <f aca="false">IF($A110="N/A"," ",IF('Pricing Inputs'!$AN$8=2,(L110-$H110),IF('Pricing Inputs'!$AN$3=2,IF((L110-$H110)&gt;0,L110-$H110,0),(xSPRDOPT(L110,$E110,$BU110,0,$BP110,$BS110,$BT110,($A110-Inputs!$D$1)+15,1,0)))))</f>
        <v>#NAME?</v>
      </c>
      <c r="T110" s="280" t="e">
        <f aca="false">IF($A110="N/A"," ",IF('Pricing Inputs'!$AN$8=2,(M110-$H110),IF('Pricing Inputs'!$AN$3=2,IF((M110-$H110)&gt;0,M110-$H110,0),(xSPRDOPT(M110,$E110,$BU110,0,$BP110,$BS110,$BT110,($A110-Inputs!$D$1)+15,1,0)))))</f>
        <v>#NAME?</v>
      </c>
      <c r="U110" s="280" t="e">
        <f aca="false">IF($A110="N/A"," ",IF('Pricing Inputs'!$AN$8=2,(N110-$H110),IF('Pricing Inputs'!$AN$3=2,IF((N110-$H110)&gt;0,N110-$H110,0),(xSPRDOPT(N110,$E110,$BU110,0,$BP110,$BS110,$BT110,($A110-Inputs!$D$1)+15,1,0)))))</f>
        <v>#NAME?</v>
      </c>
      <c r="V110" s="281" t="e">
        <f aca="false">IF($A110="N/A"," ",(IF('Pricing Inputs'!$AN$8=2,(O110-$H110),IF((O110-$H110)&lt;=0,0,(O110-$H110)))))</f>
        <v>#N/A</v>
      </c>
      <c r="W110" s="282" t="e">
        <f aca="false">IF($A110="N/A"," ",IF(0&lt;&gt;P110,IF('Pricing Inputs'!$AN$3=2,8*VLOOKUP($A110,NumberofDaysTable,2),(xSPRDOPT(I110,$E110,$BU110,0,$BP110,$BS110,$BT110,$A110-Inputs!$D$1,1,1))*(8*VLOOKUP($A110,NumberofDaysTable,2))),0))</f>
        <v>#NAME?</v>
      </c>
      <c r="X110" s="282" t="e">
        <f aca="false">IF($A110="N/A"," ",IF(Q110&lt;&gt;0,IF('Pricing Inputs'!$AN$3=2,8*VLOOKUP($A110,NumberofDaysTable,2),(xSPRDOPT(J110,$E110,$BU110,0,$BP110,$BS110,$BT110,$A110-Inputs!$D$1,1,1))*(8*VLOOKUP($A110,NumberofDaysTable,2))),0))</f>
        <v>#NAME?</v>
      </c>
      <c r="Y110" s="282" t="e">
        <f aca="false">IF($A110="N/A"," ",IF(R110&lt;&gt;0,IF('Pricing Inputs'!$AN$3=2,8*VLOOKUP($A110,NumberofDaysTable,3),(xSPRDOPT(K110,$E110,$BU110,0,$BP110,$BS110,$BT110,$A110-Inputs!$D$1,1,1))*(8*VLOOKUP($A110,NumberofDaysTable,3))),0))</f>
        <v>#NAME?</v>
      </c>
      <c r="Z110" s="282" t="e">
        <f aca="false">IF($A110="N/A"," ",IF(S110&lt;&gt;0,IF('Pricing Inputs'!$AN$3=2,8*VLOOKUP($A110,NumberofDaysTable,3),(xSPRDOPT(L110,$E110,$BU110,0,$BP110,$BS110,$BT110,$A110-Inputs!$D$1,1,1))*(8*VLOOKUP($A110,NumberofDaysTable,3))),0))</f>
        <v>#NAME?</v>
      </c>
      <c r="AA110" s="282" t="e">
        <f aca="false">IF($A110="N/A"," ",IF(T110&lt;&gt;0,IF('Pricing Inputs'!$AN$3=2,8*VLOOKUP($A110,NumberofDaysTable,4),(xSPRDOPT(M110,$E110,$BU110,0,$BP110,$BS110,$BT110,$A110-Inputs!$D$1,1,1))*(8*VLOOKUP($A110,NumberofDaysTable,4))),0))</f>
        <v>#NAME?</v>
      </c>
      <c r="AB110" s="282" t="e">
        <f aca="false">IF($A110="N/A"," ",IF(U110&lt;&gt;0,IF('Pricing Inputs'!$AN$3=2,8*VLOOKUP($A110,NumberofDaysTable,4),(xSPRDOPT(N110,$E110,$BU110,0,$BP110,$BS110,$BT110,$A110-Inputs!$D$1,1,1))*(8*VLOOKUP($A110,NumberofDaysTable,4))),0))</f>
        <v>#NAME?</v>
      </c>
      <c r="AC110" s="282" t="e">
        <f aca="false">IF($A110="N/A"," ",(IF(V110&lt;&gt;0,(8*VLOOKUP($A110,NumberofDaysTable,6)),0)))</f>
        <v>#N/A</v>
      </c>
      <c r="AD110" s="298" t="e">
        <f aca="false">IF($A110="N/A"," ",RANK(P110,$P$100:$V$111))</f>
        <v>#NAME?</v>
      </c>
      <c r="AE110" s="299" t="e">
        <f aca="false">IF($A110="N/A"," ",RANK(Q110,$P$100:$V$111))</f>
        <v>#NAME?</v>
      </c>
      <c r="AF110" s="299" t="e">
        <f aca="false">IF($A110="N/A"," ",RANK(R110,$P$100:$V$111))</f>
        <v>#NAME?</v>
      </c>
      <c r="AG110" s="299" t="e">
        <f aca="false">IF($A110="N/A"," ",RANK(S110,$P$100:$V$111))</f>
        <v>#NAME?</v>
      </c>
      <c r="AH110" s="299" t="e">
        <f aca="false">IF($A110="N/A"," ",RANK(T110,$P$100:$V$111))</f>
        <v>#NAME?</v>
      </c>
      <c r="AI110" s="299" t="e">
        <f aca="false">IF($A110="N/A"," ",RANK(U110,$P$100:$V$111))</f>
        <v>#NAME?</v>
      </c>
      <c r="AJ110" s="300" t="e">
        <f aca="false">IF($A110="N/A"," ",RANK(V110,$P$100:$V$111))</f>
        <v>#NAME?</v>
      </c>
      <c r="AK110" s="286" t="e">
        <f aca="false">IF($A110="N/A"," ",IF(AD110&lt;=$AJ$2,W110,0))</f>
        <v>#NAME?</v>
      </c>
      <c r="AL110" s="301" t="e">
        <f aca="false">IF($A110="N/A"," ",IF(AE110&lt;=$AJ$2,X110,0))</f>
        <v>#NAME?</v>
      </c>
      <c r="AM110" s="301" t="e">
        <f aca="false">IF($A110="N/A"," ",IF(AF110&lt;=$AJ$2,Y110,0))</f>
        <v>#NAME?</v>
      </c>
      <c r="AN110" s="301" t="e">
        <f aca="false">IF($A110="N/A"," ",IF(AG110&lt;=$AJ$2,Z110,0))</f>
        <v>#NAME?</v>
      </c>
      <c r="AO110" s="301" t="e">
        <f aca="false">IF($A110="N/A"," ",IF(AH110&lt;=$AJ$2,AA110,0))</f>
        <v>#NAME?</v>
      </c>
      <c r="AP110" s="301" t="e">
        <f aca="false">IF($A110="N/A"," ",IF(AI110&lt;=$AJ$2,AB110,0))</f>
        <v>#NAME?</v>
      </c>
      <c r="AQ110" s="301" t="e">
        <f aca="false">IF($A110="N/A"," ",IF(AJ110&lt;=$AJ$2,AC110,0))</f>
        <v>#NAME?</v>
      </c>
      <c r="AR110" s="300" t="e">
        <f aca="false">SUM(AK100:AQ111)</f>
        <v>#NAME?</v>
      </c>
      <c r="AS110" s="288" t="e">
        <f aca="false">IF($A110="N/A"," ",IF(AND(AD110=$AJ$2+1,AK110=0),MIN($AR$111,W110),0))</f>
        <v>#NAME?</v>
      </c>
      <c r="AT110" s="302" t="e">
        <f aca="false">IF($A110="N/A"," ",IF(AND(AE110=$AJ$2+1,AL110=0),MIN($AR$111,X110),0))</f>
        <v>#NAME?</v>
      </c>
      <c r="AU110" s="302" t="e">
        <f aca="false">IF($A110="N/A"," ",IF(AND(AF110=$AJ$2+1,AM110=0),MIN($AR$111,Y110),0))</f>
        <v>#NAME?</v>
      </c>
      <c r="AV110" s="302" t="e">
        <f aca="false">IF($A110="N/A"," ",IF(AND(AG110=$AJ$2+1,AN110=0),MIN($AR$111,Z110),0))</f>
        <v>#NAME?</v>
      </c>
      <c r="AW110" s="302" t="e">
        <f aca="false">IF($A110="N/A"," ",IF(AND(AH110=$AJ$2+1,AO110=0),MIN($AR$111,AA110),0))</f>
        <v>#NAME?</v>
      </c>
      <c r="AX110" s="302" t="e">
        <f aca="false">IF($A110="N/A"," ",IF(AND(AI110=$AJ$2+1,AP110=0),MIN($AR$111,AB110),0))</f>
        <v>#NAME?</v>
      </c>
      <c r="AY110" s="302" t="e">
        <f aca="false">IF($A110="N/A"," ",IF(AND(AJ110=$AJ$2+1,AQ110=0),MIN($AR$111,AC110),0))</f>
        <v>#NAME?</v>
      </c>
      <c r="AZ110" s="300" t="e">
        <f aca="false">SUM(AS100:AY111)</f>
        <v>#NAME?</v>
      </c>
      <c r="BA110" s="291" t="n">
        <f aca="false">IF($A110="N/A"," ",(IF(MONTH(A110)&gt;=4,IF(MONTH(A110)&lt;=10,Inputs!$F$13,Inputs!$F$14),Inputs!$F$14))*$BW110)</f>
        <v>180</v>
      </c>
      <c r="BB110" s="292" t="e">
        <f aca="false">IF($A110="N/A"," ",(IF(AK110&gt;0,($BA110*(8*(VLOOKUP($A110,NumberofDaysTable,2)))*P110),0)+IF(AS110&gt;0,($BA110*((AS110))*P110),0)))</f>
        <v>#NAME?</v>
      </c>
      <c r="BC110" s="292" t="e">
        <f aca="false">IF($A110="N/A"," ",(IF(AL110&gt;0,($BA110*(8*(VLOOKUP($A110,NumberofDaysTable,2)))*Q110),0)+IF(AT110&gt;0,($BA110*((AT110))*Q110),0)))</f>
        <v>#NAME?</v>
      </c>
      <c r="BD110" s="292" t="e">
        <f aca="false">IF($A110="N/A"," ",(IF(AM110&gt;0,($BA110*(8*(VLOOKUP($A110,NumberofDaysTable,3)))*R110),0)+IF(AU110&gt;0,($BA110*((AU110))*R110),0)))</f>
        <v>#NAME?</v>
      </c>
      <c r="BE110" s="292" t="e">
        <f aca="false">IF($A110="N/A"," ",(IF(AN110&gt;0,($BA110*(8*(VLOOKUP($A110,NumberofDaysTable,3)))*S110),0)+IF(AV110&gt;0,($BA110*((AV110))*S110),0)))</f>
        <v>#NAME?</v>
      </c>
      <c r="BF110" s="292" t="e">
        <f aca="false">IF($A110="N/A"," ",(IF(AO110&gt;0,($BA110*(8*(VLOOKUP($A110,NumberofDaysTable,4)+VLOOKUP($A110,NumberofDaysTable,5)))*T110),0)+IF(AW110&gt;0,($BA110*((AW110))*T110),0)))</f>
        <v>#NAME?</v>
      </c>
      <c r="BG110" s="292" t="e">
        <f aca="false">IF($A110="N/A"," ",(IF(AP110&gt;0,($BA110*(8*(VLOOKUP($A110,NumberofDaysTable,4)+VLOOKUP($A110,NumberofDaysTable,5)))*U110),0)+IF(AX110&gt;0,($BA110*((AX110))*U110),0)))</f>
        <v>#NAME?</v>
      </c>
      <c r="BH110" s="292" t="e">
        <f aca="false">IF($A110="N/A"," ",($BA110*AQ110*V110))</f>
        <v>#NAME?</v>
      </c>
      <c r="BI110" s="292" t="e">
        <f aca="false">IF($A110="N/A"," ",SUM(BB110:BH110))</f>
        <v>#NAME?</v>
      </c>
      <c r="BJ110" s="293" t="e">
        <f aca="false">IF($A110="N/A"," ",(H110*(SUM(AK110:AQ110)+SUM(AS110:AY110))*BA110))</f>
        <v>#NAME?</v>
      </c>
      <c r="BK110" s="293" t="e">
        <f aca="false">IF($A110="N/A"," ",((C110*D110)*(SUM($AK110:$AQ110)+SUM($AS110:$AY110))*$BA110))</f>
        <v>#N/A</v>
      </c>
      <c r="BL110" s="293" t="e">
        <f aca="false">IF($A110="N/A"," ",(F110*(SUM($AK110:$AQ110)+SUM($AS110:$AY110))*$BA110))</f>
        <v>#NAME?</v>
      </c>
      <c r="BM110" s="293" t="e">
        <f aca="false">IF($A110="N/A"," ",(G110*(SUM($AK110:$AQ110)+SUM($AS110:$AY110))*$BA110))</f>
        <v>#NAME?</v>
      </c>
      <c r="BN110" s="294" t="n">
        <f aca="false">IF(A110="N/A"," ",(VLOOKUP(A110,PowerVolTable,(IF('Pricing Inputs'!$AT$3=2,7,IF('Pricing Inputs'!$AT$3=1,6,8))),FALSE())))</f>
        <v>0.160614086415082</v>
      </c>
      <c r="BO110" s="294" t="n">
        <f aca="false">IF(A110="N/A"," ",(VLOOKUP(A110,IntraPowerVol,(IF('Pricing Inputs'!$AT$3=2,3,IF('Pricing Inputs'!$AT$3=1,2,4))),FALSE())*VLOOKUP(MONTH($A110),Inputs!$A$28:$B$39,2)))</f>
        <v>1.4375</v>
      </c>
      <c r="BP110" s="295" t="n">
        <f aca="false">IF($A110="N/A"," ",(IF(DateToday&gt;$A110,$BO110,((($BN110^2)*((($A110-1)-DateToday)/((EOMONTH($A110,0)+1)-DateToday-15)))+((($BO110)^2)*((15)/((EOMONTH($A110,0)+1)-DateToday-15))))^0.5)))</f>
        <v>1.4375</v>
      </c>
      <c r="BQ110" s="294" t="e">
        <f aca="false">IF($A110="N/A"," ",(VLOOKUP($A110,GasVolTable,(IF('Pricing Inputs'!$AT$3=2,6,IF('Pricing Inputs'!$AT$3=1,7,5))),FALSE())))</f>
        <v>#N/A</v>
      </c>
      <c r="BR110" s="294" t="e">
        <f aca="false">IF($A110="N/A"," ",(VLOOKUP($A110,OmicronVol,(IF('Pricing Inputs'!$AT$3=2,3,IF('Pricing Inputs'!$AT$3=1,4,2))),FALSE())))</f>
        <v>#N/A</v>
      </c>
      <c r="BS110" s="295" t="e">
        <f aca="false">IF($A110="N/A"," ",IF('Pricing Inputs'!$AN$3=1,(IF(DateToday&gt;$A110,$BR110,((($BQ110^2)*((($A110-1)-DateToday)/((EOMONTH($A110,0)+1)-DateToday-15)))+((($BR110)^2)*((15)/((EOMONTH($A110,0)+1)-DateToday-15))))^0.5)),0.0001))</f>
        <v>#N/A</v>
      </c>
      <c r="BT110" s="294" t="n">
        <f aca="false">IF($A110="N/A"," ",IF('Pricing Inputs'!$AN$3=1,(VLOOKUP($A110,CorrelationTable,2,FALSE())),0))</f>
        <v>0.9</v>
      </c>
      <c r="BU110" s="296" t="e">
        <f aca="false">IF($A110="N/A"," ",F110+G110+(D110*(VLOOKUP($A110,'Gas Curves'!$B$17:$P$310,14,FALSE()))))</f>
        <v>#N/A</v>
      </c>
      <c r="BV110" s="294" t="n">
        <f aca="false">IF($A110="N/A"," ",IF('Pricing Inputs'!$AW$3=1,0,(VLOOKUP($A110,InterestRatesTable,2))))</f>
        <v>0</v>
      </c>
      <c r="BW110" s="297" t="n">
        <f aca="false">IF($A110="N/A"," ",(1+BV110/2)^(-2*((EOMONTH(A110,0)+20)-DateToday)/365.25))</f>
        <v>1</v>
      </c>
    </row>
    <row r="111" customFormat="false" ht="12.75" hidden="false" customHeight="false" outlineLevel="0" collapsed="false">
      <c r="A111" s="272" t="n">
        <f aca="false">IF(A110="N/A","N/A",IF(EDATE(A110,1)&gt;Inputs!$K$3,"N/A",EDATE(A110,1)))</f>
        <v>40148</v>
      </c>
      <c r="B111" s="273" t="n">
        <f aca="false">IF(A111="N/A"," ",YEAR(A111))</f>
        <v>2009</v>
      </c>
      <c r="C111" s="274" t="e">
        <f aca="false">IF(A111="N/A"," ",VLOOKUP(A111,ScaledPrice,10))</f>
        <v>#N/A</v>
      </c>
      <c r="D111" s="275" t="n">
        <f aca="false">IF(A111="N/A"," ",(VLOOKUP(MONTH($A111),Inputs!$A$14:$B$25,2))/1000)</f>
        <v>10.5</v>
      </c>
      <c r="E111" s="276" t="e">
        <f aca="false">IF($A111="N/A"," ",C111*D111)</f>
        <v>#N/A</v>
      </c>
      <c r="F111" s="277" t="n">
        <f aca="false">IF(A111="N/A"," ",Inputs!$F$6)</f>
        <v>2</v>
      </c>
      <c r="G111" s="277" t="n">
        <f aca="false">IF(A111="N/A"," ",Inputs!$F$9/IF(AND('Pricing Inputs'!$AQ$3&gt;=4,'Pricing Inputs'!$AQ$3&lt;=6),16,IF(AND('Pricing Inputs'!$AQ$3&gt;=7,'Pricing Inputs'!$AQ$3&lt;=9),8,24))/(BA111/BW111))</f>
        <v>0</v>
      </c>
      <c r="H111" s="278" t="e">
        <f aca="false">IF(A111="N/A"," ",(C111*D111)+F111+G111)</f>
        <v>#N/A</v>
      </c>
      <c r="I111" s="279" t="n">
        <f aca="false">VLOOKUP(A111,ScaledPrice,(IF(AND('Pricing Inputs'!$AQ$3&gt;=1,'Pricing Inputs'!$AQ$3&lt;=6),2,4)))</f>
        <v>30.4808807163357</v>
      </c>
      <c r="J111" s="279" t="n">
        <f aca="false">IF(A111="N/A"," ",IF(AND('Pricing Inputs'!$AQ$3&gt;=1,'Pricing Inputs'!$AQ$3&lt;=6),I111,(VLOOKUP(A111,ScaledPrice,2))*(2-(VLOOKUP(A111,ScaledPrice,3)))))</f>
        <v>31.8191192836643</v>
      </c>
      <c r="K111" s="279" t="n">
        <f aca="false">IF(A111="N/A"," ",IF(OR('Pricing Inputs'!$AQ$3=2,'Pricing Inputs'!$AQ$3=3,'Pricing Inputs'!$AQ$3=5,'Pricing Inputs'!$AQ$3=6,'Pricing Inputs'!$AQ$3=8,'Pricing Inputs'!$AQ$3=9),VLOOKUP(A111,ScaledPrice,IF(AND('Pricing Inputs'!$AQ$3&gt;=2,'Pricing Inputs'!$AQ$3&lt;=6),5,6)),0))</f>
        <v>26.0824342426417</v>
      </c>
      <c r="L111" s="279" t="n">
        <f aca="false">IF(A111="N/A"," ",IF(OR('Pricing Inputs'!$AQ$3=2,'Pricing Inputs'!$AQ$3=3,'Pricing Inputs'!$AQ$3=5,'Pricing Inputs'!$AQ$3=6,'Pricing Inputs'!$AQ$3=8,'Pricing Inputs'!$AQ$3=9),IF(AND('Pricing Inputs'!$AQ$3&gt;=2,'Pricing Inputs'!$AQ$3&lt;=6),K111,(VLOOKUP(A111,ScaledPrice,5))*(2-(VLOOKUP(A111,ScaledPrice,3)))),0))</f>
        <v>27.2275625530126</v>
      </c>
      <c r="M111" s="279" t="n">
        <f aca="false">IF(A111="N/A"," ",IF(OR('Pricing Inputs'!$AQ$3=3,'Pricing Inputs'!$AQ$3=6,'Pricing Inputs'!$AQ$3=9),(VLOOKUP(A111,ScaledPrice,IF(AND('Pricing Inputs'!$AQ$3&gt;=3,'Pricing Inputs'!$AQ$3&lt;=6),7,8))),0))</f>
        <v>22.6527244086069</v>
      </c>
      <c r="N111" s="279" t="n">
        <f aca="false">IF(A111="N/A"," ",IF(OR('Pricing Inputs'!$AQ$3=3,'Pricing Inputs'!$AQ$3=6,'Pricing Inputs'!$AQ$3=9),IF(AND('Pricing Inputs'!$AQ$3&gt;=3,'Pricing Inputs'!$AQ$3&lt;=6),M111,(VLOOKUP(A111,ScaledPrice,7))*(2-(VLOOKUP(A111,ScaledPrice,3)))),0))</f>
        <v>23.6472740655142</v>
      </c>
      <c r="O111" s="279" t="n">
        <f aca="false">IF(A111="N/A"," ",IF(AND('Pricing Inputs'!$AQ$3&gt;=1,'Pricing Inputs'!$AQ$3&lt;=3),VLOOKUP(A111,ScaledPrice,9),0))</f>
        <v>0</v>
      </c>
      <c r="P111" s="280" t="e">
        <f aca="false">IF($A111="N/A"," ",IF('Pricing Inputs'!$AN$8=2,(I111-H111),IF('Pricing Inputs'!$AN$3=2,IF((I111-$H111)&gt;0,I111-$H111,0),(xSPRDOPT(I111,$E111,$BU111,0,$BP111,$BS111,$BT111,($A111-Inputs!$D$1)+15,1,0)))))</f>
        <v>#NAME?</v>
      </c>
      <c r="Q111" s="280" t="e">
        <f aca="false">IF($A111="N/A"," ",IF('Pricing Inputs'!$AN$8=2,(J111-$H111),IF('Pricing Inputs'!$AN$3=2,IF((J111-$H111)&gt;0,J111-$H111,0),(xSPRDOPT(J111,$E111,$BU111,0,$BP111,$BS111,$BT111,($A111-Inputs!$D$1)+15,1,0)))))</f>
        <v>#NAME?</v>
      </c>
      <c r="R111" s="280" t="e">
        <f aca="false">IF($A111="N/A"," ",IF('Pricing Inputs'!$AN$8=2,(K111-$H111),IF('Pricing Inputs'!$AN$3=2,IF((K111-$H111)&gt;0,K111-$H111,0),(xSPRDOPT(K111,$E111,$BU111,0,$BP111,$BS111,$BT111,($A111-Inputs!$D$1)+15,1,0)))))</f>
        <v>#NAME?</v>
      </c>
      <c r="S111" s="280" t="e">
        <f aca="false">IF($A111="N/A"," ",IF('Pricing Inputs'!$AN$8=2,(L111-$H111),IF('Pricing Inputs'!$AN$3=2,IF((L111-$H111)&gt;0,L111-$H111,0),(xSPRDOPT(L111,$E111,$BU111,0,$BP111,$BS111,$BT111,($A111-Inputs!$D$1)+15,1,0)))))</f>
        <v>#NAME?</v>
      </c>
      <c r="T111" s="280" t="e">
        <f aca="false">IF($A111="N/A"," ",IF('Pricing Inputs'!$AN$8=2,(M111-$H111),IF('Pricing Inputs'!$AN$3=2,IF((M111-$H111)&gt;0,M111-$H111,0),(xSPRDOPT(M111,$E111,$BU111,0,$BP111,$BS111,$BT111,($A111-Inputs!$D$1)+15,1,0)))))</f>
        <v>#NAME?</v>
      </c>
      <c r="U111" s="280" t="e">
        <f aca="false">IF($A111="N/A"," ",IF('Pricing Inputs'!$AN$8=2,(N111-$H111),IF('Pricing Inputs'!$AN$3=2,IF((N111-$H111)&gt;0,N111-$H111,0),(xSPRDOPT(N111,$E111,$BU111,0,$BP111,$BS111,$BT111,($A111-Inputs!$D$1)+15,1,0)))))</f>
        <v>#NAME?</v>
      </c>
      <c r="V111" s="281" t="e">
        <f aca="false">IF($A111="N/A"," ",(IF('Pricing Inputs'!$AN$8=2,(O111-$H111),IF((O111-$H111)&lt;=0,0,(O111-$H111)))))</f>
        <v>#N/A</v>
      </c>
      <c r="W111" s="282" t="e">
        <f aca="false">IF($A111="N/A"," ",IF(0&lt;&gt;P111,IF('Pricing Inputs'!$AN$3=2,8*VLOOKUP($A111,NumberofDaysTable,2),(xSPRDOPT(I111,$E111,$BU111,0,$BP111,$BS111,$BT111,$A111-Inputs!$D$1,1,1))*(8*VLOOKUP($A111,NumberofDaysTable,2))),0))</f>
        <v>#NAME?</v>
      </c>
      <c r="X111" s="282" t="e">
        <f aca="false">IF($A111="N/A"," ",IF(Q111&lt;&gt;0,IF('Pricing Inputs'!$AN$3=2,8*VLOOKUP($A111,NumberofDaysTable,2),(xSPRDOPT(J111,$E111,$BU111,0,$BP111,$BS111,$BT111,$A111-Inputs!$D$1,1,1))*(8*VLOOKUP($A111,NumberofDaysTable,2))),0))</f>
        <v>#NAME?</v>
      </c>
      <c r="Y111" s="282" t="e">
        <f aca="false">IF($A111="N/A"," ",IF(R111&lt;&gt;0,IF('Pricing Inputs'!$AN$3=2,8*VLOOKUP($A111,NumberofDaysTable,3),(xSPRDOPT(K111,$E111,$BU111,0,$BP111,$BS111,$BT111,$A111-Inputs!$D$1,1,1))*(8*VLOOKUP($A111,NumberofDaysTable,3))),0))</f>
        <v>#NAME?</v>
      </c>
      <c r="Z111" s="282" t="e">
        <f aca="false">IF($A111="N/A"," ",IF(S111&lt;&gt;0,IF('Pricing Inputs'!$AN$3=2,8*VLOOKUP($A111,NumberofDaysTable,3),(xSPRDOPT(L111,$E111,$BU111,0,$BP111,$BS111,$BT111,$A111-Inputs!$D$1,1,1))*(8*VLOOKUP($A111,NumberofDaysTable,3))),0))</f>
        <v>#NAME?</v>
      </c>
      <c r="AA111" s="282" t="e">
        <f aca="false">IF($A111="N/A"," ",IF(T111&lt;&gt;0,IF('Pricing Inputs'!$AN$3=2,8*VLOOKUP($A111,NumberofDaysTable,4),(xSPRDOPT(M111,$E111,$BU111,0,$BP111,$BS111,$BT111,$A111-Inputs!$D$1,1,1))*(8*VLOOKUP($A111,NumberofDaysTable,4))),0))</f>
        <v>#NAME?</v>
      </c>
      <c r="AB111" s="282" t="e">
        <f aca="false">IF($A111="N/A"," ",IF(U111&lt;&gt;0,IF('Pricing Inputs'!$AN$3=2,8*VLOOKUP($A111,NumberofDaysTable,4),(xSPRDOPT(N111,$E111,$BU111,0,$BP111,$BS111,$BT111,$A111-Inputs!$D$1,1,1))*(8*VLOOKUP($A111,NumberofDaysTable,4))),0))</f>
        <v>#NAME?</v>
      </c>
      <c r="AC111" s="282" t="e">
        <f aca="false">IF($A111="N/A"," ",(IF(V111&lt;&gt;0,(8*VLOOKUP($A111,NumberofDaysTable,6)),0)))</f>
        <v>#N/A</v>
      </c>
      <c r="AD111" s="305" t="e">
        <f aca="false">IF($A111="N/A"," ",RANK(P111,$P$100:$V$111))</f>
        <v>#NAME?</v>
      </c>
      <c r="AE111" s="306" t="e">
        <f aca="false">IF($A111="N/A"," ",RANK(Q111,$P$100:$V$111))</f>
        <v>#NAME?</v>
      </c>
      <c r="AF111" s="306" t="e">
        <f aca="false">IF($A111="N/A"," ",RANK(R111,$P$100:$V$111))</f>
        <v>#NAME?</v>
      </c>
      <c r="AG111" s="306" t="e">
        <f aca="false">IF($A111="N/A"," ",RANK(S111,$P$100:$V$111))</f>
        <v>#NAME?</v>
      </c>
      <c r="AH111" s="306" t="e">
        <f aca="false">IF($A111="N/A"," ",RANK(T111,$P$100:$V$111))</f>
        <v>#NAME?</v>
      </c>
      <c r="AI111" s="306" t="e">
        <f aca="false">IF($A111="N/A"," ",RANK(U111,$P$100:$V$111))</f>
        <v>#NAME?</v>
      </c>
      <c r="AJ111" s="307" t="e">
        <f aca="false">IF($A111="N/A"," ",RANK(V111,$P$100:$V$111))</f>
        <v>#NAME?</v>
      </c>
      <c r="AK111" s="308" t="e">
        <f aca="false">IF($A111="N/A"," ",IF(AD111&lt;=$AJ$2,W111,0))</f>
        <v>#NAME?</v>
      </c>
      <c r="AL111" s="309" t="e">
        <f aca="false">IF($A111="N/A"," ",IF(AE111&lt;=$AJ$2,X111,0))</f>
        <v>#NAME?</v>
      </c>
      <c r="AM111" s="309" t="e">
        <f aca="false">IF($A111="N/A"," ",IF(AF111&lt;=$AJ$2,Y111,0))</f>
        <v>#NAME?</v>
      </c>
      <c r="AN111" s="309" t="e">
        <f aca="false">IF($A111="N/A"," ",IF(AG111&lt;=$AJ$2,Z111,0))</f>
        <v>#NAME?</v>
      </c>
      <c r="AO111" s="309" t="e">
        <f aca="false">IF($A111="N/A"," ",IF(AH111&lt;=$AJ$2,AA111,0))</f>
        <v>#NAME?</v>
      </c>
      <c r="AP111" s="309" t="e">
        <f aca="false">IF($A111="N/A"," ",IF(AI111&lt;=$AJ$2,AB111,0))</f>
        <v>#NAME?</v>
      </c>
      <c r="AQ111" s="309" t="e">
        <f aca="false">IF($A111="N/A"," ",IF(AJ111&lt;=$AJ$2,AC111,0))</f>
        <v>#NAME?</v>
      </c>
      <c r="AR111" s="307" t="e">
        <f aca="false">IF(($AP$2-AR110)&gt;=0,$AP$2-AR110,0)</f>
        <v>#NAME?</v>
      </c>
      <c r="AS111" s="310" t="e">
        <f aca="false">IF($A111="N/A"," ",IF(AND(AD111=$AJ$2+1,AK111=0),MIN($AR$111,W111),0))</f>
        <v>#NAME?</v>
      </c>
      <c r="AT111" s="311" t="e">
        <f aca="false">IF($A111="N/A"," ",IF(AND(AE111=$AJ$2+1,AL111=0),MIN($AR$111,X111),0))</f>
        <v>#NAME?</v>
      </c>
      <c r="AU111" s="311" t="e">
        <f aca="false">IF($A111="N/A"," ",IF(AND(AF111=$AJ$2+1,AM111=0),MIN($AR$111,Y111),0))</f>
        <v>#NAME?</v>
      </c>
      <c r="AV111" s="311" t="e">
        <f aca="false">IF($A111="N/A"," ",IF(AND(AG111=$AJ$2+1,AN111=0),MIN($AR$111,Z111),0))</f>
        <v>#NAME?</v>
      </c>
      <c r="AW111" s="311" t="e">
        <f aca="false">IF($A111="N/A"," ",IF(AND(AH111=$AJ$2+1,AO111=0),MIN($AR$111,AA111),0))</f>
        <v>#NAME?</v>
      </c>
      <c r="AX111" s="311" t="e">
        <f aca="false">IF($A111="N/A"," ",IF(AND(AI111=$AJ$2+1,AP111=0),MIN($AR$111,AB111),0))</f>
        <v>#NAME?</v>
      </c>
      <c r="AY111" s="311" t="e">
        <f aca="false">IF($A111="N/A"," ",IF(AND(AJ111=$AJ$2+1,AQ111=0),MIN($AR$111,AC111),0))</f>
        <v>#NAME?</v>
      </c>
      <c r="AZ111" s="312" t="e">
        <f aca="false">AR110+AZ110</f>
        <v>#NAME?</v>
      </c>
      <c r="BA111" s="291" t="n">
        <f aca="false">IF($A111="N/A"," ",(IF(MONTH(A111)&gt;=4,IF(MONTH(A111)&lt;=10,Inputs!$F$13,Inputs!$F$14),Inputs!$F$14))*$BW111)</f>
        <v>180</v>
      </c>
      <c r="BB111" s="292" t="e">
        <f aca="false">IF($A111="N/A"," ",(IF(AK111&gt;0,($BA111*(8*(VLOOKUP($A111,NumberofDaysTable,2)))*P111),0)+IF(AS111&gt;0,($BA111*((AS111))*P111),0)))</f>
        <v>#NAME?</v>
      </c>
      <c r="BC111" s="292" t="e">
        <f aca="false">IF($A111="N/A"," ",(IF(AL111&gt;0,($BA111*(8*(VLOOKUP($A111,NumberofDaysTable,2)))*Q111),0)+IF(AT111&gt;0,($BA111*((AT111))*Q111),0)))</f>
        <v>#NAME?</v>
      </c>
      <c r="BD111" s="292" t="e">
        <f aca="false">IF($A111="N/A"," ",(IF(AM111&gt;0,($BA111*(8*(VLOOKUP($A111,NumberofDaysTable,3)))*R111),0)+IF(AU111&gt;0,($BA111*((AU111))*R111),0)))</f>
        <v>#NAME?</v>
      </c>
      <c r="BE111" s="292" t="e">
        <f aca="false">IF($A111="N/A"," ",(IF(AN111&gt;0,($BA111*(8*(VLOOKUP($A111,NumberofDaysTable,3)))*S111),0)+IF(AV111&gt;0,($BA111*((AV111))*S111),0)))</f>
        <v>#NAME?</v>
      </c>
      <c r="BF111" s="292" t="e">
        <f aca="false">IF($A111="N/A"," ",(IF(AO111&gt;0,($BA111*(8*(VLOOKUP($A111,NumberofDaysTable,4)+VLOOKUP($A111,NumberofDaysTable,5)))*T111),0)+IF(AW111&gt;0,($BA111*((AW111))*T111),0)))</f>
        <v>#NAME?</v>
      </c>
      <c r="BG111" s="292" t="e">
        <f aca="false">IF($A111="N/A"," ",(IF(AP111&gt;0,($BA111*(8*(VLOOKUP($A111,NumberofDaysTable,4)+VLOOKUP($A111,NumberofDaysTable,5)))*U111),0)+IF(AX111&gt;0,($BA111*((AX111))*U111),0)))</f>
        <v>#NAME?</v>
      </c>
      <c r="BH111" s="292" t="e">
        <f aca="false">IF($A111="N/A"," ",($BA111*AQ111*V111))</f>
        <v>#NAME?</v>
      </c>
      <c r="BI111" s="292" t="e">
        <f aca="false">IF($A111="N/A"," ",SUM(BB111:BH111))</f>
        <v>#NAME?</v>
      </c>
      <c r="BJ111" s="293" t="e">
        <f aca="false">IF($A111="N/A"," ",(H111*(SUM(AK111:AQ111)+SUM(AS111:AY111))*BA111))</f>
        <v>#NAME?</v>
      </c>
      <c r="BK111" s="293" t="e">
        <f aca="false">IF($A111="N/A"," ",((C111*D111)*(SUM($AK111:$AQ111)+SUM($AS111:$AY111))*$BA111))</f>
        <v>#N/A</v>
      </c>
      <c r="BL111" s="293" t="e">
        <f aca="false">IF($A111="N/A"," ",(F111*(SUM($AK111:$AQ111)+SUM($AS111:$AY111))*$BA111))</f>
        <v>#NAME?</v>
      </c>
      <c r="BM111" s="293" t="e">
        <f aca="false">IF($A111="N/A"," ",(G111*(SUM($AK111:$AQ111)+SUM($AS111:$AY111))*$BA111))</f>
        <v>#NAME?</v>
      </c>
      <c r="BN111" s="294" t="n">
        <f aca="false">IF(A111="N/A"," ",(VLOOKUP(A111,PowerVolTable,(IF('Pricing Inputs'!$AT$3=2,7,IF('Pricing Inputs'!$AT$3=1,6,8))),FALSE())))</f>
        <v>0.166346038941419</v>
      </c>
      <c r="BO111" s="294" t="n">
        <f aca="false">IF(A111="N/A"," ",(VLOOKUP(A111,IntraPowerVol,(IF('Pricing Inputs'!$AT$3=2,3,IF('Pricing Inputs'!$AT$3=1,2,4))),FALSE())*VLOOKUP(MONTH($A111),Inputs!$A$28:$B$39,2)))</f>
        <v>1.4375</v>
      </c>
      <c r="BP111" s="295" t="n">
        <f aca="false">IF($A111="N/A"," ",(IF(DateToday&gt;$A111,$BO111,((($BN111^2)*((($A111-1)-DateToday)/((EOMONTH($A111,0)+1)-DateToday-15)))+((($BO111)^2)*((15)/((EOMONTH($A111,0)+1)-DateToday-15))))^0.5)))</f>
        <v>1.4375</v>
      </c>
      <c r="BQ111" s="294" t="e">
        <f aca="false">IF($A111="N/A"," ",(VLOOKUP($A111,GasVolTable,(IF('Pricing Inputs'!$AT$3=2,6,IF('Pricing Inputs'!$AT$3=1,7,5))),FALSE())))</f>
        <v>#N/A</v>
      </c>
      <c r="BR111" s="294" t="e">
        <f aca="false">IF($A111="N/A"," ",(VLOOKUP($A111,OmicronVol,(IF('Pricing Inputs'!$AT$3=2,3,IF('Pricing Inputs'!$AT$3=1,4,2))),FALSE())))</f>
        <v>#N/A</v>
      </c>
      <c r="BS111" s="295" t="e">
        <f aca="false">IF($A111="N/A"," ",IF('Pricing Inputs'!$AN$3=1,(IF(DateToday&gt;$A111,$BR111,((($BQ111^2)*((($A111-1)-DateToday)/((EOMONTH($A111,0)+1)-DateToday-15)))+((($BR111)^2)*((15)/((EOMONTH($A111,0)+1)-DateToday-15))))^0.5)),0.0001))</f>
        <v>#N/A</v>
      </c>
      <c r="BT111" s="294" t="n">
        <f aca="false">IF($A111="N/A"," ",IF('Pricing Inputs'!$AN$3=1,(VLOOKUP($A111,CorrelationTable,2,FALSE())),0))</f>
        <v>0.9</v>
      </c>
      <c r="BU111" s="296" t="e">
        <f aca="false">IF($A111="N/A"," ",F111+G111+(D111*(VLOOKUP($A111,'Gas Curves'!$B$17:$P$310,14,FALSE()))))</f>
        <v>#N/A</v>
      </c>
      <c r="BV111" s="294" t="n">
        <f aca="false">IF($A111="N/A"," ",IF('Pricing Inputs'!$AW$3=1,0,(VLOOKUP($A111,InterestRatesTable,2))))</f>
        <v>0</v>
      </c>
      <c r="BW111" s="297" t="n">
        <f aca="false">IF($A111="N/A"," ",(1+BV111/2)^(-2*((EOMONTH(A111,0)+20)-DateToday)/365.25))</f>
        <v>1</v>
      </c>
    </row>
    <row r="112" customFormat="false" ht="12.75" hidden="false" customHeight="false" outlineLevel="0" collapsed="false">
      <c r="A112" s="272" t="n">
        <f aca="false">IF(A111="N/A","N/A",IF(EDATE(A111,1)&gt;Inputs!$K$3,"N/A",EDATE(A111,1)))</f>
        <v>40179</v>
      </c>
      <c r="B112" s="273" t="n">
        <f aca="false">IF(A112="N/A"," ",YEAR(A112))</f>
        <v>2010</v>
      </c>
      <c r="C112" s="274" t="e">
        <f aca="false">IF(A112="N/A"," ",VLOOKUP(A112,ScaledPrice,10))</f>
        <v>#N/A</v>
      </c>
      <c r="D112" s="275" t="n">
        <f aca="false">IF(A112="N/A"," ",(VLOOKUP(MONTH($A112),Inputs!$A$14:$B$25,2))/1000)</f>
        <v>10.5</v>
      </c>
      <c r="E112" s="276" t="e">
        <f aca="false">IF($A112="N/A"," ",C112*D112)</f>
        <v>#N/A</v>
      </c>
      <c r="F112" s="277" t="n">
        <f aca="false">IF(A112="N/A"," ",Inputs!$F$6)</f>
        <v>2</v>
      </c>
      <c r="G112" s="277" t="n">
        <f aca="false">IF(A112="N/A"," ",Inputs!$F$9/IF(AND('Pricing Inputs'!$AQ$3&gt;=4,'Pricing Inputs'!$AQ$3&lt;=6),16,IF(AND('Pricing Inputs'!$AQ$3&gt;=7,'Pricing Inputs'!$AQ$3&lt;=9),8,24))/(BA112/BW112))</f>
        <v>0</v>
      </c>
      <c r="H112" s="278" t="e">
        <f aca="false">IF(A112="N/A"," ",(C112*D112)+F112+G112)</f>
        <v>#N/A</v>
      </c>
      <c r="I112" s="279" t="n">
        <f aca="false">VLOOKUP(A112,ScaledPrice,(IF(AND('Pricing Inputs'!$AQ$3&gt;=1,'Pricing Inputs'!$AQ$3&lt;=6),2,4)))</f>
        <v>36.2945090539724</v>
      </c>
      <c r="J112" s="279" t="n">
        <f aca="false">IF(A112="N/A"," ",IF(AND('Pricing Inputs'!$AQ$3&gt;=1,'Pricing Inputs'!$AQ$3&lt;=6),I112,(VLOOKUP(A112,ScaledPrice,2))*(2-(VLOOKUP(A112,ScaledPrice,3)))))</f>
        <v>38.6054909460276</v>
      </c>
      <c r="K112" s="279" t="n">
        <f aca="false">IF(A112="N/A"," ",IF(OR('Pricing Inputs'!$AQ$3=2,'Pricing Inputs'!$AQ$3=3,'Pricing Inputs'!$AQ$3=5,'Pricing Inputs'!$AQ$3=6,'Pricing Inputs'!$AQ$3=8,'Pricing Inputs'!$AQ$3=9),VLOOKUP(A112,ScaledPrice,IF(AND('Pricing Inputs'!$AQ$3&gt;=2,'Pricing Inputs'!$AQ$3&lt;=6),5,6)),0))</f>
        <v>29.1216173774493</v>
      </c>
      <c r="L112" s="279" t="n">
        <f aca="false">IF(A112="N/A"," ",IF(OR('Pricing Inputs'!$AQ$3=2,'Pricing Inputs'!$AQ$3=3,'Pricing Inputs'!$AQ$3=5,'Pricing Inputs'!$AQ$3=6,'Pricing Inputs'!$AQ$3=8,'Pricing Inputs'!$AQ$3=9),IF(AND('Pricing Inputs'!$AQ$3&gt;=2,'Pricing Inputs'!$AQ$3&lt;=6),K112,(VLOOKUP(A112,ScaledPrice,5))*(2-(VLOOKUP(A112,ScaledPrice,3)))),0))</f>
        <v>30.975879418205</v>
      </c>
      <c r="M112" s="279" t="n">
        <f aca="false">IF(A112="N/A"," ",IF(OR('Pricing Inputs'!$AQ$3=3,'Pricing Inputs'!$AQ$3=6,'Pricing Inputs'!$AQ$3=9),(VLOOKUP(A112,ScaledPrice,IF(AND('Pricing Inputs'!$AQ$3&gt;=3,'Pricing Inputs'!$AQ$3&lt;=6),7,8))),0))</f>
        <v>27.6715347210053</v>
      </c>
      <c r="N112" s="279" t="n">
        <f aca="false">IF(A112="N/A"," ",IF(OR('Pricing Inputs'!$AQ$3=3,'Pricing Inputs'!$AQ$3=6,'Pricing Inputs'!$AQ$3=9),IF(AND('Pricing Inputs'!$AQ$3&gt;=3,'Pricing Inputs'!$AQ$3&lt;=6),M112,(VLOOKUP(A112,ScaledPrice,7))*(2-(VLOOKUP(A112,ScaledPrice,3)))),0))</f>
        <v>29.4334655841705</v>
      </c>
      <c r="O112" s="279" t="n">
        <f aca="false">IF(A112="N/A"," ",IF(AND('Pricing Inputs'!$AQ$3&gt;=1,'Pricing Inputs'!$AQ$3&lt;=3),VLOOKUP(A112,ScaledPrice,9),0))</f>
        <v>0</v>
      </c>
      <c r="P112" s="280" t="e">
        <f aca="false">IF($A112="N/A"," ",IF('Pricing Inputs'!$AN$8=2,(I112-H112),IF('Pricing Inputs'!$AN$3=2,IF((I112-$H112)&gt;0,I112-$H112,0),(xSPRDOPT(I112,$E112,$BU112,0,$BP112,$BS112,$BT112,($A112-Inputs!$D$1)+15,1,0)))))</f>
        <v>#NAME?</v>
      </c>
      <c r="Q112" s="280" t="e">
        <f aca="false">IF($A112="N/A"," ",IF('Pricing Inputs'!$AN$8=2,(J112-$H112),IF('Pricing Inputs'!$AN$3=2,IF((J112-$H112)&gt;0,J112-$H112,0),(xSPRDOPT(J112,$E112,$BU112,0,$BP112,$BS112,$BT112,($A112-Inputs!$D$1)+15,1,0)))))</f>
        <v>#NAME?</v>
      </c>
      <c r="R112" s="280" t="e">
        <f aca="false">IF($A112="N/A"," ",IF('Pricing Inputs'!$AN$8=2,(K112-$H112),IF('Pricing Inputs'!$AN$3=2,IF((K112-$H112)&gt;0,K112-$H112,0),(xSPRDOPT(K112,$E112,$BU112,0,$BP112,$BS112,$BT112,($A112-Inputs!$D$1)+15,1,0)))))</f>
        <v>#NAME?</v>
      </c>
      <c r="S112" s="280" t="e">
        <f aca="false">IF($A112="N/A"," ",IF('Pricing Inputs'!$AN$8=2,(L112-$H112),IF('Pricing Inputs'!$AN$3=2,IF((L112-$H112)&gt;0,L112-$H112,0),(xSPRDOPT(L112,$E112,$BU112,0,$BP112,$BS112,$BT112,($A112-Inputs!$D$1)+15,1,0)))))</f>
        <v>#NAME?</v>
      </c>
      <c r="T112" s="280" t="e">
        <f aca="false">IF($A112="N/A"," ",IF('Pricing Inputs'!$AN$8=2,(M112-$H112),IF('Pricing Inputs'!$AN$3=2,IF((M112-$H112)&gt;0,M112-$H112,0),(xSPRDOPT(M112,$E112,$BU112,0,$BP112,$BS112,$BT112,($A112-Inputs!$D$1)+15,1,0)))))</f>
        <v>#NAME?</v>
      </c>
      <c r="U112" s="280" t="e">
        <f aca="false">IF($A112="N/A"," ",IF('Pricing Inputs'!$AN$8=2,(N112-$H112),IF('Pricing Inputs'!$AN$3=2,IF((N112-$H112)&gt;0,N112-$H112,0),(xSPRDOPT(N112,$E112,$BU112,0,$BP112,$BS112,$BT112,($A112-Inputs!$D$1)+15,1,0)))))</f>
        <v>#NAME?</v>
      </c>
      <c r="V112" s="281" t="e">
        <f aca="false">IF($A112="N/A"," ",(IF('Pricing Inputs'!$AN$8=2,(O112-$H112),IF((O112-$H112)&lt;=0,0,(O112-$H112)))))</f>
        <v>#N/A</v>
      </c>
      <c r="W112" s="282" t="e">
        <f aca="false">IF($A112="N/A"," ",IF(0&lt;&gt;P112,IF('Pricing Inputs'!$AN$3=2,8*VLOOKUP($A112,NumberofDaysTable,2),(xSPRDOPT(I112,$E112,$BU112,0,$BP112,$BS112,$BT112,$A112-Inputs!$D$1,1,1))*(8*VLOOKUP($A112,NumberofDaysTable,2))),0))</f>
        <v>#NAME?</v>
      </c>
      <c r="X112" s="282" t="e">
        <f aca="false">IF($A112="N/A"," ",IF(Q112&lt;&gt;0,IF('Pricing Inputs'!$AN$3=2,8*VLOOKUP($A112,NumberofDaysTable,2),(xSPRDOPT(J112,$E112,$BU112,0,$BP112,$BS112,$BT112,$A112-Inputs!$D$1,1,1))*(8*VLOOKUP($A112,NumberofDaysTable,2))),0))</f>
        <v>#NAME?</v>
      </c>
      <c r="Y112" s="282" t="e">
        <f aca="false">IF($A112="N/A"," ",IF(R112&lt;&gt;0,IF('Pricing Inputs'!$AN$3=2,8*VLOOKUP($A112,NumberofDaysTable,3),(xSPRDOPT(K112,$E112,$BU112,0,$BP112,$BS112,$BT112,$A112-Inputs!$D$1,1,1))*(8*VLOOKUP($A112,NumberofDaysTable,3))),0))</f>
        <v>#NAME?</v>
      </c>
      <c r="Z112" s="282" t="e">
        <f aca="false">IF($A112="N/A"," ",IF(S112&lt;&gt;0,IF('Pricing Inputs'!$AN$3=2,8*VLOOKUP($A112,NumberofDaysTable,3),(xSPRDOPT(L112,$E112,$BU112,0,$BP112,$BS112,$BT112,$A112-Inputs!$D$1,1,1))*(8*VLOOKUP($A112,NumberofDaysTable,3))),0))</f>
        <v>#NAME?</v>
      </c>
      <c r="AA112" s="282" t="e">
        <f aca="false">IF($A112="N/A"," ",IF(T112&lt;&gt;0,IF('Pricing Inputs'!$AN$3=2,8*VLOOKUP($A112,NumberofDaysTable,4),(xSPRDOPT(M112,$E112,$BU112,0,$BP112,$BS112,$BT112,$A112-Inputs!$D$1,1,1))*(8*VLOOKUP($A112,NumberofDaysTable,4))),0))</f>
        <v>#NAME?</v>
      </c>
      <c r="AB112" s="282" t="e">
        <f aca="false">IF($A112="N/A"," ",IF(U112&lt;&gt;0,IF('Pricing Inputs'!$AN$3=2,8*VLOOKUP($A112,NumberofDaysTable,4),(xSPRDOPT(N112,$E112,$BU112,0,$BP112,$BS112,$BT112,$A112-Inputs!$D$1,1,1))*(8*VLOOKUP($A112,NumberofDaysTable,4))),0))</f>
        <v>#NAME?</v>
      </c>
      <c r="AC112" s="282" t="e">
        <f aca="false">IF($A112="N/A"," ",(IF(V112&lt;&gt;0,(8*VLOOKUP($A112,NumberofDaysTable,6)),0)))</f>
        <v>#N/A</v>
      </c>
      <c r="AD112" s="283" t="e">
        <f aca="false">IF($A112="N/A"," ",RANK(P112,$P$112:$V$123))</f>
        <v>#NAME?</v>
      </c>
      <c r="AE112" s="284" t="e">
        <f aca="false">IF($A112="N/A"," ",RANK(Q112,$P$112:$V$123))</f>
        <v>#NAME?</v>
      </c>
      <c r="AF112" s="284" t="e">
        <f aca="false">IF($A112="N/A"," ",RANK(R112,$P$112:$V$123))</f>
        <v>#NAME?</v>
      </c>
      <c r="AG112" s="284" t="e">
        <f aca="false">IF($A112="N/A"," ",RANK(S112,$P$112:$V$123))</f>
        <v>#NAME?</v>
      </c>
      <c r="AH112" s="284" t="e">
        <f aca="false">IF($A112="N/A"," ",RANK(T112,$P$112:$V$123))</f>
        <v>#NAME?</v>
      </c>
      <c r="AI112" s="284" t="e">
        <f aca="false">IF($A112="N/A"," ",RANK(U112,$P$112:$V$123))</f>
        <v>#NAME?</v>
      </c>
      <c r="AJ112" s="285" t="e">
        <f aca="false">IF($A112="N/A"," ",RANK(V112,$P$112:$V$123))</f>
        <v>#NAME?</v>
      </c>
      <c r="AK112" s="313" t="e">
        <f aca="false">IF($A112="N/A"," ",IF(AD112&lt;=$AJ$2,W112,0))</f>
        <v>#NAME?</v>
      </c>
      <c r="AL112" s="287" t="e">
        <f aca="false">IF($A112="N/A"," ",IF(AE112&lt;=$AJ$2,X112,0))</f>
        <v>#NAME?</v>
      </c>
      <c r="AM112" s="287" t="e">
        <f aca="false">IF($A112="N/A"," ",IF(AF112&lt;=$AJ$2,Y112,0))</f>
        <v>#NAME?</v>
      </c>
      <c r="AN112" s="287" t="e">
        <f aca="false">IF($A112="N/A"," ",IF(AG112&lt;=$AJ$2,Z112,0))</f>
        <v>#NAME?</v>
      </c>
      <c r="AO112" s="287" t="e">
        <f aca="false">IF($A112="N/A"," ",IF(AH112&lt;=$AJ$2,AA112,0))</f>
        <v>#NAME?</v>
      </c>
      <c r="AP112" s="287" t="e">
        <f aca="false">IF($A112="N/A"," ",IF(AI112&lt;=$AJ$2,AB112,0))</f>
        <v>#NAME?</v>
      </c>
      <c r="AQ112" s="287" t="e">
        <f aca="false">IF($A112="N/A"," ",IF(AJ112&lt;=$AJ$2,AC112,0))</f>
        <v>#NAME?</v>
      </c>
      <c r="AR112" s="285"/>
      <c r="AS112" s="314" t="e">
        <f aca="false">IF($A112="N/A"," ",IF(AND(AD112=$AJ$2+1,AK112=0),MIN($AR$123,W112),0))</f>
        <v>#NAME?</v>
      </c>
      <c r="AT112" s="289" t="e">
        <f aca="false">IF($A112="N/A"," ",IF(AND(AE112=$AJ$2+1,AL112=0),MIN($AR$123,X112),0))</f>
        <v>#NAME?</v>
      </c>
      <c r="AU112" s="289" t="e">
        <f aca="false">IF($A112="N/A"," ",IF(AND(AF112=$AJ$2+1,AM112=0),MIN($AR$123,Y112),0))</f>
        <v>#NAME?</v>
      </c>
      <c r="AV112" s="289" t="e">
        <f aca="false">IF($A112="N/A"," ",IF(AND(AG112=$AJ$2+1,AN112=0),MIN($AR$123,Z112),0))</f>
        <v>#NAME?</v>
      </c>
      <c r="AW112" s="289" t="e">
        <f aca="false">IF($A112="N/A"," ",IF(AND(AH112=$AJ$2+1,AO112=0),MIN($AR$123,AA112),0))</f>
        <v>#NAME?</v>
      </c>
      <c r="AX112" s="289" t="e">
        <f aca="false">IF($A112="N/A"," ",IF(AND(AI112=$AJ$2+1,AP112=0),MIN($AR$123,AB112),0))</f>
        <v>#NAME?</v>
      </c>
      <c r="AY112" s="289" t="e">
        <f aca="false">IF($A112="N/A"," ",IF(AND(AJ112=$AJ$2+1,AQ112=0),MIN($AR$123,AC112),0))</f>
        <v>#NAME?</v>
      </c>
      <c r="AZ112" s="285"/>
      <c r="BA112" s="291" t="n">
        <f aca="false">IF($A112="N/A"," ",(IF(MONTH(A112)&gt;=4,IF(MONTH(A112)&lt;=10,Inputs!$F$13,Inputs!$F$14),Inputs!$F$14))*$BW112)</f>
        <v>180</v>
      </c>
      <c r="BB112" s="292" t="e">
        <f aca="false">IF($A112="N/A"," ",(IF(AK112&gt;0,($BA112*(8*(VLOOKUP($A112,NumberofDaysTable,2)))*P112),0)+IF(AS112&gt;0,($BA112*((AS112))*P112),0)))</f>
        <v>#NAME?</v>
      </c>
      <c r="BC112" s="292" t="e">
        <f aca="false">IF($A112="N/A"," ",(IF(AL112&gt;0,($BA112*(8*(VLOOKUP($A112,NumberofDaysTable,2)))*Q112),0)+IF(AT112&gt;0,($BA112*((AT112))*Q112),0)))</f>
        <v>#NAME?</v>
      </c>
      <c r="BD112" s="292" t="e">
        <f aca="false">IF($A112="N/A"," ",(IF(AM112&gt;0,($BA112*(8*(VLOOKUP($A112,NumberofDaysTable,3)))*R112),0)+IF(AU112&gt;0,($BA112*((AU112))*R112),0)))</f>
        <v>#NAME?</v>
      </c>
      <c r="BE112" s="292" t="e">
        <f aca="false">IF($A112="N/A"," ",(IF(AN112&gt;0,($BA112*(8*(VLOOKUP($A112,NumberofDaysTable,3)))*S112),0)+IF(AV112&gt;0,($BA112*((AV112))*S112),0)))</f>
        <v>#NAME?</v>
      </c>
      <c r="BF112" s="292" t="e">
        <f aca="false">IF($A112="N/A"," ",(IF(AO112&gt;0,($BA112*(8*(VLOOKUP($A112,NumberofDaysTable,4)+VLOOKUP($A112,NumberofDaysTable,5)))*T112),0)+IF(AW112&gt;0,($BA112*((AW112))*T112),0)))</f>
        <v>#NAME?</v>
      </c>
      <c r="BG112" s="292" t="e">
        <f aca="false">IF($A112="N/A"," ",(IF(AP112&gt;0,($BA112*(8*(VLOOKUP($A112,NumberofDaysTable,4)+VLOOKUP($A112,NumberofDaysTable,5)))*U112),0)+IF(AX112&gt;0,($BA112*((AX112))*U112),0)))</f>
        <v>#NAME?</v>
      </c>
      <c r="BH112" s="292" t="e">
        <f aca="false">IF($A112="N/A"," ",($BA112*AQ112*V112))</f>
        <v>#NAME?</v>
      </c>
      <c r="BI112" s="292" t="e">
        <f aca="false">IF($A112="N/A"," ",SUM(BB112:BH112))</f>
        <v>#NAME?</v>
      </c>
      <c r="BJ112" s="293" t="e">
        <f aca="false">IF($A112="N/A"," ",(H112*(SUM(AK112:AQ112)+SUM(AS112:AY112))*BA112))</f>
        <v>#NAME?</v>
      </c>
      <c r="BK112" s="293" t="e">
        <f aca="false">IF($A112="N/A"," ",((C112*D112)*(SUM($AK112:$AQ112)+SUM($AS112:$AY112))*$BA112))</f>
        <v>#N/A</v>
      </c>
      <c r="BL112" s="293" t="e">
        <f aca="false">IF($A112="N/A"," ",(F112*(SUM($AK112:$AQ112)+SUM($AS112:$AY112))*$BA112))</f>
        <v>#NAME?</v>
      </c>
      <c r="BM112" s="293" t="e">
        <f aca="false">IF($A112="N/A"," ",(G112*(SUM($AK112:$AQ112)+SUM($AS112:$AY112))*$BA112))</f>
        <v>#NAME?</v>
      </c>
      <c r="BN112" s="294" t="n">
        <f aca="false">IF(A112="N/A"," ",(VLOOKUP(A112,PowerVolTable,(IF('Pricing Inputs'!$AT$3=2,7,IF('Pricing Inputs'!$AT$3=1,6,8))),FALSE())))</f>
        <v>0.178990832361789</v>
      </c>
      <c r="BO112" s="294" t="n">
        <f aca="false">IF(A112="N/A"," ",(VLOOKUP(A112,IntraPowerVol,(IF('Pricing Inputs'!$AT$3=2,3,IF('Pricing Inputs'!$AT$3=1,2,4))),FALSE())*VLOOKUP(MONTH($A112),Inputs!$A$28:$B$39,2)))</f>
        <v>2.3</v>
      </c>
      <c r="BP112" s="295" t="n">
        <f aca="false">IF($A112="N/A"," ",(IF(DateToday&gt;$A112,$BO112,((($BN112^2)*((($A112-1)-DateToday)/((EOMONTH($A112,0)+1)-DateToday-15)))+((($BO112)^2)*((15)/((EOMONTH($A112,0)+1)-DateToday-15))))^0.5)))</f>
        <v>2.3</v>
      </c>
      <c r="BQ112" s="294" t="e">
        <f aca="false">IF($A112="N/A"," ",(VLOOKUP($A112,GasVolTable,(IF('Pricing Inputs'!$AT$3=2,6,IF('Pricing Inputs'!$AT$3=1,7,5))),FALSE())))</f>
        <v>#N/A</v>
      </c>
      <c r="BR112" s="294" t="e">
        <f aca="false">IF($A112="N/A"," ",(VLOOKUP($A112,OmicronVol,(IF('Pricing Inputs'!$AT$3=2,3,IF('Pricing Inputs'!$AT$3=1,4,2))),FALSE())))</f>
        <v>#N/A</v>
      </c>
      <c r="BS112" s="295" t="e">
        <f aca="false">IF($A112="N/A"," ",IF('Pricing Inputs'!$AN$3=1,(IF(DateToday&gt;$A112,$BR112,((($BQ112^2)*((($A112-1)-DateToday)/((EOMONTH($A112,0)+1)-DateToday-15)))+((($BR112)^2)*((15)/((EOMONTH($A112,0)+1)-DateToday-15))))^0.5)),0.0001))</f>
        <v>#N/A</v>
      </c>
      <c r="BT112" s="294" t="n">
        <f aca="false">IF($A112="N/A"," ",IF('Pricing Inputs'!$AN$3=1,(VLOOKUP($A112,CorrelationTable,2,FALSE())),0))</f>
        <v>0.9</v>
      </c>
      <c r="BU112" s="296" t="e">
        <f aca="false">IF($A112="N/A"," ",F112+G112+(D112*(VLOOKUP($A112,'Gas Curves'!$B$17:$P$310,14,FALSE()))))</f>
        <v>#N/A</v>
      </c>
      <c r="BV112" s="294" t="n">
        <f aca="false">IF($A112="N/A"," ",IF('Pricing Inputs'!$AW$3=1,0,(VLOOKUP($A112,InterestRatesTable,2))))</f>
        <v>0</v>
      </c>
      <c r="BW112" s="297" t="n">
        <f aca="false">IF($A112="N/A"," ",(1+BV112/2)^(-2*((EOMONTH(A112,0)+20)-DateToday)/365.25))</f>
        <v>1</v>
      </c>
    </row>
    <row r="113" customFormat="false" ht="12.75" hidden="false" customHeight="false" outlineLevel="0" collapsed="false">
      <c r="A113" s="272" t="n">
        <f aca="false">IF(A112="N/A","N/A",IF(EDATE(A112,1)&gt;Inputs!$K$3,"N/A",EDATE(A112,1)))</f>
        <v>40210</v>
      </c>
      <c r="B113" s="273" t="n">
        <f aca="false">IF(A113="N/A"," ",YEAR(A113))</f>
        <v>2010</v>
      </c>
      <c r="C113" s="274" t="e">
        <f aca="false">IF(A113="N/A"," ",VLOOKUP(A113,ScaledPrice,10))</f>
        <v>#N/A</v>
      </c>
      <c r="D113" s="275" t="n">
        <f aca="false">IF(A113="N/A"," ",(VLOOKUP(MONTH($A113),Inputs!$A$14:$B$25,2))/1000)</f>
        <v>10.5</v>
      </c>
      <c r="E113" s="276" t="e">
        <f aca="false">IF($A113="N/A"," ",C113*D113)</f>
        <v>#N/A</v>
      </c>
      <c r="F113" s="277" t="n">
        <f aca="false">IF(A113="N/A"," ",Inputs!$F$6)</f>
        <v>2</v>
      </c>
      <c r="G113" s="277" t="n">
        <f aca="false">IF(A113="N/A"," ",Inputs!$F$9/IF(AND('Pricing Inputs'!$AQ$3&gt;=4,'Pricing Inputs'!$AQ$3&lt;=6),16,IF(AND('Pricing Inputs'!$AQ$3&gt;=7,'Pricing Inputs'!$AQ$3&lt;=9),8,24))/(BA113/BW113))</f>
        <v>0</v>
      </c>
      <c r="H113" s="278" t="e">
        <f aca="false">IF(A113="N/A"," ",(C113*D113)+F113+G113)</f>
        <v>#N/A</v>
      </c>
      <c r="I113" s="279" t="n">
        <f aca="false">VLOOKUP(A113,ScaledPrice,(IF(AND('Pricing Inputs'!$AQ$3&gt;=1,'Pricing Inputs'!$AQ$3&lt;=6),2,4)))</f>
        <v>36.2945090539724</v>
      </c>
      <c r="J113" s="279" t="n">
        <f aca="false">IF(A113="N/A"," ",IF(AND('Pricing Inputs'!$AQ$3&gt;=1,'Pricing Inputs'!$AQ$3&lt;=6),I113,(VLOOKUP(A113,ScaledPrice,2))*(2-(VLOOKUP(A113,ScaledPrice,3)))))</f>
        <v>38.6054909460276</v>
      </c>
      <c r="K113" s="279" t="n">
        <f aca="false">IF(A113="N/A"," ",IF(OR('Pricing Inputs'!$AQ$3=2,'Pricing Inputs'!$AQ$3=3,'Pricing Inputs'!$AQ$3=5,'Pricing Inputs'!$AQ$3=6,'Pricing Inputs'!$AQ$3=8,'Pricing Inputs'!$AQ$3=9),VLOOKUP(A113,ScaledPrice,IF(AND('Pricing Inputs'!$AQ$3&gt;=2,'Pricing Inputs'!$AQ$3&lt;=6),5,6)),0))</f>
        <v>28.150050444514</v>
      </c>
      <c r="L113" s="279" t="n">
        <f aca="false">IF(A113="N/A"," ",IF(OR('Pricing Inputs'!$AQ$3=2,'Pricing Inputs'!$AQ$3=3,'Pricing Inputs'!$AQ$3=5,'Pricing Inputs'!$AQ$3=6,'Pricing Inputs'!$AQ$3=8,'Pricing Inputs'!$AQ$3=9),IF(AND('Pricing Inputs'!$AQ$3&gt;=2,'Pricing Inputs'!$AQ$3&lt;=6),K113,(VLOOKUP(A113,ScaledPrice,5))*(2-(VLOOKUP(A113,ScaledPrice,3)))),0))</f>
        <v>29.9424498606618</v>
      </c>
      <c r="M113" s="279" t="n">
        <f aca="false">IF(A113="N/A"," ",IF(OR('Pricing Inputs'!$AQ$3=3,'Pricing Inputs'!$AQ$3=6,'Pricing Inputs'!$AQ$3=9),(VLOOKUP(A113,ScaledPrice,IF(AND('Pricing Inputs'!$AQ$3&gt;=3,'Pricing Inputs'!$AQ$3&lt;=6),7,8))),0))</f>
        <v>25.7283967884372</v>
      </c>
      <c r="N113" s="279" t="n">
        <f aca="false">IF(A113="N/A"," ",IF(OR('Pricing Inputs'!$AQ$3=3,'Pricing Inputs'!$AQ$3=6,'Pricing Inputs'!$AQ$3=9),IF(AND('Pricing Inputs'!$AQ$3&gt;=3,'Pricing Inputs'!$AQ$3&lt;=6),M113,(VLOOKUP(A113,ScaledPrice,7))*(2-(VLOOKUP(A113,ScaledPrice,3)))),0))</f>
        <v>27.3666021434476</v>
      </c>
      <c r="O113" s="279" t="n">
        <f aca="false">IF(A113="N/A"," ",IF(AND('Pricing Inputs'!$AQ$3&gt;=1,'Pricing Inputs'!$AQ$3&lt;=3),VLOOKUP(A113,ScaledPrice,9),0))</f>
        <v>0</v>
      </c>
      <c r="P113" s="280" t="e">
        <f aca="false">IF($A113="N/A"," ",IF('Pricing Inputs'!$AN$8=2,(I113-H113),IF('Pricing Inputs'!$AN$3=2,IF((I113-$H113)&gt;0,I113-$H113,0),(xSPRDOPT(I113,$E113,$BU113,0,$BP113,$BS113,$BT113,($A113-Inputs!$D$1)+15,1,0)))))</f>
        <v>#NAME?</v>
      </c>
      <c r="Q113" s="280" t="e">
        <f aca="false">IF($A113="N/A"," ",IF('Pricing Inputs'!$AN$8=2,(J113-$H113),IF('Pricing Inputs'!$AN$3=2,IF((J113-$H113)&gt;0,J113-$H113,0),(xSPRDOPT(J113,$E113,$BU113,0,$BP113,$BS113,$BT113,($A113-Inputs!$D$1)+15,1,0)))))</f>
        <v>#NAME?</v>
      </c>
      <c r="R113" s="280" t="e">
        <f aca="false">IF($A113="N/A"," ",IF('Pricing Inputs'!$AN$8=2,(K113-$H113),IF('Pricing Inputs'!$AN$3=2,IF((K113-$H113)&gt;0,K113-$H113,0),(xSPRDOPT(K113,$E113,$BU113,0,$BP113,$BS113,$BT113,($A113-Inputs!$D$1)+15,1,0)))))</f>
        <v>#NAME?</v>
      </c>
      <c r="S113" s="280" t="e">
        <f aca="false">IF($A113="N/A"," ",IF('Pricing Inputs'!$AN$8=2,(L113-$H113),IF('Pricing Inputs'!$AN$3=2,IF((L113-$H113)&gt;0,L113-$H113,0),(xSPRDOPT(L113,$E113,$BU113,0,$BP113,$BS113,$BT113,($A113-Inputs!$D$1)+15,1,0)))))</f>
        <v>#NAME?</v>
      </c>
      <c r="T113" s="280" t="e">
        <f aca="false">IF($A113="N/A"," ",IF('Pricing Inputs'!$AN$8=2,(M113-$H113),IF('Pricing Inputs'!$AN$3=2,IF((M113-$H113)&gt;0,M113-$H113,0),(xSPRDOPT(M113,$E113,$BU113,0,$BP113,$BS113,$BT113,($A113-Inputs!$D$1)+15,1,0)))))</f>
        <v>#NAME?</v>
      </c>
      <c r="U113" s="280" t="e">
        <f aca="false">IF($A113="N/A"," ",IF('Pricing Inputs'!$AN$8=2,(N113-$H113),IF('Pricing Inputs'!$AN$3=2,IF((N113-$H113)&gt;0,N113-$H113,0),(xSPRDOPT(N113,$E113,$BU113,0,$BP113,$BS113,$BT113,($A113-Inputs!$D$1)+15,1,0)))))</f>
        <v>#NAME?</v>
      </c>
      <c r="V113" s="281" t="e">
        <f aca="false">IF($A113="N/A"," ",(IF('Pricing Inputs'!$AN$8=2,(O113-$H113),IF((O113-$H113)&lt;=0,0,(O113-$H113)))))</f>
        <v>#N/A</v>
      </c>
      <c r="W113" s="282" t="e">
        <f aca="false">IF($A113="N/A"," ",IF(0&lt;&gt;P113,IF('Pricing Inputs'!$AN$3=2,8*VLOOKUP($A113,NumberofDaysTable,2),(xSPRDOPT(I113,$E113,$BU113,0,$BP113,$BS113,$BT113,$A113-Inputs!$D$1,1,1))*(8*VLOOKUP($A113,NumberofDaysTable,2))),0))</f>
        <v>#NAME?</v>
      </c>
      <c r="X113" s="282" t="e">
        <f aca="false">IF($A113="N/A"," ",IF(Q113&lt;&gt;0,IF('Pricing Inputs'!$AN$3=2,8*VLOOKUP($A113,NumberofDaysTable,2),(xSPRDOPT(J113,$E113,$BU113,0,$BP113,$BS113,$BT113,$A113-Inputs!$D$1,1,1))*(8*VLOOKUP($A113,NumberofDaysTable,2))),0))</f>
        <v>#NAME?</v>
      </c>
      <c r="Y113" s="282" t="e">
        <f aca="false">IF($A113="N/A"," ",IF(R113&lt;&gt;0,IF('Pricing Inputs'!$AN$3=2,8*VLOOKUP($A113,NumberofDaysTable,3),(xSPRDOPT(K113,$E113,$BU113,0,$BP113,$BS113,$BT113,$A113-Inputs!$D$1,1,1))*(8*VLOOKUP($A113,NumberofDaysTable,3))),0))</f>
        <v>#NAME?</v>
      </c>
      <c r="Z113" s="282" t="e">
        <f aca="false">IF($A113="N/A"," ",IF(S113&lt;&gt;0,IF('Pricing Inputs'!$AN$3=2,8*VLOOKUP($A113,NumberofDaysTable,3),(xSPRDOPT(L113,$E113,$BU113,0,$BP113,$BS113,$BT113,$A113-Inputs!$D$1,1,1))*(8*VLOOKUP($A113,NumberofDaysTable,3))),0))</f>
        <v>#NAME?</v>
      </c>
      <c r="AA113" s="282" t="e">
        <f aca="false">IF($A113="N/A"," ",IF(T113&lt;&gt;0,IF('Pricing Inputs'!$AN$3=2,8*VLOOKUP($A113,NumberofDaysTable,4),(xSPRDOPT(M113,$E113,$BU113,0,$BP113,$BS113,$BT113,$A113-Inputs!$D$1,1,1))*(8*VLOOKUP($A113,NumberofDaysTable,4))),0))</f>
        <v>#NAME?</v>
      </c>
      <c r="AB113" s="282" t="e">
        <f aca="false">IF($A113="N/A"," ",IF(U113&lt;&gt;0,IF('Pricing Inputs'!$AN$3=2,8*VLOOKUP($A113,NumberofDaysTable,4),(xSPRDOPT(N113,$E113,$BU113,0,$BP113,$BS113,$BT113,$A113-Inputs!$D$1,1,1))*(8*VLOOKUP($A113,NumberofDaysTable,4))),0))</f>
        <v>#NAME?</v>
      </c>
      <c r="AC113" s="282" t="e">
        <f aca="false">IF($A113="N/A"," ",(IF(V113&lt;&gt;0,(8*VLOOKUP($A113,NumberofDaysTable,6)),0)))</f>
        <v>#N/A</v>
      </c>
      <c r="AD113" s="298" t="e">
        <f aca="false">IF($A113="N/A"," ",RANK(P113,$P$112:$V$123))</f>
        <v>#NAME?</v>
      </c>
      <c r="AE113" s="299" t="e">
        <f aca="false">IF($A113="N/A"," ",RANK(Q113,$P$112:$V$123))</f>
        <v>#NAME?</v>
      </c>
      <c r="AF113" s="299" t="e">
        <f aca="false">IF($A113="N/A"," ",RANK(R113,$P$112:$V$123))</f>
        <v>#NAME?</v>
      </c>
      <c r="AG113" s="299" t="e">
        <f aca="false">IF($A113="N/A"," ",RANK(S113,$P$112:$V$123))</f>
        <v>#NAME?</v>
      </c>
      <c r="AH113" s="299" t="e">
        <f aca="false">IF($A113="N/A"," ",RANK(T113,$P$112:$V$123))</f>
        <v>#NAME?</v>
      </c>
      <c r="AI113" s="299" t="e">
        <f aca="false">IF($A113="N/A"," ",RANK(U113,$P$112:$V$123))</f>
        <v>#NAME?</v>
      </c>
      <c r="AJ113" s="300" t="e">
        <f aca="false">IF($A113="N/A"," ",RANK(V113,$P$112:$V$123))</f>
        <v>#NAME?</v>
      </c>
      <c r="AK113" s="286" t="e">
        <f aca="false">IF($A113="N/A"," ",IF(AD113&lt;=$AJ$2,W113,0))</f>
        <v>#NAME?</v>
      </c>
      <c r="AL113" s="301" t="e">
        <f aca="false">IF($A113="N/A"," ",IF(AE113&lt;=$AJ$2,X113,0))</f>
        <v>#NAME?</v>
      </c>
      <c r="AM113" s="301" t="e">
        <f aca="false">IF($A113="N/A"," ",IF(AF113&lt;=$AJ$2,Y113,0))</f>
        <v>#NAME?</v>
      </c>
      <c r="AN113" s="301" t="e">
        <f aca="false">IF($A113="N/A"," ",IF(AG113&lt;=$AJ$2,Z113,0))</f>
        <v>#NAME?</v>
      </c>
      <c r="AO113" s="301" t="e">
        <f aca="false">IF($A113="N/A"," ",IF(AH113&lt;=$AJ$2,AA113,0))</f>
        <v>#NAME?</v>
      </c>
      <c r="AP113" s="301" t="e">
        <f aca="false">IF($A113="N/A"," ",IF(AI113&lt;=$AJ$2,AB113,0))</f>
        <v>#NAME?</v>
      </c>
      <c r="AQ113" s="301" t="e">
        <f aca="false">IF($A113="N/A"," ",IF(AJ113&lt;=$AJ$2,AC113,0))</f>
        <v>#NAME?</v>
      </c>
      <c r="AR113" s="300"/>
      <c r="AS113" s="288" t="e">
        <f aca="false">IF($A113="N/A"," ",IF(AND(AD113=$AJ$2+1,AK113=0),MIN($AR$123,W113),0))</f>
        <v>#NAME?</v>
      </c>
      <c r="AT113" s="302" t="e">
        <f aca="false">IF($A113="N/A"," ",IF(AND(AE113=$AJ$2+1,AL113=0),MIN($AR$123,X113),0))</f>
        <v>#NAME?</v>
      </c>
      <c r="AU113" s="302" t="e">
        <f aca="false">IF($A113="N/A"," ",IF(AND(AF113=$AJ$2+1,AM113=0),MIN($AR$123,Y113),0))</f>
        <v>#NAME?</v>
      </c>
      <c r="AV113" s="302" t="e">
        <f aca="false">IF($A113="N/A"," ",IF(AND(AG113=$AJ$2+1,AN113=0),MIN($AR$123,Z113),0))</f>
        <v>#NAME?</v>
      </c>
      <c r="AW113" s="302" t="e">
        <f aca="false">IF($A113="N/A"," ",IF(AND(AH113=$AJ$2+1,AO113=0),MIN($AR$123,AA113),0))</f>
        <v>#NAME?</v>
      </c>
      <c r="AX113" s="302" t="e">
        <f aca="false">IF($A113="N/A"," ",IF(AND(AI113=$AJ$2+1,AP113=0),MIN($AR$123,AB113),0))</f>
        <v>#NAME?</v>
      </c>
      <c r="AY113" s="302" t="e">
        <f aca="false">IF($A113="N/A"," ",IF(AND(AJ113=$AJ$2+1,AQ113=0),MIN($AR$123,AC113),0))</f>
        <v>#NAME?</v>
      </c>
      <c r="AZ113" s="300"/>
      <c r="BA113" s="291" t="n">
        <f aca="false">IF($A113="N/A"," ",(IF(MONTH(A113)&gt;=4,IF(MONTH(A113)&lt;=10,Inputs!$F$13,Inputs!$F$14),Inputs!$F$14))*$BW113)</f>
        <v>180</v>
      </c>
      <c r="BB113" s="292" t="e">
        <f aca="false">IF($A113="N/A"," ",(IF(AK113&gt;0,($BA113*(8*(VLOOKUP($A113,NumberofDaysTable,2)))*P113),0)+IF(AS113&gt;0,($BA113*((AS113))*P113),0)))</f>
        <v>#NAME?</v>
      </c>
      <c r="BC113" s="292" t="e">
        <f aca="false">IF($A113="N/A"," ",(IF(AL113&gt;0,($BA113*(8*(VLOOKUP($A113,NumberofDaysTable,2)))*Q113),0)+IF(AT113&gt;0,($BA113*((AT113))*Q113),0)))</f>
        <v>#NAME?</v>
      </c>
      <c r="BD113" s="292" t="e">
        <f aca="false">IF($A113="N/A"," ",(IF(AM113&gt;0,($BA113*(8*(VLOOKUP($A113,NumberofDaysTable,3)))*R113),0)+IF(AU113&gt;0,($BA113*((AU113))*R113),0)))</f>
        <v>#NAME?</v>
      </c>
      <c r="BE113" s="292" t="e">
        <f aca="false">IF($A113="N/A"," ",(IF(AN113&gt;0,($BA113*(8*(VLOOKUP($A113,NumberofDaysTable,3)))*S113),0)+IF(AV113&gt;0,($BA113*((AV113))*S113),0)))</f>
        <v>#NAME?</v>
      </c>
      <c r="BF113" s="292" t="e">
        <f aca="false">IF($A113="N/A"," ",(IF(AO113&gt;0,($BA113*(8*(VLOOKUP($A113,NumberofDaysTable,4)+VLOOKUP($A113,NumberofDaysTable,5)))*T113),0)+IF(AW113&gt;0,($BA113*((AW113))*T113),0)))</f>
        <v>#NAME?</v>
      </c>
      <c r="BG113" s="292" t="e">
        <f aca="false">IF($A113="N/A"," ",(IF(AP113&gt;0,($BA113*(8*(VLOOKUP($A113,NumberofDaysTable,4)+VLOOKUP($A113,NumberofDaysTable,5)))*U113),0)+IF(AX113&gt;0,($BA113*((AX113))*U113),0)))</f>
        <v>#NAME?</v>
      </c>
      <c r="BH113" s="292" t="e">
        <f aca="false">IF($A113="N/A"," ",($BA113*AQ113*V113))</f>
        <v>#NAME?</v>
      </c>
      <c r="BI113" s="292" t="e">
        <f aca="false">IF($A113="N/A"," ",SUM(BB113:BH113))</f>
        <v>#NAME?</v>
      </c>
      <c r="BJ113" s="293" t="e">
        <f aca="false">IF($A113="N/A"," ",(H113*(SUM(AK113:AQ113)+SUM(AS113:AY113))*BA113))</f>
        <v>#NAME?</v>
      </c>
      <c r="BK113" s="293" t="e">
        <f aca="false">IF($A113="N/A"," ",((C113*D113)*(SUM($AK113:$AQ113)+SUM($AS113:$AY113))*$BA113))</f>
        <v>#N/A</v>
      </c>
      <c r="BL113" s="293" t="e">
        <f aca="false">IF($A113="N/A"," ",(F113*(SUM($AK113:$AQ113)+SUM($AS113:$AY113))*$BA113))</f>
        <v>#NAME?</v>
      </c>
      <c r="BM113" s="293" t="e">
        <f aca="false">IF($A113="N/A"," ",(G113*(SUM($AK113:$AQ113)+SUM($AS113:$AY113))*$BA113))</f>
        <v>#NAME?</v>
      </c>
      <c r="BN113" s="294" t="n">
        <f aca="false">IF(A113="N/A"," ",(VLOOKUP(A113,PowerVolTable,(IF('Pricing Inputs'!$AT$3=2,7,IF('Pricing Inputs'!$AT$3=1,6,8))),FALSE())))</f>
        <v>0.172688338264543</v>
      </c>
      <c r="BO113" s="294" t="n">
        <f aca="false">IF(A113="N/A"," ",(VLOOKUP(A113,IntraPowerVol,(IF('Pricing Inputs'!$AT$3=2,3,IF('Pricing Inputs'!$AT$3=1,2,4))),FALSE())*VLOOKUP(MONTH($A113),Inputs!$A$28:$B$39,2)))</f>
        <v>2.3</v>
      </c>
      <c r="BP113" s="295" t="n">
        <f aca="false">IF($A113="N/A"," ",(IF(DateToday&gt;$A113,$BO113,((($BN113^2)*((($A113-1)-DateToday)/((EOMONTH($A113,0)+1)-DateToday-15)))+((($BO113)^2)*((15)/((EOMONTH($A113,0)+1)-DateToday-15))))^0.5)))</f>
        <v>2.3</v>
      </c>
      <c r="BQ113" s="294" t="e">
        <f aca="false">IF($A113="N/A"," ",(VLOOKUP($A113,GasVolTable,(IF('Pricing Inputs'!$AT$3=2,6,IF('Pricing Inputs'!$AT$3=1,7,5))),FALSE())))</f>
        <v>#N/A</v>
      </c>
      <c r="BR113" s="294" t="e">
        <f aca="false">IF($A113="N/A"," ",(VLOOKUP($A113,OmicronVol,(IF('Pricing Inputs'!$AT$3=2,3,IF('Pricing Inputs'!$AT$3=1,4,2))),FALSE())))</f>
        <v>#N/A</v>
      </c>
      <c r="BS113" s="295" t="e">
        <f aca="false">IF($A113="N/A"," ",IF('Pricing Inputs'!$AN$3=1,(IF(DateToday&gt;$A113,$BR113,((($BQ113^2)*((($A113-1)-DateToday)/((EOMONTH($A113,0)+1)-DateToday-15)))+((($BR113)^2)*((15)/((EOMONTH($A113,0)+1)-DateToday-15))))^0.5)),0.0001))</f>
        <v>#N/A</v>
      </c>
      <c r="BT113" s="294" t="n">
        <f aca="false">IF($A113="N/A"," ",IF('Pricing Inputs'!$AN$3=1,(VLOOKUP($A113,CorrelationTable,2,FALSE())),0))</f>
        <v>0.9</v>
      </c>
      <c r="BU113" s="296" t="e">
        <f aca="false">IF($A113="N/A"," ",F113+G113+(D113*(VLOOKUP($A113,'Gas Curves'!$B$17:$P$310,14,FALSE()))))</f>
        <v>#N/A</v>
      </c>
      <c r="BV113" s="294" t="n">
        <f aca="false">IF($A113="N/A"," ",IF('Pricing Inputs'!$AW$3=1,0,(VLOOKUP($A113,InterestRatesTable,2))))</f>
        <v>0</v>
      </c>
      <c r="BW113" s="297" t="n">
        <f aca="false">IF($A113="N/A"," ",(1+BV113/2)^(-2*((EOMONTH(A113,0)+20)-DateToday)/365.25))</f>
        <v>1</v>
      </c>
    </row>
    <row r="114" customFormat="false" ht="12.75" hidden="false" customHeight="false" outlineLevel="0" collapsed="false">
      <c r="A114" s="272" t="n">
        <f aca="false">IF(A113="N/A","N/A",IF(EDATE(A113,1)&gt;Inputs!$K$3,"N/A",EDATE(A113,1)))</f>
        <v>40238</v>
      </c>
      <c r="B114" s="273" t="n">
        <f aca="false">IF(A114="N/A"," ",YEAR(A114))</f>
        <v>2010</v>
      </c>
      <c r="C114" s="274" t="e">
        <f aca="false">IF(A114="N/A"," ",VLOOKUP(A114,ScaledPrice,10))</f>
        <v>#N/A</v>
      </c>
      <c r="D114" s="275" t="n">
        <f aca="false">IF(A114="N/A"," ",(VLOOKUP(MONTH($A114),Inputs!$A$14:$B$25,2))/1000)</f>
        <v>10.5</v>
      </c>
      <c r="E114" s="276" t="e">
        <f aca="false">IF($A114="N/A"," ",C114*D114)</f>
        <v>#N/A</v>
      </c>
      <c r="F114" s="277" t="n">
        <f aca="false">IF(A114="N/A"," ",Inputs!$F$6)</f>
        <v>2</v>
      </c>
      <c r="G114" s="277" t="n">
        <f aca="false">IF(A114="N/A"," ",Inputs!$F$9/IF(AND('Pricing Inputs'!$AQ$3&gt;=4,'Pricing Inputs'!$AQ$3&lt;=6),16,IF(AND('Pricing Inputs'!$AQ$3&gt;=7,'Pricing Inputs'!$AQ$3&lt;=9),8,24))/(BA114/BW114))</f>
        <v>0</v>
      </c>
      <c r="H114" s="278" t="e">
        <f aca="false">IF(A114="N/A"," ",(C114*D114)+F114+G114)</f>
        <v>#N/A</v>
      </c>
      <c r="I114" s="279" t="n">
        <f aca="false">VLOOKUP(A114,ScaledPrice,(IF(AND('Pricing Inputs'!$AQ$3&gt;=1,'Pricing Inputs'!$AQ$3&lt;=6),2,4)))</f>
        <v>32.744605</v>
      </c>
      <c r="J114" s="279" t="n">
        <f aca="false">IF(A114="N/A"," ",IF(AND('Pricing Inputs'!$AQ$3&gt;=1,'Pricing Inputs'!$AQ$3&lt;=6),I114,(VLOOKUP(A114,ScaledPrice,2))*(2-(VLOOKUP(A114,ScaledPrice,3)))))</f>
        <v>34.655395</v>
      </c>
      <c r="K114" s="279" t="n">
        <f aca="false">IF(A114="N/A"," ",IF(OR('Pricing Inputs'!$AQ$3=2,'Pricing Inputs'!$AQ$3=3,'Pricing Inputs'!$AQ$3=5,'Pricing Inputs'!$AQ$3=6,'Pricing Inputs'!$AQ$3=8,'Pricing Inputs'!$AQ$3=9),VLOOKUP(A114,ScaledPrice,IF(AND('Pricing Inputs'!$AQ$3&gt;=2,'Pricing Inputs'!$AQ$3&lt;=6),5,6)),0))</f>
        <v>21.6043944520187</v>
      </c>
      <c r="L114" s="279" t="n">
        <f aca="false">IF(A114="N/A"," ",IF(OR('Pricing Inputs'!$AQ$3=2,'Pricing Inputs'!$AQ$3=3,'Pricing Inputs'!$AQ$3=5,'Pricing Inputs'!$AQ$3=6,'Pricing Inputs'!$AQ$3=8,'Pricing Inputs'!$AQ$3=9),IF(AND('Pricing Inputs'!$AQ$3&gt;=2,'Pricing Inputs'!$AQ$3&lt;=6),K114,(VLOOKUP(A114,ScaledPrice,5))*(2-(VLOOKUP(A114,ScaledPrice,3)))),0))</f>
        <v>22.8651047545242</v>
      </c>
      <c r="M114" s="279" t="n">
        <f aca="false">IF(A114="N/A"," ",IF(OR('Pricing Inputs'!$AQ$3=3,'Pricing Inputs'!$AQ$3=6,'Pricing Inputs'!$AQ$3=9),(VLOOKUP(A114,ScaledPrice,IF(AND('Pricing Inputs'!$AQ$3&gt;=3,'Pricing Inputs'!$AQ$3&lt;=6),7,8))),0))</f>
        <v>21.2446403575134</v>
      </c>
      <c r="N114" s="279" t="n">
        <f aca="false">IF(A114="N/A"," ",IF(OR('Pricing Inputs'!$AQ$3=3,'Pricing Inputs'!$AQ$3=6,'Pricing Inputs'!$AQ$3=9),IF(AND('Pricing Inputs'!$AQ$3&gt;=3,'Pricing Inputs'!$AQ$3&lt;=6),M114,(VLOOKUP(A114,ScaledPrice,7))*(2-(VLOOKUP(A114,ScaledPrice,3)))),0))</f>
        <v>22.4843574452209</v>
      </c>
      <c r="O114" s="279" t="n">
        <f aca="false">IF(A114="N/A"," ",IF(AND('Pricing Inputs'!$AQ$3&gt;=1,'Pricing Inputs'!$AQ$3&lt;=3),VLOOKUP(A114,ScaledPrice,9),0))</f>
        <v>0</v>
      </c>
      <c r="P114" s="280" t="e">
        <f aca="false">IF($A114="N/A"," ",IF('Pricing Inputs'!$AN$8=2,(I114-H114),IF('Pricing Inputs'!$AN$3=2,IF((I114-$H114)&gt;0,I114-$H114,0),(xSPRDOPT(I114,$E114,$BU114,0,$BP114,$BS114,$BT114,($A114-Inputs!$D$1)+15,1,0)))))</f>
        <v>#NAME?</v>
      </c>
      <c r="Q114" s="280" t="e">
        <f aca="false">IF($A114="N/A"," ",IF('Pricing Inputs'!$AN$8=2,(J114-$H114),IF('Pricing Inputs'!$AN$3=2,IF((J114-$H114)&gt;0,J114-$H114,0),(xSPRDOPT(J114,$E114,$BU114,0,$BP114,$BS114,$BT114,($A114-Inputs!$D$1)+15,1,0)))))</f>
        <v>#NAME?</v>
      </c>
      <c r="R114" s="280" t="e">
        <f aca="false">IF($A114="N/A"," ",IF('Pricing Inputs'!$AN$8=2,(K114-$H114),IF('Pricing Inputs'!$AN$3=2,IF((K114-$H114)&gt;0,K114-$H114,0),(xSPRDOPT(K114,$E114,$BU114,0,$BP114,$BS114,$BT114,($A114-Inputs!$D$1)+15,1,0)))))</f>
        <v>#NAME?</v>
      </c>
      <c r="S114" s="280" t="e">
        <f aca="false">IF($A114="N/A"," ",IF('Pricing Inputs'!$AN$8=2,(L114-$H114),IF('Pricing Inputs'!$AN$3=2,IF((L114-$H114)&gt;0,L114-$H114,0),(xSPRDOPT(L114,$E114,$BU114,0,$BP114,$BS114,$BT114,($A114-Inputs!$D$1)+15,1,0)))))</f>
        <v>#NAME?</v>
      </c>
      <c r="T114" s="280" t="e">
        <f aca="false">IF($A114="N/A"," ",IF('Pricing Inputs'!$AN$8=2,(M114-$H114),IF('Pricing Inputs'!$AN$3=2,IF((M114-$H114)&gt;0,M114-$H114,0),(xSPRDOPT(M114,$E114,$BU114,0,$BP114,$BS114,$BT114,($A114-Inputs!$D$1)+15,1,0)))))</f>
        <v>#NAME?</v>
      </c>
      <c r="U114" s="280" t="e">
        <f aca="false">IF($A114="N/A"," ",IF('Pricing Inputs'!$AN$8=2,(N114-$H114),IF('Pricing Inputs'!$AN$3=2,IF((N114-$H114)&gt;0,N114-$H114,0),(xSPRDOPT(N114,$E114,$BU114,0,$BP114,$BS114,$BT114,($A114-Inputs!$D$1)+15,1,0)))))</f>
        <v>#NAME?</v>
      </c>
      <c r="V114" s="281" t="e">
        <f aca="false">IF($A114="N/A"," ",(IF('Pricing Inputs'!$AN$8=2,(O114-$H114),IF((O114-$H114)&lt;=0,0,(O114-$H114)))))</f>
        <v>#N/A</v>
      </c>
      <c r="W114" s="282" t="e">
        <f aca="false">IF($A114="N/A"," ",IF(0&lt;&gt;P114,IF('Pricing Inputs'!$AN$3=2,8*VLOOKUP($A114,NumberofDaysTable,2),(xSPRDOPT(I114,$E114,$BU114,0,$BP114,$BS114,$BT114,$A114-Inputs!$D$1,1,1))*(8*VLOOKUP($A114,NumberofDaysTable,2))),0))</f>
        <v>#NAME?</v>
      </c>
      <c r="X114" s="282" t="e">
        <f aca="false">IF($A114="N/A"," ",IF(Q114&lt;&gt;0,IF('Pricing Inputs'!$AN$3=2,8*VLOOKUP($A114,NumberofDaysTable,2),(xSPRDOPT(J114,$E114,$BU114,0,$BP114,$BS114,$BT114,$A114-Inputs!$D$1,1,1))*(8*VLOOKUP($A114,NumberofDaysTable,2))),0))</f>
        <v>#NAME?</v>
      </c>
      <c r="Y114" s="282" t="e">
        <f aca="false">IF($A114="N/A"," ",IF(R114&lt;&gt;0,IF('Pricing Inputs'!$AN$3=2,8*VLOOKUP($A114,NumberofDaysTable,3),(xSPRDOPT(K114,$E114,$BU114,0,$BP114,$BS114,$BT114,$A114-Inputs!$D$1,1,1))*(8*VLOOKUP($A114,NumberofDaysTable,3))),0))</f>
        <v>#NAME?</v>
      </c>
      <c r="Z114" s="282" t="e">
        <f aca="false">IF($A114="N/A"," ",IF(S114&lt;&gt;0,IF('Pricing Inputs'!$AN$3=2,8*VLOOKUP($A114,NumberofDaysTable,3),(xSPRDOPT(L114,$E114,$BU114,0,$BP114,$BS114,$BT114,$A114-Inputs!$D$1,1,1))*(8*VLOOKUP($A114,NumberofDaysTable,3))),0))</f>
        <v>#NAME?</v>
      </c>
      <c r="AA114" s="282" t="e">
        <f aca="false">IF($A114="N/A"," ",IF(T114&lt;&gt;0,IF('Pricing Inputs'!$AN$3=2,8*VLOOKUP($A114,NumberofDaysTable,4),(xSPRDOPT(M114,$E114,$BU114,0,$BP114,$BS114,$BT114,$A114-Inputs!$D$1,1,1))*(8*VLOOKUP($A114,NumberofDaysTable,4))),0))</f>
        <v>#NAME?</v>
      </c>
      <c r="AB114" s="282" t="e">
        <f aca="false">IF($A114="N/A"," ",IF(U114&lt;&gt;0,IF('Pricing Inputs'!$AN$3=2,8*VLOOKUP($A114,NumberofDaysTable,4),(xSPRDOPT(N114,$E114,$BU114,0,$BP114,$BS114,$BT114,$A114-Inputs!$D$1,1,1))*(8*VLOOKUP($A114,NumberofDaysTable,4))),0))</f>
        <v>#NAME?</v>
      </c>
      <c r="AC114" s="282" t="e">
        <f aca="false">IF($A114="N/A"," ",(IF(V114&lt;&gt;0,(8*VLOOKUP($A114,NumberofDaysTable,6)),0)))</f>
        <v>#N/A</v>
      </c>
      <c r="AD114" s="298" t="e">
        <f aca="false">IF($A114="N/A"," ",RANK(P114,$P$112:$V$123))</f>
        <v>#NAME?</v>
      </c>
      <c r="AE114" s="299" t="e">
        <f aca="false">IF($A114="N/A"," ",RANK(Q114,$P$112:$V$123))</f>
        <v>#NAME?</v>
      </c>
      <c r="AF114" s="299" t="e">
        <f aca="false">IF($A114="N/A"," ",RANK(R114,$P$112:$V$123))</f>
        <v>#NAME?</v>
      </c>
      <c r="AG114" s="299" t="e">
        <f aca="false">IF($A114="N/A"," ",RANK(S114,$P$112:$V$123))</f>
        <v>#NAME?</v>
      </c>
      <c r="AH114" s="299" t="e">
        <f aca="false">IF($A114="N/A"," ",RANK(T114,$P$112:$V$123))</f>
        <v>#NAME?</v>
      </c>
      <c r="AI114" s="299" t="e">
        <f aca="false">IF($A114="N/A"," ",RANK(U114,$P$112:$V$123))</f>
        <v>#NAME?</v>
      </c>
      <c r="AJ114" s="300" t="e">
        <f aca="false">IF($A114="N/A"," ",RANK(V114,$P$112:$V$123))</f>
        <v>#NAME?</v>
      </c>
      <c r="AK114" s="286" t="e">
        <f aca="false">IF($A114="N/A"," ",IF(AD114&lt;=$AJ$2,W114,0))</f>
        <v>#NAME?</v>
      </c>
      <c r="AL114" s="301" t="e">
        <f aca="false">IF($A114="N/A"," ",IF(AE114&lt;=$AJ$2,X114,0))</f>
        <v>#NAME?</v>
      </c>
      <c r="AM114" s="301" t="e">
        <f aca="false">IF($A114="N/A"," ",IF(AF114&lt;=$AJ$2,Y114,0))</f>
        <v>#NAME?</v>
      </c>
      <c r="AN114" s="301" t="e">
        <f aca="false">IF($A114="N/A"," ",IF(AG114&lt;=$AJ$2,Z114,0))</f>
        <v>#NAME?</v>
      </c>
      <c r="AO114" s="301" t="e">
        <f aca="false">IF($A114="N/A"," ",IF(AH114&lt;=$AJ$2,AA114,0))</f>
        <v>#NAME?</v>
      </c>
      <c r="AP114" s="301" t="e">
        <f aca="false">IF($A114="N/A"," ",IF(AI114&lt;=$AJ$2,AB114,0))</f>
        <v>#NAME?</v>
      </c>
      <c r="AQ114" s="301" t="e">
        <f aca="false">IF($A114="N/A"," ",IF(AJ114&lt;=$AJ$2,AC114,0))</f>
        <v>#NAME?</v>
      </c>
      <c r="AR114" s="300"/>
      <c r="AS114" s="288" t="e">
        <f aca="false">IF($A114="N/A"," ",IF(AND(AD114=$AJ$2+1,AK114=0),MIN($AR$123,W114),0))</f>
        <v>#NAME?</v>
      </c>
      <c r="AT114" s="302" t="e">
        <f aca="false">IF($A114="N/A"," ",IF(AND(AE114=$AJ$2+1,AL114=0),MIN($AR$123,X114),0))</f>
        <v>#NAME?</v>
      </c>
      <c r="AU114" s="302" t="e">
        <f aca="false">IF($A114="N/A"," ",IF(AND(AF114=$AJ$2+1,AM114=0),MIN($AR$123,Y114),0))</f>
        <v>#NAME?</v>
      </c>
      <c r="AV114" s="302" t="e">
        <f aca="false">IF($A114="N/A"," ",IF(AND(AG114=$AJ$2+1,AN114=0),MIN($AR$123,Z114),0))</f>
        <v>#NAME?</v>
      </c>
      <c r="AW114" s="302" t="e">
        <f aca="false">IF($A114="N/A"," ",IF(AND(AH114=$AJ$2+1,AO114=0),MIN($AR$123,AA114),0))</f>
        <v>#NAME?</v>
      </c>
      <c r="AX114" s="302" t="e">
        <f aca="false">IF($A114="N/A"," ",IF(AND(AI114=$AJ$2+1,AP114=0),MIN($AR$123,AB114),0))</f>
        <v>#NAME?</v>
      </c>
      <c r="AY114" s="302" t="e">
        <f aca="false">IF($A114="N/A"," ",IF(AND(AJ114=$AJ$2+1,AQ114=0),MIN($AR$123,AC114),0))</f>
        <v>#NAME?</v>
      </c>
      <c r="AZ114" s="300"/>
      <c r="BA114" s="291" t="n">
        <f aca="false">IF($A114="N/A"," ",(IF(MONTH(A114)&gt;=4,IF(MONTH(A114)&lt;=10,Inputs!$F$13,Inputs!$F$14),Inputs!$F$14))*$BW114)</f>
        <v>180</v>
      </c>
      <c r="BB114" s="292" t="e">
        <f aca="false">IF($A114="N/A"," ",(IF(AK114&gt;0,($BA114*(8*(VLOOKUP($A114,NumberofDaysTable,2)))*P114),0)+IF(AS114&gt;0,($BA114*((AS114))*P114),0)))</f>
        <v>#NAME?</v>
      </c>
      <c r="BC114" s="292" t="e">
        <f aca="false">IF($A114="N/A"," ",(IF(AL114&gt;0,($BA114*(8*(VLOOKUP($A114,NumberofDaysTable,2)))*Q114),0)+IF(AT114&gt;0,($BA114*((AT114))*Q114),0)))</f>
        <v>#NAME?</v>
      </c>
      <c r="BD114" s="292" t="e">
        <f aca="false">IF($A114="N/A"," ",(IF(AM114&gt;0,($BA114*(8*(VLOOKUP($A114,NumberofDaysTable,3)))*R114),0)+IF(AU114&gt;0,($BA114*((AU114))*R114),0)))</f>
        <v>#NAME?</v>
      </c>
      <c r="BE114" s="292" t="e">
        <f aca="false">IF($A114="N/A"," ",(IF(AN114&gt;0,($BA114*(8*(VLOOKUP($A114,NumberofDaysTable,3)))*S114),0)+IF(AV114&gt;0,($BA114*((AV114))*S114),0)))</f>
        <v>#NAME?</v>
      </c>
      <c r="BF114" s="292" t="e">
        <f aca="false">IF($A114="N/A"," ",(IF(AO114&gt;0,($BA114*(8*(VLOOKUP($A114,NumberofDaysTable,4)+VLOOKUP($A114,NumberofDaysTable,5)))*T114),0)+IF(AW114&gt;0,($BA114*((AW114))*T114),0)))</f>
        <v>#NAME?</v>
      </c>
      <c r="BG114" s="292" t="e">
        <f aca="false">IF($A114="N/A"," ",(IF(AP114&gt;0,($BA114*(8*(VLOOKUP($A114,NumberofDaysTable,4)+VLOOKUP($A114,NumberofDaysTable,5)))*U114),0)+IF(AX114&gt;0,($BA114*((AX114))*U114),0)))</f>
        <v>#NAME?</v>
      </c>
      <c r="BH114" s="292" t="e">
        <f aca="false">IF($A114="N/A"," ",($BA114*AQ114*V114))</f>
        <v>#NAME?</v>
      </c>
      <c r="BI114" s="292" t="e">
        <f aca="false">IF($A114="N/A"," ",SUM(BB114:BH114))</f>
        <v>#NAME?</v>
      </c>
      <c r="BJ114" s="293" t="e">
        <f aca="false">IF($A114="N/A"," ",(H114*(SUM(AK114:AQ114)+SUM(AS114:AY114))*BA114))</f>
        <v>#NAME?</v>
      </c>
      <c r="BK114" s="293" t="e">
        <f aca="false">IF($A114="N/A"," ",((C114*D114)*(SUM($AK114:$AQ114)+SUM($AS114:$AY114))*$BA114))</f>
        <v>#N/A</v>
      </c>
      <c r="BL114" s="293" t="e">
        <f aca="false">IF($A114="N/A"," ",(F114*(SUM($AK114:$AQ114)+SUM($AS114:$AY114))*$BA114))</f>
        <v>#NAME?</v>
      </c>
      <c r="BM114" s="293" t="e">
        <f aca="false">IF($A114="N/A"," ",(G114*(SUM($AK114:$AQ114)+SUM($AS114:$AY114))*$BA114))</f>
        <v>#NAME?</v>
      </c>
      <c r="BN114" s="294" t="n">
        <f aca="false">IF(A114="N/A"," ",(VLOOKUP(A114,PowerVolTable,(IF('Pricing Inputs'!$AT$3=2,7,IF('Pricing Inputs'!$AT$3=1,6,8))),FALSE())))</f>
        <v>0.1683238611022</v>
      </c>
      <c r="BO114" s="294" t="n">
        <f aca="false">IF(A114="N/A"," ",(VLOOKUP(A114,IntraPowerVol,(IF('Pricing Inputs'!$AT$3=2,3,IF('Pricing Inputs'!$AT$3=1,2,4))),FALSE())*VLOOKUP(MONTH($A114),Inputs!$A$28:$B$39,2)))</f>
        <v>1.495</v>
      </c>
      <c r="BP114" s="295" t="n">
        <f aca="false">IF($A114="N/A"," ",(IF(DateToday&gt;$A114,$BO114,((($BN114^2)*((($A114-1)-DateToday)/((EOMONTH($A114,0)+1)-DateToday-15)))+((($BO114)^2)*((15)/((EOMONTH($A114,0)+1)-DateToday-15))))^0.5)))</f>
        <v>1.495</v>
      </c>
      <c r="BQ114" s="294" t="e">
        <f aca="false">IF($A114="N/A"," ",(VLOOKUP($A114,GasVolTable,(IF('Pricing Inputs'!$AT$3=2,6,IF('Pricing Inputs'!$AT$3=1,7,5))),FALSE())))</f>
        <v>#N/A</v>
      </c>
      <c r="BR114" s="294" t="e">
        <f aca="false">IF($A114="N/A"," ",(VLOOKUP($A114,OmicronVol,(IF('Pricing Inputs'!$AT$3=2,3,IF('Pricing Inputs'!$AT$3=1,4,2))),FALSE())))</f>
        <v>#N/A</v>
      </c>
      <c r="BS114" s="295" t="e">
        <f aca="false">IF($A114="N/A"," ",IF('Pricing Inputs'!$AN$3=1,(IF(DateToday&gt;$A114,$BR114,((($BQ114^2)*((($A114-1)-DateToday)/((EOMONTH($A114,0)+1)-DateToday-15)))+((($BR114)^2)*((15)/((EOMONTH($A114,0)+1)-DateToday-15))))^0.5)),0.0001))</f>
        <v>#N/A</v>
      </c>
      <c r="BT114" s="294" t="n">
        <f aca="false">IF($A114="N/A"," ",IF('Pricing Inputs'!$AN$3=1,(VLOOKUP($A114,CorrelationTable,2,FALSE())),0))</f>
        <v>0.9</v>
      </c>
      <c r="BU114" s="296" t="e">
        <f aca="false">IF($A114="N/A"," ",F114+G114+(D114*(VLOOKUP($A114,'Gas Curves'!$B$17:$P$310,14,FALSE()))))</f>
        <v>#N/A</v>
      </c>
      <c r="BV114" s="294" t="n">
        <f aca="false">IF($A114="N/A"," ",IF('Pricing Inputs'!$AW$3=1,0,(VLOOKUP($A114,InterestRatesTable,2))))</f>
        <v>0</v>
      </c>
      <c r="BW114" s="297" t="n">
        <f aca="false">IF($A114="N/A"," ",(1+BV114/2)^(-2*((EOMONTH(A114,0)+20)-DateToday)/365.25))</f>
        <v>1</v>
      </c>
    </row>
    <row r="115" customFormat="false" ht="12.75" hidden="false" customHeight="false" outlineLevel="0" collapsed="false">
      <c r="A115" s="272" t="n">
        <f aca="false">IF(A114="N/A","N/A",IF(EDATE(A114,1)&gt;Inputs!$K$3,"N/A",EDATE(A114,1)))</f>
        <v>40269</v>
      </c>
      <c r="B115" s="273" t="n">
        <f aca="false">IF(A115="N/A"," ",YEAR(A115))</f>
        <v>2010</v>
      </c>
      <c r="C115" s="274" t="e">
        <f aca="false">IF(A115="N/A"," ",VLOOKUP(A115,ScaledPrice,10))</f>
        <v>#N/A</v>
      </c>
      <c r="D115" s="275" t="n">
        <f aca="false">IF(A115="N/A"," ",(VLOOKUP(MONTH($A115),Inputs!$A$14:$B$25,2))/1000)</f>
        <v>10.5</v>
      </c>
      <c r="E115" s="276" t="e">
        <f aca="false">IF($A115="N/A"," ",C115*D115)</f>
        <v>#N/A</v>
      </c>
      <c r="F115" s="277" t="n">
        <f aca="false">IF(A115="N/A"," ",Inputs!$F$6)</f>
        <v>2</v>
      </c>
      <c r="G115" s="277" t="n">
        <f aca="false">IF(A115="N/A"," ",Inputs!$F$9/IF(AND('Pricing Inputs'!$AQ$3&gt;=4,'Pricing Inputs'!$AQ$3&lt;=6),16,IF(AND('Pricing Inputs'!$AQ$3&gt;=7,'Pricing Inputs'!$AQ$3&lt;=9),8,24))/(BA115/BW115))</f>
        <v>0</v>
      </c>
      <c r="H115" s="278" t="e">
        <f aca="false">IF(A115="N/A"," ",(C115*D115)+F115+G115)</f>
        <v>#N/A</v>
      </c>
      <c r="I115" s="279" t="n">
        <f aca="false">VLOOKUP(A115,ScaledPrice,(IF(AND('Pricing Inputs'!$AQ$3&gt;=1,'Pricing Inputs'!$AQ$3&lt;=6),2,4)))</f>
        <v>30.015893372874</v>
      </c>
      <c r="J115" s="279" t="n">
        <f aca="false">IF(A115="N/A"," ",IF(AND('Pricing Inputs'!$AQ$3&gt;=1,'Pricing Inputs'!$AQ$3&lt;=6),I115,(VLOOKUP(A115,ScaledPrice,2))*(2-(VLOOKUP(A115,ScaledPrice,3)))))</f>
        <v>34.884106627126</v>
      </c>
      <c r="K115" s="279" t="n">
        <f aca="false">IF(A115="N/A"," ",IF(OR('Pricing Inputs'!$AQ$3=2,'Pricing Inputs'!$AQ$3=3,'Pricing Inputs'!$AQ$3=5,'Pricing Inputs'!$AQ$3=6,'Pricing Inputs'!$AQ$3=8,'Pricing Inputs'!$AQ$3=9),VLOOKUP(A115,ScaledPrice,IF(AND('Pricing Inputs'!$AQ$3&gt;=2,'Pricing Inputs'!$AQ$3&lt;=6),5,6)),0))</f>
        <v>21.1984359178109</v>
      </c>
      <c r="L115" s="279" t="n">
        <f aca="false">IF(A115="N/A"," ",IF(OR('Pricing Inputs'!$AQ$3=2,'Pricing Inputs'!$AQ$3=3,'Pricing Inputs'!$AQ$3=5,'Pricing Inputs'!$AQ$3=6,'Pricing Inputs'!$AQ$3=8,'Pricing Inputs'!$AQ$3=9),IF(AND('Pricing Inputs'!$AQ$3&gt;=2,'Pricing Inputs'!$AQ$3&lt;=6),K115,(VLOOKUP(A115,ScaledPrice,5))*(2-(VLOOKUP(A115,ScaledPrice,3)))),0))</f>
        <v>24.6365646925406</v>
      </c>
      <c r="M115" s="279" t="n">
        <f aca="false">IF(A115="N/A"," ",IF(OR('Pricing Inputs'!$AQ$3=3,'Pricing Inputs'!$AQ$3=6,'Pricing Inputs'!$AQ$3=9),(VLOOKUP(A115,ScaledPrice,IF(AND('Pricing Inputs'!$AQ$3&gt;=3,'Pricing Inputs'!$AQ$3&lt;=6),7,8))),0))</f>
        <v>20.0121363834132</v>
      </c>
      <c r="N115" s="279" t="n">
        <f aca="false">IF(A115="N/A"," ",IF(OR('Pricing Inputs'!$AQ$3=3,'Pricing Inputs'!$AQ$3=6,'Pricing Inputs'!$AQ$3=9),IF(AND('Pricing Inputs'!$AQ$3&gt;=3,'Pricing Inputs'!$AQ$3&lt;=6),M115,(VLOOKUP(A115,ScaledPrice,7))*(2-(VLOOKUP(A115,ScaledPrice,3)))),0))</f>
        <v>23.2578617855321</v>
      </c>
      <c r="O115" s="279" t="n">
        <f aca="false">IF(A115="N/A"," ",IF(AND('Pricing Inputs'!$AQ$3&gt;=1,'Pricing Inputs'!$AQ$3&lt;=3),VLOOKUP(A115,ScaledPrice,9),0))</f>
        <v>0</v>
      </c>
      <c r="P115" s="280" t="e">
        <f aca="false">IF($A115="N/A"," ",IF('Pricing Inputs'!$AN$8=2,(I115-H115),IF('Pricing Inputs'!$AN$3=2,IF((I115-$H115)&gt;0,I115-$H115,0),(xSPRDOPT(I115,$E115,$BU115,0,$BP115,$BS115,$BT115,($A115-Inputs!$D$1)+15,1,0)))))</f>
        <v>#NAME?</v>
      </c>
      <c r="Q115" s="280" t="e">
        <f aca="false">IF($A115="N/A"," ",IF('Pricing Inputs'!$AN$8=2,(J115-$H115),IF('Pricing Inputs'!$AN$3=2,IF((J115-$H115)&gt;0,J115-$H115,0),(xSPRDOPT(J115,$E115,$BU115,0,$BP115,$BS115,$BT115,($A115-Inputs!$D$1)+15,1,0)))))</f>
        <v>#NAME?</v>
      </c>
      <c r="R115" s="280" t="e">
        <f aca="false">IF($A115="N/A"," ",IF('Pricing Inputs'!$AN$8=2,(K115-$H115),IF('Pricing Inputs'!$AN$3=2,IF((K115-$H115)&gt;0,K115-$H115,0),(xSPRDOPT(K115,$E115,$BU115,0,$BP115,$BS115,$BT115,($A115-Inputs!$D$1)+15,1,0)))))</f>
        <v>#NAME?</v>
      </c>
      <c r="S115" s="280" t="e">
        <f aca="false">IF($A115="N/A"," ",IF('Pricing Inputs'!$AN$8=2,(L115-$H115),IF('Pricing Inputs'!$AN$3=2,IF((L115-$H115)&gt;0,L115-$H115,0),(xSPRDOPT(L115,$E115,$BU115,0,$BP115,$BS115,$BT115,($A115-Inputs!$D$1)+15,1,0)))))</f>
        <v>#NAME?</v>
      </c>
      <c r="T115" s="280" t="e">
        <f aca="false">IF($A115="N/A"," ",IF('Pricing Inputs'!$AN$8=2,(M115-$H115),IF('Pricing Inputs'!$AN$3=2,IF((M115-$H115)&gt;0,M115-$H115,0),(xSPRDOPT(M115,$E115,$BU115,0,$BP115,$BS115,$BT115,($A115-Inputs!$D$1)+15,1,0)))))</f>
        <v>#NAME?</v>
      </c>
      <c r="U115" s="280" t="e">
        <f aca="false">IF($A115="N/A"," ",IF('Pricing Inputs'!$AN$8=2,(N115-$H115),IF('Pricing Inputs'!$AN$3=2,IF((N115-$H115)&gt;0,N115-$H115,0),(xSPRDOPT(N115,$E115,$BU115,0,$BP115,$BS115,$BT115,($A115-Inputs!$D$1)+15,1,0)))))</f>
        <v>#NAME?</v>
      </c>
      <c r="V115" s="281" t="e">
        <f aca="false">IF($A115="N/A"," ",(IF('Pricing Inputs'!$AN$8=2,(O115-$H115),IF((O115-$H115)&lt;=0,0,(O115-$H115)))))</f>
        <v>#N/A</v>
      </c>
      <c r="W115" s="282" t="e">
        <f aca="false">IF($A115="N/A"," ",IF(0&lt;&gt;P115,IF('Pricing Inputs'!$AN$3=2,8*VLOOKUP($A115,NumberofDaysTable,2),(xSPRDOPT(I115,$E115,$BU115,0,$BP115,$BS115,$BT115,$A115-Inputs!$D$1,1,1))*(8*VLOOKUP($A115,NumberofDaysTable,2))),0))</f>
        <v>#NAME?</v>
      </c>
      <c r="X115" s="282" t="e">
        <f aca="false">IF($A115="N/A"," ",IF(Q115&lt;&gt;0,IF('Pricing Inputs'!$AN$3=2,8*VLOOKUP($A115,NumberofDaysTable,2),(xSPRDOPT(J115,$E115,$BU115,0,$BP115,$BS115,$BT115,$A115-Inputs!$D$1,1,1))*(8*VLOOKUP($A115,NumberofDaysTable,2))),0))</f>
        <v>#NAME?</v>
      </c>
      <c r="Y115" s="282" t="e">
        <f aca="false">IF($A115="N/A"," ",IF(R115&lt;&gt;0,IF('Pricing Inputs'!$AN$3=2,8*VLOOKUP($A115,NumberofDaysTable,3),(xSPRDOPT(K115,$E115,$BU115,0,$BP115,$BS115,$BT115,$A115-Inputs!$D$1,1,1))*(8*VLOOKUP($A115,NumberofDaysTable,3))),0))</f>
        <v>#NAME?</v>
      </c>
      <c r="Z115" s="282" t="e">
        <f aca="false">IF($A115="N/A"," ",IF(S115&lt;&gt;0,IF('Pricing Inputs'!$AN$3=2,8*VLOOKUP($A115,NumberofDaysTable,3),(xSPRDOPT(L115,$E115,$BU115,0,$BP115,$BS115,$BT115,$A115-Inputs!$D$1,1,1))*(8*VLOOKUP($A115,NumberofDaysTable,3))),0))</f>
        <v>#NAME?</v>
      </c>
      <c r="AA115" s="282" t="e">
        <f aca="false">IF($A115="N/A"," ",IF(T115&lt;&gt;0,IF('Pricing Inputs'!$AN$3=2,8*VLOOKUP($A115,NumberofDaysTable,4),(xSPRDOPT(M115,$E115,$BU115,0,$BP115,$BS115,$BT115,$A115-Inputs!$D$1,1,1))*(8*VLOOKUP($A115,NumberofDaysTable,4))),0))</f>
        <v>#NAME?</v>
      </c>
      <c r="AB115" s="282" t="e">
        <f aca="false">IF($A115="N/A"," ",IF(U115&lt;&gt;0,IF('Pricing Inputs'!$AN$3=2,8*VLOOKUP($A115,NumberofDaysTable,4),(xSPRDOPT(N115,$E115,$BU115,0,$BP115,$BS115,$BT115,$A115-Inputs!$D$1,1,1))*(8*VLOOKUP($A115,NumberofDaysTable,4))),0))</f>
        <v>#NAME?</v>
      </c>
      <c r="AC115" s="282" t="e">
        <f aca="false">IF($A115="N/A"," ",(IF(V115&lt;&gt;0,(8*VLOOKUP($A115,NumberofDaysTable,6)),0)))</f>
        <v>#N/A</v>
      </c>
      <c r="AD115" s="298" t="e">
        <f aca="false">IF($A115="N/A"," ",RANK(P115,$P$112:$V$123))</f>
        <v>#NAME?</v>
      </c>
      <c r="AE115" s="299" t="e">
        <f aca="false">IF($A115="N/A"," ",RANK(Q115,$P$112:$V$123))</f>
        <v>#NAME?</v>
      </c>
      <c r="AF115" s="299" t="e">
        <f aca="false">IF($A115="N/A"," ",RANK(R115,$P$112:$V$123))</f>
        <v>#NAME?</v>
      </c>
      <c r="AG115" s="299" t="e">
        <f aca="false">IF($A115="N/A"," ",RANK(S115,$P$112:$V$123))</f>
        <v>#NAME?</v>
      </c>
      <c r="AH115" s="299" t="e">
        <f aca="false">IF($A115="N/A"," ",RANK(T115,$P$112:$V$123))</f>
        <v>#NAME?</v>
      </c>
      <c r="AI115" s="299" t="e">
        <f aca="false">IF($A115="N/A"," ",RANK(U115,$P$112:$V$123))</f>
        <v>#NAME?</v>
      </c>
      <c r="AJ115" s="300" t="e">
        <f aca="false">IF($A115="N/A"," ",RANK(V115,$P$112:$V$123))</f>
        <v>#NAME?</v>
      </c>
      <c r="AK115" s="286" t="e">
        <f aca="false">IF($A115="N/A"," ",IF(AD115&lt;=$AJ$2,W115,0))</f>
        <v>#NAME?</v>
      </c>
      <c r="AL115" s="301" t="e">
        <f aca="false">IF($A115="N/A"," ",IF(AE115&lt;=$AJ$2,X115,0))</f>
        <v>#NAME?</v>
      </c>
      <c r="AM115" s="301" t="e">
        <f aca="false">IF($A115="N/A"," ",IF(AF115&lt;=$AJ$2,Y115,0))</f>
        <v>#NAME?</v>
      </c>
      <c r="AN115" s="301" t="e">
        <f aca="false">IF($A115="N/A"," ",IF(AG115&lt;=$AJ$2,Z115,0))</f>
        <v>#NAME?</v>
      </c>
      <c r="AO115" s="301" t="e">
        <f aca="false">IF($A115="N/A"," ",IF(AH115&lt;=$AJ$2,AA115,0))</f>
        <v>#NAME?</v>
      </c>
      <c r="AP115" s="301" t="e">
        <f aca="false">IF($A115="N/A"," ",IF(AI115&lt;=$AJ$2,AB115,0))</f>
        <v>#NAME?</v>
      </c>
      <c r="AQ115" s="301" t="e">
        <f aca="false">IF($A115="N/A"," ",IF(AJ115&lt;=$AJ$2,AC115,0))</f>
        <v>#NAME?</v>
      </c>
      <c r="AR115" s="300"/>
      <c r="AS115" s="288" t="e">
        <f aca="false">IF($A115="N/A"," ",IF(AND(AD115=$AJ$2+1,AK115=0),MIN($AR$123,W115),0))</f>
        <v>#NAME?</v>
      </c>
      <c r="AT115" s="302" t="e">
        <f aca="false">IF($A115="N/A"," ",IF(AND(AE115=$AJ$2+1,AL115=0),MIN($AR$123,X115),0))</f>
        <v>#NAME?</v>
      </c>
      <c r="AU115" s="302" t="e">
        <f aca="false">IF($A115="N/A"," ",IF(AND(AF115=$AJ$2+1,AM115=0),MIN($AR$123,Y115),0))</f>
        <v>#NAME?</v>
      </c>
      <c r="AV115" s="302" t="e">
        <f aca="false">IF($A115="N/A"," ",IF(AND(AG115=$AJ$2+1,AN115=0),MIN($AR$123,Z115),0))</f>
        <v>#NAME?</v>
      </c>
      <c r="AW115" s="302" t="e">
        <f aca="false">IF($A115="N/A"," ",IF(AND(AH115=$AJ$2+1,AO115=0),MIN($AR$123,AA115),0))</f>
        <v>#NAME?</v>
      </c>
      <c r="AX115" s="302" t="e">
        <f aca="false">IF($A115="N/A"," ",IF(AND(AI115=$AJ$2+1,AP115=0),MIN($AR$123,AB115),0))</f>
        <v>#NAME?</v>
      </c>
      <c r="AY115" s="302" t="e">
        <f aca="false">IF($A115="N/A"," ",IF(AND(AJ115=$AJ$2+1,AQ115=0),MIN($AR$123,AC115),0))</f>
        <v>#NAME?</v>
      </c>
      <c r="AZ115" s="300"/>
      <c r="BA115" s="291" t="n">
        <f aca="false">IF($A115="N/A"," ",(IF(MONTH(A115)&gt;=4,IF(MONTH(A115)&lt;=10,Inputs!$F$13,Inputs!$F$14),Inputs!$F$14))*$BW115)</f>
        <v>180</v>
      </c>
      <c r="BB115" s="292" t="e">
        <f aca="false">IF($A115="N/A"," ",(IF(AK115&gt;0,($BA115*(8*(VLOOKUP($A115,NumberofDaysTable,2)))*P115),0)+IF(AS115&gt;0,($BA115*((AS115))*P115),0)))</f>
        <v>#NAME?</v>
      </c>
      <c r="BC115" s="292" t="e">
        <f aca="false">IF($A115="N/A"," ",(IF(AL115&gt;0,($BA115*(8*(VLOOKUP($A115,NumberofDaysTable,2)))*Q115),0)+IF(AT115&gt;0,($BA115*((AT115))*Q115),0)))</f>
        <v>#NAME?</v>
      </c>
      <c r="BD115" s="292" t="e">
        <f aca="false">IF($A115="N/A"," ",(IF(AM115&gt;0,($BA115*(8*(VLOOKUP($A115,NumberofDaysTable,3)))*R115),0)+IF(AU115&gt;0,($BA115*((AU115))*R115),0)))</f>
        <v>#NAME?</v>
      </c>
      <c r="BE115" s="292" t="e">
        <f aca="false">IF($A115="N/A"," ",(IF(AN115&gt;0,($BA115*(8*(VLOOKUP($A115,NumberofDaysTable,3)))*S115),0)+IF(AV115&gt;0,($BA115*((AV115))*S115),0)))</f>
        <v>#NAME?</v>
      </c>
      <c r="BF115" s="292" t="e">
        <f aca="false">IF($A115="N/A"," ",(IF(AO115&gt;0,($BA115*(8*(VLOOKUP($A115,NumberofDaysTable,4)+VLOOKUP($A115,NumberofDaysTable,5)))*T115),0)+IF(AW115&gt;0,($BA115*((AW115))*T115),0)))</f>
        <v>#NAME?</v>
      </c>
      <c r="BG115" s="292" t="e">
        <f aca="false">IF($A115="N/A"," ",(IF(AP115&gt;0,($BA115*(8*(VLOOKUP($A115,NumberofDaysTable,4)+VLOOKUP($A115,NumberofDaysTable,5)))*U115),0)+IF(AX115&gt;0,($BA115*((AX115))*U115),0)))</f>
        <v>#NAME?</v>
      </c>
      <c r="BH115" s="292" t="e">
        <f aca="false">IF($A115="N/A"," ",($BA115*AQ115*V115))</f>
        <v>#NAME?</v>
      </c>
      <c r="BI115" s="292" t="e">
        <f aca="false">IF($A115="N/A"," ",SUM(BB115:BH115))</f>
        <v>#NAME?</v>
      </c>
      <c r="BJ115" s="293" t="e">
        <f aca="false">IF($A115="N/A"," ",(H115*(SUM(AK115:AQ115)+SUM(AS115:AY115))*BA115))</f>
        <v>#NAME?</v>
      </c>
      <c r="BK115" s="293" t="e">
        <f aca="false">IF($A115="N/A"," ",((C115*D115)*(SUM($AK115:$AQ115)+SUM($AS115:$AY115))*$BA115))</f>
        <v>#N/A</v>
      </c>
      <c r="BL115" s="293" t="e">
        <f aca="false">IF($A115="N/A"," ",(F115*(SUM($AK115:$AQ115)+SUM($AS115:$AY115))*$BA115))</f>
        <v>#NAME?</v>
      </c>
      <c r="BM115" s="293" t="e">
        <f aca="false">IF($A115="N/A"," ",(G115*(SUM($AK115:$AQ115)+SUM($AS115:$AY115))*$BA115))</f>
        <v>#NAME?</v>
      </c>
      <c r="BN115" s="294" t="n">
        <f aca="false">IF(A115="N/A"," ",(VLOOKUP(A115,PowerVolTable,(IF('Pricing Inputs'!$AT$3=2,7,IF('Pricing Inputs'!$AT$3=1,6,8))),FALSE())))</f>
        <v>0.150030871984943</v>
      </c>
      <c r="BO115" s="294" t="n">
        <f aca="false">IF(A115="N/A"," ",(VLOOKUP(A115,IntraPowerVol,(IF('Pricing Inputs'!$AT$3=2,3,IF('Pricing Inputs'!$AT$3=1,2,4))),FALSE())*VLOOKUP(MONTH($A115),Inputs!$A$28:$B$39,2)))</f>
        <v>1.265</v>
      </c>
      <c r="BP115" s="295" t="n">
        <f aca="false">IF($A115="N/A"," ",(IF(DateToday&gt;$A115,$BO115,((($BN115^2)*((($A115-1)-DateToday)/((EOMONTH($A115,0)+1)-DateToday-15)))+((($BO115)^2)*((15)/((EOMONTH($A115,0)+1)-DateToday-15))))^0.5)))</f>
        <v>1.265</v>
      </c>
      <c r="BQ115" s="294" t="e">
        <f aca="false">IF($A115="N/A"," ",(VLOOKUP($A115,GasVolTable,(IF('Pricing Inputs'!$AT$3=2,6,IF('Pricing Inputs'!$AT$3=1,7,5))),FALSE())))</f>
        <v>#N/A</v>
      </c>
      <c r="BR115" s="294" t="e">
        <f aca="false">IF($A115="N/A"," ",(VLOOKUP($A115,OmicronVol,(IF('Pricing Inputs'!$AT$3=2,3,IF('Pricing Inputs'!$AT$3=1,4,2))),FALSE())))</f>
        <v>#N/A</v>
      </c>
      <c r="BS115" s="295" t="e">
        <f aca="false">IF($A115="N/A"," ",IF('Pricing Inputs'!$AN$3=1,(IF(DateToday&gt;$A115,$BR115,((($BQ115^2)*((($A115-1)-DateToday)/((EOMONTH($A115,0)+1)-DateToday-15)))+((($BR115)^2)*((15)/((EOMONTH($A115,0)+1)-DateToday-15))))^0.5)),0.0001))</f>
        <v>#N/A</v>
      </c>
      <c r="BT115" s="294" t="n">
        <f aca="false">IF($A115="N/A"," ",IF('Pricing Inputs'!$AN$3=1,(VLOOKUP($A115,CorrelationTable,2,FALSE())),0))</f>
        <v>0.9</v>
      </c>
      <c r="BU115" s="296" t="e">
        <f aca="false">IF($A115="N/A"," ",F115+G115+(D115*(VLOOKUP($A115,'Gas Curves'!$B$17:$P$310,14,FALSE()))))</f>
        <v>#N/A</v>
      </c>
      <c r="BV115" s="294" t="n">
        <f aca="false">IF($A115="N/A"," ",IF('Pricing Inputs'!$AW$3=1,0,(VLOOKUP($A115,InterestRatesTable,2))))</f>
        <v>0</v>
      </c>
      <c r="BW115" s="297" t="n">
        <f aca="false">IF($A115="N/A"," ",(1+BV115/2)^(-2*((EOMONTH(A115,0)+20)-DateToday)/365.25))</f>
        <v>1</v>
      </c>
    </row>
    <row r="116" customFormat="false" ht="12.75" hidden="false" customHeight="false" outlineLevel="0" collapsed="false">
      <c r="A116" s="272" t="n">
        <f aca="false">IF(A115="N/A","N/A",IF(EDATE(A115,1)&gt;Inputs!$K$3,"N/A",EDATE(A115,1)))</f>
        <v>40299</v>
      </c>
      <c r="B116" s="273" t="n">
        <f aca="false">IF(A116="N/A"," ",YEAR(A116))</f>
        <v>2010</v>
      </c>
      <c r="C116" s="274" t="e">
        <f aca="false">IF(A116="N/A"," ",VLOOKUP(A116,ScaledPrice,10))</f>
        <v>#N/A</v>
      </c>
      <c r="D116" s="275" t="n">
        <f aca="false">IF(A116="N/A"," ",(VLOOKUP(MONTH($A116),Inputs!$A$14:$B$25,2))/1000)</f>
        <v>10.5</v>
      </c>
      <c r="E116" s="276" t="e">
        <f aca="false">IF($A116="N/A"," ",C116*D116)</f>
        <v>#N/A</v>
      </c>
      <c r="F116" s="277" t="n">
        <f aca="false">IF(A116="N/A"," ",Inputs!$F$6)</f>
        <v>2</v>
      </c>
      <c r="G116" s="277" t="n">
        <f aca="false">IF(A116="N/A"," ",Inputs!$F$9/IF(AND('Pricing Inputs'!$AQ$3&gt;=4,'Pricing Inputs'!$AQ$3&lt;=6),16,IF(AND('Pricing Inputs'!$AQ$3&gt;=7,'Pricing Inputs'!$AQ$3&lt;=9),8,24))/(BA116/BW116))</f>
        <v>0</v>
      </c>
      <c r="H116" s="278" t="e">
        <f aca="false">IF(A116="N/A"," ",(C116*D116)+F116+G116)</f>
        <v>#N/A</v>
      </c>
      <c r="I116" s="279" t="n">
        <f aca="false">VLOOKUP(A116,ScaledPrice,(IF(AND('Pricing Inputs'!$AQ$3&gt;=1,'Pricing Inputs'!$AQ$3&lt;=6),2,4)))</f>
        <v>33.6921167554742</v>
      </c>
      <c r="J116" s="279" t="n">
        <f aca="false">IF(A116="N/A"," ",IF(AND('Pricing Inputs'!$AQ$3&gt;=1,'Pricing Inputs'!$AQ$3&lt;=6),I116,(VLOOKUP(A116,ScaledPrice,2))*(2-(VLOOKUP(A116,ScaledPrice,3)))))</f>
        <v>35.6078832445258</v>
      </c>
      <c r="K116" s="279" t="n">
        <f aca="false">IF(A116="N/A"," ",IF(OR('Pricing Inputs'!$AQ$3=2,'Pricing Inputs'!$AQ$3=3,'Pricing Inputs'!$AQ$3=5,'Pricing Inputs'!$AQ$3=6,'Pricing Inputs'!$AQ$3=8,'Pricing Inputs'!$AQ$3=9),VLOOKUP(A116,ScaledPrice,IF(AND('Pricing Inputs'!$AQ$3&gt;=2,'Pricing Inputs'!$AQ$3&lt;=6),5,6)),0))</f>
        <v>22.3957772508215</v>
      </c>
      <c r="L116" s="279" t="n">
        <f aca="false">IF(A116="N/A"," ",IF(OR('Pricing Inputs'!$AQ$3=2,'Pricing Inputs'!$AQ$3=3,'Pricing Inputs'!$AQ$3=5,'Pricing Inputs'!$AQ$3=6,'Pricing Inputs'!$AQ$3=8,'Pricing Inputs'!$AQ$3=9),IF(AND('Pricing Inputs'!$AQ$3&gt;=2,'Pricing Inputs'!$AQ$3&lt;=6),K116,(VLOOKUP(A116,ScaledPrice,5))*(2-(VLOOKUP(A116,ScaledPrice,3)))),0))</f>
        <v>23.6692229017664</v>
      </c>
      <c r="M116" s="279" t="n">
        <f aca="false">IF(A116="N/A"," ",IF(OR('Pricing Inputs'!$AQ$3=3,'Pricing Inputs'!$AQ$3=6,'Pricing Inputs'!$AQ$3=9),(VLOOKUP(A116,ScaledPrice,IF(AND('Pricing Inputs'!$AQ$3&gt;=3,'Pricing Inputs'!$AQ$3&lt;=6),7,8))),0))</f>
        <v>21.5522585908679</v>
      </c>
      <c r="N116" s="279" t="n">
        <f aca="false">IF(A116="N/A"," ",IF(OR('Pricing Inputs'!$AQ$3=3,'Pricing Inputs'!$AQ$3=6,'Pricing Inputs'!$AQ$3=9),IF(AND('Pricing Inputs'!$AQ$3&gt;=3,'Pricing Inputs'!$AQ$3&lt;=6),M116,(VLOOKUP(A116,ScaledPrice,7))*(2-(VLOOKUP(A116,ScaledPrice,3)))),0))</f>
        <v>22.7777409513685</v>
      </c>
      <c r="O116" s="279" t="n">
        <f aca="false">IF(A116="N/A"," ",IF(AND('Pricing Inputs'!$AQ$3&gt;=1,'Pricing Inputs'!$AQ$3&lt;=3),VLOOKUP(A116,ScaledPrice,9),0))</f>
        <v>0</v>
      </c>
      <c r="P116" s="280" t="e">
        <f aca="false">IF($A116="N/A"," ",IF('Pricing Inputs'!$AN$8=2,(I116-H116),IF('Pricing Inputs'!$AN$3=2,IF((I116-$H116)&gt;0,I116-$H116,0),(xSPRDOPT(I116,$E116,$BU116,0,$BP116,$BS116,$BT116,($A116-Inputs!$D$1)+15,1,0)))))</f>
        <v>#NAME?</v>
      </c>
      <c r="Q116" s="280" t="e">
        <f aca="false">IF($A116="N/A"," ",IF('Pricing Inputs'!$AN$8=2,(J116-$H116),IF('Pricing Inputs'!$AN$3=2,IF((J116-$H116)&gt;0,J116-$H116,0),(xSPRDOPT(J116,$E116,$BU116,0,$BP116,$BS116,$BT116,($A116-Inputs!$D$1)+15,1,0)))))</f>
        <v>#NAME?</v>
      </c>
      <c r="R116" s="280" t="e">
        <f aca="false">IF($A116="N/A"," ",IF('Pricing Inputs'!$AN$8=2,(K116-$H116),IF('Pricing Inputs'!$AN$3=2,IF((K116-$H116)&gt;0,K116-$H116,0),(xSPRDOPT(K116,$E116,$BU116,0,$BP116,$BS116,$BT116,($A116-Inputs!$D$1)+15,1,0)))))</f>
        <v>#NAME?</v>
      </c>
      <c r="S116" s="280" t="e">
        <f aca="false">IF($A116="N/A"," ",IF('Pricing Inputs'!$AN$8=2,(L116-$H116),IF('Pricing Inputs'!$AN$3=2,IF((L116-$H116)&gt;0,L116-$H116,0),(xSPRDOPT(L116,$E116,$BU116,0,$BP116,$BS116,$BT116,($A116-Inputs!$D$1)+15,1,0)))))</f>
        <v>#NAME?</v>
      </c>
      <c r="T116" s="280" t="e">
        <f aca="false">IF($A116="N/A"," ",IF('Pricing Inputs'!$AN$8=2,(M116-$H116),IF('Pricing Inputs'!$AN$3=2,IF((M116-$H116)&gt;0,M116-$H116,0),(xSPRDOPT(M116,$E116,$BU116,0,$BP116,$BS116,$BT116,($A116-Inputs!$D$1)+15,1,0)))))</f>
        <v>#NAME?</v>
      </c>
      <c r="U116" s="280" t="e">
        <f aca="false">IF($A116="N/A"," ",IF('Pricing Inputs'!$AN$8=2,(N116-$H116),IF('Pricing Inputs'!$AN$3=2,IF((N116-$H116)&gt;0,N116-$H116,0),(xSPRDOPT(N116,$E116,$BU116,0,$BP116,$BS116,$BT116,($A116-Inputs!$D$1)+15,1,0)))))</f>
        <v>#NAME?</v>
      </c>
      <c r="V116" s="281" t="e">
        <f aca="false">IF($A116="N/A"," ",(IF('Pricing Inputs'!$AN$8=2,(O116-$H116),IF((O116-$H116)&lt;=0,0,(O116-$H116)))))</f>
        <v>#N/A</v>
      </c>
      <c r="W116" s="282" t="e">
        <f aca="false">IF($A116="N/A"," ",IF(0&lt;&gt;P116,IF('Pricing Inputs'!$AN$3=2,8*VLOOKUP($A116,NumberofDaysTable,2),(xSPRDOPT(I116,$E116,$BU116,0,$BP116,$BS116,$BT116,$A116-Inputs!$D$1,1,1))*(8*VLOOKUP($A116,NumberofDaysTable,2))),0))</f>
        <v>#NAME?</v>
      </c>
      <c r="X116" s="282" t="e">
        <f aca="false">IF($A116="N/A"," ",IF(Q116&lt;&gt;0,IF('Pricing Inputs'!$AN$3=2,8*VLOOKUP($A116,NumberofDaysTable,2),(xSPRDOPT(J116,$E116,$BU116,0,$BP116,$BS116,$BT116,$A116-Inputs!$D$1,1,1))*(8*VLOOKUP($A116,NumberofDaysTable,2))),0))</f>
        <v>#NAME?</v>
      </c>
      <c r="Y116" s="282" t="e">
        <f aca="false">IF($A116="N/A"," ",IF(R116&lt;&gt;0,IF('Pricing Inputs'!$AN$3=2,8*VLOOKUP($A116,NumberofDaysTable,3),(xSPRDOPT(K116,$E116,$BU116,0,$BP116,$BS116,$BT116,$A116-Inputs!$D$1,1,1))*(8*VLOOKUP($A116,NumberofDaysTable,3))),0))</f>
        <v>#NAME?</v>
      </c>
      <c r="Z116" s="282" t="e">
        <f aca="false">IF($A116="N/A"," ",IF(S116&lt;&gt;0,IF('Pricing Inputs'!$AN$3=2,8*VLOOKUP($A116,NumberofDaysTable,3),(xSPRDOPT(L116,$E116,$BU116,0,$BP116,$BS116,$BT116,$A116-Inputs!$D$1,1,1))*(8*VLOOKUP($A116,NumberofDaysTable,3))),0))</f>
        <v>#NAME?</v>
      </c>
      <c r="AA116" s="282" t="e">
        <f aca="false">IF($A116="N/A"," ",IF(T116&lt;&gt;0,IF('Pricing Inputs'!$AN$3=2,8*VLOOKUP($A116,NumberofDaysTable,4),(xSPRDOPT(M116,$E116,$BU116,0,$BP116,$BS116,$BT116,$A116-Inputs!$D$1,1,1))*(8*VLOOKUP($A116,NumberofDaysTable,4))),0))</f>
        <v>#NAME?</v>
      </c>
      <c r="AB116" s="282" t="e">
        <f aca="false">IF($A116="N/A"," ",IF(U116&lt;&gt;0,IF('Pricing Inputs'!$AN$3=2,8*VLOOKUP($A116,NumberofDaysTable,4),(xSPRDOPT(N116,$E116,$BU116,0,$BP116,$BS116,$BT116,$A116-Inputs!$D$1,1,1))*(8*VLOOKUP($A116,NumberofDaysTable,4))),0))</f>
        <v>#NAME?</v>
      </c>
      <c r="AC116" s="282" t="e">
        <f aca="false">IF($A116="N/A"," ",(IF(V116&lt;&gt;0,(8*VLOOKUP($A116,NumberofDaysTable,6)),0)))</f>
        <v>#N/A</v>
      </c>
      <c r="AD116" s="298" t="e">
        <f aca="false">IF($A116="N/A"," ",RANK(P116,$P$112:$V$123))</f>
        <v>#NAME?</v>
      </c>
      <c r="AE116" s="299" t="e">
        <f aca="false">IF($A116="N/A"," ",RANK(Q116,$P$112:$V$123))</f>
        <v>#NAME?</v>
      </c>
      <c r="AF116" s="299" t="e">
        <f aca="false">IF($A116="N/A"," ",RANK(R116,$P$112:$V$123))</f>
        <v>#NAME?</v>
      </c>
      <c r="AG116" s="299" t="e">
        <f aca="false">IF($A116="N/A"," ",RANK(S116,$P$112:$V$123))</f>
        <v>#NAME?</v>
      </c>
      <c r="AH116" s="299" t="e">
        <f aca="false">IF($A116="N/A"," ",RANK(T116,$P$112:$V$123))</f>
        <v>#NAME?</v>
      </c>
      <c r="AI116" s="299" t="e">
        <f aca="false">IF($A116="N/A"," ",RANK(U116,$P$112:$V$123))</f>
        <v>#NAME?</v>
      </c>
      <c r="AJ116" s="300" t="e">
        <f aca="false">IF($A116="N/A"," ",RANK(V116,$P$112:$V$123))</f>
        <v>#NAME?</v>
      </c>
      <c r="AK116" s="286" t="e">
        <f aca="false">IF($A116="N/A"," ",IF(AD116&lt;=$AJ$2,W116,0))</f>
        <v>#NAME?</v>
      </c>
      <c r="AL116" s="301" t="e">
        <f aca="false">IF($A116="N/A"," ",IF(AE116&lt;=$AJ$2,X116,0))</f>
        <v>#NAME?</v>
      </c>
      <c r="AM116" s="301" t="e">
        <f aca="false">IF($A116="N/A"," ",IF(AF116&lt;=$AJ$2,Y116,0))</f>
        <v>#NAME?</v>
      </c>
      <c r="AN116" s="301" t="e">
        <f aca="false">IF($A116="N/A"," ",IF(AG116&lt;=$AJ$2,Z116,0))</f>
        <v>#NAME?</v>
      </c>
      <c r="AO116" s="301" t="e">
        <f aca="false">IF($A116="N/A"," ",IF(AH116&lt;=$AJ$2,AA116,0))</f>
        <v>#NAME?</v>
      </c>
      <c r="AP116" s="301" t="e">
        <f aca="false">IF($A116="N/A"," ",IF(AI116&lt;=$AJ$2,AB116,0))</f>
        <v>#NAME?</v>
      </c>
      <c r="AQ116" s="301" t="e">
        <f aca="false">IF($A116="N/A"," ",IF(AJ116&lt;=$AJ$2,AC116,0))</f>
        <v>#NAME?</v>
      </c>
      <c r="AR116" s="300"/>
      <c r="AS116" s="288" t="e">
        <f aca="false">IF($A116="N/A"," ",IF(AND(AD116=$AJ$2+1,AK116=0),MIN($AR$123,W116),0))</f>
        <v>#NAME?</v>
      </c>
      <c r="AT116" s="302" t="e">
        <f aca="false">IF($A116="N/A"," ",IF(AND(AE116=$AJ$2+1,AL116=0),MIN($AR$123,X116),0))</f>
        <v>#NAME?</v>
      </c>
      <c r="AU116" s="302" t="e">
        <f aca="false">IF($A116="N/A"," ",IF(AND(AF116=$AJ$2+1,AM116=0),MIN($AR$123,Y116),0))</f>
        <v>#NAME?</v>
      </c>
      <c r="AV116" s="302" t="e">
        <f aca="false">IF($A116="N/A"," ",IF(AND(AG116=$AJ$2+1,AN116=0),MIN($AR$123,Z116),0))</f>
        <v>#NAME?</v>
      </c>
      <c r="AW116" s="302" t="e">
        <f aca="false">IF($A116="N/A"," ",IF(AND(AH116=$AJ$2+1,AO116=0),MIN($AR$123,AA116),0))</f>
        <v>#NAME?</v>
      </c>
      <c r="AX116" s="302" t="e">
        <f aca="false">IF($A116="N/A"," ",IF(AND(AI116=$AJ$2+1,AP116=0),MIN($AR$123,AB116),0))</f>
        <v>#NAME?</v>
      </c>
      <c r="AY116" s="302" t="e">
        <f aca="false">IF($A116="N/A"," ",IF(AND(AJ116=$AJ$2+1,AQ116=0),MIN($AR$123,AC116),0))</f>
        <v>#NAME?</v>
      </c>
      <c r="AZ116" s="300"/>
      <c r="BA116" s="291" t="n">
        <f aca="false">IF($A116="N/A"," ",(IF(MONTH(A116)&gt;=4,IF(MONTH(A116)&lt;=10,Inputs!$F$13,Inputs!$F$14),Inputs!$F$14))*$BW116)</f>
        <v>180</v>
      </c>
      <c r="BB116" s="292" t="e">
        <f aca="false">IF($A116="N/A"," ",(IF(AK116&gt;0,($BA116*(8*(VLOOKUP($A116,NumberofDaysTable,2)))*P116),0)+IF(AS116&gt;0,($BA116*((AS116))*P116),0)))</f>
        <v>#NAME?</v>
      </c>
      <c r="BC116" s="292" t="e">
        <f aca="false">IF($A116="N/A"," ",(IF(AL116&gt;0,($BA116*(8*(VLOOKUP($A116,NumberofDaysTable,2)))*Q116),0)+IF(AT116&gt;0,($BA116*((AT116))*Q116),0)))</f>
        <v>#NAME?</v>
      </c>
      <c r="BD116" s="292" t="e">
        <f aca="false">IF($A116="N/A"," ",(IF(AM116&gt;0,($BA116*(8*(VLOOKUP($A116,NumberofDaysTable,3)))*R116),0)+IF(AU116&gt;0,($BA116*((AU116))*R116),0)))</f>
        <v>#NAME?</v>
      </c>
      <c r="BE116" s="292" t="e">
        <f aca="false">IF($A116="N/A"," ",(IF(AN116&gt;0,($BA116*(8*(VLOOKUP($A116,NumberofDaysTable,3)))*S116),0)+IF(AV116&gt;0,($BA116*((AV116))*S116),0)))</f>
        <v>#NAME?</v>
      </c>
      <c r="BF116" s="292" t="e">
        <f aca="false">IF($A116="N/A"," ",(IF(AO116&gt;0,($BA116*(8*(VLOOKUP($A116,NumberofDaysTable,4)+VLOOKUP($A116,NumberofDaysTable,5)))*T116),0)+IF(AW116&gt;0,($BA116*((AW116))*T116),0)))</f>
        <v>#NAME?</v>
      </c>
      <c r="BG116" s="292" t="e">
        <f aca="false">IF($A116="N/A"," ",(IF(AP116&gt;0,($BA116*(8*(VLOOKUP($A116,NumberofDaysTable,4)+VLOOKUP($A116,NumberofDaysTable,5)))*U116),0)+IF(AX116&gt;0,($BA116*((AX116))*U116),0)))</f>
        <v>#NAME?</v>
      </c>
      <c r="BH116" s="292" t="e">
        <f aca="false">IF($A116="N/A"," ",($BA116*AQ116*V116))</f>
        <v>#NAME?</v>
      </c>
      <c r="BI116" s="292" t="e">
        <f aca="false">IF($A116="N/A"," ",SUM(BB116:BH116))</f>
        <v>#NAME?</v>
      </c>
      <c r="BJ116" s="293" t="e">
        <f aca="false">IF($A116="N/A"," ",(H116*(SUM(AK116:AQ116)+SUM(AS116:AY116))*BA116))</f>
        <v>#NAME?</v>
      </c>
      <c r="BK116" s="293" t="e">
        <f aca="false">IF($A116="N/A"," ",((C116*D116)*(SUM($AK116:$AQ116)+SUM($AS116:$AY116))*$BA116))</f>
        <v>#N/A</v>
      </c>
      <c r="BL116" s="293" t="e">
        <f aca="false">IF($A116="N/A"," ",(F116*(SUM($AK116:$AQ116)+SUM($AS116:$AY116))*$BA116))</f>
        <v>#NAME?</v>
      </c>
      <c r="BM116" s="293" t="e">
        <f aca="false">IF($A116="N/A"," ",(G116*(SUM($AK116:$AQ116)+SUM($AS116:$AY116))*$BA116))</f>
        <v>#NAME?</v>
      </c>
      <c r="BN116" s="294" t="n">
        <f aca="false">IF(A116="N/A"," ",(VLOOKUP(A116,PowerVolTable,(IF('Pricing Inputs'!$AT$3=2,7,IF('Pricing Inputs'!$AT$3=1,6,8))),FALSE())))</f>
        <v>0.172719850735029</v>
      </c>
      <c r="BO116" s="294" t="n">
        <f aca="false">IF(A116="N/A"," ",(VLOOKUP(A116,IntraPowerVol,(IF('Pricing Inputs'!$AT$3=2,3,IF('Pricing Inputs'!$AT$3=1,2,4))),FALSE())*VLOOKUP(MONTH($A116),Inputs!$A$28:$B$39,2)))</f>
        <v>1.265</v>
      </c>
      <c r="BP116" s="295" t="n">
        <f aca="false">IF($A116="N/A"," ",(IF(DateToday&gt;$A116,$BO116,((($BN116^2)*((($A116-1)-DateToday)/((EOMONTH($A116,0)+1)-DateToday-15)))+((($BO116)^2)*((15)/((EOMONTH($A116,0)+1)-DateToday-15))))^0.5)))</f>
        <v>1.265</v>
      </c>
      <c r="BQ116" s="294" t="e">
        <f aca="false">IF($A116="N/A"," ",(VLOOKUP($A116,GasVolTable,(IF('Pricing Inputs'!$AT$3=2,6,IF('Pricing Inputs'!$AT$3=1,7,5))),FALSE())))</f>
        <v>#N/A</v>
      </c>
      <c r="BR116" s="294" t="e">
        <f aca="false">IF($A116="N/A"," ",(VLOOKUP($A116,OmicronVol,(IF('Pricing Inputs'!$AT$3=2,3,IF('Pricing Inputs'!$AT$3=1,4,2))),FALSE())))</f>
        <v>#N/A</v>
      </c>
      <c r="BS116" s="295" t="e">
        <f aca="false">IF($A116="N/A"," ",IF('Pricing Inputs'!$AN$3=1,(IF(DateToday&gt;$A116,$BR116,((($BQ116^2)*((($A116-1)-DateToday)/((EOMONTH($A116,0)+1)-DateToday-15)))+((($BR116)^2)*((15)/((EOMONTH($A116,0)+1)-DateToday-15))))^0.5)),0.0001))</f>
        <v>#N/A</v>
      </c>
      <c r="BT116" s="294" t="n">
        <f aca="false">IF($A116="N/A"," ",IF('Pricing Inputs'!$AN$3=1,(VLOOKUP($A116,CorrelationTable,2,FALSE())),0))</f>
        <v>0.9</v>
      </c>
      <c r="BU116" s="296" t="e">
        <f aca="false">IF($A116="N/A"," ",F116+G116+(D116*(VLOOKUP($A116,'Gas Curves'!$B$17:$P$310,14,FALSE()))))</f>
        <v>#N/A</v>
      </c>
      <c r="BV116" s="294" t="n">
        <f aca="false">IF($A116="N/A"," ",IF('Pricing Inputs'!$AW$3=1,0,(VLOOKUP($A116,InterestRatesTable,2))))</f>
        <v>0</v>
      </c>
      <c r="BW116" s="297" t="n">
        <f aca="false">IF($A116="N/A"," ",(1+BV116/2)^(-2*((EOMONTH(A116,0)+20)-DateToday)/365.25))</f>
        <v>1</v>
      </c>
    </row>
    <row r="117" customFormat="false" ht="12.75" hidden="false" customHeight="false" outlineLevel="0" collapsed="false">
      <c r="A117" s="272" t="n">
        <f aca="false">IF(A116="N/A","N/A",IF(EDATE(A116,1)&gt;Inputs!$K$3,"N/A",EDATE(A116,1)))</f>
        <v>40330</v>
      </c>
      <c r="B117" s="273" t="n">
        <f aca="false">IF(A117="N/A"," ",YEAR(A117))</f>
        <v>2010</v>
      </c>
      <c r="C117" s="274" t="e">
        <f aca="false">IF(A117="N/A"," ",VLOOKUP(A117,ScaledPrice,10))</f>
        <v>#N/A</v>
      </c>
      <c r="D117" s="275" t="n">
        <f aca="false">IF(A117="N/A"," ",(VLOOKUP(MONTH($A117),Inputs!$A$14:$B$25,2))/1000)</f>
        <v>10.5</v>
      </c>
      <c r="E117" s="276" t="e">
        <f aca="false">IF($A117="N/A"," ",C117*D117)</f>
        <v>#N/A</v>
      </c>
      <c r="F117" s="277" t="n">
        <f aca="false">IF(A117="N/A"," ",Inputs!$F$6)</f>
        <v>2</v>
      </c>
      <c r="G117" s="277" t="n">
        <f aca="false">IF(A117="N/A"," ",Inputs!$F$9/IF(AND('Pricing Inputs'!$AQ$3&gt;=4,'Pricing Inputs'!$AQ$3&lt;=6),16,IF(AND('Pricing Inputs'!$AQ$3&gt;=7,'Pricing Inputs'!$AQ$3&lt;=9),8,24))/(BA117/BW117))</f>
        <v>0</v>
      </c>
      <c r="H117" s="278" t="e">
        <f aca="false">IF(A117="N/A"," ",(C117*D117)+F117+G117)</f>
        <v>#N/A</v>
      </c>
      <c r="I117" s="279" t="n">
        <f aca="false">VLOOKUP(A117,ScaledPrice,(IF(AND('Pricing Inputs'!$AQ$3&gt;=1,'Pricing Inputs'!$AQ$3&lt;=6),2,4)))</f>
        <v>59.5802961036782</v>
      </c>
      <c r="J117" s="279" t="n">
        <f aca="false">IF(A117="N/A"," ",IF(AND('Pricing Inputs'!$AQ$3&gt;=1,'Pricing Inputs'!$AQ$3&lt;=6),I117,(VLOOKUP(A117,ScaledPrice,2))*(2-(VLOOKUP(A117,ScaledPrice,3)))))</f>
        <v>44.9197038963218</v>
      </c>
      <c r="K117" s="279" t="n">
        <f aca="false">IF(A117="N/A"," ",IF(OR('Pricing Inputs'!$AQ$3=2,'Pricing Inputs'!$AQ$3=3,'Pricing Inputs'!$AQ$3=5,'Pricing Inputs'!$AQ$3=6,'Pricing Inputs'!$AQ$3=8,'Pricing Inputs'!$AQ$3=9),VLOOKUP(A117,ScaledPrice,IF(AND('Pricing Inputs'!$AQ$3&gt;=2,'Pricing Inputs'!$AQ$3&lt;=6),5,6)),0))</f>
        <v>31.3110136790068</v>
      </c>
      <c r="L117" s="279" t="n">
        <f aca="false">IF(A117="N/A"," ",IF(OR('Pricing Inputs'!$AQ$3=2,'Pricing Inputs'!$AQ$3=3,'Pricing Inputs'!$AQ$3=5,'Pricing Inputs'!$AQ$3=6,'Pricing Inputs'!$AQ$3=8,'Pricing Inputs'!$AQ$3=9),IF(AND('Pricing Inputs'!$AQ$3&gt;=2,'Pricing Inputs'!$AQ$3&lt;=6),K117,(VLOOKUP(A117,ScaledPrice,5))*(2-(VLOOKUP(A117,ScaledPrice,3)))),0))</f>
        <v>23.606486626169</v>
      </c>
      <c r="M117" s="279" t="n">
        <f aca="false">IF(A117="N/A"," ",IF(OR('Pricing Inputs'!$AQ$3=3,'Pricing Inputs'!$AQ$3=6,'Pricing Inputs'!$AQ$3=9),(VLOOKUP(A117,ScaledPrice,IF(AND('Pricing Inputs'!$AQ$3&gt;=3,'Pricing Inputs'!$AQ$3&lt;=6),7,8))),0))</f>
        <v>23.8805803612935</v>
      </c>
      <c r="N117" s="279" t="n">
        <f aca="false">IF(A117="N/A"," ",IF(OR('Pricing Inputs'!$AQ$3=3,'Pricing Inputs'!$AQ$3=6,'Pricing Inputs'!$AQ$3=9),IF(AND('Pricing Inputs'!$AQ$3&gt;=3,'Pricing Inputs'!$AQ$3&lt;=6),M117,(VLOOKUP(A117,ScaledPrice,7))*(2-(VLOOKUP(A117,ScaledPrice,3)))),0))</f>
        <v>18.0044187231791</v>
      </c>
      <c r="O117" s="279" t="n">
        <f aca="false">IF(A117="N/A"," ",IF(AND('Pricing Inputs'!$AQ$3&gt;=1,'Pricing Inputs'!$AQ$3&lt;=3),VLOOKUP(A117,ScaledPrice,9),0))</f>
        <v>0</v>
      </c>
      <c r="P117" s="280" t="e">
        <f aca="false">IF($A117="N/A"," ",IF('Pricing Inputs'!$AN$8=2,(I117-H117),IF('Pricing Inputs'!$AN$3=2,IF((I117-$H117)&gt;0,I117-$H117,0),(xSPRDOPT(I117,$E117,$BU117,0,$BP117,$BS117,$BT117,($A117-Inputs!$D$1)+15,1,0)))))</f>
        <v>#NAME?</v>
      </c>
      <c r="Q117" s="280" t="e">
        <f aca="false">IF($A117="N/A"," ",IF('Pricing Inputs'!$AN$8=2,(J117-$H117),IF('Pricing Inputs'!$AN$3=2,IF((J117-$H117)&gt;0,J117-$H117,0),(xSPRDOPT(J117,$E117,$BU117,0,$BP117,$BS117,$BT117,($A117-Inputs!$D$1)+15,1,0)))))</f>
        <v>#NAME?</v>
      </c>
      <c r="R117" s="280" t="e">
        <f aca="false">IF($A117="N/A"," ",IF('Pricing Inputs'!$AN$8=2,(K117-$H117),IF('Pricing Inputs'!$AN$3=2,IF((K117-$H117)&gt;0,K117-$H117,0),(xSPRDOPT(K117,$E117,$BU117,0,$BP117,$BS117,$BT117,($A117-Inputs!$D$1)+15,1,0)))))</f>
        <v>#NAME?</v>
      </c>
      <c r="S117" s="280" t="e">
        <f aca="false">IF($A117="N/A"," ",IF('Pricing Inputs'!$AN$8=2,(L117-$H117),IF('Pricing Inputs'!$AN$3=2,IF((L117-$H117)&gt;0,L117-$H117,0),(xSPRDOPT(L117,$E117,$BU117,0,$BP117,$BS117,$BT117,($A117-Inputs!$D$1)+15,1,0)))))</f>
        <v>#NAME?</v>
      </c>
      <c r="T117" s="280" t="e">
        <f aca="false">IF($A117="N/A"," ",IF('Pricing Inputs'!$AN$8=2,(M117-$H117),IF('Pricing Inputs'!$AN$3=2,IF((M117-$H117)&gt;0,M117-$H117,0),(xSPRDOPT(M117,$E117,$BU117,0,$BP117,$BS117,$BT117,($A117-Inputs!$D$1)+15,1,0)))))</f>
        <v>#NAME?</v>
      </c>
      <c r="U117" s="280" t="e">
        <f aca="false">IF($A117="N/A"," ",IF('Pricing Inputs'!$AN$8=2,(N117-$H117),IF('Pricing Inputs'!$AN$3=2,IF((N117-$H117)&gt;0,N117-$H117,0),(xSPRDOPT(N117,$E117,$BU117,0,$BP117,$BS117,$BT117,($A117-Inputs!$D$1)+15,1,0)))))</f>
        <v>#NAME?</v>
      </c>
      <c r="V117" s="281" t="e">
        <f aca="false">IF($A117="N/A"," ",(IF('Pricing Inputs'!$AN$8=2,(O117-$H117),IF((O117-$H117)&lt;=0,0,(O117-$H117)))))</f>
        <v>#N/A</v>
      </c>
      <c r="W117" s="282" t="e">
        <f aca="false">IF($A117="N/A"," ",IF(0&lt;&gt;P117,IF('Pricing Inputs'!$AN$3=2,8*VLOOKUP($A117,NumberofDaysTable,2),(xSPRDOPT(I117,$E117,$BU117,0,$BP117,$BS117,$BT117,$A117-Inputs!$D$1,1,1))*(8*VLOOKUP($A117,NumberofDaysTable,2))),0))</f>
        <v>#NAME?</v>
      </c>
      <c r="X117" s="282" t="e">
        <f aca="false">IF($A117="N/A"," ",IF(Q117&lt;&gt;0,IF('Pricing Inputs'!$AN$3=2,8*VLOOKUP($A117,NumberofDaysTable,2),(xSPRDOPT(J117,$E117,$BU117,0,$BP117,$BS117,$BT117,$A117-Inputs!$D$1,1,1))*(8*VLOOKUP($A117,NumberofDaysTable,2))),0))</f>
        <v>#NAME?</v>
      </c>
      <c r="Y117" s="282" t="e">
        <f aca="false">IF($A117="N/A"," ",IF(R117&lt;&gt;0,IF('Pricing Inputs'!$AN$3=2,8*VLOOKUP($A117,NumberofDaysTable,3),(xSPRDOPT(K117,$E117,$BU117,0,$BP117,$BS117,$BT117,$A117-Inputs!$D$1,1,1))*(8*VLOOKUP($A117,NumberofDaysTable,3))),0))</f>
        <v>#NAME?</v>
      </c>
      <c r="Z117" s="282" t="e">
        <f aca="false">IF($A117="N/A"," ",IF(S117&lt;&gt;0,IF('Pricing Inputs'!$AN$3=2,8*VLOOKUP($A117,NumberofDaysTable,3),(xSPRDOPT(L117,$E117,$BU117,0,$BP117,$BS117,$BT117,$A117-Inputs!$D$1,1,1))*(8*VLOOKUP($A117,NumberofDaysTable,3))),0))</f>
        <v>#NAME?</v>
      </c>
      <c r="AA117" s="282" t="e">
        <f aca="false">IF($A117="N/A"," ",IF(T117&lt;&gt;0,IF('Pricing Inputs'!$AN$3=2,8*VLOOKUP($A117,NumberofDaysTable,4),(xSPRDOPT(M117,$E117,$BU117,0,$BP117,$BS117,$BT117,$A117-Inputs!$D$1,1,1))*(8*VLOOKUP($A117,NumberofDaysTable,4))),0))</f>
        <v>#NAME?</v>
      </c>
      <c r="AB117" s="282" t="e">
        <f aca="false">IF($A117="N/A"," ",IF(U117&lt;&gt;0,IF('Pricing Inputs'!$AN$3=2,8*VLOOKUP($A117,NumberofDaysTable,4),(xSPRDOPT(N117,$E117,$BU117,0,$BP117,$BS117,$BT117,$A117-Inputs!$D$1,1,1))*(8*VLOOKUP($A117,NumberofDaysTable,4))),0))</f>
        <v>#NAME?</v>
      </c>
      <c r="AC117" s="282" t="e">
        <f aca="false">IF($A117="N/A"," ",(IF(V117&lt;&gt;0,(8*VLOOKUP($A117,NumberofDaysTable,6)),0)))</f>
        <v>#N/A</v>
      </c>
      <c r="AD117" s="298" t="e">
        <f aca="false">IF($A117="N/A"," ",RANK(P117,$P$112:$V$123))</f>
        <v>#NAME?</v>
      </c>
      <c r="AE117" s="299" t="e">
        <f aca="false">IF($A117="N/A"," ",RANK(Q117,$P$112:$V$123))</f>
        <v>#NAME?</v>
      </c>
      <c r="AF117" s="299" t="e">
        <f aca="false">IF($A117="N/A"," ",RANK(R117,$P$112:$V$123))</f>
        <v>#NAME?</v>
      </c>
      <c r="AG117" s="299" t="e">
        <f aca="false">IF($A117="N/A"," ",RANK(S117,$P$112:$V$123))</f>
        <v>#NAME?</v>
      </c>
      <c r="AH117" s="299" t="e">
        <f aca="false">IF($A117="N/A"," ",RANK(T117,$P$112:$V$123))</f>
        <v>#NAME?</v>
      </c>
      <c r="AI117" s="299" t="e">
        <f aca="false">IF($A117="N/A"," ",RANK(U117,$P$112:$V$123))</f>
        <v>#NAME?</v>
      </c>
      <c r="AJ117" s="300" t="e">
        <f aca="false">IF($A117="N/A"," ",RANK(V117,$P$112:$V$123))</f>
        <v>#NAME?</v>
      </c>
      <c r="AK117" s="286" t="e">
        <f aca="false">IF($A117="N/A"," ",IF(AD117&lt;=$AJ$2,W117,0))</f>
        <v>#NAME?</v>
      </c>
      <c r="AL117" s="301" t="e">
        <f aca="false">IF($A117="N/A"," ",IF(AE117&lt;=$AJ$2,X117,0))</f>
        <v>#NAME?</v>
      </c>
      <c r="AM117" s="301" t="e">
        <f aca="false">IF($A117="N/A"," ",IF(AF117&lt;=$AJ$2,Y117,0))</f>
        <v>#NAME?</v>
      </c>
      <c r="AN117" s="301" t="e">
        <f aca="false">IF($A117="N/A"," ",IF(AG117&lt;=$AJ$2,Z117,0))</f>
        <v>#NAME?</v>
      </c>
      <c r="AO117" s="301" t="e">
        <f aca="false">IF($A117="N/A"," ",IF(AH117&lt;=$AJ$2,AA117,0))</f>
        <v>#NAME?</v>
      </c>
      <c r="AP117" s="301" t="e">
        <f aca="false">IF($A117="N/A"," ",IF(AI117&lt;=$AJ$2,AB117,0))</f>
        <v>#NAME?</v>
      </c>
      <c r="AQ117" s="301" t="e">
        <f aca="false">IF($A117="N/A"," ",IF(AJ117&lt;=$AJ$2,AC117,0))</f>
        <v>#NAME?</v>
      </c>
      <c r="AR117" s="300"/>
      <c r="AS117" s="288" t="e">
        <f aca="false">IF($A117="N/A"," ",IF(AND(AD117=$AJ$2+1,AK117=0),MIN($AR$123,W117),0))</f>
        <v>#NAME?</v>
      </c>
      <c r="AT117" s="302" t="e">
        <f aca="false">IF($A117="N/A"," ",IF(AND(AE117=$AJ$2+1,AL117=0),MIN($AR$123,X117),0))</f>
        <v>#NAME?</v>
      </c>
      <c r="AU117" s="302" t="e">
        <f aca="false">IF($A117="N/A"," ",IF(AND(AF117=$AJ$2+1,AM117=0),MIN($AR$123,Y117),0))</f>
        <v>#NAME?</v>
      </c>
      <c r="AV117" s="302" t="e">
        <f aca="false">IF($A117="N/A"," ",IF(AND(AG117=$AJ$2+1,AN117=0),MIN($AR$123,Z117),0))</f>
        <v>#NAME?</v>
      </c>
      <c r="AW117" s="302" t="e">
        <f aca="false">IF($A117="N/A"," ",IF(AND(AH117=$AJ$2+1,AO117=0),MIN($AR$123,AA117),0))</f>
        <v>#NAME?</v>
      </c>
      <c r="AX117" s="302" t="e">
        <f aca="false">IF($A117="N/A"," ",IF(AND(AI117=$AJ$2+1,AP117=0),MIN($AR$123,AB117),0))</f>
        <v>#NAME?</v>
      </c>
      <c r="AY117" s="302" t="e">
        <f aca="false">IF($A117="N/A"," ",IF(AND(AJ117=$AJ$2+1,AQ117=0),MIN($AR$123,AC117),0))</f>
        <v>#NAME?</v>
      </c>
      <c r="AZ117" s="300"/>
      <c r="BA117" s="291" t="n">
        <f aca="false">IF($A117="N/A"," ",(IF(MONTH(A117)&gt;=4,IF(MONTH(A117)&lt;=10,Inputs!$F$13,Inputs!$F$14),Inputs!$F$14))*$BW117)</f>
        <v>180</v>
      </c>
      <c r="BB117" s="292" t="e">
        <f aca="false">IF($A117="N/A"," ",(IF(AK117&gt;0,($BA117*(8*(VLOOKUP($A117,NumberofDaysTable,2)))*P117),0)+IF(AS117&gt;0,($BA117*((AS117))*P117),0)))</f>
        <v>#NAME?</v>
      </c>
      <c r="BC117" s="292" t="e">
        <f aca="false">IF($A117="N/A"," ",(IF(AL117&gt;0,($BA117*(8*(VLOOKUP($A117,NumberofDaysTable,2)))*Q117),0)+IF(AT117&gt;0,($BA117*((AT117))*Q117),0)))</f>
        <v>#NAME?</v>
      </c>
      <c r="BD117" s="292" t="e">
        <f aca="false">IF($A117="N/A"," ",(IF(AM117&gt;0,($BA117*(8*(VLOOKUP($A117,NumberofDaysTable,3)))*R117),0)+IF(AU117&gt;0,($BA117*((AU117))*R117),0)))</f>
        <v>#NAME?</v>
      </c>
      <c r="BE117" s="292" t="e">
        <f aca="false">IF($A117="N/A"," ",(IF(AN117&gt;0,($BA117*(8*(VLOOKUP($A117,NumberofDaysTable,3)))*S117),0)+IF(AV117&gt;0,($BA117*((AV117))*S117),0)))</f>
        <v>#NAME?</v>
      </c>
      <c r="BF117" s="292" t="e">
        <f aca="false">IF($A117="N/A"," ",(IF(AO117&gt;0,($BA117*(8*(VLOOKUP($A117,NumberofDaysTable,4)+VLOOKUP($A117,NumberofDaysTable,5)))*T117),0)+IF(AW117&gt;0,($BA117*((AW117))*T117),0)))</f>
        <v>#NAME?</v>
      </c>
      <c r="BG117" s="292" t="e">
        <f aca="false">IF($A117="N/A"," ",(IF(AP117&gt;0,($BA117*(8*(VLOOKUP($A117,NumberofDaysTable,4)+VLOOKUP($A117,NumberofDaysTable,5)))*U117),0)+IF(AX117&gt;0,($BA117*((AX117))*U117),0)))</f>
        <v>#NAME?</v>
      </c>
      <c r="BH117" s="292" t="e">
        <f aca="false">IF($A117="N/A"," ",($BA117*AQ117*V117))</f>
        <v>#NAME?</v>
      </c>
      <c r="BI117" s="292" t="e">
        <f aca="false">IF($A117="N/A"," ",SUM(BB117:BH117))</f>
        <v>#NAME?</v>
      </c>
      <c r="BJ117" s="293" t="e">
        <f aca="false">IF($A117="N/A"," ",(H117*(SUM(AK117:AQ117)+SUM(AS117:AY117))*BA117))</f>
        <v>#NAME?</v>
      </c>
      <c r="BK117" s="293" t="e">
        <f aca="false">IF($A117="N/A"," ",((C117*D117)*(SUM($AK117:$AQ117)+SUM($AS117:$AY117))*$BA117))</f>
        <v>#N/A</v>
      </c>
      <c r="BL117" s="293" t="e">
        <f aca="false">IF($A117="N/A"," ",(F117*(SUM($AK117:$AQ117)+SUM($AS117:$AY117))*$BA117))</f>
        <v>#NAME?</v>
      </c>
      <c r="BM117" s="293" t="e">
        <f aca="false">IF($A117="N/A"," ",(G117*(SUM($AK117:$AQ117)+SUM($AS117:$AY117))*$BA117))</f>
        <v>#NAME?</v>
      </c>
      <c r="BN117" s="294" t="n">
        <f aca="false">IF(A117="N/A"," ",(VLOOKUP(A117,PowerVolTable,(IF('Pricing Inputs'!$AT$3=2,7,IF('Pricing Inputs'!$AT$3=1,6,8))),FALSE())))</f>
        <v>0.216537940946133</v>
      </c>
      <c r="BO117" s="294" t="n">
        <f aca="false">IF(A117="N/A"," ",(VLOOKUP(A117,IntraPowerVol,(IF('Pricing Inputs'!$AT$3=2,3,IF('Pricing Inputs'!$AT$3=1,2,4))),FALSE())*VLOOKUP(MONTH($A117),Inputs!$A$28:$B$39,2)))</f>
        <v>2.3</v>
      </c>
      <c r="BP117" s="295" t="n">
        <f aca="false">IF($A117="N/A"," ",(IF(DateToday&gt;$A117,$BO117,((($BN117^2)*((($A117-1)-DateToday)/((EOMONTH($A117,0)+1)-DateToday-15)))+((($BO117)^2)*((15)/((EOMONTH($A117,0)+1)-DateToday-15))))^0.5)))</f>
        <v>2.3</v>
      </c>
      <c r="BQ117" s="294" t="e">
        <f aca="false">IF($A117="N/A"," ",(VLOOKUP($A117,GasVolTable,(IF('Pricing Inputs'!$AT$3=2,6,IF('Pricing Inputs'!$AT$3=1,7,5))),FALSE())))</f>
        <v>#N/A</v>
      </c>
      <c r="BR117" s="294" t="e">
        <f aca="false">IF($A117="N/A"," ",(VLOOKUP($A117,OmicronVol,(IF('Pricing Inputs'!$AT$3=2,3,IF('Pricing Inputs'!$AT$3=1,4,2))),FALSE())))</f>
        <v>#N/A</v>
      </c>
      <c r="BS117" s="295" t="e">
        <f aca="false">IF($A117="N/A"," ",IF('Pricing Inputs'!$AN$3=1,(IF(DateToday&gt;$A117,$BR117,((($BQ117^2)*((($A117-1)-DateToday)/((EOMONTH($A117,0)+1)-DateToday-15)))+((($BR117)^2)*((15)/((EOMONTH($A117,0)+1)-DateToday-15))))^0.5)),0.0001))</f>
        <v>#N/A</v>
      </c>
      <c r="BT117" s="294" t="n">
        <f aca="false">IF($A117="N/A"," ",IF('Pricing Inputs'!$AN$3=1,(VLOOKUP($A117,CorrelationTable,2,FALSE())),0))</f>
        <v>0.9</v>
      </c>
      <c r="BU117" s="296" t="e">
        <f aca="false">IF($A117="N/A"," ",F117+G117+(D117*(VLOOKUP($A117,'Gas Curves'!$B$17:$P$310,14,FALSE()))))</f>
        <v>#N/A</v>
      </c>
      <c r="BV117" s="294" t="n">
        <f aca="false">IF($A117="N/A"," ",IF('Pricing Inputs'!$AW$3=1,0,(VLOOKUP($A117,InterestRatesTable,2))))</f>
        <v>0</v>
      </c>
      <c r="BW117" s="297" t="n">
        <f aca="false">IF($A117="N/A"," ",(1+BV117/2)^(-2*((EOMONTH(A117,0)+20)-DateToday)/365.25))</f>
        <v>1</v>
      </c>
    </row>
    <row r="118" customFormat="false" ht="12.75" hidden="false" customHeight="false" outlineLevel="0" collapsed="false">
      <c r="A118" s="272" t="n">
        <f aca="false">IF(A117="N/A","N/A",IF(EDATE(A117,1)&gt;Inputs!$K$3,"N/A",EDATE(A117,1)))</f>
        <v>40360</v>
      </c>
      <c r="B118" s="273" t="n">
        <f aca="false">IF(A118="N/A"," ",YEAR(A118))</f>
        <v>2010</v>
      </c>
      <c r="C118" s="274" t="e">
        <f aca="false">IF(A118="N/A"," ",VLOOKUP(A118,ScaledPrice,10))</f>
        <v>#N/A</v>
      </c>
      <c r="D118" s="275" t="n">
        <f aca="false">IF(A118="N/A"," ",(VLOOKUP(MONTH($A118),Inputs!$A$14:$B$25,2))/1000)</f>
        <v>10.5</v>
      </c>
      <c r="E118" s="276" t="e">
        <f aca="false">IF($A118="N/A"," ",C118*D118)</f>
        <v>#N/A</v>
      </c>
      <c r="F118" s="277" t="n">
        <f aca="false">IF(A118="N/A"," ",Inputs!$F$6)</f>
        <v>2</v>
      </c>
      <c r="G118" s="277" t="n">
        <f aca="false">IF(A118="N/A"," ",Inputs!$F$9/IF(AND('Pricing Inputs'!$AQ$3&gt;=4,'Pricing Inputs'!$AQ$3&lt;=6),16,IF(AND('Pricing Inputs'!$AQ$3&gt;=7,'Pricing Inputs'!$AQ$3&lt;=9),8,24))/(BA118/BW118))</f>
        <v>0</v>
      </c>
      <c r="H118" s="278" t="e">
        <f aca="false">IF(A118="N/A"," ",(C118*D118)+F118+G118)</f>
        <v>#N/A</v>
      </c>
      <c r="I118" s="279" t="n">
        <f aca="false">VLOOKUP(A118,ScaledPrice,(IF(AND('Pricing Inputs'!$AQ$3&gt;=1,'Pricing Inputs'!$AQ$3&lt;=6),2,4)))</f>
        <v>91.1623659641207</v>
      </c>
      <c r="J118" s="279" t="n">
        <f aca="false">IF(A118="N/A"," ",IF(AND('Pricing Inputs'!$AQ$3&gt;=1,'Pricing Inputs'!$AQ$3&lt;=6),I118,(VLOOKUP(A118,ScaledPrice,2))*(2-(VLOOKUP(A118,ScaledPrice,3)))))</f>
        <v>61.8376340358793</v>
      </c>
      <c r="K118" s="279" t="n">
        <f aca="false">IF(A118="N/A"," ",IF(OR('Pricing Inputs'!$AQ$3=2,'Pricing Inputs'!$AQ$3=3,'Pricing Inputs'!$AQ$3=5,'Pricing Inputs'!$AQ$3=6,'Pricing Inputs'!$AQ$3=8,'Pricing Inputs'!$AQ$3=9),VLOOKUP(A118,ScaledPrice,IF(AND('Pricing Inputs'!$AQ$3&gt;=2,'Pricing Inputs'!$AQ$3&lt;=6),5,6)),0))</f>
        <v>48.4545844618011</v>
      </c>
      <c r="L118" s="279" t="n">
        <f aca="false">IF(A118="N/A"," ",IF(OR('Pricing Inputs'!$AQ$3=2,'Pricing Inputs'!$AQ$3=3,'Pricing Inputs'!$AQ$3=5,'Pricing Inputs'!$AQ$3=6,'Pricing Inputs'!$AQ$3=8,'Pricing Inputs'!$AQ$3=9),IF(AND('Pricing Inputs'!$AQ$3&gt;=2,'Pricing Inputs'!$AQ$3&lt;=6),K118,(VLOOKUP(A118,ScaledPrice,5))*(2-(VLOOKUP(A118,ScaledPrice,3)))),0))</f>
        <v>32.8679146226716</v>
      </c>
      <c r="M118" s="279" t="n">
        <f aca="false">IF(A118="N/A"," ",IF(OR('Pricing Inputs'!$AQ$3=3,'Pricing Inputs'!$AQ$3=6,'Pricing Inputs'!$AQ$3=9),(VLOOKUP(A118,ScaledPrice,IF(AND('Pricing Inputs'!$AQ$3&gt;=3,'Pricing Inputs'!$AQ$3&lt;=6),7,8))),0))</f>
        <v>35.9257173753905</v>
      </c>
      <c r="N118" s="279" t="n">
        <f aca="false">IF(A118="N/A"," ",IF(OR('Pricing Inputs'!$AQ$3=3,'Pricing Inputs'!$AQ$3=6,'Pricing Inputs'!$AQ$3=9),IF(AND('Pricing Inputs'!$AQ$3&gt;=3,'Pricing Inputs'!$AQ$3&lt;=6),M118,(VLOOKUP(A118,ScaledPrice,7))*(2-(VLOOKUP(A118,ScaledPrice,3)))),0))</f>
        <v>24.3692815564943</v>
      </c>
      <c r="O118" s="279" t="n">
        <f aca="false">IF(A118="N/A"," ",IF(AND('Pricing Inputs'!$AQ$3&gt;=1,'Pricing Inputs'!$AQ$3&lt;=3),VLOOKUP(A118,ScaledPrice,9),0))</f>
        <v>0</v>
      </c>
      <c r="P118" s="280" t="e">
        <f aca="false">IF($A118="N/A"," ",IF('Pricing Inputs'!$AN$8=2,(I118-H118),IF('Pricing Inputs'!$AN$3=2,IF((I118-$H118)&gt;0,I118-$H118,0),(xSPRDOPT(I118,$E118,$BU118,0,$BP118,$BS118,$BT118,($A118-Inputs!$D$1)+15,1,0)))))</f>
        <v>#NAME?</v>
      </c>
      <c r="Q118" s="280" t="e">
        <f aca="false">IF($A118="N/A"," ",IF('Pricing Inputs'!$AN$8=2,(J118-$H118),IF('Pricing Inputs'!$AN$3=2,IF((J118-$H118)&gt;0,J118-$H118,0),(xSPRDOPT(J118,$E118,$BU118,0,$BP118,$BS118,$BT118,($A118-Inputs!$D$1)+15,1,0)))))</f>
        <v>#NAME?</v>
      </c>
      <c r="R118" s="280" t="e">
        <f aca="false">IF($A118="N/A"," ",IF('Pricing Inputs'!$AN$8=2,(K118-$H118),IF('Pricing Inputs'!$AN$3=2,IF((K118-$H118)&gt;0,K118-$H118,0),(xSPRDOPT(K118,$E118,$BU118,0,$BP118,$BS118,$BT118,($A118-Inputs!$D$1)+15,1,0)))))</f>
        <v>#NAME?</v>
      </c>
      <c r="S118" s="280" t="e">
        <f aca="false">IF($A118="N/A"," ",IF('Pricing Inputs'!$AN$8=2,(L118-$H118),IF('Pricing Inputs'!$AN$3=2,IF((L118-$H118)&gt;0,L118-$H118,0),(xSPRDOPT(L118,$E118,$BU118,0,$BP118,$BS118,$BT118,($A118-Inputs!$D$1)+15,1,0)))))</f>
        <v>#NAME?</v>
      </c>
      <c r="T118" s="280" t="e">
        <f aca="false">IF($A118="N/A"," ",IF('Pricing Inputs'!$AN$8=2,(M118-$H118),IF('Pricing Inputs'!$AN$3=2,IF((M118-$H118)&gt;0,M118-$H118,0),(xSPRDOPT(M118,$E118,$BU118,0,$BP118,$BS118,$BT118,($A118-Inputs!$D$1)+15,1,0)))))</f>
        <v>#NAME?</v>
      </c>
      <c r="U118" s="280" t="e">
        <f aca="false">IF($A118="N/A"," ",IF('Pricing Inputs'!$AN$8=2,(N118-$H118),IF('Pricing Inputs'!$AN$3=2,IF((N118-$H118)&gt;0,N118-$H118,0),(xSPRDOPT(N118,$E118,$BU118,0,$BP118,$BS118,$BT118,($A118-Inputs!$D$1)+15,1,0)))))</f>
        <v>#NAME?</v>
      </c>
      <c r="V118" s="281" t="e">
        <f aca="false">IF($A118="N/A"," ",(IF('Pricing Inputs'!$AN$8=2,(O118-$H118),IF((O118-$H118)&lt;=0,0,(O118-$H118)))))</f>
        <v>#N/A</v>
      </c>
      <c r="W118" s="282" t="e">
        <f aca="false">IF($A118="N/A"," ",IF(0&lt;&gt;P118,IF('Pricing Inputs'!$AN$3=2,8*VLOOKUP($A118,NumberofDaysTable,2),(xSPRDOPT(I118,$E118,$BU118,0,$BP118,$BS118,$BT118,$A118-Inputs!$D$1,1,1))*(8*VLOOKUP($A118,NumberofDaysTable,2))),0))</f>
        <v>#NAME?</v>
      </c>
      <c r="X118" s="282" t="e">
        <f aca="false">IF($A118="N/A"," ",IF(Q118&lt;&gt;0,IF('Pricing Inputs'!$AN$3=2,8*VLOOKUP($A118,NumberofDaysTable,2),(xSPRDOPT(J118,$E118,$BU118,0,$BP118,$BS118,$BT118,$A118-Inputs!$D$1,1,1))*(8*VLOOKUP($A118,NumberofDaysTable,2))),0))</f>
        <v>#NAME?</v>
      </c>
      <c r="Y118" s="282" t="e">
        <f aca="false">IF($A118="N/A"," ",IF(R118&lt;&gt;0,IF('Pricing Inputs'!$AN$3=2,8*VLOOKUP($A118,NumberofDaysTable,3),(xSPRDOPT(K118,$E118,$BU118,0,$BP118,$BS118,$BT118,$A118-Inputs!$D$1,1,1))*(8*VLOOKUP($A118,NumberofDaysTable,3))),0))</f>
        <v>#NAME?</v>
      </c>
      <c r="Z118" s="282" t="e">
        <f aca="false">IF($A118="N/A"," ",IF(S118&lt;&gt;0,IF('Pricing Inputs'!$AN$3=2,8*VLOOKUP($A118,NumberofDaysTable,3),(xSPRDOPT(L118,$E118,$BU118,0,$BP118,$BS118,$BT118,$A118-Inputs!$D$1,1,1))*(8*VLOOKUP($A118,NumberofDaysTable,3))),0))</f>
        <v>#NAME?</v>
      </c>
      <c r="AA118" s="282" t="e">
        <f aca="false">IF($A118="N/A"," ",IF(T118&lt;&gt;0,IF('Pricing Inputs'!$AN$3=2,8*VLOOKUP($A118,NumberofDaysTable,4),(xSPRDOPT(M118,$E118,$BU118,0,$BP118,$BS118,$BT118,$A118-Inputs!$D$1,1,1))*(8*VLOOKUP($A118,NumberofDaysTable,4))),0))</f>
        <v>#NAME?</v>
      </c>
      <c r="AB118" s="282" t="e">
        <f aca="false">IF($A118="N/A"," ",IF(U118&lt;&gt;0,IF('Pricing Inputs'!$AN$3=2,8*VLOOKUP($A118,NumberofDaysTable,4),(xSPRDOPT(N118,$E118,$BU118,0,$BP118,$BS118,$BT118,$A118-Inputs!$D$1,1,1))*(8*VLOOKUP($A118,NumberofDaysTable,4))),0))</f>
        <v>#NAME?</v>
      </c>
      <c r="AC118" s="282" t="e">
        <f aca="false">IF($A118="N/A"," ",(IF(V118&lt;&gt;0,(8*VLOOKUP($A118,NumberofDaysTable,6)),0)))</f>
        <v>#N/A</v>
      </c>
      <c r="AD118" s="298" t="e">
        <f aca="false">IF($A118="N/A"," ",RANK(P118,$P$112:$V$123))</f>
        <v>#NAME?</v>
      </c>
      <c r="AE118" s="299" t="e">
        <f aca="false">IF($A118="N/A"," ",RANK(Q118,$P$112:$V$123))</f>
        <v>#NAME?</v>
      </c>
      <c r="AF118" s="299" t="e">
        <f aca="false">IF($A118="N/A"," ",RANK(R118,$P$112:$V$123))</f>
        <v>#NAME?</v>
      </c>
      <c r="AG118" s="299" t="e">
        <f aca="false">IF($A118="N/A"," ",RANK(S118,$P$112:$V$123))</f>
        <v>#NAME?</v>
      </c>
      <c r="AH118" s="299" t="e">
        <f aca="false">IF($A118="N/A"," ",RANK(T118,$P$112:$V$123))</f>
        <v>#NAME?</v>
      </c>
      <c r="AI118" s="299" t="e">
        <f aca="false">IF($A118="N/A"," ",RANK(U118,$P$112:$V$123))</f>
        <v>#NAME?</v>
      </c>
      <c r="AJ118" s="300" t="e">
        <f aca="false">IF($A118="N/A"," ",RANK(V118,$P$112:$V$123))</f>
        <v>#NAME?</v>
      </c>
      <c r="AK118" s="286" t="e">
        <f aca="false">IF($A118="N/A"," ",IF(AD118&lt;=$AJ$2,W118,0))</f>
        <v>#NAME?</v>
      </c>
      <c r="AL118" s="301" t="e">
        <f aca="false">IF($A118="N/A"," ",IF(AE118&lt;=$AJ$2,X118,0))</f>
        <v>#NAME?</v>
      </c>
      <c r="AM118" s="301" t="e">
        <f aca="false">IF($A118="N/A"," ",IF(AF118&lt;=$AJ$2,Y118,0))</f>
        <v>#NAME?</v>
      </c>
      <c r="AN118" s="301" t="e">
        <f aca="false">IF($A118="N/A"," ",IF(AG118&lt;=$AJ$2,Z118,0))</f>
        <v>#NAME?</v>
      </c>
      <c r="AO118" s="301" t="e">
        <f aca="false">IF($A118="N/A"," ",IF(AH118&lt;=$AJ$2,AA118,0))</f>
        <v>#NAME?</v>
      </c>
      <c r="AP118" s="301" t="e">
        <f aca="false">IF($A118="N/A"," ",IF(AI118&lt;=$AJ$2,AB118,0))</f>
        <v>#NAME?</v>
      </c>
      <c r="AQ118" s="301" t="e">
        <f aca="false">IF($A118="N/A"," ",IF(AJ118&lt;=$AJ$2,AC118,0))</f>
        <v>#NAME?</v>
      </c>
      <c r="AR118" s="300"/>
      <c r="AS118" s="288" t="e">
        <f aca="false">IF($A118="N/A"," ",IF(AND(AD118=$AJ$2+1,AK118=0),MIN($AR$123,W118),0))</f>
        <v>#NAME?</v>
      </c>
      <c r="AT118" s="302" t="e">
        <f aca="false">IF($A118="N/A"," ",IF(AND(AE118=$AJ$2+1,AL118=0),MIN($AR$123,X118),0))</f>
        <v>#NAME?</v>
      </c>
      <c r="AU118" s="302" t="e">
        <f aca="false">IF($A118="N/A"," ",IF(AND(AF118=$AJ$2+1,AM118=0),MIN($AR$123,Y118),0))</f>
        <v>#NAME?</v>
      </c>
      <c r="AV118" s="302" t="e">
        <f aca="false">IF($A118="N/A"," ",IF(AND(AG118=$AJ$2+1,AN118=0),MIN($AR$123,Z118),0))</f>
        <v>#NAME?</v>
      </c>
      <c r="AW118" s="302" t="e">
        <f aca="false">IF($A118="N/A"," ",IF(AND(AH118=$AJ$2+1,AO118=0),MIN($AR$123,AA118),0))</f>
        <v>#NAME?</v>
      </c>
      <c r="AX118" s="302" t="e">
        <f aca="false">IF($A118="N/A"," ",IF(AND(AI118=$AJ$2+1,AP118=0),MIN($AR$123,AB118),0))</f>
        <v>#NAME?</v>
      </c>
      <c r="AY118" s="302" t="e">
        <f aca="false">IF($A118="N/A"," ",IF(AND(AJ118=$AJ$2+1,AQ118=0),MIN($AR$123,AC118),0))</f>
        <v>#NAME?</v>
      </c>
      <c r="AZ118" s="300"/>
      <c r="BA118" s="291" t="n">
        <f aca="false">IF($A118="N/A"," ",(IF(MONTH(A118)&gt;=4,IF(MONTH(A118)&lt;=10,Inputs!$F$13,Inputs!$F$14),Inputs!$F$14))*$BW118)</f>
        <v>180</v>
      </c>
      <c r="BB118" s="292" t="e">
        <f aca="false">IF($A118="N/A"," ",(IF(AK118&gt;0,($BA118*(8*(VLOOKUP($A118,NumberofDaysTable,2)))*P118),0)+IF(AS118&gt;0,($BA118*((AS118))*P118),0)))</f>
        <v>#NAME?</v>
      </c>
      <c r="BC118" s="292" t="e">
        <f aca="false">IF($A118="N/A"," ",(IF(AL118&gt;0,($BA118*(8*(VLOOKUP($A118,NumberofDaysTable,2)))*Q118),0)+IF(AT118&gt;0,($BA118*((AT118))*Q118),0)))</f>
        <v>#NAME?</v>
      </c>
      <c r="BD118" s="292" t="e">
        <f aca="false">IF($A118="N/A"," ",(IF(AM118&gt;0,($BA118*(8*(VLOOKUP($A118,NumberofDaysTable,3)))*R118),0)+IF(AU118&gt;0,($BA118*((AU118))*R118),0)))</f>
        <v>#NAME?</v>
      </c>
      <c r="BE118" s="292" t="e">
        <f aca="false">IF($A118="N/A"," ",(IF(AN118&gt;0,($BA118*(8*(VLOOKUP($A118,NumberofDaysTable,3)))*S118),0)+IF(AV118&gt;0,($BA118*((AV118))*S118),0)))</f>
        <v>#NAME?</v>
      </c>
      <c r="BF118" s="292" t="e">
        <f aca="false">IF($A118="N/A"," ",(IF(AO118&gt;0,($BA118*(8*(VLOOKUP($A118,NumberofDaysTable,4)+VLOOKUP($A118,NumberofDaysTable,5)))*T118),0)+IF(AW118&gt;0,($BA118*((AW118))*T118),0)))</f>
        <v>#NAME?</v>
      </c>
      <c r="BG118" s="292" t="e">
        <f aca="false">IF($A118="N/A"," ",(IF(AP118&gt;0,($BA118*(8*(VLOOKUP($A118,NumberofDaysTable,4)+VLOOKUP($A118,NumberofDaysTable,5)))*U118),0)+IF(AX118&gt;0,($BA118*((AX118))*U118),0)))</f>
        <v>#NAME?</v>
      </c>
      <c r="BH118" s="292" t="e">
        <f aca="false">IF($A118="N/A"," ",($BA118*AQ118*V118))</f>
        <v>#NAME?</v>
      </c>
      <c r="BI118" s="292" t="e">
        <f aca="false">IF($A118="N/A"," ",SUM(BB118:BH118))</f>
        <v>#NAME?</v>
      </c>
      <c r="BJ118" s="293" t="e">
        <f aca="false">IF($A118="N/A"," ",(H118*(SUM(AK118:AQ118)+SUM(AS118:AY118))*BA118))</f>
        <v>#NAME?</v>
      </c>
      <c r="BK118" s="293" t="e">
        <f aca="false">IF($A118="N/A"," ",((C118*D118)*(SUM($AK118:$AQ118)+SUM($AS118:$AY118))*$BA118))</f>
        <v>#N/A</v>
      </c>
      <c r="BL118" s="293" t="e">
        <f aca="false">IF($A118="N/A"," ",(F118*(SUM($AK118:$AQ118)+SUM($AS118:$AY118))*$BA118))</f>
        <v>#NAME?</v>
      </c>
      <c r="BM118" s="293" t="e">
        <f aca="false">IF($A118="N/A"," ",(G118*(SUM($AK118:$AQ118)+SUM($AS118:$AY118))*$BA118))</f>
        <v>#NAME?</v>
      </c>
      <c r="BN118" s="294" t="n">
        <f aca="false">IF(A118="N/A"," ",(VLOOKUP(A118,PowerVolTable,(IF('Pricing Inputs'!$AT$3=2,7,IF('Pricing Inputs'!$AT$3=1,6,8))),FALSE())))</f>
        <v>0.256243653758783</v>
      </c>
      <c r="BO118" s="294" t="n">
        <f aca="false">IF(A118="N/A"," ",(VLOOKUP(A118,IntraPowerVol,(IF('Pricing Inputs'!$AT$3=2,3,IF('Pricing Inputs'!$AT$3=1,2,4))),FALSE())*VLOOKUP(MONTH($A118),Inputs!$A$28:$B$39,2)))</f>
        <v>3.45</v>
      </c>
      <c r="BP118" s="295" t="n">
        <f aca="false">IF($A118="N/A"," ",(IF(DateToday&gt;$A118,$BO118,((($BN118^2)*((($A118-1)-DateToday)/((EOMONTH($A118,0)+1)-DateToday-15)))+((($BO118)^2)*((15)/((EOMONTH($A118,0)+1)-DateToday-15))))^0.5)))</f>
        <v>3.45</v>
      </c>
      <c r="BQ118" s="294" t="e">
        <f aca="false">IF($A118="N/A"," ",(VLOOKUP($A118,GasVolTable,(IF('Pricing Inputs'!$AT$3=2,6,IF('Pricing Inputs'!$AT$3=1,7,5))),FALSE())))</f>
        <v>#N/A</v>
      </c>
      <c r="BR118" s="294" t="e">
        <f aca="false">IF($A118="N/A"," ",(VLOOKUP($A118,OmicronVol,(IF('Pricing Inputs'!$AT$3=2,3,IF('Pricing Inputs'!$AT$3=1,4,2))),FALSE())))</f>
        <v>#N/A</v>
      </c>
      <c r="BS118" s="295" t="e">
        <f aca="false">IF($A118="N/A"," ",IF('Pricing Inputs'!$AN$3=1,(IF(DateToday&gt;$A118,$BR118,((($BQ118^2)*((($A118-1)-DateToday)/((EOMONTH($A118,0)+1)-DateToday-15)))+((($BR118)^2)*((15)/((EOMONTH($A118,0)+1)-DateToday-15))))^0.5)),0.0001))</f>
        <v>#N/A</v>
      </c>
      <c r="BT118" s="294" t="n">
        <f aca="false">IF($A118="N/A"," ",IF('Pricing Inputs'!$AN$3=1,(VLOOKUP($A118,CorrelationTable,2,FALSE())),0))</f>
        <v>0.9</v>
      </c>
      <c r="BU118" s="296" t="e">
        <f aca="false">IF($A118="N/A"," ",F118+G118+(D118*(VLOOKUP($A118,'Gas Curves'!$B$17:$P$310,14,FALSE()))))</f>
        <v>#N/A</v>
      </c>
      <c r="BV118" s="294" t="n">
        <f aca="false">IF($A118="N/A"," ",IF('Pricing Inputs'!$AW$3=1,0,(VLOOKUP($A118,InterestRatesTable,2))))</f>
        <v>0</v>
      </c>
      <c r="BW118" s="297" t="n">
        <f aca="false">IF($A118="N/A"," ",(1+BV118/2)^(-2*((EOMONTH(A118,0)+20)-DateToday)/365.25))</f>
        <v>1</v>
      </c>
    </row>
    <row r="119" customFormat="false" ht="12.75" hidden="false" customHeight="false" outlineLevel="0" collapsed="false">
      <c r="A119" s="272" t="n">
        <f aca="false">IF(A118="N/A","N/A",IF(EDATE(A118,1)&gt;Inputs!$K$3,"N/A",EDATE(A118,1)))</f>
        <v>40391</v>
      </c>
      <c r="B119" s="273" t="n">
        <f aca="false">IF(A119="N/A"," ",YEAR(A119))</f>
        <v>2010</v>
      </c>
      <c r="C119" s="274" t="e">
        <f aca="false">IF(A119="N/A"," ",VLOOKUP(A119,ScaledPrice,10))</f>
        <v>#N/A</v>
      </c>
      <c r="D119" s="275" t="n">
        <f aca="false">IF(A119="N/A"," ",(VLOOKUP(MONTH($A119),Inputs!$A$14:$B$25,2))/1000)</f>
        <v>10.5</v>
      </c>
      <c r="E119" s="276" t="e">
        <f aca="false">IF($A119="N/A"," ",C119*D119)</f>
        <v>#N/A</v>
      </c>
      <c r="F119" s="277" t="n">
        <f aca="false">IF(A119="N/A"," ",Inputs!$F$6)</f>
        <v>2</v>
      </c>
      <c r="G119" s="277" t="n">
        <f aca="false">IF(A119="N/A"," ",Inputs!$F$9/IF(AND('Pricing Inputs'!$AQ$3&gt;=4,'Pricing Inputs'!$AQ$3&lt;=6),16,IF(AND('Pricing Inputs'!$AQ$3&gt;=7,'Pricing Inputs'!$AQ$3&lt;=9),8,24))/(BA119/BW119))</f>
        <v>0</v>
      </c>
      <c r="H119" s="278" t="e">
        <f aca="false">IF(A119="N/A"," ",(C119*D119)+F119+G119)</f>
        <v>#N/A</v>
      </c>
      <c r="I119" s="279" t="n">
        <f aca="false">VLOOKUP(A119,ScaledPrice,(IF(AND('Pricing Inputs'!$AQ$3&gt;=1,'Pricing Inputs'!$AQ$3&lt;=6),2,4)))</f>
        <v>79.8428842825178</v>
      </c>
      <c r="J119" s="279" t="n">
        <f aca="false">IF(A119="N/A"," ",IF(AND('Pricing Inputs'!$AQ$3&gt;=1,'Pricing Inputs'!$AQ$3&lt;=6),I119,(VLOOKUP(A119,ScaledPrice,2))*(2-(VLOOKUP(A119,ScaledPrice,3)))))</f>
        <v>64.1571157174822</v>
      </c>
      <c r="K119" s="279" t="n">
        <f aca="false">IF(A119="N/A"," ",IF(OR('Pricing Inputs'!$AQ$3=2,'Pricing Inputs'!$AQ$3=3,'Pricing Inputs'!$AQ$3=5,'Pricing Inputs'!$AQ$3=6,'Pricing Inputs'!$AQ$3=8,'Pricing Inputs'!$AQ$3=9),VLOOKUP(A119,ScaledPrice,IF(AND('Pricing Inputs'!$AQ$3&gt;=2,'Pricing Inputs'!$AQ$3&lt;=6),5,6)),0))</f>
        <v>47.5980017710837</v>
      </c>
      <c r="L119" s="279" t="n">
        <f aca="false">IF(A119="N/A"," ",IF(OR('Pricing Inputs'!$AQ$3=2,'Pricing Inputs'!$AQ$3=3,'Pricing Inputs'!$AQ$3=5,'Pricing Inputs'!$AQ$3=6,'Pricing Inputs'!$AQ$3=8,'Pricing Inputs'!$AQ$3=9),IF(AND('Pricing Inputs'!$AQ$3&gt;=2,'Pricing Inputs'!$AQ$3&lt;=6),K119,(VLOOKUP(A119,ScaledPrice,5))*(2-(VLOOKUP(A119,ScaledPrice,3)))),0))</f>
        <v>38.2469963978616</v>
      </c>
      <c r="M119" s="279" t="n">
        <f aca="false">IF(A119="N/A"," ",IF(OR('Pricing Inputs'!$AQ$3=3,'Pricing Inputs'!$AQ$3=6,'Pricing Inputs'!$AQ$3=9),(VLOOKUP(A119,ScaledPrice,IF(AND('Pricing Inputs'!$AQ$3&gt;=3,'Pricing Inputs'!$AQ$3&lt;=6),7,8))),0))</f>
        <v>35.0920575017652</v>
      </c>
      <c r="N119" s="279" t="n">
        <f aca="false">IF(A119="N/A"," ",IF(OR('Pricing Inputs'!$AQ$3=3,'Pricing Inputs'!$AQ$3=6,'Pricing Inputs'!$AQ$3=9),IF(AND('Pricing Inputs'!$AQ$3&gt;=3,'Pricing Inputs'!$AQ$3&lt;=6),M119,(VLOOKUP(A119,ScaledPrice,7))*(2-(VLOOKUP(A119,ScaledPrice,3)))),0))</f>
        <v>28.1979441767016</v>
      </c>
      <c r="O119" s="279" t="n">
        <f aca="false">IF(A119="N/A"," ",IF(AND('Pricing Inputs'!$AQ$3&gt;=1,'Pricing Inputs'!$AQ$3&lt;=3),VLOOKUP(A119,ScaledPrice,9),0))</f>
        <v>0</v>
      </c>
      <c r="P119" s="280" t="e">
        <f aca="false">IF($A119="N/A"," ",IF('Pricing Inputs'!$AN$8=2,(I119-H119),IF('Pricing Inputs'!$AN$3=2,IF((I119-$H119)&gt;0,I119-$H119,0),(xSPRDOPT(I119,$E119,$BU119,0,$BP119,$BS119,$BT119,($A119-Inputs!$D$1)+15,1,0)))))</f>
        <v>#NAME?</v>
      </c>
      <c r="Q119" s="280" t="e">
        <f aca="false">IF($A119="N/A"," ",IF('Pricing Inputs'!$AN$8=2,(J119-$H119),IF('Pricing Inputs'!$AN$3=2,IF((J119-$H119)&gt;0,J119-$H119,0),(xSPRDOPT(J119,$E119,$BU119,0,$BP119,$BS119,$BT119,($A119-Inputs!$D$1)+15,1,0)))))</f>
        <v>#NAME?</v>
      </c>
      <c r="R119" s="280" t="e">
        <f aca="false">IF($A119="N/A"," ",IF('Pricing Inputs'!$AN$8=2,(K119-$H119),IF('Pricing Inputs'!$AN$3=2,IF((K119-$H119)&gt;0,K119-$H119,0),(xSPRDOPT(K119,$E119,$BU119,0,$BP119,$BS119,$BT119,($A119-Inputs!$D$1)+15,1,0)))))</f>
        <v>#NAME?</v>
      </c>
      <c r="S119" s="280" t="e">
        <f aca="false">IF($A119="N/A"," ",IF('Pricing Inputs'!$AN$8=2,(L119-$H119),IF('Pricing Inputs'!$AN$3=2,IF((L119-$H119)&gt;0,L119-$H119,0),(xSPRDOPT(L119,$E119,$BU119,0,$BP119,$BS119,$BT119,($A119-Inputs!$D$1)+15,1,0)))))</f>
        <v>#NAME?</v>
      </c>
      <c r="T119" s="280" t="e">
        <f aca="false">IF($A119="N/A"," ",IF('Pricing Inputs'!$AN$8=2,(M119-$H119),IF('Pricing Inputs'!$AN$3=2,IF((M119-$H119)&gt;0,M119-$H119,0),(xSPRDOPT(M119,$E119,$BU119,0,$BP119,$BS119,$BT119,($A119-Inputs!$D$1)+15,1,0)))))</f>
        <v>#NAME?</v>
      </c>
      <c r="U119" s="280" t="e">
        <f aca="false">IF($A119="N/A"," ",IF('Pricing Inputs'!$AN$8=2,(N119-$H119),IF('Pricing Inputs'!$AN$3=2,IF((N119-$H119)&gt;0,N119-$H119,0),(xSPRDOPT(N119,$E119,$BU119,0,$BP119,$BS119,$BT119,($A119-Inputs!$D$1)+15,1,0)))))</f>
        <v>#NAME?</v>
      </c>
      <c r="V119" s="281" t="e">
        <f aca="false">IF($A119="N/A"," ",(IF('Pricing Inputs'!$AN$8=2,(O119-$H119),IF((O119-$H119)&lt;=0,0,(O119-$H119)))))</f>
        <v>#N/A</v>
      </c>
      <c r="W119" s="282" t="e">
        <f aca="false">IF($A119="N/A"," ",IF(0&lt;&gt;P119,IF('Pricing Inputs'!$AN$3=2,8*VLOOKUP($A119,NumberofDaysTable,2),(xSPRDOPT(I119,$E119,$BU119,0,$BP119,$BS119,$BT119,$A119-Inputs!$D$1,1,1))*(8*VLOOKUP($A119,NumberofDaysTable,2))),0))</f>
        <v>#NAME?</v>
      </c>
      <c r="X119" s="282" t="e">
        <f aca="false">IF($A119="N/A"," ",IF(Q119&lt;&gt;0,IF('Pricing Inputs'!$AN$3=2,8*VLOOKUP($A119,NumberofDaysTable,2),(xSPRDOPT(J119,$E119,$BU119,0,$BP119,$BS119,$BT119,$A119-Inputs!$D$1,1,1))*(8*VLOOKUP($A119,NumberofDaysTable,2))),0))</f>
        <v>#NAME?</v>
      </c>
      <c r="Y119" s="282" t="e">
        <f aca="false">IF($A119="N/A"," ",IF(R119&lt;&gt;0,IF('Pricing Inputs'!$AN$3=2,8*VLOOKUP($A119,NumberofDaysTable,3),(xSPRDOPT(K119,$E119,$BU119,0,$BP119,$BS119,$BT119,$A119-Inputs!$D$1,1,1))*(8*VLOOKUP($A119,NumberofDaysTable,3))),0))</f>
        <v>#NAME?</v>
      </c>
      <c r="Z119" s="282" t="e">
        <f aca="false">IF($A119="N/A"," ",IF(S119&lt;&gt;0,IF('Pricing Inputs'!$AN$3=2,8*VLOOKUP($A119,NumberofDaysTable,3),(xSPRDOPT(L119,$E119,$BU119,0,$BP119,$BS119,$BT119,$A119-Inputs!$D$1,1,1))*(8*VLOOKUP($A119,NumberofDaysTable,3))),0))</f>
        <v>#NAME?</v>
      </c>
      <c r="AA119" s="282" t="e">
        <f aca="false">IF($A119="N/A"," ",IF(T119&lt;&gt;0,IF('Pricing Inputs'!$AN$3=2,8*VLOOKUP($A119,NumberofDaysTable,4),(xSPRDOPT(M119,$E119,$BU119,0,$BP119,$BS119,$BT119,$A119-Inputs!$D$1,1,1))*(8*VLOOKUP($A119,NumberofDaysTable,4))),0))</f>
        <v>#NAME?</v>
      </c>
      <c r="AB119" s="282" t="e">
        <f aca="false">IF($A119="N/A"," ",IF(U119&lt;&gt;0,IF('Pricing Inputs'!$AN$3=2,8*VLOOKUP($A119,NumberofDaysTable,4),(xSPRDOPT(N119,$E119,$BU119,0,$BP119,$BS119,$BT119,$A119-Inputs!$D$1,1,1))*(8*VLOOKUP($A119,NumberofDaysTable,4))),0))</f>
        <v>#NAME?</v>
      </c>
      <c r="AC119" s="282" t="e">
        <f aca="false">IF($A119="N/A"," ",(IF(V119&lt;&gt;0,(8*VLOOKUP($A119,NumberofDaysTable,6)),0)))</f>
        <v>#N/A</v>
      </c>
      <c r="AD119" s="298" t="e">
        <f aca="false">IF($A119="N/A"," ",RANK(P119,$P$112:$V$123))</f>
        <v>#NAME?</v>
      </c>
      <c r="AE119" s="299" t="e">
        <f aca="false">IF($A119="N/A"," ",RANK(Q119,$P$112:$V$123))</f>
        <v>#NAME?</v>
      </c>
      <c r="AF119" s="299" t="e">
        <f aca="false">IF($A119="N/A"," ",RANK(R119,$P$112:$V$123))</f>
        <v>#NAME?</v>
      </c>
      <c r="AG119" s="299" t="e">
        <f aca="false">IF($A119="N/A"," ",RANK(S119,$P$112:$V$123))</f>
        <v>#NAME?</v>
      </c>
      <c r="AH119" s="299" t="e">
        <f aca="false">IF($A119="N/A"," ",RANK(T119,$P$112:$V$123))</f>
        <v>#NAME?</v>
      </c>
      <c r="AI119" s="299" t="e">
        <f aca="false">IF($A119="N/A"," ",RANK(U119,$P$112:$V$123))</f>
        <v>#NAME?</v>
      </c>
      <c r="AJ119" s="300" t="e">
        <f aca="false">IF($A119="N/A"," ",RANK(V119,$P$112:$V$123))</f>
        <v>#NAME?</v>
      </c>
      <c r="AK119" s="286" t="e">
        <f aca="false">IF($A119="N/A"," ",IF(AD119&lt;=$AJ$2,W119,0))</f>
        <v>#NAME?</v>
      </c>
      <c r="AL119" s="301" t="e">
        <f aca="false">IF($A119="N/A"," ",IF(AE119&lt;=$AJ$2,X119,0))</f>
        <v>#NAME?</v>
      </c>
      <c r="AM119" s="301" t="e">
        <f aca="false">IF($A119="N/A"," ",IF(AF119&lt;=$AJ$2,Y119,0))</f>
        <v>#NAME?</v>
      </c>
      <c r="AN119" s="301" t="e">
        <f aca="false">IF($A119="N/A"," ",IF(AG119&lt;=$AJ$2,Z119,0))</f>
        <v>#NAME?</v>
      </c>
      <c r="AO119" s="301" t="e">
        <f aca="false">IF($A119="N/A"," ",IF(AH119&lt;=$AJ$2,AA119,0))</f>
        <v>#NAME?</v>
      </c>
      <c r="AP119" s="301" t="e">
        <f aca="false">IF($A119="N/A"," ",IF(AI119&lt;=$AJ$2,AB119,0))</f>
        <v>#NAME?</v>
      </c>
      <c r="AQ119" s="301" t="e">
        <f aca="false">IF($A119="N/A"," ",IF(AJ119&lt;=$AJ$2,AC119,0))</f>
        <v>#NAME?</v>
      </c>
      <c r="AR119" s="300"/>
      <c r="AS119" s="288" t="e">
        <f aca="false">IF($A119="N/A"," ",IF(AND(AD119=$AJ$2+1,AK119=0),MIN($AR$123,W119),0))</f>
        <v>#NAME?</v>
      </c>
      <c r="AT119" s="302" t="e">
        <f aca="false">IF($A119="N/A"," ",IF(AND(AE119=$AJ$2+1,AL119=0),MIN($AR$123,X119),0))</f>
        <v>#NAME?</v>
      </c>
      <c r="AU119" s="302" t="e">
        <f aca="false">IF($A119="N/A"," ",IF(AND(AF119=$AJ$2+1,AM119=0),MIN($AR$123,Y119),0))</f>
        <v>#NAME?</v>
      </c>
      <c r="AV119" s="302" t="e">
        <f aca="false">IF($A119="N/A"," ",IF(AND(AG119=$AJ$2+1,AN119=0),MIN($AR$123,Z119),0))</f>
        <v>#NAME?</v>
      </c>
      <c r="AW119" s="302" t="e">
        <f aca="false">IF($A119="N/A"," ",IF(AND(AH119=$AJ$2+1,AO119=0),MIN($AR$123,AA119),0))</f>
        <v>#NAME?</v>
      </c>
      <c r="AX119" s="302" t="e">
        <f aca="false">IF($A119="N/A"," ",IF(AND(AI119=$AJ$2+1,AP119=0),MIN($AR$123,AB119),0))</f>
        <v>#NAME?</v>
      </c>
      <c r="AY119" s="302" t="e">
        <f aca="false">IF($A119="N/A"," ",IF(AND(AJ119=$AJ$2+1,AQ119=0),MIN($AR$123,AC119),0))</f>
        <v>#NAME?</v>
      </c>
      <c r="AZ119" s="300"/>
      <c r="BA119" s="291" t="n">
        <f aca="false">IF($A119="N/A"," ",(IF(MONTH(A119)&gt;=4,IF(MONTH(A119)&lt;=10,Inputs!$F$13,Inputs!$F$14),Inputs!$F$14))*$BW119)</f>
        <v>180</v>
      </c>
      <c r="BB119" s="292" t="e">
        <f aca="false">IF($A119="N/A"," ",(IF(AK119&gt;0,($BA119*(8*(VLOOKUP($A119,NumberofDaysTable,2)))*P119),0)+IF(AS119&gt;0,($BA119*((AS119))*P119),0)))</f>
        <v>#NAME?</v>
      </c>
      <c r="BC119" s="292" t="e">
        <f aca="false">IF($A119="N/A"," ",(IF(AL119&gt;0,($BA119*(8*(VLOOKUP($A119,NumberofDaysTable,2)))*Q119),0)+IF(AT119&gt;0,($BA119*((AT119))*Q119),0)))</f>
        <v>#NAME?</v>
      </c>
      <c r="BD119" s="292" t="e">
        <f aca="false">IF($A119="N/A"," ",(IF(AM119&gt;0,($BA119*(8*(VLOOKUP($A119,NumberofDaysTable,3)))*R119),0)+IF(AU119&gt;0,($BA119*((AU119))*R119),0)))</f>
        <v>#NAME?</v>
      </c>
      <c r="BE119" s="292" t="e">
        <f aca="false">IF($A119="N/A"," ",(IF(AN119&gt;0,($BA119*(8*(VLOOKUP($A119,NumberofDaysTable,3)))*S119),0)+IF(AV119&gt;0,($BA119*((AV119))*S119),0)))</f>
        <v>#NAME?</v>
      </c>
      <c r="BF119" s="292" t="e">
        <f aca="false">IF($A119="N/A"," ",(IF(AO119&gt;0,($BA119*(8*(VLOOKUP($A119,NumberofDaysTable,4)+VLOOKUP($A119,NumberofDaysTable,5)))*T119),0)+IF(AW119&gt;0,($BA119*((AW119))*T119),0)))</f>
        <v>#NAME?</v>
      </c>
      <c r="BG119" s="292" t="e">
        <f aca="false">IF($A119="N/A"," ",(IF(AP119&gt;0,($BA119*(8*(VLOOKUP($A119,NumberofDaysTable,4)+VLOOKUP($A119,NumberofDaysTable,5)))*U119),0)+IF(AX119&gt;0,($BA119*((AX119))*U119),0)))</f>
        <v>#NAME?</v>
      </c>
      <c r="BH119" s="292" t="e">
        <f aca="false">IF($A119="N/A"," ",($BA119*AQ119*V119))</f>
        <v>#NAME?</v>
      </c>
      <c r="BI119" s="292" t="e">
        <f aca="false">IF($A119="N/A"," ",SUM(BB119:BH119))</f>
        <v>#NAME?</v>
      </c>
      <c r="BJ119" s="293" t="e">
        <f aca="false">IF($A119="N/A"," ",(H119*(SUM(AK119:AQ119)+SUM(AS119:AY119))*BA119))</f>
        <v>#NAME?</v>
      </c>
      <c r="BK119" s="293" t="e">
        <f aca="false">IF($A119="N/A"," ",((C119*D119)*(SUM($AK119:$AQ119)+SUM($AS119:$AY119))*$BA119))</f>
        <v>#N/A</v>
      </c>
      <c r="BL119" s="293" t="e">
        <f aca="false">IF($A119="N/A"," ",(F119*(SUM($AK119:$AQ119)+SUM($AS119:$AY119))*$BA119))</f>
        <v>#NAME?</v>
      </c>
      <c r="BM119" s="293" t="e">
        <f aca="false">IF($A119="N/A"," ",(G119*(SUM($AK119:$AQ119)+SUM($AS119:$AY119))*$BA119))</f>
        <v>#NAME?</v>
      </c>
      <c r="BN119" s="294" t="n">
        <f aca="false">IF(A119="N/A"," ",(VLOOKUP(A119,PowerVolTable,(IF('Pricing Inputs'!$AT$3=2,7,IF('Pricing Inputs'!$AT$3=1,6,8))),FALSE())))</f>
        <v>0.25213127636033</v>
      </c>
      <c r="BO119" s="294" t="n">
        <f aca="false">IF(A119="N/A"," ",(VLOOKUP(A119,IntraPowerVol,(IF('Pricing Inputs'!$AT$3=2,3,IF('Pricing Inputs'!$AT$3=1,2,4))),FALSE())*VLOOKUP(MONTH($A119),Inputs!$A$28:$B$39,2)))</f>
        <v>3.45</v>
      </c>
      <c r="BP119" s="295" t="n">
        <f aca="false">IF($A119="N/A"," ",(IF(DateToday&gt;$A119,$BO119,((($BN119^2)*((($A119-1)-DateToday)/((EOMONTH($A119,0)+1)-DateToday-15)))+((($BO119)^2)*((15)/((EOMONTH($A119,0)+1)-DateToday-15))))^0.5)))</f>
        <v>3.45</v>
      </c>
      <c r="BQ119" s="294" t="e">
        <f aca="false">IF($A119="N/A"," ",(VLOOKUP($A119,GasVolTable,(IF('Pricing Inputs'!$AT$3=2,6,IF('Pricing Inputs'!$AT$3=1,7,5))),FALSE())))</f>
        <v>#N/A</v>
      </c>
      <c r="BR119" s="294" t="e">
        <f aca="false">IF($A119="N/A"," ",(VLOOKUP($A119,OmicronVol,(IF('Pricing Inputs'!$AT$3=2,3,IF('Pricing Inputs'!$AT$3=1,4,2))),FALSE())))</f>
        <v>#N/A</v>
      </c>
      <c r="BS119" s="295" t="e">
        <f aca="false">IF($A119="N/A"," ",IF('Pricing Inputs'!$AN$3=1,(IF(DateToday&gt;$A119,$BR119,((($BQ119^2)*((($A119-1)-DateToday)/((EOMONTH($A119,0)+1)-DateToday-15)))+((($BR119)^2)*((15)/((EOMONTH($A119,0)+1)-DateToday-15))))^0.5)),0.0001))</f>
        <v>#N/A</v>
      </c>
      <c r="BT119" s="294" t="n">
        <f aca="false">IF($A119="N/A"," ",IF('Pricing Inputs'!$AN$3=1,(VLOOKUP($A119,CorrelationTable,2,FALSE())),0))</f>
        <v>0.9</v>
      </c>
      <c r="BU119" s="296" t="e">
        <f aca="false">IF($A119="N/A"," ",F119+G119+(D119*(VLOOKUP($A119,'Gas Curves'!$B$17:$P$310,14,FALSE()))))</f>
        <v>#N/A</v>
      </c>
      <c r="BV119" s="294" t="n">
        <f aca="false">IF($A119="N/A"," ",IF('Pricing Inputs'!$AW$3=1,0,(VLOOKUP($A119,InterestRatesTable,2))))</f>
        <v>0</v>
      </c>
      <c r="BW119" s="297" t="n">
        <f aca="false">IF($A119="N/A"," ",(1+BV119/2)^(-2*((EOMONTH(A119,0)+20)-DateToday)/365.25))</f>
        <v>1</v>
      </c>
    </row>
    <row r="120" customFormat="false" ht="12.75" hidden="false" customHeight="false" outlineLevel="0" collapsed="false">
      <c r="A120" s="272" t="n">
        <f aca="false">IF(A119="N/A","N/A",IF(EDATE(A119,1)&gt;Inputs!$K$3,"N/A",EDATE(A119,1)))</f>
        <v>40422</v>
      </c>
      <c r="B120" s="273" t="n">
        <f aca="false">IF(A120="N/A"," ",YEAR(A120))</f>
        <v>2010</v>
      </c>
      <c r="C120" s="274" t="e">
        <f aca="false">IF(A120="N/A"," ",VLOOKUP(A120,ScaledPrice,10))</f>
        <v>#N/A</v>
      </c>
      <c r="D120" s="275" t="n">
        <f aca="false">IF(A120="N/A"," ",(VLOOKUP(MONTH($A120),Inputs!$A$14:$B$25,2))/1000)</f>
        <v>10.5</v>
      </c>
      <c r="E120" s="276" t="e">
        <f aca="false">IF($A120="N/A"," ",C120*D120)</f>
        <v>#N/A</v>
      </c>
      <c r="F120" s="277" t="n">
        <f aca="false">IF(A120="N/A"," ",Inputs!$F$6)</f>
        <v>2</v>
      </c>
      <c r="G120" s="277" t="n">
        <f aca="false">IF(A120="N/A"," ",Inputs!$F$9/IF(AND('Pricing Inputs'!$AQ$3&gt;=4,'Pricing Inputs'!$AQ$3&lt;=6),16,IF(AND('Pricing Inputs'!$AQ$3&gt;=7,'Pricing Inputs'!$AQ$3&lt;=9),8,24))/(BA120/BW120))</f>
        <v>0</v>
      </c>
      <c r="H120" s="278" t="e">
        <f aca="false">IF(A120="N/A"," ",(C120*D120)+F120+G120)</f>
        <v>#N/A</v>
      </c>
      <c r="I120" s="279" t="n">
        <f aca="false">VLOOKUP(A120,ScaledPrice,(IF(AND('Pricing Inputs'!$AQ$3&gt;=1,'Pricing Inputs'!$AQ$3&lt;=6),2,4)))</f>
        <v>36.6790553531211</v>
      </c>
      <c r="J120" s="279" t="n">
        <f aca="false">IF(A120="N/A"," ",IF(AND('Pricing Inputs'!$AQ$3&gt;=1,'Pricing Inputs'!$AQ$3&lt;=6),I120,(VLOOKUP(A120,ScaledPrice,2))*(2-(VLOOKUP(A120,ScaledPrice,3)))))</f>
        <v>30.2209446468789</v>
      </c>
      <c r="K120" s="279" t="n">
        <f aca="false">IF(A120="N/A"," ",IF(OR('Pricing Inputs'!$AQ$3=2,'Pricing Inputs'!$AQ$3=3,'Pricing Inputs'!$AQ$3=5,'Pricing Inputs'!$AQ$3=6,'Pricing Inputs'!$AQ$3=8,'Pricing Inputs'!$AQ$3=9),VLOOKUP(A120,ScaledPrice,IF(AND('Pricing Inputs'!$AQ$3&gt;=2,'Pricing Inputs'!$AQ$3&lt;=6),5,6)),0))</f>
        <v>26.6512529021022</v>
      </c>
      <c r="L120" s="279" t="n">
        <f aca="false">IF(A120="N/A"," ",IF(OR('Pricing Inputs'!$AQ$3=2,'Pricing Inputs'!$AQ$3=3,'Pricing Inputs'!$AQ$3=5,'Pricing Inputs'!$AQ$3=6,'Pricing Inputs'!$AQ$3=8,'Pricing Inputs'!$AQ$3=9),IF(AND('Pricing Inputs'!$AQ$3&gt;=2,'Pricing Inputs'!$AQ$3&lt;=6),K120,(VLOOKUP(A120,ScaledPrice,5))*(2-(VLOOKUP(A120,ScaledPrice,3)))),0))</f>
        <v>21.958745419431</v>
      </c>
      <c r="M120" s="279" t="n">
        <f aca="false">IF(A120="N/A"," ",IF(OR('Pricing Inputs'!$AQ$3=3,'Pricing Inputs'!$AQ$3=6,'Pricing Inputs'!$AQ$3=9),(VLOOKUP(A120,ScaledPrice,IF(AND('Pricing Inputs'!$AQ$3&gt;=3,'Pricing Inputs'!$AQ$3&lt;=6),7,8))),0))</f>
        <v>27.1940380495487</v>
      </c>
      <c r="N120" s="279" t="n">
        <f aca="false">IF(A120="N/A"," ",IF(OR('Pricing Inputs'!$AQ$3=3,'Pricing Inputs'!$AQ$3=6,'Pricing Inputs'!$AQ$3=9),IF(AND('Pricing Inputs'!$AQ$3&gt;=3,'Pricing Inputs'!$AQ$3&lt;=6),M120,(VLOOKUP(A120,ScaledPrice,7))*(2-(VLOOKUP(A120,ScaledPrice,3)))),0))</f>
        <v>22.4059619504513</v>
      </c>
      <c r="O120" s="279" t="n">
        <f aca="false">IF(A120="N/A"," ",IF(AND('Pricing Inputs'!$AQ$3&gt;=1,'Pricing Inputs'!$AQ$3&lt;=3),VLOOKUP(A120,ScaledPrice,9),0))</f>
        <v>0</v>
      </c>
      <c r="P120" s="280" t="e">
        <f aca="false">IF($A120="N/A"," ",IF('Pricing Inputs'!$AN$8=2,(I120-H120),IF('Pricing Inputs'!$AN$3=2,IF((I120-$H120)&gt;0,I120-$H120,0),(xSPRDOPT(I120,$E120,$BU120,0,$BP120,$BS120,$BT120,($A120-Inputs!$D$1)+15,1,0)))))</f>
        <v>#NAME?</v>
      </c>
      <c r="Q120" s="280" t="e">
        <f aca="false">IF($A120="N/A"," ",IF('Pricing Inputs'!$AN$8=2,(J120-$H120),IF('Pricing Inputs'!$AN$3=2,IF((J120-$H120)&gt;0,J120-$H120,0),(xSPRDOPT(J120,$E120,$BU120,0,$BP120,$BS120,$BT120,($A120-Inputs!$D$1)+15,1,0)))))</f>
        <v>#NAME?</v>
      </c>
      <c r="R120" s="280" t="e">
        <f aca="false">IF($A120="N/A"," ",IF('Pricing Inputs'!$AN$8=2,(K120-$H120),IF('Pricing Inputs'!$AN$3=2,IF((K120-$H120)&gt;0,K120-$H120,0),(xSPRDOPT(K120,$E120,$BU120,0,$BP120,$BS120,$BT120,($A120-Inputs!$D$1)+15,1,0)))))</f>
        <v>#NAME?</v>
      </c>
      <c r="S120" s="280" t="e">
        <f aca="false">IF($A120="N/A"," ",IF('Pricing Inputs'!$AN$8=2,(L120-$H120),IF('Pricing Inputs'!$AN$3=2,IF((L120-$H120)&gt;0,L120-$H120,0),(xSPRDOPT(L120,$E120,$BU120,0,$BP120,$BS120,$BT120,($A120-Inputs!$D$1)+15,1,0)))))</f>
        <v>#NAME?</v>
      </c>
      <c r="T120" s="280" t="e">
        <f aca="false">IF($A120="N/A"," ",IF('Pricing Inputs'!$AN$8=2,(M120-$H120),IF('Pricing Inputs'!$AN$3=2,IF((M120-$H120)&gt;0,M120-$H120,0),(xSPRDOPT(M120,$E120,$BU120,0,$BP120,$BS120,$BT120,($A120-Inputs!$D$1)+15,1,0)))))</f>
        <v>#NAME?</v>
      </c>
      <c r="U120" s="280" t="e">
        <f aca="false">IF($A120="N/A"," ",IF('Pricing Inputs'!$AN$8=2,(N120-$H120),IF('Pricing Inputs'!$AN$3=2,IF((N120-$H120)&gt;0,N120-$H120,0),(xSPRDOPT(N120,$E120,$BU120,0,$BP120,$BS120,$BT120,($A120-Inputs!$D$1)+15,1,0)))))</f>
        <v>#NAME?</v>
      </c>
      <c r="V120" s="281" t="e">
        <f aca="false">IF($A120="N/A"," ",(IF('Pricing Inputs'!$AN$8=2,(O120-$H120),IF((O120-$H120)&lt;=0,0,(O120-$H120)))))</f>
        <v>#N/A</v>
      </c>
      <c r="W120" s="282" t="e">
        <f aca="false">IF($A120="N/A"," ",IF(0&lt;&gt;P120,IF('Pricing Inputs'!$AN$3=2,8*VLOOKUP($A120,NumberofDaysTable,2),(xSPRDOPT(I120,$E120,$BU120,0,$BP120,$BS120,$BT120,$A120-Inputs!$D$1,1,1))*(8*VLOOKUP($A120,NumberofDaysTable,2))),0))</f>
        <v>#NAME?</v>
      </c>
      <c r="X120" s="282" t="e">
        <f aca="false">IF($A120="N/A"," ",IF(Q120&lt;&gt;0,IF('Pricing Inputs'!$AN$3=2,8*VLOOKUP($A120,NumberofDaysTable,2),(xSPRDOPT(J120,$E120,$BU120,0,$BP120,$BS120,$BT120,$A120-Inputs!$D$1,1,1))*(8*VLOOKUP($A120,NumberofDaysTable,2))),0))</f>
        <v>#NAME?</v>
      </c>
      <c r="Y120" s="282" t="e">
        <f aca="false">IF($A120="N/A"," ",IF(R120&lt;&gt;0,IF('Pricing Inputs'!$AN$3=2,8*VLOOKUP($A120,NumberofDaysTable,3),(xSPRDOPT(K120,$E120,$BU120,0,$BP120,$BS120,$BT120,$A120-Inputs!$D$1,1,1))*(8*VLOOKUP($A120,NumberofDaysTable,3))),0))</f>
        <v>#NAME?</v>
      </c>
      <c r="Z120" s="282" t="e">
        <f aca="false">IF($A120="N/A"," ",IF(S120&lt;&gt;0,IF('Pricing Inputs'!$AN$3=2,8*VLOOKUP($A120,NumberofDaysTable,3),(xSPRDOPT(L120,$E120,$BU120,0,$BP120,$BS120,$BT120,$A120-Inputs!$D$1,1,1))*(8*VLOOKUP($A120,NumberofDaysTable,3))),0))</f>
        <v>#NAME?</v>
      </c>
      <c r="AA120" s="282" t="e">
        <f aca="false">IF($A120="N/A"," ",IF(T120&lt;&gt;0,IF('Pricing Inputs'!$AN$3=2,8*VLOOKUP($A120,NumberofDaysTable,4),(xSPRDOPT(M120,$E120,$BU120,0,$BP120,$BS120,$BT120,$A120-Inputs!$D$1,1,1))*(8*VLOOKUP($A120,NumberofDaysTable,4))),0))</f>
        <v>#NAME?</v>
      </c>
      <c r="AB120" s="282" t="e">
        <f aca="false">IF($A120="N/A"," ",IF(U120&lt;&gt;0,IF('Pricing Inputs'!$AN$3=2,8*VLOOKUP($A120,NumberofDaysTable,4),(xSPRDOPT(N120,$E120,$BU120,0,$BP120,$BS120,$BT120,$A120-Inputs!$D$1,1,1))*(8*VLOOKUP($A120,NumberofDaysTable,4))),0))</f>
        <v>#NAME?</v>
      </c>
      <c r="AC120" s="282" t="e">
        <f aca="false">IF($A120="N/A"," ",(IF(V120&lt;&gt;0,(8*VLOOKUP($A120,NumberofDaysTable,6)),0)))</f>
        <v>#N/A</v>
      </c>
      <c r="AD120" s="298" t="e">
        <f aca="false">IF($A120="N/A"," ",RANK(P120,$P$112:$V$123))</f>
        <v>#NAME?</v>
      </c>
      <c r="AE120" s="299" t="e">
        <f aca="false">IF($A120="N/A"," ",RANK(Q120,$P$112:$V$123))</f>
        <v>#NAME?</v>
      </c>
      <c r="AF120" s="299" t="e">
        <f aca="false">IF($A120="N/A"," ",RANK(R120,$P$112:$V$123))</f>
        <v>#NAME?</v>
      </c>
      <c r="AG120" s="299" t="e">
        <f aca="false">IF($A120="N/A"," ",RANK(S120,$P$112:$V$123))</f>
        <v>#NAME?</v>
      </c>
      <c r="AH120" s="299" t="e">
        <f aca="false">IF($A120="N/A"," ",RANK(T120,$P$112:$V$123))</f>
        <v>#NAME?</v>
      </c>
      <c r="AI120" s="299" t="e">
        <f aca="false">IF($A120="N/A"," ",RANK(U120,$P$112:$V$123))</f>
        <v>#NAME?</v>
      </c>
      <c r="AJ120" s="300" t="e">
        <f aca="false">IF($A120="N/A"," ",RANK(V120,$P$112:$V$123))</f>
        <v>#NAME?</v>
      </c>
      <c r="AK120" s="286" t="e">
        <f aca="false">IF($A120="N/A"," ",IF(AD120&lt;=$AJ$2,W120,0))</f>
        <v>#NAME?</v>
      </c>
      <c r="AL120" s="301" t="e">
        <f aca="false">IF($A120="N/A"," ",IF(AE120&lt;=$AJ$2,X120,0))</f>
        <v>#NAME?</v>
      </c>
      <c r="AM120" s="301" t="e">
        <f aca="false">IF($A120="N/A"," ",IF(AF120&lt;=$AJ$2,Y120,0))</f>
        <v>#NAME?</v>
      </c>
      <c r="AN120" s="301" t="e">
        <f aca="false">IF($A120="N/A"," ",IF(AG120&lt;=$AJ$2,Z120,0))</f>
        <v>#NAME?</v>
      </c>
      <c r="AO120" s="301" t="e">
        <f aca="false">IF($A120="N/A"," ",IF(AH120&lt;=$AJ$2,AA120,0))</f>
        <v>#NAME?</v>
      </c>
      <c r="AP120" s="301" t="e">
        <f aca="false">IF($A120="N/A"," ",IF(AI120&lt;=$AJ$2,AB120,0))</f>
        <v>#NAME?</v>
      </c>
      <c r="AQ120" s="301" t="e">
        <f aca="false">IF($A120="N/A"," ",IF(AJ120&lt;=$AJ$2,AC120,0))</f>
        <v>#NAME?</v>
      </c>
      <c r="AR120" s="300"/>
      <c r="AS120" s="288" t="e">
        <f aca="false">IF($A120="N/A"," ",IF(AND(AD120=$AJ$2+1,AK120=0),MIN($AR$123,W120),0))</f>
        <v>#NAME?</v>
      </c>
      <c r="AT120" s="302" t="e">
        <f aca="false">IF($A120="N/A"," ",IF(AND(AE120=$AJ$2+1,AL120=0),MIN($AR$123,X120),0))</f>
        <v>#NAME?</v>
      </c>
      <c r="AU120" s="302" t="e">
        <f aca="false">IF($A120="N/A"," ",IF(AND(AF120=$AJ$2+1,AM120=0),MIN($AR$123,Y120),0))</f>
        <v>#NAME?</v>
      </c>
      <c r="AV120" s="302" t="e">
        <f aca="false">IF($A120="N/A"," ",IF(AND(AG120=$AJ$2+1,AN120=0),MIN($AR$123,Z120),0))</f>
        <v>#NAME?</v>
      </c>
      <c r="AW120" s="302" t="e">
        <f aca="false">IF($A120="N/A"," ",IF(AND(AH120=$AJ$2+1,AO120=0),MIN($AR$123,AA120),0))</f>
        <v>#NAME?</v>
      </c>
      <c r="AX120" s="302" t="e">
        <f aca="false">IF($A120="N/A"," ",IF(AND(AI120=$AJ$2+1,AP120=0),MIN($AR$123,AB120),0))</f>
        <v>#NAME?</v>
      </c>
      <c r="AY120" s="302" t="e">
        <f aca="false">IF($A120="N/A"," ",IF(AND(AJ120=$AJ$2+1,AQ120=0),MIN($AR$123,AC120),0))</f>
        <v>#NAME?</v>
      </c>
      <c r="AZ120" s="300"/>
      <c r="BA120" s="291" t="n">
        <f aca="false">IF($A120="N/A"," ",(IF(MONTH(A120)&gt;=4,IF(MONTH(A120)&lt;=10,Inputs!$F$13,Inputs!$F$14),Inputs!$F$14))*$BW120)</f>
        <v>180</v>
      </c>
      <c r="BB120" s="292" t="e">
        <f aca="false">IF($A120="N/A"," ",(IF(AK120&gt;0,($BA120*(8*(VLOOKUP($A120,NumberofDaysTable,2)))*P120),0)+IF(AS120&gt;0,($BA120*((AS120))*P120),0)))</f>
        <v>#NAME?</v>
      </c>
      <c r="BC120" s="292" t="e">
        <f aca="false">IF($A120="N/A"," ",(IF(AL120&gt;0,($BA120*(8*(VLOOKUP($A120,NumberofDaysTable,2)))*Q120),0)+IF(AT120&gt;0,($BA120*((AT120))*Q120),0)))</f>
        <v>#NAME?</v>
      </c>
      <c r="BD120" s="292" t="e">
        <f aca="false">IF($A120="N/A"," ",(IF(AM120&gt;0,($BA120*(8*(VLOOKUP($A120,NumberofDaysTable,3)))*R120),0)+IF(AU120&gt;0,($BA120*((AU120))*R120),0)))</f>
        <v>#NAME?</v>
      </c>
      <c r="BE120" s="292" t="e">
        <f aca="false">IF($A120="N/A"," ",(IF(AN120&gt;0,($BA120*(8*(VLOOKUP($A120,NumberofDaysTable,3)))*S120),0)+IF(AV120&gt;0,($BA120*((AV120))*S120),0)))</f>
        <v>#NAME?</v>
      </c>
      <c r="BF120" s="292" t="e">
        <f aca="false">IF($A120="N/A"," ",(IF(AO120&gt;0,($BA120*(8*(VLOOKUP($A120,NumberofDaysTable,4)+VLOOKUP($A120,NumberofDaysTable,5)))*T120),0)+IF(AW120&gt;0,($BA120*((AW120))*T120),0)))</f>
        <v>#NAME?</v>
      </c>
      <c r="BG120" s="292" t="e">
        <f aca="false">IF($A120="N/A"," ",(IF(AP120&gt;0,($BA120*(8*(VLOOKUP($A120,NumberofDaysTable,4)+VLOOKUP($A120,NumberofDaysTable,5)))*U120),0)+IF(AX120&gt;0,($BA120*((AX120))*U120),0)))</f>
        <v>#NAME?</v>
      </c>
      <c r="BH120" s="292" t="e">
        <f aca="false">IF($A120="N/A"," ",($BA120*AQ120*V120))</f>
        <v>#NAME?</v>
      </c>
      <c r="BI120" s="292" t="e">
        <f aca="false">IF($A120="N/A"," ",SUM(BB120:BH120))</f>
        <v>#NAME?</v>
      </c>
      <c r="BJ120" s="293" t="e">
        <f aca="false">IF($A120="N/A"," ",(H120*(SUM(AK120:AQ120)+SUM(AS120:AY120))*BA120))</f>
        <v>#NAME?</v>
      </c>
      <c r="BK120" s="293" t="e">
        <f aca="false">IF($A120="N/A"," ",((C120*D120)*(SUM($AK120:$AQ120)+SUM($AS120:$AY120))*$BA120))</f>
        <v>#N/A</v>
      </c>
      <c r="BL120" s="293" t="e">
        <f aca="false">IF($A120="N/A"," ",(F120*(SUM($AK120:$AQ120)+SUM($AS120:$AY120))*$BA120))</f>
        <v>#NAME?</v>
      </c>
      <c r="BM120" s="293" t="e">
        <f aca="false">IF($A120="N/A"," ",(G120*(SUM($AK120:$AQ120)+SUM($AS120:$AY120))*$BA120))</f>
        <v>#NAME?</v>
      </c>
      <c r="BN120" s="294" t="n">
        <f aca="false">IF(A120="N/A"," ",(VLOOKUP(A120,PowerVolTable,(IF('Pricing Inputs'!$AT$3=2,7,IF('Pricing Inputs'!$AT$3=1,6,8))),FALSE())))</f>
        <v>0.167047606047508</v>
      </c>
      <c r="BO120" s="294" t="n">
        <f aca="false">IF(A120="N/A"," ",(VLOOKUP(A120,IntraPowerVol,(IF('Pricing Inputs'!$AT$3=2,3,IF('Pricing Inputs'!$AT$3=1,2,4))),FALSE())*VLOOKUP(MONTH($A120),Inputs!$A$28:$B$39,2)))</f>
        <v>1.725</v>
      </c>
      <c r="BP120" s="295" t="n">
        <f aca="false">IF($A120="N/A"," ",(IF(DateToday&gt;$A120,$BO120,((($BN120^2)*((($A120-1)-DateToday)/((EOMONTH($A120,0)+1)-DateToday-15)))+((($BO120)^2)*((15)/((EOMONTH($A120,0)+1)-DateToday-15))))^0.5)))</f>
        <v>1.725</v>
      </c>
      <c r="BQ120" s="294" t="e">
        <f aca="false">IF($A120="N/A"," ",(VLOOKUP($A120,GasVolTable,(IF('Pricing Inputs'!$AT$3=2,6,IF('Pricing Inputs'!$AT$3=1,7,5))),FALSE())))</f>
        <v>#N/A</v>
      </c>
      <c r="BR120" s="294" t="e">
        <f aca="false">IF($A120="N/A"," ",(VLOOKUP($A120,OmicronVol,(IF('Pricing Inputs'!$AT$3=2,3,IF('Pricing Inputs'!$AT$3=1,4,2))),FALSE())))</f>
        <v>#N/A</v>
      </c>
      <c r="BS120" s="295" t="e">
        <f aca="false">IF($A120="N/A"," ",IF('Pricing Inputs'!$AN$3=1,(IF(DateToday&gt;$A120,$BR120,((($BQ120^2)*((($A120-1)-DateToday)/((EOMONTH($A120,0)+1)-DateToday-15)))+((($BR120)^2)*((15)/((EOMONTH($A120,0)+1)-DateToday-15))))^0.5)),0.0001))</f>
        <v>#N/A</v>
      </c>
      <c r="BT120" s="294" t="n">
        <f aca="false">IF($A120="N/A"," ",IF('Pricing Inputs'!$AN$3=1,(VLOOKUP($A120,CorrelationTable,2,FALSE())),0))</f>
        <v>0.9</v>
      </c>
      <c r="BU120" s="296" t="e">
        <f aca="false">IF($A120="N/A"," ",F120+G120+(D120*(VLOOKUP($A120,'Gas Curves'!$B$17:$P$310,14,FALSE()))))</f>
        <v>#N/A</v>
      </c>
      <c r="BV120" s="294" t="n">
        <f aca="false">IF($A120="N/A"," ",IF('Pricing Inputs'!$AW$3=1,0,(VLOOKUP($A120,InterestRatesTable,2))))</f>
        <v>0</v>
      </c>
      <c r="BW120" s="297" t="n">
        <f aca="false">IF($A120="N/A"," ",(1+BV120/2)^(-2*((EOMONTH(A120,0)+20)-DateToday)/365.25))</f>
        <v>1</v>
      </c>
    </row>
    <row r="121" customFormat="false" ht="12.75" hidden="false" customHeight="false" outlineLevel="0" collapsed="false">
      <c r="A121" s="272" t="n">
        <f aca="false">IF(A120="N/A","N/A",IF(EDATE(A120,1)&gt;Inputs!$K$3,"N/A",EDATE(A120,1)))</f>
        <v>40452</v>
      </c>
      <c r="B121" s="273" t="n">
        <f aca="false">IF(A121="N/A"," ",YEAR(A121))</f>
        <v>2010</v>
      </c>
      <c r="C121" s="274" t="e">
        <f aca="false">IF(A121="N/A"," ",VLOOKUP(A121,ScaledPrice,10))</f>
        <v>#N/A</v>
      </c>
      <c r="D121" s="275" t="n">
        <f aca="false">IF(A121="N/A"," ",(VLOOKUP(MONTH($A121),Inputs!$A$14:$B$25,2))/1000)</f>
        <v>10.5</v>
      </c>
      <c r="E121" s="276" t="e">
        <f aca="false">IF($A121="N/A"," ",C121*D121)</f>
        <v>#N/A</v>
      </c>
      <c r="F121" s="277" t="n">
        <f aca="false">IF(A121="N/A"," ",Inputs!$F$6)</f>
        <v>2</v>
      </c>
      <c r="G121" s="277" t="n">
        <f aca="false">IF(A121="N/A"," ",Inputs!$F$9/IF(AND('Pricing Inputs'!$AQ$3&gt;=4,'Pricing Inputs'!$AQ$3&lt;=6),16,IF(AND('Pricing Inputs'!$AQ$3&gt;=7,'Pricing Inputs'!$AQ$3&lt;=9),8,24))/(BA121/BW121))</f>
        <v>0</v>
      </c>
      <c r="H121" s="278" t="e">
        <f aca="false">IF(A121="N/A"," ",(C121*D121)+F121+G121)</f>
        <v>#N/A</v>
      </c>
      <c r="I121" s="279" t="n">
        <f aca="false">VLOOKUP(A121,ScaledPrice,(IF(AND('Pricing Inputs'!$AQ$3&gt;=1,'Pricing Inputs'!$AQ$3&lt;=6),2,4)))</f>
        <v>30.79206</v>
      </c>
      <c r="J121" s="279" t="n">
        <f aca="false">IF(A121="N/A"," ",IF(AND('Pricing Inputs'!$AQ$3&gt;=1,'Pricing Inputs'!$AQ$3&lt;=6),I121,(VLOOKUP(A121,ScaledPrice,2))*(2-(VLOOKUP(A121,ScaledPrice,3)))))</f>
        <v>31.60794</v>
      </c>
      <c r="K121" s="279" t="n">
        <f aca="false">IF(A121="N/A"," ",IF(OR('Pricing Inputs'!$AQ$3=2,'Pricing Inputs'!$AQ$3=3,'Pricing Inputs'!$AQ$3=5,'Pricing Inputs'!$AQ$3=6,'Pricing Inputs'!$AQ$3=8,'Pricing Inputs'!$AQ$3=9),VLOOKUP(A121,ScaledPrice,IF(AND('Pricing Inputs'!$AQ$3&gt;=2,'Pricing Inputs'!$AQ$3&lt;=6),5,6)),0))</f>
        <v>24.081463567915</v>
      </c>
      <c r="L121" s="279" t="n">
        <f aca="false">IF(A121="N/A"," ",IF(OR('Pricing Inputs'!$AQ$3=2,'Pricing Inputs'!$AQ$3=3,'Pricing Inputs'!$AQ$3=5,'Pricing Inputs'!$AQ$3=6,'Pricing Inputs'!$AQ$3=8,'Pricing Inputs'!$AQ$3=9),IF(AND('Pricing Inputs'!$AQ$3&gt;=2,'Pricing Inputs'!$AQ$3&lt;=6),K121,(VLOOKUP(A121,ScaledPrice,5))*(2-(VLOOKUP(A121,ScaledPrice,3)))),0))</f>
        <v>24.7195366457081</v>
      </c>
      <c r="M121" s="279" t="n">
        <f aca="false">IF(A121="N/A"," ",IF(OR('Pricing Inputs'!$AQ$3=3,'Pricing Inputs'!$AQ$3=6,'Pricing Inputs'!$AQ$3=9),(VLOOKUP(A121,ScaledPrice,IF(AND('Pricing Inputs'!$AQ$3&gt;=3,'Pricing Inputs'!$AQ$3&lt;=6),7,8))),0))</f>
        <v>22.1081067593479</v>
      </c>
      <c r="N121" s="279" t="n">
        <f aca="false">IF(A121="N/A"," ",IF(OR('Pricing Inputs'!$AQ$3=3,'Pricing Inputs'!$AQ$3=6,'Pricing Inputs'!$AQ$3=9),IF(AND('Pricing Inputs'!$AQ$3&gt;=3,'Pricing Inputs'!$AQ$3&lt;=6),M121,(VLOOKUP(A121,ScaledPrice,7))*(2-(VLOOKUP(A121,ScaledPrice,3)))),0))</f>
        <v>22.6938929049587</v>
      </c>
      <c r="O121" s="279" t="n">
        <f aca="false">IF(A121="N/A"," ",IF(AND('Pricing Inputs'!$AQ$3&gt;=1,'Pricing Inputs'!$AQ$3&lt;=3),VLOOKUP(A121,ScaledPrice,9),0))</f>
        <v>0</v>
      </c>
      <c r="P121" s="280" t="e">
        <f aca="false">IF($A121="N/A"," ",IF('Pricing Inputs'!$AN$8=2,(I121-H121),IF('Pricing Inputs'!$AN$3=2,IF((I121-$H121)&gt;0,I121-$H121,0),(xSPRDOPT(I121,$E121,$BU121,0,$BP121,$BS121,$BT121,($A121-Inputs!$D$1)+15,1,0)))))</f>
        <v>#NAME?</v>
      </c>
      <c r="Q121" s="280" t="e">
        <f aca="false">IF($A121="N/A"," ",IF('Pricing Inputs'!$AN$8=2,(J121-$H121),IF('Pricing Inputs'!$AN$3=2,IF((J121-$H121)&gt;0,J121-$H121,0),(xSPRDOPT(J121,$E121,$BU121,0,$BP121,$BS121,$BT121,($A121-Inputs!$D$1)+15,1,0)))))</f>
        <v>#NAME?</v>
      </c>
      <c r="R121" s="280" t="e">
        <f aca="false">IF($A121="N/A"," ",IF('Pricing Inputs'!$AN$8=2,(K121-$H121),IF('Pricing Inputs'!$AN$3=2,IF((K121-$H121)&gt;0,K121-$H121,0),(xSPRDOPT(K121,$E121,$BU121,0,$BP121,$BS121,$BT121,($A121-Inputs!$D$1)+15,1,0)))))</f>
        <v>#NAME?</v>
      </c>
      <c r="S121" s="280" t="e">
        <f aca="false">IF($A121="N/A"," ",IF('Pricing Inputs'!$AN$8=2,(L121-$H121),IF('Pricing Inputs'!$AN$3=2,IF((L121-$H121)&gt;0,L121-$H121,0),(xSPRDOPT(L121,$E121,$BU121,0,$BP121,$BS121,$BT121,($A121-Inputs!$D$1)+15,1,0)))))</f>
        <v>#NAME?</v>
      </c>
      <c r="T121" s="280" t="e">
        <f aca="false">IF($A121="N/A"," ",IF('Pricing Inputs'!$AN$8=2,(M121-$H121),IF('Pricing Inputs'!$AN$3=2,IF((M121-$H121)&gt;0,M121-$H121,0),(xSPRDOPT(M121,$E121,$BU121,0,$BP121,$BS121,$BT121,($A121-Inputs!$D$1)+15,1,0)))))</f>
        <v>#NAME?</v>
      </c>
      <c r="U121" s="280" t="e">
        <f aca="false">IF($A121="N/A"," ",IF('Pricing Inputs'!$AN$8=2,(N121-$H121),IF('Pricing Inputs'!$AN$3=2,IF((N121-$H121)&gt;0,N121-$H121,0),(xSPRDOPT(N121,$E121,$BU121,0,$BP121,$BS121,$BT121,($A121-Inputs!$D$1)+15,1,0)))))</f>
        <v>#NAME?</v>
      </c>
      <c r="V121" s="281" t="e">
        <f aca="false">IF($A121="N/A"," ",(IF('Pricing Inputs'!$AN$8=2,(O121-$H121),IF((O121-$H121)&lt;=0,0,(O121-$H121)))))</f>
        <v>#N/A</v>
      </c>
      <c r="W121" s="282" t="e">
        <f aca="false">IF($A121="N/A"," ",IF(0&lt;&gt;P121,IF('Pricing Inputs'!$AN$3=2,8*VLOOKUP($A121,NumberofDaysTable,2),(xSPRDOPT(I121,$E121,$BU121,0,$BP121,$BS121,$BT121,$A121-Inputs!$D$1,1,1))*(8*VLOOKUP($A121,NumberofDaysTable,2))),0))</f>
        <v>#NAME?</v>
      </c>
      <c r="X121" s="282" t="e">
        <f aca="false">IF($A121="N/A"," ",IF(Q121&lt;&gt;0,IF('Pricing Inputs'!$AN$3=2,8*VLOOKUP($A121,NumberofDaysTable,2),(xSPRDOPT(J121,$E121,$BU121,0,$BP121,$BS121,$BT121,$A121-Inputs!$D$1,1,1))*(8*VLOOKUP($A121,NumberofDaysTable,2))),0))</f>
        <v>#NAME?</v>
      </c>
      <c r="Y121" s="282" t="e">
        <f aca="false">IF($A121="N/A"," ",IF(R121&lt;&gt;0,IF('Pricing Inputs'!$AN$3=2,8*VLOOKUP($A121,NumberofDaysTable,3),(xSPRDOPT(K121,$E121,$BU121,0,$BP121,$BS121,$BT121,$A121-Inputs!$D$1,1,1))*(8*VLOOKUP($A121,NumberofDaysTable,3))),0))</f>
        <v>#NAME?</v>
      </c>
      <c r="Z121" s="282" t="e">
        <f aca="false">IF($A121="N/A"," ",IF(S121&lt;&gt;0,IF('Pricing Inputs'!$AN$3=2,8*VLOOKUP($A121,NumberofDaysTable,3),(xSPRDOPT(L121,$E121,$BU121,0,$BP121,$BS121,$BT121,$A121-Inputs!$D$1,1,1))*(8*VLOOKUP($A121,NumberofDaysTable,3))),0))</f>
        <v>#NAME?</v>
      </c>
      <c r="AA121" s="282" t="e">
        <f aca="false">IF($A121="N/A"," ",IF(T121&lt;&gt;0,IF('Pricing Inputs'!$AN$3=2,8*VLOOKUP($A121,NumberofDaysTable,4),(xSPRDOPT(M121,$E121,$BU121,0,$BP121,$BS121,$BT121,$A121-Inputs!$D$1,1,1))*(8*VLOOKUP($A121,NumberofDaysTable,4))),0))</f>
        <v>#NAME?</v>
      </c>
      <c r="AB121" s="282" t="e">
        <f aca="false">IF($A121="N/A"," ",IF(U121&lt;&gt;0,IF('Pricing Inputs'!$AN$3=2,8*VLOOKUP($A121,NumberofDaysTable,4),(xSPRDOPT(N121,$E121,$BU121,0,$BP121,$BS121,$BT121,$A121-Inputs!$D$1,1,1))*(8*VLOOKUP($A121,NumberofDaysTable,4))),0))</f>
        <v>#NAME?</v>
      </c>
      <c r="AC121" s="282" t="e">
        <f aca="false">IF($A121="N/A"," ",(IF(V121&lt;&gt;0,(8*VLOOKUP($A121,NumberofDaysTable,6)),0)))</f>
        <v>#N/A</v>
      </c>
      <c r="AD121" s="298" t="e">
        <f aca="false">IF($A121="N/A"," ",RANK(P121,$P$112:$V$123))</f>
        <v>#NAME?</v>
      </c>
      <c r="AE121" s="299" t="e">
        <f aca="false">IF($A121="N/A"," ",RANK(Q121,$P$112:$V$123))</f>
        <v>#NAME?</v>
      </c>
      <c r="AF121" s="299" t="e">
        <f aca="false">IF($A121="N/A"," ",RANK(R121,$P$112:$V$123))</f>
        <v>#NAME?</v>
      </c>
      <c r="AG121" s="299" t="e">
        <f aca="false">IF($A121="N/A"," ",RANK(S121,$P$112:$V$123))</f>
        <v>#NAME?</v>
      </c>
      <c r="AH121" s="299" t="e">
        <f aca="false">IF($A121="N/A"," ",RANK(T121,$P$112:$V$123))</f>
        <v>#NAME?</v>
      </c>
      <c r="AI121" s="299" t="e">
        <f aca="false">IF($A121="N/A"," ",RANK(U121,$P$112:$V$123))</f>
        <v>#NAME?</v>
      </c>
      <c r="AJ121" s="300" t="e">
        <f aca="false">IF($A121="N/A"," ",RANK(V121,$P$112:$V$123))</f>
        <v>#NAME?</v>
      </c>
      <c r="AK121" s="286" t="e">
        <f aca="false">IF($A121="N/A"," ",IF(AD121&lt;=$AJ$2,W121,0))</f>
        <v>#NAME?</v>
      </c>
      <c r="AL121" s="301" t="e">
        <f aca="false">IF($A121="N/A"," ",IF(AE121&lt;=$AJ$2,X121,0))</f>
        <v>#NAME?</v>
      </c>
      <c r="AM121" s="301" t="e">
        <f aca="false">IF($A121="N/A"," ",IF(AF121&lt;=$AJ$2,Y121,0))</f>
        <v>#NAME?</v>
      </c>
      <c r="AN121" s="301" t="e">
        <f aca="false">IF($A121="N/A"," ",IF(AG121&lt;=$AJ$2,Z121,0))</f>
        <v>#NAME?</v>
      </c>
      <c r="AO121" s="301" t="e">
        <f aca="false">IF($A121="N/A"," ",IF(AH121&lt;=$AJ$2,AA121,0))</f>
        <v>#NAME?</v>
      </c>
      <c r="AP121" s="301" t="e">
        <f aca="false">IF($A121="N/A"," ",IF(AI121&lt;=$AJ$2,AB121,0))</f>
        <v>#NAME?</v>
      </c>
      <c r="AQ121" s="301" t="e">
        <f aca="false">IF($A121="N/A"," ",IF(AJ121&lt;=$AJ$2,AC121,0))</f>
        <v>#NAME?</v>
      </c>
      <c r="AR121" s="304" t="s">
        <v>1301</v>
      </c>
      <c r="AS121" s="288" t="e">
        <f aca="false">IF($A121="N/A"," ",IF(AND(AD121=$AJ$2+1,AK121=0),MIN($AR$123,W121),0))</f>
        <v>#NAME?</v>
      </c>
      <c r="AT121" s="302" t="e">
        <f aca="false">IF($A121="N/A"," ",IF(AND(AE121=$AJ$2+1,AL121=0),MIN($AR$123,X121),0))</f>
        <v>#NAME?</v>
      </c>
      <c r="AU121" s="302" t="e">
        <f aca="false">IF($A121="N/A"," ",IF(AND(AF121=$AJ$2+1,AM121=0),MIN($AR$123,Y121),0))</f>
        <v>#NAME?</v>
      </c>
      <c r="AV121" s="302" t="e">
        <f aca="false">IF($A121="N/A"," ",IF(AND(AG121=$AJ$2+1,AN121=0),MIN($AR$123,Z121),0))</f>
        <v>#NAME?</v>
      </c>
      <c r="AW121" s="302" t="e">
        <f aca="false">IF($A121="N/A"," ",IF(AND(AH121=$AJ$2+1,AO121=0),MIN($AR$123,AA121),0))</f>
        <v>#NAME?</v>
      </c>
      <c r="AX121" s="302" t="e">
        <f aca="false">IF($A121="N/A"," ",IF(AND(AI121=$AJ$2+1,AP121=0),MIN($AR$123,AB121),0))</f>
        <v>#NAME?</v>
      </c>
      <c r="AY121" s="302" t="e">
        <f aca="false">IF($A121="N/A"," ",IF(AND(AJ121=$AJ$2+1,AQ121=0),MIN($AR$123,AC121),0))</f>
        <v>#NAME?</v>
      </c>
      <c r="AZ121" s="303" t="s">
        <v>1328</v>
      </c>
      <c r="BA121" s="291" t="n">
        <f aca="false">IF($A121="N/A"," ",(IF(MONTH(A121)&gt;=4,IF(MONTH(A121)&lt;=10,Inputs!$F$13,Inputs!$F$14),Inputs!$F$14))*$BW121)</f>
        <v>180</v>
      </c>
      <c r="BB121" s="292" t="e">
        <f aca="false">IF($A121="N/A"," ",(IF(AK121&gt;0,($BA121*(8*(VLOOKUP($A121,NumberofDaysTable,2)))*P121),0)+IF(AS121&gt;0,($BA121*((AS121))*P121),0)))</f>
        <v>#NAME?</v>
      </c>
      <c r="BC121" s="292" t="e">
        <f aca="false">IF($A121="N/A"," ",(IF(AL121&gt;0,($BA121*(8*(VLOOKUP($A121,NumberofDaysTable,2)))*Q121),0)+IF(AT121&gt;0,($BA121*((AT121))*Q121),0)))</f>
        <v>#NAME?</v>
      </c>
      <c r="BD121" s="292" t="e">
        <f aca="false">IF($A121="N/A"," ",(IF(AM121&gt;0,($BA121*(8*(VLOOKUP($A121,NumberofDaysTable,3)))*R121),0)+IF(AU121&gt;0,($BA121*((AU121))*R121),0)))</f>
        <v>#NAME?</v>
      </c>
      <c r="BE121" s="292" t="e">
        <f aca="false">IF($A121="N/A"," ",(IF(AN121&gt;0,($BA121*(8*(VLOOKUP($A121,NumberofDaysTable,3)))*S121),0)+IF(AV121&gt;0,($BA121*((AV121))*S121),0)))</f>
        <v>#NAME?</v>
      </c>
      <c r="BF121" s="292" t="e">
        <f aca="false">IF($A121="N/A"," ",(IF(AO121&gt;0,($BA121*(8*(VLOOKUP($A121,NumberofDaysTable,4)+VLOOKUP($A121,NumberofDaysTable,5)))*T121),0)+IF(AW121&gt;0,($BA121*((AW121))*T121),0)))</f>
        <v>#NAME?</v>
      </c>
      <c r="BG121" s="292" t="e">
        <f aca="false">IF($A121="N/A"," ",(IF(AP121&gt;0,($BA121*(8*(VLOOKUP($A121,NumberofDaysTable,4)+VLOOKUP($A121,NumberofDaysTable,5)))*U121),0)+IF(AX121&gt;0,($BA121*((AX121))*U121),0)))</f>
        <v>#NAME?</v>
      </c>
      <c r="BH121" s="292" t="e">
        <f aca="false">IF($A121="N/A"," ",($BA121*AQ121*V121))</f>
        <v>#NAME?</v>
      </c>
      <c r="BI121" s="292" t="e">
        <f aca="false">IF($A121="N/A"," ",SUM(BB121:BH121))</f>
        <v>#NAME?</v>
      </c>
      <c r="BJ121" s="293" t="e">
        <f aca="false">IF($A121="N/A"," ",(H121*(SUM(AK121:AQ121)+SUM(AS121:AY121))*BA121))</f>
        <v>#NAME?</v>
      </c>
      <c r="BK121" s="293" t="e">
        <f aca="false">IF($A121="N/A"," ",((C121*D121)*(SUM($AK121:$AQ121)+SUM($AS121:$AY121))*$BA121))</f>
        <v>#N/A</v>
      </c>
      <c r="BL121" s="293" t="e">
        <f aca="false">IF($A121="N/A"," ",(F121*(SUM($AK121:$AQ121)+SUM($AS121:$AY121))*$BA121))</f>
        <v>#NAME?</v>
      </c>
      <c r="BM121" s="293" t="e">
        <f aca="false">IF($A121="N/A"," ",(G121*(SUM($AK121:$AQ121)+SUM($AS121:$AY121))*$BA121))</f>
        <v>#NAME?</v>
      </c>
      <c r="BN121" s="294" t="n">
        <f aca="false">IF(A121="N/A"," ",(VLOOKUP(A121,PowerVolTable,(IF('Pricing Inputs'!$AT$3=2,7,IF('Pricing Inputs'!$AT$3=1,6,8))),FALSE())))</f>
        <v>0.152583382094328</v>
      </c>
      <c r="BO121" s="294" t="n">
        <f aca="false">IF(A121="N/A"," ",(VLOOKUP(A121,IntraPowerVol,(IF('Pricing Inputs'!$AT$3=2,3,IF('Pricing Inputs'!$AT$3=1,2,4))),FALSE())*VLOOKUP(MONTH($A121),Inputs!$A$28:$B$39,2)))</f>
        <v>1.265</v>
      </c>
      <c r="BP121" s="295" t="n">
        <f aca="false">IF($A121="N/A"," ",(IF(DateToday&gt;$A121,$BO121,((($BN121^2)*((($A121-1)-DateToday)/((EOMONTH($A121,0)+1)-DateToday-15)))+((($BO121)^2)*((15)/((EOMONTH($A121,0)+1)-DateToday-15))))^0.5)))</f>
        <v>1.265</v>
      </c>
      <c r="BQ121" s="294" t="e">
        <f aca="false">IF($A121="N/A"," ",(VLOOKUP($A121,GasVolTable,(IF('Pricing Inputs'!$AT$3=2,6,IF('Pricing Inputs'!$AT$3=1,7,5))),FALSE())))</f>
        <v>#N/A</v>
      </c>
      <c r="BR121" s="294" t="e">
        <f aca="false">IF($A121="N/A"," ",(VLOOKUP($A121,OmicronVol,(IF('Pricing Inputs'!$AT$3=2,3,IF('Pricing Inputs'!$AT$3=1,4,2))),FALSE())))</f>
        <v>#N/A</v>
      </c>
      <c r="BS121" s="295" t="e">
        <f aca="false">IF($A121="N/A"," ",IF('Pricing Inputs'!$AN$3=1,(IF(DateToday&gt;$A121,$BR121,((($BQ121^2)*((($A121-1)-DateToday)/((EOMONTH($A121,0)+1)-DateToday-15)))+((($BR121)^2)*((15)/((EOMONTH($A121,0)+1)-DateToday-15))))^0.5)),0.0001))</f>
        <v>#N/A</v>
      </c>
      <c r="BT121" s="294" t="n">
        <f aca="false">IF($A121="N/A"," ",IF('Pricing Inputs'!$AN$3=1,(VLOOKUP($A121,CorrelationTable,2,FALSE())),0))</f>
        <v>0.9</v>
      </c>
      <c r="BU121" s="296" t="e">
        <f aca="false">IF($A121="N/A"," ",F121+G121+(D121*(VLOOKUP($A121,'Gas Curves'!$B$17:$P$310,14,FALSE()))))</f>
        <v>#N/A</v>
      </c>
      <c r="BV121" s="294" t="n">
        <f aca="false">IF($A121="N/A"," ",IF('Pricing Inputs'!$AW$3=1,0,(VLOOKUP($A121,InterestRatesTable,2))))</f>
        <v>0</v>
      </c>
      <c r="BW121" s="297" t="n">
        <f aca="false">IF($A121="N/A"," ",(1+BV121/2)^(-2*((EOMONTH(A121,0)+20)-DateToday)/365.25))</f>
        <v>1</v>
      </c>
    </row>
    <row r="122" customFormat="false" ht="12.75" hidden="false" customHeight="false" outlineLevel="0" collapsed="false">
      <c r="A122" s="272" t="n">
        <f aca="false">IF(A121="N/A","N/A",IF(EDATE(A121,1)&gt;Inputs!$K$3,"N/A",EDATE(A121,1)))</f>
        <v>40483</v>
      </c>
      <c r="B122" s="273" t="n">
        <f aca="false">IF(A122="N/A"," ",YEAR(A122))</f>
        <v>2010</v>
      </c>
      <c r="C122" s="274" t="e">
        <f aca="false">IF(A122="N/A"," ",VLOOKUP(A122,ScaledPrice,10))</f>
        <v>#N/A</v>
      </c>
      <c r="D122" s="275" t="n">
        <f aca="false">IF(A122="N/A"," ",(VLOOKUP(MONTH($A122),Inputs!$A$14:$B$25,2))/1000)</f>
        <v>10.5</v>
      </c>
      <c r="E122" s="276" t="e">
        <f aca="false">IF($A122="N/A"," ",C122*D122)</f>
        <v>#N/A</v>
      </c>
      <c r="F122" s="277" t="n">
        <f aca="false">IF(A122="N/A"," ",Inputs!$F$6)</f>
        <v>2</v>
      </c>
      <c r="G122" s="277" t="n">
        <f aca="false">IF(A122="N/A"," ",Inputs!$F$9/IF(AND('Pricing Inputs'!$AQ$3&gt;=4,'Pricing Inputs'!$AQ$3&lt;=6),16,IF(AND('Pricing Inputs'!$AQ$3&gt;=7,'Pricing Inputs'!$AQ$3&lt;=9),8,24))/(BA122/BW122))</f>
        <v>0</v>
      </c>
      <c r="H122" s="278" t="e">
        <f aca="false">IF(A122="N/A"," ",(C122*D122)+F122+G122)</f>
        <v>#N/A</v>
      </c>
      <c r="I122" s="279" t="n">
        <f aca="false">VLOOKUP(A122,ScaledPrice,(IF(AND('Pricing Inputs'!$AQ$3&gt;=1,'Pricing Inputs'!$AQ$3&lt;=6),2,4)))</f>
        <v>31.234779375</v>
      </c>
      <c r="J122" s="279" t="n">
        <f aca="false">IF(A122="N/A"," ",IF(AND('Pricing Inputs'!$AQ$3&gt;=1,'Pricing Inputs'!$AQ$3&lt;=6),I122,(VLOOKUP(A122,ScaledPrice,2))*(2-(VLOOKUP(A122,ScaledPrice,3)))))</f>
        <v>31.915220625</v>
      </c>
      <c r="K122" s="279" t="n">
        <f aca="false">IF(A122="N/A"," ",IF(OR('Pricing Inputs'!$AQ$3=2,'Pricing Inputs'!$AQ$3=3,'Pricing Inputs'!$AQ$3=5,'Pricing Inputs'!$AQ$3=6,'Pricing Inputs'!$AQ$3=8,'Pricing Inputs'!$AQ$3=9),VLOOKUP(A122,ScaledPrice,IF(AND('Pricing Inputs'!$AQ$3&gt;=2,'Pricing Inputs'!$AQ$3&lt;=6),5,6)),0))</f>
        <v>25.1310153885651</v>
      </c>
      <c r="L122" s="279" t="n">
        <f aca="false">IF(A122="N/A"," ",IF(OR('Pricing Inputs'!$AQ$3=2,'Pricing Inputs'!$AQ$3=3,'Pricing Inputs'!$AQ$3=5,'Pricing Inputs'!$AQ$3=6,'Pricing Inputs'!$AQ$3=8,'Pricing Inputs'!$AQ$3=9),IF(AND('Pricing Inputs'!$AQ$3&gt;=2,'Pricing Inputs'!$AQ$3&lt;=6),K122,(VLOOKUP(A122,ScaledPrice,5))*(2-(VLOOKUP(A122,ScaledPrice,3)))),0))</f>
        <v>25.6784877852631</v>
      </c>
      <c r="M122" s="279" t="n">
        <f aca="false">IF(A122="N/A"," ",IF(OR('Pricing Inputs'!$AQ$3=3,'Pricing Inputs'!$AQ$3=6,'Pricing Inputs'!$AQ$3=9),(VLOOKUP(A122,ScaledPrice,IF(AND('Pricing Inputs'!$AQ$3&gt;=3,'Pricing Inputs'!$AQ$3&lt;=6),7,8))),0))</f>
        <v>23.1523163313675</v>
      </c>
      <c r="N122" s="279" t="n">
        <f aca="false">IF(A122="N/A"," ",IF(OR('Pricing Inputs'!$AQ$3=3,'Pricing Inputs'!$AQ$3=6,'Pricing Inputs'!$AQ$3=9),IF(AND('Pricing Inputs'!$AQ$3&gt;=3,'Pricing Inputs'!$AQ$3&lt;=6),M122,(VLOOKUP(A122,ScaledPrice,7))*(2-(VLOOKUP(A122,ScaledPrice,3)))),0))</f>
        <v>23.6566833024216</v>
      </c>
      <c r="O122" s="279" t="n">
        <f aca="false">IF(A122="N/A"," ",IF(AND('Pricing Inputs'!$AQ$3&gt;=1,'Pricing Inputs'!$AQ$3&lt;=3),VLOOKUP(A122,ScaledPrice,9),0))</f>
        <v>0</v>
      </c>
      <c r="P122" s="280" t="e">
        <f aca="false">IF($A122="N/A"," ",IF('Pricing Inputs'!$AN$8=2,(I122-H122),IF('Pricing Inputs'!$AN$3=2,IF((I122-$H122)&gt;0,I122-$H122,0),(xSPRDOPT(I122,$E122,$BU122,0,$BP122,$BS122,$BT122,($A122-Inputs!$D$1)+15,1,0)))))</f>
        <v>#NAME?</v>
      </c>
      <c r="Q122" s="280" t="e">
        <f aca="false">IF($A122="N/A"," ",IF('Pricing Inputs'!$AN$8=2,(J122-$H122),IF('Pricing Inputs'!$AN$3=2,IF((J122-$H122)&gt;0,J122-$H122,0),(xSPRDOPT(J122,$E122,$BU122,0,$BP122,$BS122,$BT122,($A122-Inputs!$D$1)+15,1,0)))))</f>
        <v>#NAME?</v>
      </c>
      <c r="R122" s="280" t="e">
        <f aca="false">IF($A122="N/A"," ",IF('Pricing Inputs'!$AN$8=2,(K122-$H122),IF('Pricing Inputs'!$AN$3=2,IF((K122-$H122)&gt;0,K122-$H122,0),(xSPRDOPT(K122,$E122,$BU122,0,$BP122,$BS122,$BT122,($A122-Inputs!$D$1)+15,1,0)))))</f>
        <v>#NAME?</v>
      </c>
      <c r="S122" s="280" t="e">
        <f aca="false">IF($A122="N/A"," ",IF('Pricing Inputs'!$AN$8=2,(L122-$H122),IF('Pricing Inputs'!$AN$3=2,IF((L122-$H122)&gt;0,L122-$H122,0),(xSPRDOPT(L122,$E122,$BU122,0,$BP122,$BS122,$BT122,($A122-Inputs!$D$1)+15,1,0)))))</f>
        <v>#NAME?</v>
      </c>
      <c r="T122" s="280" t="e">
        <f aca="false">IF($A122="N/A"," ",IF('Pricing Inputs'!$AN$8=2,(M122-$H122),IF('Pricing Inputs'!$AN$3=2,IF((M122-$H122)&gt;0,M122-$H122,0),(xSPRDOPT(M122,$E122,$BU122,0,$BP122,$BS122,$BT122,($A122-Inputs!$D$1)+15,1,0)))))</f>
        <v>#NAME?</v>
      </c>
      <c r="U122" s="280" t="e">
        <f aca="false">IF($A122="N/A"," ",IF('Pricing Inputs'!$AN$8=2,(N122-$H122),IF('Pricing Inputs'!$AN$3=2,IF((N122-$H122)&gt;0,N122-$H122,0),(xSPRDOPT(N122,$E122,$BU122,0,$BP122,$BS122,$BT122,($A122-Inputs!$D$1)+15,1,0)))))</f>
        <v>#NAME?</v>
      </c>
      <c r="V122" s="281" t="e">
        <f aca="false">IF($A122="N/A"," ",(IF('Pricing Inputs'!$AN$8=2,(O122-$H122),IF((O122-$H122)&lt;=0,0,(O122-$H122)))))</f>
        <v>#N/A</v>
      </c>
      <c r="W122" s="282" t="e">
        <f aca="false">IF($A122="N/A"," ",IF(0&lt;&gt;P122,IF('Pricing Inputs'!$AN$3=2,8*VLOOKUP($A122,NumberofDaysTable,2),(xSPRDOPT(I122,$E122,$BU122,0,$BP122,$BS122,$BT122,$A122-Inputs!$D$1,1,1))*(8*VLOOKUP($A122,NumberofDaysTable,2))),0))</f>
        <v>#NAME?</v>
      </c>
      <c r="X122" s="282" t="e">
        <f aca="false">IF($A122="N/A"," ",IF(Q122&lt;&gt;0,IF('Pricing Inputs'!$AN$3=2,8*VLOOKUP($A122,NumberofDaysTable,2),(xSPRDOPT(J122,$E122,$BU122,0,$BP122,$BS122,$BT122,$A122-Inputs!$D$1,1,1))*(8*VLOOKUP($A122,NumberofDaysTable,2))),0))</f>
        <v>#NAME?</v>
      </c>
      <c r="Y122" s="282" t="e">
        <f aca="false">IF($A122="N/A"," ",IF(R122&lt;&gt;0,IF('Pricing Inputs'!$AN$3=2,8*VLOOKUP($A122,NumberofDaysTable,3),(xSPRDOPT(K122,$E122,$BU122,0,$BP122,$BS122,$BT122,$A122-Inputs!$D$1,1,1))*(8*VLOOKUP($A122,NumberofDaysTable,3))),0))</f>
        <v>#NAME?</v>
      </c>
      <c r="Z122" s="282" t="e">
        <f aca="false">IF($A122="N/A"," ",IF(S122&lt;&gt;0,IF('Pricing Inputs'!$AN$3=2,8*VLOOKUP($A122,NumberofDaysTable,3),(xSPRDOPT(L122,$E122,$BU122,0,$BP122,$BS122,$BT122,$A122-Inputs!$D$1,1,1))*(8*VLOOKUP($A122,NumberofDaysTable,3))),0))</f>
        <v>#NAME?</v>
      </c>
      <c r="AA122" s="282" t="e">
        <f aca="false">IF($A122="N/A"," ",IF(T122&lt;&gt;0,IF('Pricing Inputs'!$AN$3=2,8*VLOOKUP($A122,NumberofDaysTable,4),(xSPRDOPT(M122,$E122,$BU122,0,$BP122,$BS122,$BT122,$A122-Inputs!$D$1,1,1))*(8*VLOOKUP($A122,NumberofDaysTable,4))),0))</f>
        <v>#NAME?</v>
      </c>
      <c r="AB122" s="282" t="e">
        <f aca="false">IF($A122="N/A"," ",IF(U122&lt;&gt;0,IF('Pricing Inputs'!$AN$3=2,8*VLOOKUP($A122,NumberofDaysTable,4),(xSPRDOPT(N122,$E122,$BU122,0,$BP122,$BS122,$BT122,$A122-Inputs!$D$1,1,1))*(8*VLOOKUP($A122,NumberofDaysTable,4))),0))</f>
        <v>#NAME?</v>
      </c>
      <c r="AC122" s="282" t="e">
        <f aca="false">IF($A122="N/A"," ",(IF(V122&lt;&gt;0,(8*VLOOKUP($A122,NumberofDaysTable,6)),0)))</f>
        <v>#N/A</v>
      </c>
      <c r="AD122" s="298" t="e">
        <f aca="false">IF($A122="N/A"," ",RANK(P122,$P$112:$V$123))</f>
        <v>#NAME?</v>
      </c>
      <c r="AE122" s="299" t="e">
        <f aca="false">IF($A122="N/A"," ",RANK(Q122,$P$112:$V$123))</f>
        <v>#NAME?</v>
      </c>
      <c r="AF122" s="299" t="e">
        <f aca="false">IF($A122="N/A"," ",RANK(R122,$P$112:$V$123))</f>
        <v>#NAME?</v>
      </c>
      <c r="AG122" s="299" t="e">
        <f aca="false">IF($A122="N/A"," ",RANK(S122,$P$112:$V$123))</f>
        <v>#NAME?</v>
      </c>
      <c r="AH122" s="299" t="e">
        <f aca="false">IF($A122="N/A"," ",RANK(T122,$P$112:$V$123))</f>
        <v>#NAME?</v>
      </c>
      <c r="AI122" s="299" t="e">
        <f aca="false">IF($A122="N/A"," ",RANK(U122,$P$112:$V$123))</f>
        <v>#NAME?</v>
      </c>
      <c r="AJ122" s="300" t="e">
        <f aca="false">IF($A122="N/A"," ",RANK(V122,$P$112:$V$123))</f>
        <v>#NAME?</v>
      </c>
      <c r="AK122" s="286" t="e">
        <f aca="false">IF($A122="N/A"," ",IF(AD122&lt;=$AJ$2,W122,0))</f>
        <v>#NAME?</v>
      </c>
      <c r="AL122" s="301" t="e">
        <f aca="false">IF($A122="N/A"," ",IF(AE122&lt;=$AJ$2,X122,0))</f>
        <v>#NAME?</v>
      </c>
      <c r="AM122" s="301" t="e">
        <f aca="false">IF($A122="N/A"," ",IF(AF122&lt;=$AJ$2,Y122,0))</f>
        <v>#NAME?</v>
      </c>
      <c r="AN122" s="301" t="e">
        <f aca="false">IF($A122="N/A"," ",IF(AG122&lt;=$AJ$2,Z122,0))</f>
        <v>#NAME?</v>
      </c>
      <c r="AO122" s="301" t="e">
        <f aca="false">IF($A122="N/A"," ",IF(AH122&lt;=$AJ$2,AA122,0))</f>
        <v>#NAME?</v>
      </c>
      <c r="AP122" s="301" t="e">
        <f aca="false">IF($A122="N/A"," ",IF(AI122&lt;=$AJ$2,AB122,0))</f>
        <v>#NAME?</v>
      </c>
      <c r="AQ122" s="301" t="e">
        <f aca="false">IF($A122="N/A"," ",IF(AJ122&lt;=$AJ$2,AC122,0))</f>
        <v>#NAME?</v>
      </c>
      <c r="AR122" s="300" t="e">
        <f aca="false">SUM(AK112:AQ123)</f>
        <v>#NAME?</v>
      </c>
      <c r="AS122" s="288" t="e">
        <f aca="false">IF($A122="N/A"," ",IF(AND(AD122=$AJ$2+1,AK122=0),MIN($AR$123,W122),0))</f>
        <v>#NAME?</v>
      </c>
      <c r="AT122" s="302" t="e">
        <f aca="false">IF($A122="N/A"," ",IF(AND(AE122=$AJ$2+1,AL122=0),MIN($AR$123,X122),0))</f>
        <v>#NAME?</v>
      </c>
      <c r="AU122" s="302" t="e">
        <f aca="false">IF($A122="N/A"," ",IF(AND(AF122=$AJ$2+1,AM122=0),MIN($AR$123,Y122),0))</f>
        <v>#NAME?</v>
      </c>
      <c r="AV122" s="302" t="e">
        <f aca="false">IF($A122="N/A"," ",IF(AND(AG122=$AJ$2+1,AN122=0),MIN($AR$123,Z122),0))</f>
        <v>#NAME?</v>
      </c>
      <c r="AW122" s="302" t="e">
        <f aca="false">IF($A122="N/A"," ",IF(AND(AH122=$AJ$2+1,AO122=0),MIN($AR$123,AA122),0))</f>
        <v>#NAME?</v>
      </c>
      <c r="AX122" s="302" t="e">
        <f aca="false">IF($A122="N/A"," ",IF(AND(AI122=$AJ$2+1,AP122=0),MIN($AR$123,AB122),0))</f>
        <v>#NAME?</v>
      </c>
      <c r="AY122" s="302" t="e">
        <f aca="false">IF($A122="N/A"," ",IF(AND(AJ122=$AJ$2+1,AQ122=0),MIN($AR$123,AC122),0))</f>
        <v>#NAME?</v>
      </c>
      <c r="AZ122" s="300" t="e">
        <f aca="false">SUM(AS112:AY123)</f>
        <v>#NAME?</v>
      </c>
      <c r="BA122" s="291" t="n">
        <f aca="false">IF($A122="N/A"," ",(IF(MONTH(A122)&gt;=4,IF(MONTH(A122)&lt;=10,Inputs!$F$13,Inputs!$F$14),Inputs!$F$14))*$BW122)</f>
        <v>180</v>
      </c>
      <c r="BB122" s="292" t="e">
        <f aca="false">IF($A122="N/A"," ",(IF(AK122&gt;0,($BA122*(8*(VLOOKUP($A122,NumberofDaysTable,2)))*P122),0)+IF(AS122&gt;0,($BA122*((AS122))*P122),0)))</f>
        <v>#NAME?</v>
      </c>
      <c r="BC122" s="292" t="e">
        <f aca="false">IF($A122="N/A"," ",(IF(AL122&gt;0,($BA122*(8*(VLOOKUP($A122,NumberofDaysTable,2)))*Q122),0)+IF(AT122&gt;0,($BA122*((AT122))*Q122),0)))</f>
        <v>#NAME?</v>
      </c>
      <c r="BD122" s="292" t="e">
        <f aca="false">IF($A122="N/A"," ",(IF(AM122&gt;0,($BA122*(8*(VLOOKUP($A122,NumberofDaysTable,3)))*R122),0)+IF(AU122&gt;0,($BA122*((AU122))*R122),0)))</f>
        <v>#NAME?</v>
      </c>
      <c r="BE122" s="292" t="e">
        <f aca="false">IF($A122="N/A"," ",(IF(AN122&gt;0,($BA122*(8*(VLOOKUP($A122,NumberofDaysTable,3)))*S122),0)+IF(AV122&gt;0,($BA122*((AV122))*S122),0)))</f>
        <v>#NAME?</v>
      </c>
      <c r="BF122" s="292" t="e">
        <f aca="false">IF($A122="N/A"," ",(IF(AO122&gt;0,($BA122*(8*(VLOOKUP($A122,NumberofDaysTable,4)+VLOOKUP($A122,NumberofDaysTable,5)))*T122),0)+IF(AW122&gt;0,($BA122*((AW122))*T122),0)))</f>
        <v>#NAME?</v>
      </c>
      <c r="BG122" s="292" t="e">
        <f aca="false">IF($A122="N/A"," ",(IF(AP122&gt;0,($BA122*(8*(VLOOKUP($A122,NumberofDaysTable,4)+VLOOKUP($A122,NumberofDaysTable,5)))*U122),0)+IF(AX122&gt;0,($BA122*((AX122))*U122),0)))</f>
        <v>#NAME?</v>
      </c>
      <c r="BH122" s="292" t="e">
        <f aca="false">IF($A122="N/A"," ",($BA122*AQ122*V122))</f>
        <v>#NAME?</v>
      </c>
      <c r="BI122" s="292" t="e">
        <f aca="false">IF($A122="N/A"," ",SUM(BB122:BH122))</f>
        <v>#NAME?</v>
      </c>
      <c r="BJ122" s="293" t="e">
        <f aca="false">IF($A122="N/A"," ",(H122*(SUM(AK122:AQ122)+SUM(AS122:AY122))*BA122))</f>
        <v>#NAME?</v>
      </c>
      <c r="BK122" s="293" t="e">
        <f aca="false">IF($A122="N/A"," ",((C122*D122)*(SUM($AK122:$AQ122)+SUM($AS122:$AY122))*$BA122))</f>
        <v>#N/A</v>
      </c>
      <c r="BL122" s="293" t="e">
        <f aca="false">IF($A122="N/A"," ",(F122*(SUM($AK122:$AQ122)+SUM($AS122:$AY122))*$BA122))</f>
        <v>#NAME?</v>
      </c>
      <c r="BM122" s="293" t="e">
        <f aca="false">IF($A122="N/A"," ",(G122*(SUM($AK122:$AQ122)+SUM($AS122:$AY122))*$BA122))</f>
        <v>#NAME?</v>
      </c>
      <c r="BN122" s="294" t="n">
        <f aca="false">IF(A122="N/A"," ",(VLOOKUP(A122,PowerVolTable,(IF('Pricing Inputs'!$AT$3=2,7,IF('Pricing Inputs'!$AT$3=1,6,8))),FALSE())))</f>
        <v>0.152583382094328</v>
      </c>
      <c r="BO122" s="294" t="n">
        <f aca="false">IF(A122="N/A"," ",(VLOOKUP(A122,IntraPowerVol,(IF('Pricing Inputs'!$AT$3=2,3,IF('Pricing Inputs'!$AT$3=1,2,4))),FALSE())*VLOOKUP(MONTH($A122),Inputs!$A$28:$B$39,2)))</f>
        <v>1.4375</v>
      </c>
      <c r="BP122" s="295" t="n">
        <f aca="false">IF($A122="N/A"," ",(IF(DateToday&gt;$A122,$BO122,((($BN122^2)*((($A122-1)-DateToday)/((EOMONTH($A122,0)+1)-DateToday-15)))+((($BO122)^2)*((15)/((EOMONTH($A122,0)+1)-DateToday-15))))^0.5)))</f>
        <v>1.4375</v>
      </c>
      <c r="BQ122" s="294" t="e">
        <f aca="false">IF($A122="N/A"," ",(VLOOKUP($A122,GasVolTable,(IF('Pricing Inputs'!$AT$3=2,6,IF('Pricing Inputs'!$AT$3=1,7,5))),FALSE())))</f>
        <v>#N/A</v>
      </c>
      <c r="BR122" s="294" t="e">
        <f aca="false">IF($A122="N/A"," ",(VLOOKUP($A122,OmicronVol,(IF('Pricing Inputs'!$AT$3=2,3,IF('Pricing Inputs'!$AT$3=1,4,2))),FALSE())))</f>
        <v>#N/A</v>
      </c>
      <c r="BS122" s="295" t="e">
        <f aca="false">IF($A122="N/A"," ",IF('Pricing Inputs'!$AN$3=1,(IF(DateToday&gt;$A122,$BR122,((($BQ122^2)*((($A122-1)-DateToday)/((EOMONTH($A122,0)+1)-DateToday-15)))+((($BR122)^2)*((15)/((EOMONTH($A122,0)+1)-DateToday-15))))^0.5)),0.0001))</f>
        <v>#N/A</v>
      </c>
      <c r="BT122" s="294" t="n">
        <f aca="false">IF($A122="N/A"," ",IF('Pricing Inputs'!$AN$3=1,(VLOOKUP($A122,CorrelationTable,2,FALSE())),0))</f>
        <v>0.9</v>
      </c>
      <c r="BU122" s="296" t="e">
        <f aca="false">IF($A122="N/A"," ",F122+G122+(D122*(VLOOKUP($A122,'Gas Curves'!$B$17:$P$310,14,FALSE()))))</f>
        <v>#N/A</v>
      </c>
      <c r="BV122" s="294" t="n">
        <f aca="false">IF($A122="N/A"," ",IF('Pricing Inputs'!$AW$3=1,0,(VLOOKUP($A122,InterestRatesTable,2))))</f>
        <v>0</v>
      </c>
      <c r="BW122" s="297" t="n">
        <f aca="false">IF($A122="N/A"," ",(1+BV122/2)^(-2*((EOMONTH(A122,0)+20)-DateToday)/365.25))</f>
        <v>1</v>
      </c>
    </row>
    <row r="123" customFormat="false" ht="12.75" hidden="false" customHeight="false" outlineLevel="0" collapsed="false">
      <c r="A123" s="272" t="n">
        <f aca="false">IF(A122="N/A","N/A",IF(EDATE(A122,1)&gt;Inputs!$K$3,"N/A",EDATE(A122,1)))</f>
        <v>40513</v>
      </c>
      <c r="B123" s="273" t="n">
        <f aca="false">IF(A123="N/A"," ",YEAR(A123))</f>
        <v>2010</v>
      </c>
      <c r="C123" s="274" t="e">
        <f aca="false">IF(A123="N/A"," ",VLOOKUP(A123,ScaledPrice,10))</f>
        <v>#N/A</v>
      </c>
      <c r="D123" s="275" t="n">
        <f aca="false">IF(A123="N/A"," ",(VLOOKUP(MONTH($A123),Inputs!$A$14:$B$25,2))/1000)</f>
        <v>10.5</v>
      </c>
      <c r="E123" s="276" t="e">
        <f aca="false">IF($A123="N/A"," ",C123*D123)</f>
        <v>#N/A</v>
      </c>
      <c r="F123" s="277" t="n">
        <f aca="false">IF(A123="N/A"," ",Inputs!$F$6)</f>
        <v>2</v>
      </c>
      <c r="G123" s="277" t="n">
        <f aca="false">IF(A123="N/A"," ",Inputs!$F$9/IF(AND('Pricing Inputs'!$AQ$3&gt;=4,'Pricing Inputs'!$AQ$3&lt;=6),16,IF(AND('Pricing Inputs'!$AQ$3&gt;=7,'Pricing Inputs'!$AQ$3&lt;=9),8,24))/(BA123/BW123))</f>
        <v>0</v>
      </c>
      <c r="H123" s="278" t="e">
        <f aca="false">IF(A123="N/A"," ",(C123*D123)+F123+G123)</f>
        <v>#N/A</v>
      </c>
      <c r="I123" s="279" t="n">
        <f aca="false">VLOOKUP(A123,ScaledPrice,(IF(AND('Pricing Inputs'!$AQ$3&gt;=1,'Pricing Inputs'!$AQ$3&lt;=6),2,4)))</f>
        <v>30.7744365498799</v>
      </c>
      <c r="J123" s="279" t="n">
        <f aca="false">IF(A123="N/A"," ",IF(AND('Pricing Inputs'!$AQ$3&gt;=1,'Pricing Inputs'!$AQ$3&lt;=6),I123,(VLOOKUP(A123,ScaledPrice,2))*(2-(VLOOKUP(A123,ScaledPrice,3)))))</f>
        <v>32.1255634501201</v>
      </c>
      <c r="K123" s="279" t="n">
        <f aca="false">IF(A123="N/A"," ",IF(OR('Pricing Inputs'!$AQ$3=2,'Pricing Inputs'!$AQ$3=3,'Pricing Inputs'!$AQ$3=5,'Pricing Inputs'!$AQ$3=6,'Pricing Inputs'!$AQ$3=8,'Pricing Inputs'!$AQ$3=9),VLOOKUP(A123,ScaledPrice,IF(AND('Pricing Inputs'!$AQ$3&gt;=2,'Pricing Inputs'!$AQ$3&lt;=6),5,6)),0))</f>
        <v>26.2781381316712</v>
      </c>
      <c r="L123" s="279" t="n">
        <f aca="false">IF(A123="N/A"," ",IF(OR('Pricing Inputs'!$AQ$3=2,'Pricing Inputs'!$AQ$3=3,'Pricing Inputs'!$AQ$3=5,'Pricing Inputs'!$AQ$3=6,'Pricing Inputs'!$AQ$3=8,'Pricing Inputs'!$AQ$3=9),IF(AND('Pricing Inputs'!$AQ$3&gt;=2,'Pricing Inputs'!$AQ$3&lt;=6),K123,(VLOOKUP(A123,ScaledPrice,5))*(2-(VLOOKUP(A123,ScaledPrice,3)))),0))</f>
        <v>27.4318586639831</v>
      </c>
      <c r="M123" s="279" t="n">
        <f aca="false">IF(A123="N/A"," ",IF(OR('Pricing Inputs'!$AQ$3=3,'Pricing Inputs'!$AQ$3=6,'Pricing Inputs'!$AQ$3=9),(VLOOKUP(A123,ScaledPrice,IF(AND('Pricing Inputs'!$AQ$3&gt;=3,'Pricing Inputs'!$AQ$3&lt;=6),7,8))),0))</f>
        <v>22.8484282976364</v>
      </c>
      <c r="N123" s="279" t="n">
        <f aca="false">IF(A123="N/A"," ",IF(OR('Pricing Inputs'!$AQ$3=3,'Pricing Inputs'!$AQ$3=6,'Pricing Inputs'!$AQ$3=9),IF(AND('Pricing Inputs'!$AQ$3&gt;=3,'Pricing Inputs'!$AQ$3&lt;=6),M123,(VLOOKUP(A123,ScaledPrice,7))*(2-(VLOOKUP(A123,ScaledPrice,3)))),0))</f>
        <v>23.8515701764847</v>
      </c>
      <c r="O123" s="279" t="n">
        <f aca="false">IF(A123="N/A"," ",IF(AND('Pricing Inputs'!$AQ$3&gt;=1,'Pricing Inputs'!$AQ$3&lt;=3),VLOOKUP(A123,ScaledPrice,9),0))</f>
        <v>0</v>
      </c>
      <c r="P123" s="280" t="e">
        <f aca="false">IF($A123="N/A"," ",IF('Pricing Inputs'!$AN$8=2,(I123-H123),IF('Pricing Inputs'!$AN$3=2,IF((I123-$H123)&gt;0,I123-$H123,0),(xSPRDOPT(I123,$E123,$BU123,0,$BP123,$BS123,$BT123,($A123-Inputs!$D$1)+15,1,0)))))</f>
        <v>#NAME?</v>
      </c>
      <c r="Q123" s="280" t="e">
        <f aca="false">IF($A123="N/A"," ",IF('Pricing Inputs'!$AN$8=2,(J123-$H123),IF('Pricing Inputs'!$AN$3=2,IF((J123-$H123)&gt;0,J123-$H123,0),(xSPRDOPT(J123,$E123,$BU123,0,$BP123,$BS123,$BT123,($A123-Inputs!$D$1)+15,1,0)))))</f>
        <v>#NAME?</v>
      </c>
      <c r="R123" s="280" t="e">
        <f aca="false">IF($A123="N/A"," ",IF('Pricing Inputs'!$AN$8=2,(K123-$H123),IF('Pricing Inputs'!$AN$3=2,IF((K123-$H123)&gt;0,K123-$H123,0),(xSPRDOPT(K123,$E123,$BU123,0,$BP123,$BS123,$BT123,($A123-Inputs!$D$1)+15,1,0)))))</f>
        <v>#NAME?</v>
      </c>
      <c r="S123" s="280" t="e">
        <f aca="false">IF($A123="N/A"," ",IF('Pricing Inputs'!$AN$8=2,(L123-$H123),IF('Pricing Inputs'!$AN$3=2,IF((L123-$H123)&gt;0,L123-$H123,0),(xSPRDOPT(L123,$E123,$BU123,0,$BP123,$BS123,$BT123,($A123-Inputs!$D$1)+15,1,0)))))</f>
        <v>#NAME?</v>
      </c>
      <c r="T123" s="280" t="e">
        <f aca="false">IF($A123="N/A"," ",IF('Pricing Inputs'!$AN$8=2,(M123-$H123),IF('Pricing Inputs'!$AN$3=2,IF((M123-$H123)&gt;0,M123-$H123,0),(xSPRDOPT(M123,$E123,$BU123,0,$BP123,$BS123,$BT123,($A123-Inputs!$D$1)+15,1,0)))))</f>
        <v>#NAME?</v>
      </c>
      <c r="U123" s="280" t="e">
        <f aca="false">IF($A123="N/A"," ",IF('Pricing Inputs'!$AN$8=2,(N123-$H123),IF('Pricing Inputs'!$AN$3=2,IF((N123-$H123)&gt;0,N123-$H123,0),(xSPRDOPT(N123,$E123,$BU123,0,$BP123,$BS123,$BT123,($A123-Inputs!$D$1)+15,1,0)))))</f>
        <v>#NAME?</v>
      </c>
      <c r="V123" s="281" t="e">
        <f aca="false">IF($A123="N/A"," ",(IF('Pricing Inputs'!$AN$8=2,(O123-$H123),IF((O123-$H123)&lt;=0,0,(O123-$H123)))))</f>
        <v>#N/A</v>
      </c>
      <c r="W123" s="282" t="e">
        <f aca="false">IF($A123="N/A"," ",IF(0&lt;&gt;P123,IF('Pricing Inputs'!$AN$3=2,8*VLOOKUP($A123,NumberofDaysTable,2),(xSPRDOPT(I123,$E123,$BU123,0,$BP123,$BS123,$BT123,$A123-Inputs!$D$1,1,1))*(8*VLOOKUP($A123,NumberofDaysTable,2))),0))</f>
        <v>#NAME?</v>
      </c>
      <c r="X123" s="282" t="e">
        <f aca="false">IF($A123="N/A"," ",IF(Q123&lt;&gt;0,IF('Pricing Inputs'!$AN$3=2,8*VLOOKUP($A123,NumberofDaysTable,2),(xSPRDOPT(J123,$E123,$BU123,0,$BP123,$BS123,$BT123,$A123-Inputs!$D$1,1,1))*(8*VLOOKUP($A123,NumberofDaysTable,2))),0))</f>
        <v>#NAME?</v>
      </c>
      <c r="Y123" s="282" t="e">
        <f aca="false">IF($A123="N/A"," ",IF(R123&lt;&gt;0,IF('Pricing Inputs'!$AN$3=2,8*VLOOKUP($A123,NumberofDaysTable,3),(xSPRDOPT(K123,$E123,$BU123,0,$BP123,$BS123,$BT123,$A123-Inputs!$D$1,1,1))*(8*VLOOKUP($A123,NumberofDaysTable,3))),0))</f>
        <v>#NAME?</v>
      </c>
      <c r="Z123" s="282" t="e">
        <f aca="false">IF($A123="N/A"," ",IF(S123&lt;&gt;0,IF('Pricing Inputs'!$AN$3=2,8*VLOOKUP($A123,NumberofDaysTable,3),(xSPRDOPT(L123,$E123,$BU123,0,$BP123,$BS123,$BT123,$A123-Inputs!$D$1,1,1))*(8*VLOOKUP($A123,NumberofDaysTable,3))),0))</f>
        <v>#NAME?</v>
      </c>
      <c r="AA123" s="282" t="e">
        <f aca="false">IF($A123="N/A"," ",IF(T123&lt;&gt;0,IF('Pricing Inputs'!$AN$3=2,8*VLOOKUP($A123,NumberofDaysTable,4),(xSPRDOPT(M123,$E123,$BU123,0,$BP123,$BS123,$BT123,$A123-Inputs!$D$1,1,1))*(8*VLOOKUP($A123,NumberofDaysTable,4))),0))</f>
        <v>#NAME?</v>
      </c>
      <c r="AB123" s="282" t="e">
        <f aca="false">IF($A123="N/A"," ",IF(U123&lt;&gt;0,IF('Pricing Inputs'!$AN$3=2,8*VLOOKUP($A123,NumberofDaysTable,4),(xSPRDOPT(N123,$E123,$BU123,0,$BP123,$BS123,$BT123,$A123-Inputs!$D$1,1,1))*(8*VLOOKUP($A123,NumberofDaysTable,4))),0))</f>
        <v>#NAME?</v>
      </c>
      <c r="AC123" s="282" t="e">
        <f aca="false">IF($A123="N/A"," ",(IF(V123&lt;&gt;0,(8*VLOOKUP($A123,NumberofDaysTable,6)),0)))</f>
        <v>#N/A</v>
      </c>
      <c r="AD123" s="305" t="e">
        <f aca="false">IF($A123="N/A"," ",RANK(P123,$P$112:$V$123))</f>
        <v>#NAME?</v>
      </c>
      <c r="AE123" s="306" t="e">
        <f aca="false">IF($A123="N/A"," ",RANK(Q123,$P$112:$V$123))</f>
        <v>#NAME?</v>
      </c>
      <c r="AF123" s="306" t="e">
        <f aca="false">IF($A123="N/A"," ",RANK(R123,$P$112:$V$123))</f>
        <v>#NAME?</v>
      </c>
      <c r="AG123" s="306" t="e">
        <f aca="false">IF($A123="N/A"," ",RANK(S123,$P$112:$V$123))</f>
        <v>#NAME?</v>
      </c>
      <c r="AH123" s="306" t="e">
        <f aca="false">IF($A123="N/A"," ",RANK(T123,$P$112:$V$123))</f>
        <v>#NAME?</v>
      </c>
      <c r="AI123" s="306" t="e">
        <f aca="false">IF($A123="N/A"," ",RANK(U123,$P$112:$V$123))</f>
        <v>#NAME?</v>
      </c>
      <c r="AJ123" s="307" t="e">
        <f aca="false">IF($A123="N/A"," ",RANK(V123,$P$112:$V$123))</f>
        <v>#NAME?</v>
      </c>
      <c r="AK123" s="308" t="e">
        <f aca="false">IF($A123="N/A"," ",IF(AD123&lt;=$AJ$2,W123,0))</f>
        <v>#NAME?</v>
      </c>
      <c r="AL123" s="309" t="e">
        <f aca="false">IF($A123="N/A"," ",IF(AE123&lt;=$AJ$2,X123,0))</f>
        <v>#NAME?</v>
      </c>
      <c r="AM123" s="309" t="e">
        <f aca="false">IF($A123="N/A"," ",IF(AF123&lt;=$AJ$2,Y123,0))</f>
        <v>#NAME?</v>
      </c>
      <c r="AN123" s="309" t="e">
        <f aca="false">IF($A123="N/A"," ",IF(AG123&lt;=$AJ$2,Z123,0))</f>
        <v>#NAME?</v>
      </c>
      <c r="AO123" s="309" t="e">
        <f aca="false">IF($A123="N/A"," ",IF(AH123&lt;=$AJ$2,AA123,0))</f>
        <v>#NAME?</v>
      </c>
      <c r="AP123" s="309" t="e">
        <f aca="false">IF($A123="N/A"," ",IF(AI123&lt;=$AJ$2,AB123,0))</f>
        <v>#NAME?</v>
      </c>
      <c r="AQ123" s="309" t="e">
        <f aca="false">IF($A123="N/A"," ",IF(AJ123&lt;=$AJ$2,AC123,0))</f>
        <v>#NAME?</v>
      </c>
      <c r="AR123" s="307" t="e">
        <f aca="false">IF(($AP$2-AR122)&gt;=0,$AP$2-AR122,0)</f>
        <v>#NAME?</v>
      </c>
      <c r="AS123" s="310" t="e">
        <f aca="false">IF($A123="N/A"," ",IF(AND(AD123=$AJ$2+1,AK123=0),MIN($AR$123,W123),0))</f>
        <v>#NAME?</v>
      </c>
      <c r="AT123" s="311" t="e">
        <f aca="false">IF($A123="N/A"," ",IF(AND(AE123=$AJ$2+1,AL123=0),MIN($AR$123,X123),0))</f>
        <v>#NAME?</v>
      </c>
      <c r="AU123" s="311" t="e">
        <f aca="false">IF($A123="N/A"," ",IF(AND(AF123=$AJ$2+1,AM123=0),MIN($AR$123,Y123),0))</f>
        <v>#NAME?</v>
      </c>
      <c r="AV123" s="311" t="e">
        <f aca="false">IF($A123="N/A"," ",IF(AND(AG123=$AJ$2+1,AN123=0),MIN($AR$123,Z123),0))</f>
        <v>#NAME?</v>
      </c>
      <c r="AW123" s="311" t="e">
        <f aca="false">IF($A123="N/A"," ",IF(AND(AH123=$AJ$2+1,AO123=0),MIN($AR$123,AA123),0))</f>
        <v>#NAME?</v>
      </c>
      <c r="AX123" s="311" t="e">
        <f aca="false">IF($A123="N/A"," ",IF(AND(AI123=$AJ$2+1,AP123=0),MIN($AR$123,AB123),0))</f>
        <v>#NAME?</v>
      </c>
      <c r="AY123" s="311" t="e">
        <f aca="false">IF($A123="N/A"," ",IF(AND(AJ123=$AJ$2+1,AQ123=0),MIN($AR$123,AC123),0))</f>
        <v>#NAME?</v>
      </c>
      <c r="AZ123" s="312" t="e">
        <f aca="false">AR122+AZ122</f>
        <v>#NAME?</v>
      </c>
      <c r="BA123" s="291" t="n">
        <f aca="false">IF($A123="N/A"," ",(IF(MONTH(A123)&gt;=4,IF(MONTH(A123)&lt;=10,Inputs!$F$13,Inputs!$F$14),Inputs!$F$14))*$BW123)</f>
        <v>180</v>
      </c>
      <c r="BB123" s="292" t="e">
        <f aca="false">IF($A123="N/A"," ",(IF(AK123&gt;0,($BA123*(8*(VLOOKUP($A123,NumberofDaysTable,2)))*P123),0)+IF(AS123&gt;0,($BA123*((AS123))*P123),0)))</f>
        <v>#NAME?</v>
      </c>
      <c r="BC123" s="292" t="e">
        <f aca="false">IF($A123="N/A"," ",(IF(AL123&gt;0,($BA123*(8*(VLOOKUP($A123,NumberofDaysTable,2)))*Q123),0)+IF(AT123&gt;0,($BA123*((AT123))*Q123),0)))</f>
        <v>#NAME?</v>
      </c>
      <c r="BD123" s="292" t="e">
        <f aca="false">IF($A123="N/A"," ",(IF(AM123&gt;0,($BA123*(8*(VLOOKUP($A123,NumberofDaysTable,3)))*R123),0)+IF(AU123&gt;0,($BA123*((AU123))*R123),0)))</f>
        <v>#NAME?</v>
      </c>
      <c r="BE123" s="292" t="e">
        <f aca="false">IF($A123="N/A"," ",(IF(AN123&gt;0,($BA123*(8*(VLOOKUP($A123,NumberofDaysTable,3)))*S123),0)+IF(AV123&gt;0,($BA123*((AV123))*S123),0)))</f>
        <v>#NAME?</v>
      </c>
      <c r="BF123" s="292" t="e">
        <f aca="false">IF($A123="N/A"," ",(IF(AO123&gt;0,($BA123*(8*(VLOOKUP($A123,NumberofDaysTable,4)+VLOOKUP($A123,NumberofDaysTable,5)))*T123),0)+IF(AW123&gt;0,($BA123*((AW123))*T123),0)))</f>
        <v>#NAME?</v>
      </c>
      <c r="BG123" s="292" t="e">
        <f aca="false">IF($A123="N/A"," ",(IF(AP123&gt;0,($BA123*(8*(VLOOKUP($A123,NumberofDaysTable,4)+VLOOKUP($A123,NumberofDaysTable,5)))*U123),0)+IF(AX123&gt;0,($BA123*((AX123))*U123),0)))</f>
        <v>#NAME?</v>
      </c>
      <c r="BH123" s="292" t="e">
        <f aca="false">IF($A123="N/A"," ",($BA123*AQ123*V123))</f>
        <v>#NAME?</v>
      </c>
      <c r="BI123" s="292" t="e">
        <f aca="false">IF($A123="N/A"," ",SUM(BB123:BH123))</f>
        <v>#NAME?</v>
      </c>
      <c r="BJ123" s="293" t="e">
        <f aca="false">IF($A123="N/A"," ",(H123*(SUM(AK123:AQ123)+SUM(AS123:AY123))*BA123))</f>
        <v>#NAME?</v>
      </c>
      <c r="BK123" s="293" t="e">
        <f aca="false">IF($A123="N/A"," ",((C123*D123)*(SUM($AK123:$AQ123)+SUM($AS123:$AY123))*$BA123))</f>
        <v>#N/A</v>
      </c>
      <c r="BL123" s="293" t="e">
        <f aca="false">IF($A123="N/A"," ",(F123*(SUM($AK123:$AQ123)+SUM($AS123:$AY123))*$BA123))</f>
        <v>#NAME?</v>
      </c>
      <c r="BM123" s="293" t="e">
        <f aca="false">IF($A123="N/A"," ",(G123*(SUM($AK123:$AQ123)+SUM($AS123:$AY123))*$BA123))</f>
        <v>#NAME?</v>
      </c>
      <c r="BN123" s="294" t="n">
        <f aca="false">IF(A123="N/A"," ",(VLOOKUP(A123,PowerVolTable,(IF('Pricing Inputs'!$AT$3=2,7,IF('Pricing Inputs'!$AT$3=1,6,8))),FALSE())))</f>
        <v>0.158028736994349</v>
      </c>
      <c r="BO123" s="294" t="n">
        <f aca="false">IF(A123="N/A"," ",(VLOOKUP(A123,IntraPowerVol,(IF('Pricing Inputs'!$AT$3=2,3,IF('Pricing Inputs'!$AT$3=1,2,4))),FALSE())*VLOOKUP(MONTH($A123),Inputs!$A$28:$B$39,2)))</f>
        <v>1.4375</v>
      </c>
      <c r="BP123" s="295" t="n">
        <f aca="false">IF($A123="N/A"," ",(IF(DateToday&gt;$A123,$BO123,((($BN123^2)*((($A123-1)-DateToday)/((EOMONTH($A123,0)+1)-DateToday-15)))+((($BO123)^2)*((15)/((EOMONTH($A123,0)+1)-DateToday-15))))^0.5)))</f>
        <v>1.4375</v>
      </c>
      <c r="BQ123" s="294" t="e">
        <f aca="false">IF($A123="N/A"," ",(VLOOKUP($A123,GasVolTable,(IF('Pricing Inputs'!$AT$3=2,6,IF('Pricing Inputs'!$AT$3=1,7,5))),FALSE())))</f>
        <v>#N/A</v>
      </c>
      <c r="BR123" s="294" t="e">
        <f aca="false">IF($A123="N/A"," ",(VLOOKUP($A123,OmicronVol,(IF('Pricing Inputs'!$AT$3=2,3,IF('Pricing Inputs'!$AT$3=1,4,2))),FALSE())))</f>
        <v>#N/A</v>
      </c>
      <c r="BS123" s="295" t="e">
        <f aca="false">IF($A123="N/A"," ",IF('Pricing Inputs'!$AN$3=1,(IF(DateToday&gt;$A123,$BR123,((($BQ123^2)*((($A123-1)-DateToday)/((EOMONTH($A123,0)+1)-DateToday-15)))+((($BR123)^2)*((15)/((EOMONTH($A123,0)+1)-DateToday-15))))^0.5)),0.0001))</f>
        <v>#N/A</v>
      </c>
      <c r="BT123" s="294" t="n">
        <f aca="false">IF($A123="N/A"," ",IF('Pricing Inputs'!$AN$3=1,(VLOOKUP($A123,CorrelationTable,2,FALSE())),0))</f>
        <v>0.9</v>
      </c>
      <c r="BU123" s="296" t="e">
        <f aca="false">IF($A123="N/A"," ",F123+G123+(D123*(VLOOKUP($A123,'Gas Curves'!$B$17:$P$310,14,FALSE()))))</f>
        <v>#N/A</v>
      </c>
      <c r="BV123" s="294" t="n">
        <f aca="false">IF($A123="N/A"," ",IF('Pricing Inputs'!$AW$3=1,0,(VLOOKUP($A123,InterestRatesTable,2))))</f>
        <v>0</v>
      </c>
      <c r="BW123" s="297" t="n">
        <f aca="false">IF($A123="N/A"," ",(1+BV123/2)^(-2*((EOMONTH(A123,0)+20)-DateToday)/365.25))</f>
        <v>1</v>
      </c>
    </row>
    <row r="124" customFormat="false" ht="12.75" hidden="false" customHeight="false" outlineLevel="0" collapsed="false">
      <c r="A124" s="272" t="str">
        <f aca="false">IF(A123="N/A","N/A",IF(EDATE(A123,1)&gt;Inputs!$K$3,"N/A",EDATE(A123,1)))</f>
        <v>N/A</v>
      </c>
      <c r="B124" s="273" t="str">
        <f aca="false">IF(A124="N/A"," ",YEAR(A124))</f>
        <v> </v>
      </c>
      <c r="C124" s="274" t="str">
        <f aca="false">IF(A124="N/A"," ",VLOOKUP(A124,ScaledPrice,10))</f>
        <v> </v>
      </c>
      <c r="D124" s="275" t="str">
        <f aca="false">IF(A124="N/A"," ",(VLOOKUP(MONTH($A124),Inputs!$A$14:$B$25,2))/1000)</f>
        <v> </v>
      </c>
      <c r="E124" s="276" t="str">
        <f aca="false">IF($A124="N/A"," ",C124*D124)</f>
        <v> </v>
      </c>
      <c r="F124" s="277" t="str">
        <f aca="false">IF(A124="N/A"," ",Inputs!$F$6)</f>
        <v> </v>
      </c>
      <c r="G124" s="277" t="str">
        <f aca="false">IF(A124="N/A"," ",Inputs!$F$9/IF(AND('Pricing Inputs'!$AQ$3&gt;=4,'Pricing Inputs'!$AQ$3&lt;=6),16,IF(AND('Pricing Inputs'!$AQ$3&gt;=7,'Pricing Inputs'!$AQ$3&lt;=9),8,24))/(BA124/BW124))</f>
        <v> </v>
      </c>
      <c r="H124" s="278" t="str">
        <f aca="false">IF(A124="N/A"," ",(C124*D124)+F124+G124)</f>
        <v> </v>
      </c>
      <c r="I124" s="279" t="str">
        <f aca="false">VLOOKUP(A124,ScaledPrice,(IF(AND('Pricing Inputs'!$AQ$3&gt;=1,'Pricing Inputs'!$AQ$3&lt;=6),2,4)))</f>
        <v> </v>
      </c>
      <c r="J124" s="279" t="str">
        <f aca="false">IF(A124="N/A"," ",IF(AND('Pricing Inputs'!$AQ$3&gt;=1,'Pricing Inputs'!$AQ$3&lt;=6),I124,(VLOOKUP(A124,ScaledPrice,2))*(2-(VLOOKUP(A124,ScaledPrice,3)))))</f>
        <v> </v>
      </c>
      <c r="K124" s="279" t="str">
        <f aca="false">IF(A124="N/A"," ",IF(OR('Pricing Inputs'!$AQ$3=2,'Pricing Inputs'!$AQ$3=3,'Pricing Inputs'!$AQ$3=5,'Pricing Inputs'!$AQ$3=6,'Pricing Inputs'!$AQ$3=8,'Pricing Inputs'!$AQ$3=9),VLOOKUP(A124,ScaledPrice,IF(AND('Pricing Inputs'!$AQ$3&gt;=2,'Pricing Inputs'!$AQ$3&lt;=6),5,6)),0))</f>
        <v> </v>
      </c>
      <c r="L124" s="279" t="str">
        <f aca="false">IF(A124="N/A"," ",IF(OR('Pricing Inputs'!$AQ$3=2,'Pricing Inputs'!$AQ$3=3,'Pricing Inputs'!$AQ$3=5,'Pricing Inputs'!$AQ$3=6,'Pricing Inputs'!$AQ$3=8,'Pricing Inputs'!$AQ$3=9),IF(AND('Pricing Inputs'!$AQ$3&gt;=2,'Pricing Inputs'!$AQ$3&lt;=6),K124,(VLOOKUP(A124,ScaledPrice,5))*(2-(VLOOKUP(A124,ScaledPrice,3)))),0))</f>
        <v> </v>
      </c>
      <c r="M124" s="279" t="str">
        <f aca="false">IF(A124="N/A"," ",IF(OR('Pricing Inputs'!$AQ$3=3,'Pricing Inputs'!$AQ$3=6,'Pricing Inputs'!$AQ$3=9),(VLOOKUP(A124,ScaledPrice,IF(AND('Pricing Inputs'!$AQ$3&gt;=3,'Pricing Inputs'!$AQ$3&lt;=6),7,8))),0))</f>
        <v> </v>
      </c>
      <c r="N124" s="279" t="str">
        <f aca="false">IF(A124="N/A"," ",IF(OR('Pricing Inputs'!$AQ$3=3,'Pricing Inputs'!$AQ$3=6,'Pricing Inputs'!$AQ$3=9),IF(AND('Pricing Inputs'!$AQ$3&gt;=3,'Pricing Inputs'!$AQ$3&lt;=6),M124,(VLOOKUP(A124,ScaledPrice,7))*(2-(VLOOKUP(A124,ScaledPrice,3)))),0))</f>
        <v> </v>
      </c>
      <c r="O124" s="279" t="str">
        <f aca="false">IF(A124="N/A"," ",IF(AND('Pricing Inputs'!$AQ$3&gt;=1,'Pricing Inputs'!$AQ$3&lt;=3),VLOOKUP(A124,ScaledPrice,9),0))</f>
        <v> </v>
      </c>
      <c r="P124" s="280" t="str">
        <f aca="false">IF($A124="N/A"," ",IF('Pricing Inputs'!$AN$8=2,(I124-H124),IF('Pricing Inputs'!$AN$3=2,IF((I124-$H124)&gt;0,I124-$H124,0),(xSPRDOPT(I124,$E124,$BU124,0,$BP124,$BS124,$BT124,($A124-Inputs!$D$1)+15,1,0)))))</f>
        <v> </v>
      </c>
      <c r="Q124" s="280" t="str">
        <f aca="false">IF($A124="N/A"," ",IF('Pricing Inputs'!$AN$8=2,(J124-$H124),IF('Pricing Inputs'!$AN$3=2,IF((J124-$H124)&gt;0,J124-$H124,0),(xSPRDOPT(J124,$E124,$BU124,0,$BP124,$BS124,$BT124,($A124-Inputs!$D$1)+15,1,0)))))</f>
        <v> </v>
      </c>
      <c r="R124" s="280" t="str">
        <f aca="false">IF($A124="N/A"," ",IF('Pricing Inputs'!$AN$8=2,(K124-$H124),IF('Pricing Inputs'!$AN$3=2,IF((K124-$H124)&gt;0,K124-$H124,0),(xSPRDOPT(K124,$E124,$BU124,0,$BP124,$BS124,$BT124,($A124-Inputs!$D$1)+15,1,0)))))</f>
        <v> </v>
      </c>
      <c r="S124" s="280" t="str">
        <f aca="false">IF($A124="N/A"," ",IF('Pricing Inputs'!$AN$8=2,(L124-$H124),IF('Pricing Inputs'!$AN$3=2,IF((L124-$H124)&gt;0,L124-$H124,0),(xSPRDOPT(L124,$E124,$BU124,0,$BP124,$BS124,$BT124,($A124-Inputs!$D$1)+15,1,0)))))</f>
        <v> </v>
      </c>
      <c r="T124" s="280" t="str">
        <f aca="false">IF($A124="N/A"," ",IF('Pricing Inputs'!$AN$8=2,(M124-$H124),IF('Pricing Inputs'!$AN$3=2,IF((M124-$H124)&gt;0,M124-$H124,0),(xSPRDOPT(M124,$E124,$BU124,0,$BP124,$BS124,$BT124,($A124-Inputs!$D$1)+15,1,0)))))</f>
        <v> </v>
      </c>
      <c r="U124" s="280" t="str">
        <f aca="false">IF($A124="N/A"," ",IF('Pricing Inputs'!$AN$8=2,(N124-$H124),IF('Pricing Inputs'!$AN$3=2,IF((N124-$H124)&gt;0,N124-$H124,0),(xSPRDOPT(N124,$E124,$BU124,0,$BP124,$BS124,$BT124,($A124-Inputs!$D$1)+15,1,0)))))</f>
        <v> </v>
      </c>
      <c r="V124" s="281" t="str">
        <f aca="false">IF($A124="N/A"," ",(IF('Pricing Inputs'!$AN$8=2,(O124-$H124),IF((O124-$H124)&lt;=0,0,(O124-$H124)))))</f>
        <v> </v>
      </c>
      <c r="W124" s="282" t="str">
        <f aca="false">IF($A124="N/A"," ",IF(0&lt;&gt;P124,IF('Pricing Inputs'!$AN$3=2,8*VLOOKUP($A124,NumberofDaysTable,2),(xSPRDOPT(I124,$E124,$BU124,0,$BP124,$BS124,$BT124,$A124-Inputs!$D$1,1,1))*(8*VLOOKUP($A124,NumberofDaysTable,2))),0))</f>
        <v> </v>
      </c>
      <c r="X124" s="282" t="str">
        <f aca="false">IF($A124="N/A"," ",IF(Q124&lt;&gt;0,IF('Pricing Inputs'!$AN$3=2,8*VLOOKUP($A124,NumberofDaysTable,2),(xSPRDOPT(J124,$E124,$BU124,0,$BP124,$BS124,$BT124,$A124-Inputs!$D$1,1,1))*(8*VLOOKUP($A124,NumberofDaysTable,2))),0))</f>
        <v> </v>
      </c>
      <c r="Y124" s="282" t="str">
        <f aca="false">IF($A124="N/A"," ",IF(R124&lt;&gt;0,IF('Pricing Inputs'!$AN$3=2,8*VLOOKUP($A124,NumberofDaysTable,3),(xSPRDOPT(K124,$E124,$BU124,0,$BP124,$BS124,$BT124,$A124-Inputs!$D$1,1,1))*(8*VLOOKUP($A124,NumberofDaysTable,3))),0))</f>
        <v> </v>
      </c>
      <c r="Z124" s="282" t="str">
        <f aca="false">IF($A124="N/A"," ",IF(S124&lt;&gt;0,IF('Pricing Inputs'!$AN$3=2,8*VLOOKUP($A124,NumberofDaysTable,3),(xSPRDOPT(L124,$E124,$BU124,0,$BP124,$BS124,$BT124,$A124-Inputs!$D$1,1,1))*(8*VLOOKUP($A124,NumberofDaysTable,3))),0))</f>
        <v> </v>
      </c>
      <c r="AA124" s="282" t="str">
        <f aca="false">IF($A124="N/A"," ",IF(T124&lt;&gt;0,IF('Pricing Inputs'!$AN$3=2,8*VLOOKUP($A124,NumberofDaysTable,4),(xSPRDOPT(M124,$E124,$BU124,0,$BP124,$BS124,$BT124,$A124-Inputs!$D$1,1,1))*(8*VLOOKUP($A124,NumberofDaysTable,4))),0))</f>
        <v> </v>
      </c>
      <c r="AB124" s="282" t="str">
        <f aca="false">IF($A124="N/A"," ",IF(U124&lt;&gt;0,IF('Pricing Inputs'!$AN$3=2,8*VLOOKUP($A124,NumberofDaysTable,4),(xSPRDOPT(N124,$E124,$BU124,0,$BP124,$BS124,$BT124,$A124-Inputs!$D$1,1,1))*(8*VLOOKUP($A124,NumberofDaysTable,4))),0))</f>
        <v> </v>
      </c>
      <c r="AC124" s="282" t="str">
        <f aca="false">IF($A124="N/A"," ",(IF(V124&lt;&gt;0,(8*VLOOKUP($A124,NumberofDaysTable,6)),0)))</f>
        <v> </v>
      </c>
      <c r="AD124" s="283" t="str">
        <f aca="false">IF($A124="N/A"," ",RANK(P124,$P$124:$V$135))</f>
        <v> </v>
      </c>
      <c r="AE124" s="284" t="str">
        <f aca="false">IF($A124="N/A"," ",RANK(Q124,$P$124:$V$135))</f>
        <v> </v>
      </c>
      <c r="AF124" s="284" t="str">
        <f aca="false">IF($A124="N/A"," ",RANK(R124,$P$124:$V$135))</f>
        <v> </v>
      </c>
      <c r="AG124" s="284" t="str">
        <f aca="false">IF($A124="N/A"," ",RANK(S124,$P$124:$V$135))</f>
        <v> </v>
      </c>
      <c r="AH124" s="284" t="str">
        <f aca="false">IF($A124="N/A"," ",RANK(T124,$P$124:$V$135))</f>
        <v> </v>
      </c>
      <c r="AI124" s="284" t="str">
        <f aca="false">IF($A124="N/A"," ",RANK(U124,$P$124:$V$135))</f>
        <v> </v>
      </c>
      <c r="AJ124" s="285" t="str">
        <f aca="false">IF($A124="N/A"," ",RANK(V124,$P$124:$V$135))</f>
        <v> </v>
      </c>
      <c r="AK124" s="313" t="str">
        <f aca="false">IF($A124="N/A"," ",IF(AD124&lt;=$AJ$2,W124,0))</f>
        <v> </v>
      </c>
      <c r="AL124" s="287" t="str">
        <f aca="false">IF($A124="N/A"," ",IF(AE124&lt;=$AJ$2,X124,0))</f>
        <v> </v>
      </c>
      <c r="AM124" s="287" t="str">
        <f aca="false">IF($A124="N/A"," ",IF(AF124&lt;=$AJ$2,Y124,0))</f>
        <v> </v>
      </c>
      <c r="AN124" s="287" t="str">
        <f aca="false">IF($A124="N/A"," ",IF(AG124&lt;=$AJ$2,Z124,0))</f>
        <v> </v>
      </c>
      <c r="AO124" s="287" t="str">
        <f aca="false">IF($A124="N/A"," ",IF(AH124&lt;=$AJ$2,AA124,0))</f>
        <v> </v>
      </c>
      <c r="AP124" s="287" t="str">
        <f aca="false">IF($A124="N/A"," ",IF(AI124&lt;=$AJ$2,AB124,0))</f>
        <v> </v>
      </c>
      <c r="AQ124" s="287" t="str">
        <f aca="false">IF($A124="N/A"," ",IF(AJ124&lt;=$AJ$2,AC124,0))</f>
        <v> </v>
      </c>
      <c r="AR124" s="285"/>
      <c r="AS124" s="314" t="str">
        <f aca="false">IF($A124="N/A"," ",IF(AND(AD124=$AJ$2+1,AK124=0),MIN($AR$135,W124),0))</f>
        <v> </v>
      </c>
      <c r="AT124" s="289" t="str">
        <f aca="false">IF($A124="N/A"," ",IF(AND(AE124=$AJ$2+1,AL124=0),MIN($AR$135,X124),0))</f>
        <v> </v>
      </c>
      <c r="AU124" s="289" t="str">
        <f aca="false">IF($A124="N/A"," ",IF(AND(AF124=$AJ$2+1,AM124=0),MIN($AR$135,Y124),0))</f>
        <v> </v>
      </c>
      <c r="AV124" s="289" t="str">
        <f aca="false">IF($A124="N/A"," ",IF(AND(AG124=$AJ$2+1,AN124=0),MIN($AR$135,Z124),0))</f>
        <v> </v>
      </c>
      <c r="AW124" s="289" t="str">
        <f aca="false">IF($A124="N/A"," ",IF(AND(AH124=$AJ$2+1,AO124=0),MIN($AR$135,AA124),0))</f>
        <v> </v>
      </c>
      <c r="AX124" s="289" t="str">
        <f aca="false">IF($A124="N/A"," ",IF(AND(AI124=$AJ$2+1,AP124=0),MIN($AR$135,AB124),0))</f>
        <v> </v>
      </c>
      <c r="AY124" s="289" t="str">
        <f aca="false">IF($A124="N/A"," ",IF(AND(AJ124=$AJ$2+1,AQ124=0),MIN($AR$135,AC124),0))</f>
        <v> </v>
      </c>
      <c r="AZ124" s="285"/>
      <c r="BA124" s="291" t="str">
        <f aca="false">IF($A124="N/A"," ",(IF(MONTH(A124)&gt;=4,IF(MONTH(A124)&lt;=10,Inputs!$F$13,Inputs!$F$14),Inputs!$F$14))*$BW124)</f>
        <v> </v>
      </c>
      <c r="BB124" s="292" t="str">
        <f aca="false">IF($A124="N/A"," ",(IF(AK124&gt;0,($BA124*(8*(VLOOKUP($A124,NumberofDaysTable,2)))*P124),0)+IF(AS124&gt;0,($BA124*((AS124))*P124),0)))</f>
        <v> </v>
      </c>
      <c r="BC124" s="292" t="str">
        <f aca="false">IF($A124="N/A"," ",(IF(AL124&gt;0,($BA124*(8*(VLOOKUP($A124,NumberofDaysTable,2)))*Q124),0)+IF(AT124&gt;0,($BA124*((AT124))*Q124),0)))</f>
        <v> </v>
      </c>
      <c r="BD124" s="292" t="str">
        <f aca="false">IF($A124="N/A"," ",(IF(AM124&gt;0,($BA124*(8*(VLOOKUP($A124,NumberofDaysTable,3)))*R124),0)+IF(AU124&gt;0,($BA124*((AU124))*R124),0)))</f>
        <v> </v>
      </c>
      <c r="BE124" s="292" t="str">
        <f aca="false">IF($A124="N/A"," ",(IF(AN124&gt;0,($BA124*(8*(VLOOKUP($A124,NumberofDaysTable,3)))*S124),0)+IF(AV124&gt;0,($BA124*((AV124))*S124),0)))</f>
        <v> </v>
      </c>
      <c r="BF124" s="292" t="str">
        <f aca="false">IF($A124="N/A"," ",(IF(AO124&gt;0,($BA124*(8*(VLOOKUP($A124,NumberofDaysTable,4)+VLOOKUP($A124,NumberofDaysTable,5)))*T124),0)+IF(AW124&gt;0,($BA124*((AW124))*T124),0)))</f>
        <v> </v>
      </c>
      <c r="BG124" s="292" t="str">
        <f aca="false">IF($A124="N/A"," ",(IF(AP124&gt;0,($BA124*(8*(VLOOKUP($A124,NumberofDaysTable,4)+VLOOKUP($A124,NumberofDaysTable,5)))*U124),0)+IF(AX124&gt;0,($BA124*((AX124))*U124),0)))</f>
        <v> </v>
      </c>
      <c r="BH124" s="292" t="str">
        <f aca="false">IF($A124="N/A"," ",($BA124*AQ124*V124))</f>
        <v> </v>
      </c>
      <c r="BI124" s="292" t="str">
        <f aca="false">IF($A124="N/A"," ",SUM(BB124:BH124))</f>
        <v> </v>
      </c>
      <c r="BJ124" s="293" t="str">
        <f aca="false">IF($A124="N/A"," ",(H124*(SUM(AK124:AQ124)+SUM(AS124:AY124))*BA124))</f>
        <v> </v>
      </c>
      <c r="BK124" s="293" t="str">
        <f aca="false">IF($A124="N/A"," ",((C124*D124)*(SUM($AK124:$AQ124)+SUM($AS124:$AY124))*$BA124))</f>
        <v> </v>
      </c>
      <c r="BL124" s="293" t="str">
        <f aca="false">IF($A124="N/A"," ",(F124*(SUM($AK124:$AQ124)+SUM($AS124:$AY124))*$BA124))</f>
        <v> </v>
      </c>
      <c r="BM124" s="293" t="str">
        <f aca="false">IF($A124="N/A"," ",(G124*(SUM($AK124:$AQ124)+SUM($AS124:$AY124))*$BA124))</f>
        <v> </v>
      </c>
      <c r="BN124" s="294" t="str">
        <f aca="false">IF(A124="N/A"," ",(VLOOKUP(A124,PowerVolTable,(IF('Pricing Inputs'!$AT$3=2,7,IF('Pricing Inputs'!$AT$3=1,6,8))),FALSE())))</f>
        <v> </v>
      </c>
      <c r="BO124" s="294" t="str">
        <f aca="false">IF(A124="N/A"," ",(VLOOKUP(A124,IntraPowerVol,(IF('Pricing Inputs'!$AT$3=2,3,IF('Pricing Inputs'!$AT$3=1,2,4))),FALSE())*VLOOKUP(MONTH($A124),Inputs!$A$28:$B$39,2)))</f>
        <v> </v>
      </c>
      <c r="BP124" s="295" t="str">
        <f aca="false">IF($A124="N/A"," ",(IF(DateToday&gt;$A124,$BO124,((($BN124^2)*((($A124-1)-DateToday)/((EOMONTH($A124,0)+1)-DateToday-15)))+((($BO124)^2)*((15)/((EOMONTH($A124,0)+1)-DateToday-15))))^0.5)))</f>
        <v> </v>
      </c>
      <c r="BQ124" s="294" t="str">
        <f aca="false">IF($A124="N/A"," ",(VLOOKUP($A124,GasVolTable,(IF('Pricing Inputs'!$AT$3=2,6,IF('Pricing Inputs'!$AT$3=1,7,5))),FALSE())))</f>
        <v> </v>
      </c>
      <c r="BR124" s="294" t="str">
        <f aca="false">IF($A124="N/A"," ",(VLOOKUP($A124,OmicronVol,(IF('Pricing Inputs'!$AT$3=2,3,IF('Pricing Inputs'!$AT$3=1,4,2))),FALSE())))</f>
        <v> </v>
      </c>
      <c r="BS124" s="295" t="str">
        <f aca="false">IF($A124="N/A"," ",IF('Pricing Inputs'!$AN$3=1,(IF(DateToday&gt;$A124,$BR124,((($BQ124^2)*((($A124-1)-DateToday)/((EOMONTH($A124,0)+1)-DateToday-15)))+((($BR124)^2)*((15)/((EOMONTH($A124,0)+1)-DateToday-15))))^0.5)),0.0001))</f>
        <v> </v>
      </c>
      <c r="BT124" s="294" t="str">
        <f aca="false">IF($A124="N/A"," ",IF('Pricing Inputs'!$AN$3=1,(VLOOKUP($A124,CorrelationTable,2,FALSE())),0))</f>
        <v> </v>
      </c>
      <c r="BU124" s="296" t="str">
        <f aca="false">IF($A124="N/A"," ",F124+G124+(D124*(VLOOKUP($A124,'Gas Curves'!$B$17:$P$310,14,FALSE()))))</f>
        <v> </v>
      </c>
      <c r="BV124" s="294" t="str">
        <f aca="false">IF($A124="N/A"," ",IF('Pricing Inputs'!$AW$3=1,0,(VLOOKUP($A124,InterestRatesTable,2))))</f>
        <v> </v>
      </c>
      <c r="BW124" s="297" t="str">
        <f aca="false">IF($A124="N/A"," ",(1+BV124/2)^(-2*((EOMONTH(A124,0)+20)-DateToday)/365.25))</f>
        <v> </v>
      </c>
    </row>
    <row r="125" customFormat="false" ht="12.75" hidden="false" customHeight="false" outlineLevel="0" collapsed="false">
      <c r="A125" s="272" t="str">
        <f aca="false">IF(A124="N/A","N/A",IF(EDATE(A124,1)&gt;Inputs!$K$3,"N/A",EDATE(A124,1)))</f>
        <v>N/A</v>
      </c>
      <c r="B125" s="273" t="str">
        <f aca="false">IF(A125="N/A"," ",YEAR(A125))</f>
        <v> </v>
      </c>
      <c r="C125" s="274" t="str">
        <f aca="false">IF(A125="N/A"," ",VLOOKUP(A125,ScaledPrice,10))</f>
        <v> </v>
      </c>
      <c r="D125" s="275" t="str">
        <f aca="false">IF(A125="N/A"," ",(VLOOKUP(MONTH($A125),Inputs!$A$14:$B$25,2))/1000)</f>
        <v> </v>
      </c>
      <c r="E125" s="276" t="str">
        <f aca="false">IF($A125="N/A"," ",C125*D125)</f>
        <v> </v>
      </c>
      <c r="F125" s="277" t="str">
        <f aca="false">IF(A125="N/A"," ",Inputs!$F$6)</f>
        <v> </v>
      </c>
      <c r="G125" s="277" t="str">
        <f aca="false">IF(A125="N/A"," ",Inputs!$F$9/IF(AND('Pricing Inputs'!$AQ$3&gt;=4,'Pricing Inputs'!$AQ$3&lt;=6),16,IF(AND('Pricing Inputs'!$AQ$3&gt;=7,'Pricing Inputs'!$AQ$3&lt;=9),8,24))/(BA125/BW125))</f>
        <v> </v>
      </c>
      <c r="H125" s="278" t="str">
        <f aca="false">IF(A125="N/A"," ",(C125*D125)+F125+G125)</f>
        <v> </v>
      </c>
      <c r="I125" s="279" t="str">
        <f aca="false">VLOOKUP(A125,ScaledPrice,(IF(AND('Pricing Inputs'!$AQ$3&gt;=1,'Pricing Inputs'!$AQ$3&lt;=6),2,4)))</f>
        <v> </v>
      </c>
      <c r="J125" s="279" t="str">
        <f aca="false">IF(A125="N/A"," ",IF(AND('Pricing Inputs'!$AQ$3&gt;=1,'Pricing Inputs'!$AQ$3&lt;=6),I125,(VLOOKUP(A125,ScaledPrice,2))*(2-(VLOOKUP(A125,ScaledPrice,3)))))</f>
        <v> </v>
      </c>
      <c r="K125" s="279" t="str">
        <f aca="false">IF(A125="N/A"," ",IF(OR('Pricing Inputs'!$AQ$3=2,'Pricing Inputs'!$AQ$3=3,'Pricing Inputs'!$AQ$3=5,'Pricing Inputs'!$AQ$3=6,'Pricing Inputs'!$AQ$3=8,'Pricing Inputs'!$AQ$3=9),VLOOKUP(A125,ScaledPrice,IF(AND('Pricing Inputs'!$AQ$3&gt;=2,'Pricing Inputs'!$AQ$3&lt;=6),5,6)),0))</f>
        <v> </v>
      </c>
      <c r="L125" s="279" t="str">
        <f aca="false">IF(A125="N/A"," ",IF(OR('Pricing Inputs'!$AQ$3=2,'Pricing Inputs'!$AQ$3=3,'Pricing Inputs'!$AQ$3=5,'Pricing Inputs'!$AQ$3=6,'Pricing Inputs'!$AQ$3=8,'Pricing Inputs'!$AQ$3=9),IF(AND('Pricing Inputs'!$AQ$3&gt;=2,'Pricing Inputs'!$AQ$3&lt;=6),K125,(VLOOKUP(A125,ScaledPrice,5))*(2-(VLOOKUP(A125,ScaledPrice,3)))),0))</f>
        <v> </v>
      </c>
      <c r="M125" s="279" t="str">
        <f aca="false">IF(A125="N/A"," ",IF(OR('Pricing Inputs'!$AQ$3=3,'Pricing Inputs'!$AQ$3=6,'Pricing Inputs'!$AQ$3=9),(VLOOKUP(A125,ScaledPrice,IF(AND('Pricing Inputs'!$AQ$3&gt;=3,'Pricing Inputs'!$AQ$3&lt;=6),7,8))),0))</f>
        <v> </v>
      </c>
      <c r="N125" s="279" t="str">
        <f aca="false">IF(A125="N/A"," ",IF(OR('Pricing Inputs'!$AQ$3=3,'Pricing Inputs'!$AQ$3=6,'Pricing Inputs'!$AQ$3=9),IF(AND('Pricing Inputs'!$AQ$3&gt;=3,'Pricing Inputs'!$AQ$3&lt;=6),M125,(VLOOKUP(A125,ScaledPrice,7))*(2-(VLOOKUP(A125,ScaledPrice,3)))),0))</f>
        <v> </v>
      </c>
      <c r="O125" s="279" t="str">
        <f aca="false">IF(A125="N/A"," ",IF(AND('Pricing Inputs'!$AQ$3&gt;=1,'Pricing Inputs'!$AQ$3&lt;=3),VLOOKUP(A125,ScaledPrice,9),0))</f>
        <v> </v>
      </c>
      <c r="P125" s="280" t="str">
        <f aca="false">IF($A125="N/A"," ",IF('Pricing Inputs'!$AN$8=2,(I125-H125),IF('Pricing Inputs'!$AN$3=2,IF((I125-$H125)&gt;0,I125-$H125,0),(xSPRDOPT(I125,$E125,$BU125,0,$BP125,$BS125,$BT125,($A125-Inputs!$D$1)+15,1,0)))))</f>
        <v> </v>
      </c>
      <c r="Q125" s="280" t="str">
        <f aca="false">IF($A125="N/A"," ",IF('Pricing Inputs'!$AN$8=2,(J125-$H125),IF('Pricing Inputs'!$AN$3=2,IF((J125-$H125)&gt;0,J125-$H125,0),(xSPRDOPT(J125,$E125,$BU125,0,$BP125,$BS125,$BT125,($A125-Inputs!$D$1)+15,1,0)))))</f>
        <v> </v>
      </c>
      <c r="R125" s="280" t="str">
        <f aca="false">IF($A125="N/A"," ",IF('Pricing Inputs'!$AN$8=2,(K125-$H125),IF('Pricing Inputs'!$AN$3=2,IF((K125-$H125)&gt;0,K125-$H125,0),(xSPRDOPT(K125,$E125,$BU125,0,$BP125,$BS125,$BT125,($A125-Inputs!$D$1)+15,1,0)))))</f>
        <v> </v>
      </c>
      <c r="S125" s="280" t="str">
        <f aca="false">IF($A125="N/A"," ",IF('Pricing Inputs'!$AN$8=2,(L125-$H125),IF('Pricing Inputs'!$AN$3=2,IF((L125-$H125)&gt;0,L125-$H125,0),(xSPRDOPT(L125,$E125,$BU125,0,$BP125,$BS125,$BT125,($A125-Inputs!$D$1)+15,1,0)))))</f>
        <v> </v>
      </c>
      <c r="T125" s="280" t="str">
        <f aca="false">IF($A125="N/A"," ",IF('Pricing Inputs'!$AN$8=2,(M125-$H125),IF('Pricing Inputs'!$AN$3=2,IF((M125-$H125)&gt;0,M125-$H125,0),(xSPRDOPT(M125,$E125,$BU125,0,$BP125,$BS125,$BT125,($A125-Inputs!$D$1)+15,1,0)))))</f>
        <v> </v>
      </c>
      <c r="U125" s="280" t="str">
        <f aca="false">IF($A125="N/A"," ",IF('Pricing Inputs'!$AN$8=2,(N125-$H125),IF('Pricing Inputs'!$AN$3=2,IF((N125-$H125)&gt;0,N125-$H125,0),(xSPRDOPT(N125,$E125,$BU125,0,$BP125,$BS125,$BT125,($A125-Inputs!$D$1)+15,1,0)))))</f>
        <v> </v>
      </c>
      <c r="V125" s="281" t="str">
        <f aca="false">IF($A125="N/A"," ",(IF('Pricing Inputs'!$AN$8=2,(O125-$H125),IF((O125-$H125)&lt;=0,0,(O125-$H125)))))</f>
        <v> </v>
      </c>
      <c r="W125" s="282" t="str">
        <f aca="false">IF($A125="N/A"," ",IF(0&lt;&gt;P125,IF('Pricing Inputs'!$AN$3=2,8*VLOOKUP($A125,NumberofDaysTable,2),(xSPRDOPT(I125,$E125,$BU125,0,$BP125,$BS125,$BT125,$A125-Inputs!$D$1,1,1))*(8*VLOOKUP($A125,NumberofDaysTable,2))),0))</f>
        <v> </v>
      </c>
      <c r="X125" s="282" t="str">
        <f aca="false">IF($A125="N/A"," ",IF(Q125&lt;&gt;0,IF('Pricing Inputs'!$AN$3=2,8*VLOOKUP($A125,NumberofDaysTable,2),(xSPRDOPT(J125,$E125,$BU125,0,$BP125,$BS125,$BT125,$A125-Inputs!$D$1,1,1))*(8*VLOOKUP($A125,NumberofDaysTable,2))),0))</f>
        <v> </v>
      </c>
      <c r="Y125" s="282" t="str">
        <f aca="false">IF($A125="N/A"," ",IF(R125&lt;&gt;0,IF('Pricing Inputs'!$AN$3=2,8*VLOOKUP($A125,NumberofDaysTable,3),(xSPRDOPT(K125,$E125,$BU125,0,$BP125,$BS125,$BT125,$A125-Inputs!$D$1,1,1))*(8*VLOOKUP($A125,NumberofDaysTable,3))),0))</f>
        <v> </v>
      </c>
      <c r="Z125" s="282" t="str">
        <f aca="false">IF($A125="N/A"," ",IF(S125&lt;&gt;0,IF('Pricing Inputs'!$AN$3=2,8*VLOOKUP($A125,NumberofDaysTable,3),(xSPRDOPT(L125,$E125,$BU125,0,$BP125,$BS125,$BT125,$A125-Inputs!$D$1,1,1))*(8*VLOOKUP($A125,NumberofDaysTable,3))),0))</f>
        <v> </v>
      </c>
      <c r="AA125" s="282" t="str">
        <f aca="false">IF($A125="N/A"," ",IF(T125&lt;&gt;0,IF('Pricing Inputs'!$AN$3=2,8*VLOOKUP($A125,NumberofDaysTable,4),(xSPRDOPT(M125,$E125,$BU125,0,$BP125,$BS125,$BT125,$A125-Inputs!$D$1,1,1))*(8*VLOOKUP($A125,NumberofDaysTable,4))),0))</f>
        <v> </v>
      </c>
      <c r="AB125" s="282" t="str">
        <f aca="false">IF($A125="N/A"," ",IF(U125&lt;&gt;0,IF('Pricing Inputs'!$AN$3=2,8*VLOOKUP($A125,NumberofDaysTable,4),(xSPRDOPT(N125,$E125,$BU125,0,$BP125,$BS125,$BT125,$A125-Inputs!$D$1,1,1))*(8*VLOOKUP($A125,NumberofDaysTable,4))),0))</f>
        <v> </v>
      </c>
      <c r="AC125" s="282" t="str">
        <f aca="false">IF($A125="N/A"," ",(IF(V125&lt;&gt;0,(8*VLOOKUP($A125,NumberofDaysTable,6)),0)))</f>
        <v> </v>
      </c>
      <c r="AD125" s="298" t="str">
        <f aca="false">IF($A125="N/A"," ",RANK(P125,$P$124:$V$135))</f>
        <v> </v>
      </c>
      <c r="AE125" s="299" t="str">
        <f aca="false">IF($A125="N/A"," ",RANK(Q125,$P$124:$V$135))</f>
        <v> </v>
      </c>
      <c r="AF125" s="299" t="str">
        <f aca="false">IF($A125="N/A"," ",RANK(R125,$P$124:$V$135))</f>
        <v> </v>
      </c>
      <c r="AG125" s="299" t="str">
        <f aca="false">IF($A125="N/A"," ",RANK(S125,$P$124:$V$135))</f>
        <v> </v>
      </c>
      <c r="AH125" s="299" t="str">
        <f aca="false">IF($A125="N/A"," ",RANK(T125,$P$124:$V$135))</f>
        <v> </v>
      </c>
      <c r="AI125" s="299" t="str">
        <f aca="false">IF($A125="N/A"," ",RANK(U125,$P$124:$V$135))</f>
        <v> </v>
      </c>
      <c r="AJ125" s="300" t="str">
        <f aca="false">IF($A125="N/A"," ",RANK(V125,$P$124:$V$135))</f>
        <v> </v>
      </c>
      <c r="AK125" s="286" t="str">
        <f aca="false">IF($A125="N/A"," ",IF(AD125&lt;=$AJ$2,W125,0))</f>
        <v> </v>
      </c>
      <c r="AL125" s="301" t="str">
        <f aca="false">IF($A125="N/A"," ",IF(AE125&lt;=$AJ$2,X125,0))</f>
        <v> </v>
      </c>
      <c r="AM125" s="301" t="str">
        <f aca="false">IF($A125="N/A"," ",IF(AF125&lt;=$AJ$2,Y125,0))</f>
        <v> </v>
      </c>
      <c r="AN125" s="301" t="str">
        <f aca="false">IF($A125="N/A"," ",IF(AG125&lt;=$AJ$2,Z125,0))</f>
        <v> </v>
      </c>
      <c r="AO125" s="301" t="str">
        <f aca="false">IF($A125="N/A"," ",IF(AH125&lt;=$AJ$2,AA125,0))</f>
        <v> </v>
      </c>
      <c r="AP125" s="301" t="str">
        <f aca="false">IF($A125="N/A"," ",IF(AI125&lt;=$AJ$2,AB125,0))</f>
        <v> </v>
      </c>
      <c r="AQ125" s="301" t="str">
        <f aca="false">IF($A125="N/A"," ",IF(AJ125&lt;=$AJ$2,AC125,0))</f>
        <v> </v>
      </c>
      <c r="AR125" s="300"/>
      <c r="AS125" s="288" t="str">
        <f aca="false">IF($A125="N/A"," ",IF(AND(AD125=$AJ$2+1,AK125=0),MIN($AR$135,W125),0))</f>
        <v> </v>
      </c>
      <c r="AT125" s="302" t="str">
        <f aca="false">IF($A125="N/A"," ",IF(AND(AE125=$AJ$2+1,AL125=0),MIN($AR$135,X125),0))</f>
        <v> </v>
      </c>
      <c r="AU125" s="302" t="str">
        <f aca="false">IF($A125="N/A"," ",IF(AND(AF125=$AJ$2+1,AM125=0),MIN($AR$135,Y125),0))</f>
        <v> </v>
      </c>
      <c r="AV125" s="302" t="str">
        <f aca="false">IF($A125="N/A"," ",IF(AND(AG125=$AJ$2+1,AN125=0),MIN($AR$135,Z125),0))</f>
        <v> </v>
      </c>
      <c r="AW125" s="302" t="str">
        <f aca="false">IF($A125="N/A"," ",IF(AND(AH125=$AJ$2+1,AO125=0),MIN($AR$135,AA125),0))</f>
        <v> </v>
      </c>
      <c r="AX125" s="302" t="str">
        <f aca="false">IF($A125="N/A"," ",IF(AND(AI125=$AJ$2+1,AP125=0),MIN($AR$135,AB125),0))</f>
        <v> </v>
      </c>
      <c r="AY125" s="302" t="str">
        <f aca="false">IF($A125="N/A"," ",IF(AND(AJ125=$AJ$2+1,AQ125=0),MIN($AR$135,AC125),0))</f>
        <v> </v>
      </c>
      <c r="AZ125" s="300"/>
      <c r="BA125" s="291" t="str">
        <f aca="false">IF($A125="N/A"," ",(IF(MONTH(A125)&gt;=4,IF(MONTH(A125)&lt;=10,Inputs!$F$13,Inputs!$F$14),Inputs!$F$14))*$BW125)</f>
        <v> </v>
      </c>
      <c r="BB125" s="292" t="str">
        <f aca="false">IF($A125="N/A"," ",(IF(AK125&gt;0,($BA125*(8*(VLOOKUP($A125,NumberofDaysTable,2)))*P125),0)+IF(AS125&gt;0,($BA125*((AS125))*P125),0)))</f>
        <v> </v>
      </c>
      <c r="BC125" s="292" t="str">
        <f aca="false">IF($A125="N/A"," ",(IF(AL125&gt;0,($BA125*(8*(VLOOKUP($A125,NumberofDaysTable,2)))*Q125),0)+IF(AT125&gt;0,($BA125*((AT125))*Q125),0)))</f>
        <v> </v>
      </c>
      <c r="BD125" s="292" t="str">
        <f aca="false">IF($A125="N/A"," ",(IF(AM125&gt;0,($BA125*(8*(VLOOKUP($A125,NumberofDaysTable,3)))*R125),0)+IF(AU125&gt;0,($BA125*((AU125))*R125),0)))</f>
        <v> </v>
      </c>
      <c r="BE125" s="292" t="str">
        <f aca="false">IF($A125="N/A"," ",(IF(AN125&gt;0,($BA125*(8*(VLOOKUP($A125,NumberofDaysTable,3)))*S125),0)+IF(AV125&gt;0,($BA125*((AV125))*S125),0)))</f>
        <v> </v>
      </c>
      <c r="BF125" s="292" t="str">
        <f aca="false">IF($A125="N/A"," ",(IF(AO125&gt;0,($BA125*(8*(VLOOKUP($A125,NumberofDaysTable,4)+VLOOKUP($A125,NumberofDaysTable,5)))*T125),0)+IF(AW125&gt;0,($BA125*((AW125))*T125),0)))</f>
        <v> </v>
      </c>
      <c r="BG125" s="292" t="str">
        <f aca="false">IF($A125="N/A"," ",(IF(AP125&gt;0,($BA125*(8*(VLOOKUP($A125,NumberofDaysTable,4)+VLOOKUP($A125,NumberofDaysTable,5)))*U125),0)+IF(AX125&gt;0,($BA125*((AX125))*U125),0)))</f>
        <v> </v>
      </c>
      <c r="BH125" s="292" t="str">
        <f aca="false">IF($A125="N/A"," ",($BA125*AQ125*V125))</f>
        <v> </v>
      </c>
      <c r="BI125" s="292" t="str">
        <f aca="false">IF($A125="N/A"," ",SUM(BB125:BH125))</f>
        <v> </v>
      </c>
      <c r="BJ125" s="293" t="str">
        <f aca="false">IF($A125="N/A"," ",(H125*(SUM(AK125:AQ125)+SUM(AS125:AY125))*BA125))</f>
        <v> </v>
      </c>
      <c r="BK125" s="293" t="str">
        <f aca="false">IF($A125="N/A"," ",((C125*D125)*(SUM($AK125:$AQ125)+SUM($AS125:$AY125))*$BA125))</f>
        <v> </v>
      </c>
      <c r="BL125" s="293" t="str">
        <f aca="false">IF($A125="N/A"," ",(F125*(SUM($AK125:$AQ125)+SUM($AS125:$AY125))*$BA125))</f>
        <v> </v>
      </c>
      <c r="BM125" s="293" t="str">
        <f aca="false">IF($A125="N/A"," ",(G125*(SUM($AK125:$AQ125)+SUM($AS125:$AY125))*$BA125))</f>
        <v> </v>
      </c>
      <c r="BN125" s="294" t="str">
        <f aca="false">IF(A125="N/A"," ",(VLOOKUP(A125,PowerVolTable,(IF('Pricing Inputs'!$AT$3=2,7,IF('Pricing Inputs'!$AT$3=1,6,8))),FALSE())))</f>
        <v> </v>
      </c>
      <c r="BO125" s="294" t="str">
        <f aca="false">IF(A125="N/A"," ",(VLOOKUP(A125,IntraPowerVol,(IF('Pricing Inputs'!$AT$3=2,3,IF('Pricing Inputs'!$AT$3=1,2,4))),FALSE())*VLOOKUP(MONTH($A125),Inputs!$A$28:$B$39,2)))</f>
        <v> </v>
      </c>
      <c r="BP125" s="295" t="str">
        <f aca="false">IF($A125="N/A"," ",(IF(DateToday&gt;$A125,$BO125,((($BN125^2)*((($A125-1)-DateToday)/((EOMONTH($A125,0)+1)-DateToday-15)))+((($BO125)^2)*((15)/((EOMONTH($A125,0)+1)-DateToday-15))))^0.5)))</f>
        <v> </v>
      </c>
      <c r="BQ125" s="294" t="str">
        <f aca="false">IF($A125="N/A"," ",(VLOOKUP($A125,GasVolTable,(IF('Pricing Inputs'!$AT$3=2,6,IF('Pricing Inputs'!$AT$3=1,7,5))),FALSE())))</f>
        <v> </v>
      </c>
      <c r="BR125" s="294" t="str">
        <f aca="false">IF($A125="N/A"," ",(VLOOKUP($A125,OmicronVol,(IF('Pricing Inputs'!$AT$3=2,3,IF('Pricing Inputs'!$AT$3=1,4,2))),FALSE())))</f>
        <v> </v>
      </c>
      <c r="BS125" s="295" t="str">
        <f aca="false">IF($A125="N/A"," ",IF('Pricing Inputs'!$AN$3=1,(IF(DateToday&gt;$A125,$BR125,((($BQ125^2)*((($A125-1)-DateToday)/((EOMONTH($A125,0)+1)-DateToday-15)))+((($BR125)^2)*((15)/((EOMONTH($A125,0)+1)-DateToday-15))))^0.5)),0.0001))</f>
        <v> </v>
      </c>
      <c r="BT125" s="294" t="str">
        <f aca="false">IF($A125="N/A"," ",IF('Pricing Inputs'!$AN$3=1,(VLOOKUP($A125,CorrelationTable,2,FALSE())),0))</f>
        <v> </v>
      </c>
      <c r="BU125" s="296" t="str">
        <f aca="false">IF($A125="N/A"," ",F125+G125+(D125*(VLOOKUP($A125,'Gas Curves'!$B$17:$P$310,14,FALSE()))))</f>
        <v> </v>
      </c>
      <c r="BV125" s="294" t="str">
        <f aca="false">IF($A125="N/A"," ",IF('Pricing Inputs'!$AW$3=1,0,(VLOOKUP($A125,InterestRatesTable,2))))</f>
        <v> </v>
      </c>
      <c r="BW125" s="297" t="str">
        <f aca="false">IF($A125="N/A"," ",(1+BV125/2)^(-2*((EOMONTH(A125,0)+20)-DateToday)/365.25))</f>
        <v> </v>
      </c>
    </row>
    <row r="126" customFormat="false" ht="12.75" hidden="false" customHeight="false" outlineLevel="0" collapsed="false">
      <c r="A126" s="272" t="str">
        <f aca="false">IF(A125="N/A","N/A",IF(EDATE(A125,1)&gt;Inputs!$K$3,"N/A",EDATE(A125,1)))</f>
        <v>N/A</v>
      </c>
      <c r="B126" s="273" t="str">
        <f aca="false">IF(A126="N/A"," ",YEAR(A126))</f>
        <v> </v>
      </c>
      <c r="C126" s="274" t="str">
        <f aca="false">IF(A126="N/A"," ",VLOOKUP(A126,ScaledPrice,10))</f>
        <v> </v>
      </c>
      <c r="D126" s="275" t="str">
        <f aca="false">IF(A126="N/A"," ",(VLOOKUP(MONTH($A126),Inputs!$A$14:$B$25,2))/1000)</f>
        <v> </v>
      </c>
      <c r="E126" s="276" t="str">
        <f aca="false">IF($A126="N/A"," ",C126*D126)</f>
        <v> </v>
      </c>
      <c r="F126" s="277" t="str">
        <f aca="false">IF(A126="N/A"," ",Inputs!$F$6)</f>
        <v> </v>
      </c>
      <c r="G126" s="277" t="str">
        <f aca="false">IF(A126="N/A"," ",Inputs!$F$9/IF(AND('Pricing Inputs'!$AQ$3&gt;=4,'Pricing Inputs'!$AQ$3&lt;=6),16,IF(AND('Pricing Inputs'!$AQ$3&gt;=7,'Pricing Inputs'!$AQ$3&lt;=9),8,24))/(BA126/BW126))</f>
        <v> </v>
      </c>
      <c r="H126" s="278" t="str">
        <f aca="false">IF(A126="N/A"," ",(C126*D126)+F126+G126)</f>
        <v> </v>
      </c>
      <c r="I126" s="279" t="str">
        <f aca="false">VLOOKUP(A126,ScaledPrice,(IF(AND('Pricing Inputs'!$AQ$3&gt;=1,'Pricing Inputs'!$AQ$3&lt;=6),2,4)))</f>
        <v> </v>
      </c>
      <c r="J126" s="279" t="str">
        <f aca="false">IF(A126="N/A"," ",IF(AND('Pricing Inputs'!$AQ$3&gt;=1,'Pricing Inputs'!$AQ$3&lt;=6),I126,(VLOOKUP(A126,ScaledPrice,2))*(2-(VLOOKUP(A126,ScaledPrice,3)))))</f>
        <v> </v>
      </c>
      <c r="K126" s="279" t="str">
        <f aca="false">IF(A126="N/A"," ",IF(OR('Pricing Inputs'!$AQ$3=2,'Pricing Inputs'!$AQ$3=3,'Pricing Inputs'!$AQ$3=5,'Pricing Inputs'!$AQ$3=6,'Pricing Inputs'!$AQ$3=8,'Pricing Inputs'!$AQ$3=9),VLOOKUP(A126,ScaledPrice,IF(AND('Pricing Inputs'!$AQ$3&gt;=2,'Pricing Inputs'!$AQ$3&lt;=6),5,6)),0))</f>
        <v> </v>
      </c>
      <c r="L126" s="279" t="str">
        <f aca="false">IF(A126="N/A"," ",IF(OR('Pricing Inputs'!$AQ$3=2,'Pricing Inputs'!$AQ$3=3,'Pricing Inputs'!$AQ$3=5,'Pricing Inputs'!$AQ$3=6,'Pricing Inputs'!$AQ$3=8,'Pricing Inputs'!$AQ$3=9),IF(AND('Pricing Inputs'!$AQ$3&gt;=2,'Pricing Inputs'!$AQ$3&lt;=6),K126,(VLOOKUP(A126,ScaledPrice,5))*(2-(VLOOKUP(A126,ScaledPrice,3)))),0))</f>
        <v> </v>
      </c>
      <c r="M126" s="279" t="str">
        <f aca="false">IF(A126="N/A"," ",IF(OR('Pricing Inputs'!$AQ$3=3,'Pricing Inputs'!$AQ$3=6,'Pricing Inputs'!$AQ$3=9),(VLOOKUP(A126,ScaledPrice,IF(AND('Pricing Inputs'!$AQ$3&gt;=3,'Pricing Inputs'!$AQ$3&lt;=6),7,8))),0))</f>
        <v> </v>
      </c>
      <c r="N126" s="279" t="str">
        <f aca="false">IF(A126="N/A"," ",IF(OR('Pricing Inputs'!$AQ$3=3,'Pricing Inputs'!$AQ$3=6,'Pricing Inputs'!$AQ$3=9),IF(AND('Pricing Inputs'!$AQ$3&gt;=3,'Pricing Inputs'!$AQ$3&lt;=6),M126,(VLOOKUP(A126,ScaledPrice,7))*(2-(VLOOKUP(A126,ScaledPrice,3)))),0))</f>
        <v> </v>
      </c>
      <c r="O126" s="279" t="str">
        <f aca="false">IF(A126="N/A"," ",IF(AND('Pricing Inputs'!$AQ$3&gt;=1,'Pricing Inputs'!$AQ$3&lt;=3),VLOOKUP(A126,ScaledPrice,9),0))</f>
        <v> </v>
      </c>
      <c r="P126" s="280" t="str">
        <f aca="false">IF($A126="N/A"," ",IF('Pricing Inputs'!$AN$8=2,(I126-H126),IF('Pricing Inputs'!$AN$3=2,IF((I126-$H126)&gt;0,I126-$H126,0),(xSPRDOPT(I126,$E126,$BU126,0,$BP126,$BS126,$BT126,($A126-Inputs!$D$1)+15,1,0)))))</f>
        <v> </v>
      </c>
      <c r="Q126" s="280" t="str">
        <f aca="false">IF($A126="N/A"," ",IF('Pricing Inputs'!$AN$8=2,(J126-$H126),IF('Pricing Inputs'!$AN$3=2,IF((J126-$H126)&gt;0,J126-$H126,0),(xSPRDOPT(J126,$E126,$BU126,0,$BP126,$BS126,$BT126,($A126-Inputs!$D$1)+15,1,0)))))</f>
        <v> </v>
      </c>
      <c r="R126" s="280" t="str">
        <f aca="false">IF($A126="N/A"," ",IF('Pricing Inputs'!$AN$8=2,(K126-$H126),IF('Pricing Inputs'!$AN$3=2,IF((K126-$H126)&gt;0,K126-$H126,0),(xSPRDOPT(K126,$E126,$BU126,0,$BP126,$BS126,$BT126,($A126-Inputs!$D$1)+15,1,0)))))</f>
        <v> </v>
      </c>
      <c r="S126" s="280" t="str">
        <f aca="false">IF($A126="N/A"," ",IF('Pricing Inputs'!$AN$8=2,(L126-$H126),IF('Pricing Inputs'!$AN$3=2,IF((L126-$H126)&gt;0,L126-$H126,0),(xSPRDOPT(L126,$E126,$BU126,0,$BP126,$BS126,$BT126,($A126-Inputs!$D$1)+15,1,0)))))</f>
        <v> </v>
      </c>
      <c r="T126" s="280" t="str">
        <f aca="false">IF($A126="N/A"," ",IF('Pricing Inputs'!$AN$8=2,(M126-$H126),IF('Pricing Inputs'!$AN$3=2,IF((M126-$H126)&gt;0,M126-$H126,0),(xSPRDOPT(M126,$E126,$BU126,0,$BP126,$BS126,$BT126,($A126-Inputs!$D$1)+15,1,0)))))</f>
        <v> </v>
      </c>
      <c r="U126" s="280" t="str">
        <f aca="false">IF($A126="N/A"," ",IF('Pricing Inputs'!$AN$8=2,(N126-$H126),IF('Pricing Inputs'!$AN$3=2,IF((N126-$H126)&gt;0,N126-$H126,0),(xSPRDOPT(N126,$E126,$BU126,0,$BP126,$BS126,$BT126,($A126-Inputs!$D$1)+15,1,0)))))</f>
        <v> </v>
      </c>
      <c r="V126" s="281" t="str">
        <f aca="false">IF($A126="N/A"," ",(IF('Pricing Inputs'!$AN$8=2,(O126-$H126),IF((O126-$H126)&lt;=0,0,(O126-$H126)))))</f>
        <v> </v>
      </c>
      <c r="W126" s="282" t="str">
        <f aca="false">IF($A126="N/A"," ",IF(0&lt;&gt;P126,IF('Pricing Inputs'!$AN$3=2,8*VLOOKUP($A126,NumberofDaysTable,2),(xSPRDOPT(I126,$E126,$BU126,0,$BP126,$BS126,$BT126,$A126-Inputs!$D$1,1,1))*(8*VLOOKUP($A126,NumberofDaysTable,2))),0))</f>
        <v> </v>
      </c>
      <c r="X126" s="282" t="str">
        <f aca="false">IF($A126="N/A"," ",IF(Q126&lt;&gt;0,IF('Pricing Inputs'!$AN$3=2,8*VLOOKUP($A126,NumberofDaysTable,2),(xSPRDOPT(J126,$E126,$BU126,0,$BP126,$BS126,$BT126,$A126-Inputs!$D$1,1,1))*(8*VLOOKUP($A126,NumberofDaysTable,2))),0))</f>
        <v> </v>
      </c>
      <c r="Y126" s="282" t="str">
        <f aca="false">IF($A126="N/A"," ",IF(R126&lt;&gt;0,IF('Pricing Inputs'!$AN$3=2,8*VLOOKUP($A126,NumberofDaysTable,3),(xSPRDOPT(K126,$E126,$BU126,0,$BP126,$BS126,$BT126,$A126-Inputs!$D$1,1,1))*(8*VLOOKUP($A126,NumberofDaysTable,3))),0))</f>
        <v> </v>
      </c>
      <c r="Z126" s="282" t="str">
        <f aca="false">IF($A126="N/A"," ",IF(S126&lt;&gt;0,IF('Pricing Inputs'!$AN$3=2,8*VLOOKUP($A126,NumberofDaysTable,3),(xSPRDOPT(L126,$E126,$BU126,0,$BP126,$BS126,$BT126,$A126-Inputs!$D$1,1,1))*(8*VLOOKUP($A126,NumberofDaysTable,3))),0))</f>
        <v> </v>
      </c>
      <c r="AA126" s="282" t="str">
        <f aca="false">IF($A126="N/A"," ",IF(T126&lt;&gt;0,IF('Pricing Inputs'!$AN$3=2,8*VLOOKUP($A126,NumberofDaysTable,4),(xSPRDOPT(M126,$E126,$BU126,0,$BP126,$BS126,$BT126,$A126-Inputs!$D$1,1,1))*(8*VLOOKUP($A126,NumberofDaysTable,4))),0))</f>
        <v> </v>
      </c>
      <c r="AB126" s="282" t="str">
        <f aca="false">IF($A126="N/A"," ",IF(U126&lt;&gt;0,IF('Pricing Inputs'!$AN$3=2,8*VLOOKUP($A126,NumberofDaysTable,4),(xSPRDOPT(N126,$E126,$BU126,0,$BP126,$BS126,$BT126,$A126-Inputs!$D$1,1,1))*(8*VLOOKUP($A126,NumberofDaysTable,4))),0))</f>
        <v> </v>
      </c>
      <c r="AC126" s="282" t="str">
        <f aca="false">IF($A126="N/A"," ",(IF(V126&lt;&gt;0,(8*VLOOKUP($A126,NumberofDaysTable,6)),0)))</f>
        <v> </v>
      </c>
      <c r="AD126" s="298" t="str">
        <f aca="false">IF($A126="N/A"," ",RANK(P126,$P$124:$V$135))</f>
        <v> </v>
      </c>
      <c r="AE126" s="299" t="str">
        <f aca="false">IF($A126="N/A"," ",RANK(Q126,$P$124:$V$135))</f>
        <v> </v>
      </c>
      <c r="AF126" s="299" t="str">
        <f aca="false">IF($A126="N/A"," ",RANK(R126,$P$124:$V$135))</f>
        <v> </v>
      </c>
      <c r="AG126" s="299" t="str">
        <f aca="false">IF($A126="N/A"," ",RANK(S126,$P$124:$V$135))</f>
        <v> </v>
      </c>
      <c r="AH126" s="299" t="str">
        <f aca="false">IF($A126="N/A"," ",RANK(T126,$P$124:$V$135))</f>
        <v> </v>
      </c>
      <c r="AI126" s="299" t="str">
        <f aca="false">IF($A126="N/A"," ",RANK(U126,$P$124:$V$135))</f>
        <v> </v>
      </c>
      <c r="AJ126" s="300" t="str">
        <f aca="false">IF($A126="N/A"," ",RANK(V126,$P$124:$V$135))</f>
        <v> </v>
      </c>
      <c r="AK126" s="286" t="str">
        <f aca="false">IF($A126="N/A"," ",IF(AD126&lt;=$AJ$2,W126,0))</f>
        <v> </v>
      </c>
      <c r="AL126" s="301" t="str">
        <f aca="false">IF($A126="N/A"," ",IF(AE126&lt;=$AJ$2,X126,0))</f>
        <v> </v>
      </c>
      <c r="AM126" s="301" t="str">
        <f aca="false">IF($A126="N/A"," ",IF(AF126&lt;=$AJ$2,Y126,0))</f>
        <v> </v>
      </c>
      <c r="AN126" s="301" t="str">
        <f aca="false">IF($A126="N/A"," ",IF(AG126&lt;=$AJ$2,Z126,0))</f>
        <v> </v>
      </c>
      <c r="AO126" s="301" t="str">
        <f aca="false">IF($A126="N/A"," ",IF(AH126&lt;=$AJ$2,AA126,0))</f>
        <v> </v>
      </c>
      <c r="AP126" s="301" t="str">
        <f aca="false">IF($A126="N/A"," ",IF(AI126&lt;=$AJ$2,AB126,0))</f>
        <v> </v>
      </c>
      <c r="AQ126" s="301" t="str">
        <f aca="false">IF($A126="N/A"," ",IF(AJ126&lt;=$AJ$2,AC126,0))</f>
        <v> </v>
      </c>
      <c r="AR126" s="300"/>
      <c r="AS126" s="288" t="str">
        <f aca="false">IF($A126="N/A"," ",IF(AND(AD126=$AJ$2+1,AK126=0),MIN($AR$135,W126),0))</f>
        <v> </v>
      </c>
      <c r="AT126" s="302" t="str">
        <f aca="false">IF($A126="N/A"," ",IF(AND(AE126=$AJ$2+1,AL126=0),MIN($AR$135,X126),0))</f>
        <v> </v>
      </c>
      <c r="AU126" s="302" t="str">
        <f aca="false">IF($A126="N/A"," ",IF(AND(AF126=$AJ$2+1,AM126=0),MIN($AR$135,Y126),0))</f>
        <v> </v>
      </c>
      <c r="AV126" s="302" t="str">
        <f aca="false">IF($A126="N/A"," ",IF(AND(AG126=$AJ$2+1,AN126=0),MIN($AR$135,Z126),0))</f>
        <v> </v>
      </c>
      <c r="AW126" s="302" t="str">
        <f aca="false">IF($A126="N/A"," ",IF(AND(AH126=$AJ$2+1,AO126=0),MIN($AR$135,AA126),0))</f>
        <v> </v>
      </c>
      <c r="AX126" s="302" t="str">
        <f aca="false">IF($A126="N/A"," ",IF(AND(AI126=$AJ$2+1,AP126=0),MIN($AR$135,AB126),0))</f>
        <v> </v>
      </c>
      <c r="AY126" s="302" t="str">
        <f aca="false">IF($A126="N/A"," ",IF(AND(AJ126=$AJ$2+1,AQ126=0),MIN($AR$135,AC126),0))</f>
        <v> </v>
      </c>
      <c r="AZ126" s="300"/>
      <c r="BA126" s="291" t="str">
        <f aca="false">IF($A126="N/A"," ",(IF(MONTH(A126)&gt;=4,IF(MONTH(A126)&lt;=10,Inputs!$F$13,Inputs!$F$14),Inputs!$F$14))*$BW126)</f>
        <v> </v>
      </c>
      <c r="BB126" s="292" t="str">
        <f aca="false">IF($A126="N/A"," ",(IF(AK126&gt;0,($BA126*(8*(VLOOKUP($A126,NumberofDaysTable,2)))*P126),0)+IF(AS126&gt;0,($BA126*((AS126))*P126),0)))</f>
        <v> </v>
      </c>
      <c r="BC126" s="292" t="str">
        <f aca="false">IF($A126="N/A"," ",(IF(AL126&gt;0,($BA126*(8*(VLOOKUP($A126,NumberofDaysTable,2)))*Q126),0)+IF(AT126&gt;0,($BA126*((AT126))*Q126),0)))</f>
        <v> </v>
      </c>
      <c r="BD126" s="292" t="str">
        <f aca="false">IF($A126="N/A"," ",(IF(AM126&gt;0,($BA126*(8*(VLOOKUP($A126,NumberofDaysTable,3)))*R126),0)+IF(AU126&gt;0,($BA126*((AU126))*R126),0)))</f>
        <v> </v>
      </c>
      <c r="BE126" s="292" t="str">
        <f aca="false">IF($A126="N/A"," ",(IF(AN126&gt;0,($BA126*(8*(VLOOKUP($A126,NumberofDaysTable,3)))*S126),0)+IF(AV126&gt;0,($BA126*((AV126))*S126),0)))</f>
        <v> </v>
      </c>
      <c r="BF126" s="292" t="str">
        <f aca="false">IF($A126="N/A"," ",(IF(AO126&gt;0,($BA126*(8*(VLOOKUP($A126,NumberofDaysTable,4)+VLOOKUP($A126,NumberofDaysTable,5)))*T126),0)+IF(AW126&gt;0,($BA126*((AW126))*T126),0)))</f>
        <v> </v>
      </c>
      <c r="BG126" s="292" t="str">
        <f aca="false">IF($A126="N/A"," ",(IF(AP126&gt;0,($BA126*(8*(VLOOKUP($A126,NumberofDaysTable,4)+VLOOKUP($A126,NumberofDaysTable,5)))*U126),0)+IF(AX126&gt;0,($BA126*((AX126))*U126),0)))</f>
        <v> </v>
      </c>
      <c r="BH126" s="292" t="str">
        <f aca="false">IF($A126="N/A"," ",($BA126*AQ126*V126))</f>
        <v> </v>
      </c>
      <c r="BI126" s="292" t="str">
        <f aca="false">IF($A126="N/A"," ",SUM(BB126:BH126))</f>
        <v> </v>
      </c>
      <c r="BJ126" s="293" t="str">
        <f aca="false">IF($A126="N/A"," ",(H126*(SUM(AK126:AQ126)+SUM(AS126:AY126))*BA126))</f>
        <v> </v>
      </c>
      <c r="BK126" s="293" t="str">
        <f aca="false">IF($A126="N/A"," ",((C126*D126)*(SUM($AK126:$AQ126)+SUM($AS126:$AY126))*$BA126))</f>
        <v> </v>
      </c>
      <c r="BL126" s="293" t="str">
        <f aca="false">IF($A126="N/A"," ",(F126*(SUM($AK126:$AQ126)+SUM($AS126:$AY126))*$BA126))</f>
        <v> </v>
      </c>
      <c r="BM126" s="293" t="str">
        <f aca="false">IF($A126="N/A"," ",(G126*(SUM($AK126:$AQ126)+SUM($AS126:$AY126))*$BA126))</f>
        <v> </v>
      </c>
      <c r="BN126" s="294" t="str">
        <f aca="false">IF(A126="N/A"," ",(VLOOKUP(A126,PowerVolTable,(IF('Pricing Inputs'!$AT$3=2,7,IF('Pricing Inputs'!$AT$3=1,6,8))),FALSE())))</f>
        <v> </v>
      </c>
      <c r="BO126" s="294" t="str">
        <f aca="false">IF(A126="N/A"," ",(VLOOKUP(A126,IntraPowerVol,(IF('Pricing Inputs'!$AT$3=2,3,IF('Pricing Inputs'!$AT$3=1,2,4))),FALSE())*VLOOKUP(MONTH($A126),Inputs!$A$28:$B$39,2)))</f>
        <v> </v>
      </c>
      <c r="BP126" s="295" t="str">
        <f aca="false">IF($A126="N/A"," ",(IF(DateToday&gt;$A126,$BO126,((($BN126^2)*((($A126-1)-DateToday)/((EOMONTH($A126,0)+1)-DateToday-15)))+((($BO126)^2)*((15)/((EOMONTH($A126,0)+1)-DateToday-15))))^0.5)))</f>
        <v> </v>
      </c>
      <c r="BQ126" s="294" t="str">
        <f aca="false">IF($A126="N/A"," ",(VLOOKUP($A126,GasVolTable,(IF('Pricing Inputs'!$AT$3=2,6,IF('Pricing Inputs'!$AT$3=1,7,5))),FALSE())))</f>
        <v> </v>
      </c>
      <c r="BR126" s="294" t="str">
        <f aca="false">IF($A126="N/A"," ",(VLOOKUP($A126,OmicronVol,(IF('Pricing Inputs'!$AT$3=2,3,IF('Pricing Inputs'!$AT$3=1,4,2))),FALSE())))</f>
        <v> </v>
      </c>
      <c r="BS126" s="295" t="str">
        <f aca="false">IF($A126="N/A"," ",IF('Pricing Inputs'!$AN$3=1,(IF(DateToday&gt;$A126,$BR126,((($BQ126^2)*((($A126-1)-DateToday)/((EOMONTH($A126,0)+1)-DateToday-15)))+((($BR126)^2)*((15)/((EOMONTH($A126,0)+1)-DateToday-15))))^0.5)),0.0001))</f>
        <v> </v>
      </c>
      <c r="BT126" s="294" t="str">
        <f aca="false">IF($A126="N/A"," ",IF('Pricing Inputs'!$AN$3=1,(VLOOKUP($A126,CorrelationTable,2,FALSE())),0))</f>
        <v> </v>
      </c>
      <c r="BU126" s="296" t="str">
        <f aca="false">IF($A126="N/A"," ",F126+G126+(D126*(VLOOKUP($A126,'Gas Curves'!$B$17:$P$310,14,FALSE()))))</f>
        <v> </v>
      </c>
      <c r="BV126" s="294" t="str">
        <f aca="false">IF($A126="N/A"," ",IF('Pricing Inputs'!$AW$3=1,0,(VLOOKUP($A126,InterestRatesTable,2))))</f>
        <v> </v>
      </c>
      <c r="BW126" s="297" t="str">
        <f aca="false">IF($A126="N/A"," ",(1+BV126/2)^(-2*((EOMONTH(A126,0)+20)-DateToday)/365.25))</f>
        <v> </v>
      </c>
    </row>
    <row r="127" customFormat="false" ht="12.75" hidden="false" customHeight="false" outlineLevel="0" collapsed="false">
      <c r="A127" s="272" t="str">
        <f aca="false">IF(A126="N/A","N/A",IF(EDATE(A126,1)&gt;Inputs!$K$3,"N/A",EDATE(A126,1)))</f>
        <v>N/A</v>
      </c>
      <c r="B127" s="273" t="str">
        <f aca="false">IF(A127="N/A"," ",YEAR(A127))</f>
        <v> </v>
      </c>
      <c r="C127" s="274" t="str">
        <f aca="false">IF(A127="N/A"," ",VLOOKUP(A127,ScaledPrice,10))</f>
        <v> </v>
      </c>
      <c r="D127" s="275" t="str">
        <f aca="false">IF(A127="N/A"," ",(VLOOKUP(MONTH($A127),Inputs!$A$14:$B$25,2))/1000)</f>
        <v> </v>
      </c>
      <c r="E127" s="276" t="str">
        <f aca="false">IF($A127="N/A"," ",C127*D127)</f>
        <v> </v>
      </c>
      <c r="F127" s="277" t="str">
        <f aca="false">IF(A127="N/A"," ",Inputs!$F$6)</f>
        <v> </v>
      </c>
      <c r="G127" s="277" t="str">
        <f aca="false">IF(A127="N/A"," ",Inputs!$F$9/IF(AND('Pricing Inputs'!$AQ$3&gt;=4,'Pricing Inputs'!$AQ$3&lt;=6),16,IF(AND('Pricing Inputs'!$AQ$3&gt;=7,'Pricing Inputs'!$AQ$3&lt;=9),8,24))/(BA127/BW127))</f>
        <v> </v>
      </c>
      <c r="H127" s="278" t="str">
        <f aca="false">IF(A127="N/A"," ",(C127*D127)+F127+G127)</f>
        <v> </v>
      </c>
      <c r="I127" s="279" t="str">
        <f aca="false">VLOOKUP(A127,ScaledPrice,(IF(AND('Pricing Inputs'!$AQ$3&gt;=1,'Pricing Inputs'!$AQ$3&lt;=6),2,4)))</f>
        <v> </v>
      </c>
      <c r="J127" s="279" t="str">
        <f aca="false">IF(A127="N/A"," ",IF(AND('Pricing Inputs'!$AQ$3&gt;=1,'Pricing Inputs'!$AQ$3&lt;=6),I127,(VLOOKUP(A127,ScaledPrice,2))*(2-(VLOOKUP(A127,ScaledPrice,3)))))</f>
        <v> </v>
      </c>
      <c r="K127" s="279" t="str">
        <f aca="false">IF(A127="N/A"," ",IF(OR('Pricing Inputs'!$AQ$3=2,'Pricing Inputs'!$AQ$3=3,'Pricing Inputs'!$AQ$3=5,'Pricing Inputs'!$AQ$3=6,'Pricing Inputs'!$AQ$3=8,'Pricing Inputs'!$AQ$3=9),VLOOKUP(A127,ScaledPrice,IF(AND('Pricing Inputs'!$AQ$3&gt;=2,'Pricing Inputs'!$AQ$3&lt;=6),5,6)),0))</f>
        <v> </v>
      </c>
      <c r="L127" s="279" t="str">
        <f aca="false">IF(A127="N/A"," ",IF(OR('Pricing Inputs'!$AQ$3=2,'Pricing Inputs'!$AQ$3=3,'Pricing Inputs'!$AQ$3=5,'Pricing Inputs'!$AQ$3=6,'Pricing Inputs'!$AQ$3=8,'Pricing Inputs'!$AQ$3=9),IF(AND('Pricing Inputs'!$AQ$3&gt;=2,'Pricing Inputs'!$AQ$3&lt;=6),K127,(VLOOKUP(A127,ScaledPrice,5))*(2-(VLOOKUP(A127,ScaledPrice,3)))),0))</f>
        <v> </v>
      </c>
      <c r="M127" s="279" t="str">
        <f aca="false">IF(A127="N/A"," ",IF(OR('Pricing Inputs'!$AQ$3=3,'Pricing Inputs'!$AQ$3=6,'Pricing Inputs'!$AQ$3=9),(VLOOKUP(A127,ScaledPrice,IF(AND('Pricing Inputs'!$AQ$3&gt;=3,'Pricing Inputs'!$AQ$3&lt;=6),7,8))),0))</f>
        <v> </v>
      </c>
      <c r="N127" s="279" t="str">
        <f aca="false">IF(A127="N/A"," ",IF(OR('Pricing Inputs'!$AQ$3=3,'Pricing Inputs'!$AQ$3=6,'Pricing Inputs'!$AQ$3=9),IF(AND('Pricing Inputs'!$AQ$3&gt;=3,'Pricing Inputs'!$AQ$3&lt;=6),M127,(VLOOKUP(A127,ScaledPrice,7))*(2-(VLOOKUP(A127,ScaledPrice,3)))),0))</f>
        <v> </v>
      </c>
      <c r="O127" s="279" t="str">
        <f aca="false">IF(A127="N/A"," ",IF(AND('Pricing Inputs'!$AQ$3&gt;=1,'Pricing Inputs'!$AQ$3&lt;=3),VLOOKUP(A127,ScaledPrice,9),0))</f>
        <v> </v>
      </c>
      <c r="P127" s="280" t="str">
        <f aca="false">IF($A127="N/A"," ",IF('Pricing Inputs'!$AN$8=2,(I127-H127),IF('Pricing Inputs'!$AN$3=2,IF((I127-$H127)&gt;0,I127-$H127,0),(xSPRDOPT(I127,$E127,$BU127,0,$BP127,$BS127,$BT127,($A127-Inputs!$D$1)+15,1,0)))))</f>
        <v> </v>
      </c>
      <c r="Q127" s="280" t="str">
        <f aca="false">IF($A127="N/A"," ",IF('Pricing Inputs'!$AN$8=2,(J127-$H127),IF('Pricing Inputs'!$AN$3=2,IF((J127-$H127)&gt;0,J127-$H127,0),(xSPRDOPT(J127,$E127,$BU127,0,$BP127,$BS127,$BT127,($A127-Inputs!$D$1)+15,1,0)))))</f>
        <v> </v>
      </c>
      <c r="R127" s="280" t="str">
        <f aca="false">IF($A127="N/A"," ",IF('Pricing Inputs'!$AN$8=2,(K127-$H127),IF('Pricing Inputs'!$AN$3=2,IF((K127-$H127)&gt;0,K127-$H127,0),(xSPRDOPT(K127,$E127,$BU127,0,$BP127,$BS127,$BT127,($A127-Inputs!$D$1)+15,1,0)))))</f>
        <v> </v>
      </c>
      <c r="S127" s="280" t="str">
        <f aca="false">IF($A127="N/A"," ",IF('Pricing Inputs'!$AN$8=2,(L127-$H127),IF('Pricing Inputs'!$AN$3=2,IF((L127-$H127)&gt;0,L127-$H127,0),(xSPRDOPT(L127,$E127,$BU127,0,$BP127,$BS127,$BT127,($A127-Inputs!$D$1)+15,1,0)))))</f>
        <v> </v>
      </c>
      <c r="T127" s="280" t="str">
        <f aca="false">IF($A127="N/A"," ",IF('Pricing Inputs'!$AN$8=2,(M127-$H127),IF('Pricing Inputs'!$AN$3=2,IF((M127-$H127)&gt;0,M127-$H127,0),(xSPRDOPT(M127,$E127,$BU127,0,$BP127,$BS127,$BT127,($A127-Inputs!$D$1)+15,1,0)))))</f>
        <v> </v>
      </c>
      <c r="U127" s="280" t="str">
        <f aca="false">IF($A127="N/A"," ",IF('Pricing Inputs'!$AN$8=2,(N127-$H127),IF('Pricing Inputs'!$AN$3=2,IF((N127-$H127)&gt;0,N127-$H127,0),(xSPRDOPT(N127,$E127,$BU127,0,$BP127,$BS127,$BT127,($A127-Inputs!$D$1)+15,1,0)))))</f>
        <v> </v>
      </c>
      <c r="V127" s="281" t="str">
        <f aca="false">IF($A127="N/A"," ",(IF('Pricing Inputs'!$AN$8=2,(O127-$H127),IF((O127-$H127)&lt;=0,0,(O127-$H127)))))</f>
        <v> </v>
      </c>
      <c r="W127" s="282" t="str">
        <f aca="false">IF($A127="N/A"," ",IF(0&lt;&gt;P127,IF('Pricing Inputs'!$AN$3=2,8*VLOOKUP($A127,NumberofDaysTable,2),(xSPRDOPT(I127,$E127,$BU127,0,$BP127,$BS127,$BT127,$A127-Inputs!$D$1,1,1))*(8*VLOOKUP($A127,NumberofDaysTable,2))),0))</f>
        <v> </v>
      </c>
      <c r="X127" s="282" t="str">
        <f aca="false">IF($A127="N/A"," ",IF(Q127&lt;&gt;0,IF('Pricing Inputs'!$AN$3=2,8*VLOOKUP($A127,NumberofDaysTable,2),(xSPRDOPT(J127,$E127,$BU127,0,$BP127,$BS127,$BT127,$A127-Inputs!$D$1,1,1))*(8*VLOOKUP($A127,NumberofDaysTable,2))),0))</f>
        <v> </v>
      </c>
      <c r="Y127" s="282" t="str">
        <f aca="false">IF($A127="N/A"," ",IF(R127&lt;&gt;0,IF('Pricing Inputs'!$AN$3=2,8*VLOOKUP($A127,NumberofDaysTable,3),(xSPRDOPT(K127,$E127,$BU127,0,$BP127,$BS127,$BT127,$A127-Inputs!$D$1,1,1))*(8*VLOOKUP($A127,NumberofDaysTable,3))),0))</f>
        <v> </v>
      </c>
      <c r="Z127" s="282" t="str">
        <f aca="false">IF($A127="N/A"," ",IF(S127&lt;&gt;0,IF('Pricing Inputs'!$AN$3=2,8*VLOOKUP($A127,NumberofDaysTable,3),(xSPRDOPT(L127,$E127,$BU127,0,$BP127,$BS127,$BT127,$A127-Inputs!$D$1,1,1))*(8*VLOOKUP($A127,NumberofDaysTable,3))),0))</f>
        <v> </v>
      </c>
      <c r="AA127" s="282" t="str">
        <f aca="false">IF($A127="N/A"," ",IF(T127&lt;&gt;0,IF('Pricing Inputs'!$AN$3=2,8*VLOOKUP($A127,NumberofDaysTable,4),(xSPRDOPT(M127,$E127,$BU127,0,$BP127,$BS127,$BT127,$A127-Inputs!$D$1,1,1))*(8*VLOOKUP($A127,NumberofDaysTable,4))),0))</f>
        <v> </v>
      </c>
      <c r="AB127" s="282" t="str">
        <f aca="false">IF($A127="N/A"," ",IF(U127&lt;&gt;0,IF('Pricing Inputs'!$AN$3=2,8*VLOOKUP($A127,NumberofDaysTable,4),(xSPRDOPT(N127,$E127,$BU127,0,$BP127,$BS127,$BT127,$A127-Inputs!$D$1,1,1))*(8*VLOOKUP($A127,NumberofDaysTable,4))),0))</f>
        <v> </v>
      </c>
      <c r="AC127" s="282" t="str">
        <f aca="false">IF($A127="N/A"," ",(IF(V127&lt;&gt;0,(8*VLOOKUP($A127,NumberofDaysTable,6)),0)))</f>
        <v> </v>
      </c>
      <c r="AD127" s="298" t="str">
        <f aca="false">IF($A127="N/A"," ",RANK(P127,$P$124:$V$135))</f>
        <v> </v>
      </c>
      <c r="AE127" s="299" t="str">
        <f aca="false">IF($A127="N/A"," ",RANK(Q127,$P$124:$V$135))</f>
        <v> </v>
      </c>
      <c r="AF127" s="299" t="str">
        <f aca="false">IF($A127="N/A"," ",RANK(R127,$P$124:$V$135))</f>
        <v> </v>
      </c>
      <c r="AG127" s="299" t="str">
        <f aca="false">IF($A127="N/A"," ",RANK(S127,$P$124:$V$135))</f>
        <v> </v>
      </c>
      <c r="AH127" s="299" t="str">
        <f aca="false">IF($A127="N/A"," ",RANK(T127,$P$124:$V$135))</f>
        <v> </v>
      </c>
      <c r="AI127" s="299" t="str">
        <f aca="false">IF($A127="N/A"," ",RANK(U127,$P$124:$V$135))</f>
        <v> </v>
      </c>
      <c r="AJ127" s="300" t="str">
        <f aca="false">IF($A127="N/A"," ",RANK(V127,$P$124:$V$135))</f>
        <v> </v>
      </c>
      <c r="AK127" s="286" t="str">
        <f aca="false">IF($A127="N/A"," ",IF(AD127&lt;=$AJ$2,W127,0))</f>
        <v> </v>
      </c>
      <c r="AL127" s="301" t="str">
        <f aca="false">IF($A127="N/A"," ",IF(AE127&lt;=$AJ$2,X127,0))</f>
        <v> </v>
      </c>
      <c r="AM127" s="301" t="str">
        <f aca="false">IF($A127="N/A"," ",IF(AF127&lt;=$AJ$2,Y127,0))</f>
        <v> </v>
      </c>
      <c r="AN127" s="301" t="str">
        <f aca="false">IF($A127="N/A"," ",IF(AG127&lt;=$AJ$2,Z127,0))</f>
        <v> </v>
      </c>
      <c r="AO127" s="301" t="str">
        <f aca="false">IF($A127="N/A"," ",IF(AH127&lt;=$AJ$2,AA127,0))</f>
        <v> </v>
      </c>
      <c r="AP127" s="301" t="str">
        <f aca="false">IF($A127="N/A"," ",IF(AI127&lt;=$AJ$2,AB127,0))</f>
        <v> </v>
      </c>
      <c r="AQ127" s="301" t="str">
        <f aca="false">IF($A127="N/A"," ",IF(AJ127&lt;=$AJ$2,AC127,0))</f>
        <v> </v>
      </c>
      <c r="AR127" s="300"/>
      <c r="AS127" s="288" t="str">
        <f aca="false">IF($A127="N/A"," ",IF(AND(AD127=$AJ$2+1,AK127=0),MIN($AR$135,W127),0))</f>
        <v> </v>
      </c>
      <c r="AT127" s="302" t="str">
        <f aca="false">IF($A127="N/A"," ",IF(AND(AE127=$AJ$2+1,AL127=0),MIN($AR$135,X127),0))</f>
        <v> </v>
      </c>
      <c r="AU127" s="302" t="str">
        <f aca="false">IF($A127="N/A"," ",IF(AND(AF127=$AJ$2+1,AM127=0),MIN($AR$135,Y127),0))</f>
        <v> </v>
      </c>
      <c r="AV127" s="302" t="str">
        <f aca="false">IF($A127="N/A"," ",IF(AND(AG127=$AJ$2+1,AN127=0),MIN($AR$135,Z127),0))</f>
        <v> </v>
      </c>
      <c r="AW127" s="302" t="str">
        <f aca="false">IF($A127="N/A"," ",IF(AND(AH127=$AJ$2+1,AO127=0),MIN($AR$135,AA127),0))</f>
        <v> </v>
      </c>
      <c r="AX127" s="302" t="str">
        <f aca="false">IF($A127="N/A"," ",IF(AND(AI127=$AJ$2+1,AP127=0),MIN($AR$135,AB127),0))</f>
        <v> </v>
      </c>
      <c r="AY127" s="302" t="str">
        <f aca="false">IF($A127="N/A"," ",IF(AND(AJ127=$AJ$2+1,AQ127=0),MIN($AR$135,AC127),0))</f>
        <v> </v>
      </c>
      <c r="AZ127" s="300"/>
      <c r="BA127" s="291" t="str">
        <f aca="false">IF($A127="N/A"," ",(IF(MONTH(A127)&gt;=4,IF(MONTH(A127)&lt;=10,Inputs!$F$13,Inputs!$F$14),Inputs!$F$14))*$BW127)</f>
        <v> </v>
      </c>
      <c r="BB127" s="292" t="str">
        <f aca="false">IF($A127="N/A"," ",(IF(AK127&gt;0,($BA127*(8*(VLOOKUP($A127,NumberofDaysTable,2)))*P127),0)+IF(AS127&gt;0,($BA127*((AS127))*P127),0)))</f>
        <v> </v>
      </c>
      <c r="BC127" s="292" t="str">
        <f aca="false">IF($A127="N/A"," ",(IF(AL127&gt;0,($BA127*(8*(VLOOKUP($A127,NumberofDaysTable,2)))*Q127),0)+IF(AT127&gt;0,($BA127*((AT127))*Q127),0)))</f>
        <v> </v>
      </c>
      <c r="BD127" s="292" t="str">
        <f aca="false">IF($A127="N/A"," ",(IF(AM127&gt;0,($BA127*(8*(VLOOKUP($A127,NumberofDaysTable,3)))*R127),0)+IF(AU127&gt;0,($BA127*((AU127))*R127),0)))</f>
        <v> </v>
      </c>
      <c r="BE127" s="292" t="str">
        <f aca="false">IF($A127="N/A"," ",(IF(AN127&gt;0,($BA127*(8*(VLOOKUP($A127,NumberofDaysTable,3)))*S127),0)+IF(AV127&gt;0,($BA127*((AV127))*S127),0)))</f>
        <v> </v>
      </c>
      <c r="BF127" s="292" t="str">
        <f aca="false">IF($A127="N/A"," ",(IF(AO127&gt;0,($BA127*(8*(VLOOKUP($A127,NumberofDaysTable,4)+VLOOKUP($A127,NumberofDaysTable,5)))*T127),0)+IF(AW127&gt;0,($BA127*((AW127))*T127),0)))</f>
        <v> </v>
      </c>
      <c r="BG127" s="292" t="str">
        <f aca="false">IF($A127="N/A"," ",(IF(AP127&gt;0,($BA127*(8*(VLOOKUP($A127,NumberofDaysTable,4)+VLOOKUP($A127,NumberofDaysTable,5)))*U127),0)+IF(AX127&gt;0,($BA127*((AX127))*U127),0)))</f>
        <v> </v>
      </c>
      <c r="BH127" s="292" t="str">
        <f aca="false">IF($A127="N/A"," ",($BA127*AQ127*V127))</f>
        <v> </v>
      </c>
      <c r="BI127" s="292" t="str">
        <f aca="false">IF($A127="N/A"," ",SUM(BB127:BH127))</f>
        <v> </v>
      </c>
      <c r="BJ127" s="293" t="str">
        <f aca="false">IF($A127="N/A"," ",(H127*(SUM(AK127:AQ127)+SUM(AS127:AY127))*BA127))</f>
        <v> </v>
      </c>
      <c r="BK127" s="293" t="str">
        <f aca="false">IF($A127="N/A"," ",((C127*D127)*(SUM($AK127:$AQ127)+SUM($AS127:$AY127))*$BA127))</f>
        <v> </v>
      </c>
      <c r="BL127" s="293" t="str">
        <f aca="false">IF($A127="N/A"," ",(F127*(SUM($AK127:$AQ127)+SUM($AS127:$AY127))*$BA127))</f>
        <v> </v>
      </c>
      <c r="BM127" s="293" t="str">
        <f aca="false">IF($A127="N/A"," ",(G127*(SUM($AK127:$AQ127)+SUM($AS127:$AY127))*$BA127))</f>
        <v> </v>
      </c>
      <c r="BN127" s="294" t="str">
        <f aca="false">IF(A127="N/A"," ",(VLOOKUP(A127,PowerVolTable,(IF('Pricing Inputs'!$AT$3=2,7,IF('Pricing Inputs'!$AT$3=1,6,8))),FALSE())))</f>
        <v> </v>
      </c>
      <c r="BO127" s="294" t="str">
        <f aca="false">IF(A127="N/A"," ",(VLOOKUP(A127,IntraPowerVol,(IF('Pricing Inputs'!$AT$3=2,3,IF('Pricing Inputs'!$AT$3=1,2,4))),FALSE())*VLOOKUP(MONTH($A127),Inputs!$A$28:$B$39,2)))</f>
        <v> </v>
      </c>
      <c r="BP127" s="295" t="str">
        <f aca="false">IF($A127="N/A"," ",(IF(DateToday&gt;$A127,$BO127,((($BN127^2)*((($A127-1)-DateToday)/((EOMONTH($A127,0)+1)-DateToday-15)))+((($BO127)^2)*((15)/((EOMONTH($A127,0)+1)-DateToday-15))))^0.5)))</f>
        <v> </v>
      </c>
      <c r="BQ127" s="294" t="str">
        <f aca="false">IF($A127="N/A"," ",(VLOOKUP($A127,GasVolTable,(IF('Pricing Inputs'!$AT$3=2,6,IF('Pricing Inputs'!$AT$3=1,7,5))),FALSE())))</f>
        <v> </v>
      </c>
      <c r="BR127" s="294" t="str">
        <f aca="false">IF($A127="N/A"," ",(VLOOKUP($A127,OmicronVol,(IF('Pricing Inputs'!$AT$3=2,3,IF('Pricing Inputs'!$AT$3=1,4,2))),FALSE())))</f>
        <v> </v>
      </c>
      <c r="BS127" s="295" t="str">
        <f aca="false">IF($A127="N/A"," ",IF('Pricing Inputs'!$AN$3=1,(IF(DateToday&gt;$A127,$BR127,((($BQ127^2)*((($A127-1)-DateToday)/((EOMONTH($A127,0)+1)-DateToday-15)))+((($BR127)^2)*((15)/((EOMONTH($A127,0)+1)-DateToday-15))))^0.5)),0.0001))</f>
        <v> </v>
      </c>
      <c r="BT127" s="294" t="str">
        <f aca="false">IF($A127="N/A"," ",IF('Pricing Inputs'!$AN$3=1,(VLOOKUP($A127,CorrelationTable,2,FALSE())),0))</f>
        <v> </v>
      </c>
      <c r="BU127" s="296" t="str">
        <f aca="false">IF($A127="N/A"," ",F127+G127+(D127*(VLOOKUP($A127,'Gas Curves'!$B$17:$P$310,14,FALSE()))))</f>
        <v> </v>
      </c>
      <c r="BV127" s="294" t="str">
        <f aca="false">IF($A127="N/A"," ",IF('Pricing Inputs'!$AW$3=1,0,(VLOOKUP($A127,InterestRatesTable,2))))</f>
        <v> </v>
      </c>
      <c r="BW127" s="297" t="str">
        <f aca="false">IF($A127="N/A"," ",(1+BV127/2)^(-2*((EOMONTH(A127,0)+20)-DateToday)/365.25))</f>
        <v> </v>
      </c>
    </row>
    <row r="128" customFormat="false" ht="12.75" hidden="false" customHeight="false" outlineLevel="0" collapsed="false">
      <c r="A128" s="272" t="str">
        <f aca="false">IF(A127="N/A","N/A",IF(EDATE(A127,1)&gt;Inputs!$K$3,"N/A",EDATE(A127,1)))</f>
        <v>N/A</v>
      </c>
      <c r="B128" s="273" t="str">
        <f aca="false">IF(A128="N/A"," ",YEAR(A128))</f>
        <v> </v>
      </c>
      <c r="C128" s="274" t="str">
        <f aca="false">IF(A128="N/A"," ",VLOOKUP(A128,ScaledPrice,10))</f>
        <v> </v>
      </c>
      <c r="D128" s="275" t="str">
        <f aca="false">IF(A128="N/A"," ",(VLOOKUP(MONTH($A128),Inputs!$A$14:$B$25,2))/1000)</f>
        <v> </v>
      </c>
      <c r="E128" s="276" t="str">
        <f aca="false">IF($A128="N/A"," ",C128*D128)</f>
        <v> </v>
      </c>
      <c r="F128" s="277" t="str">
        <f aca="false">IF(A128="N/A"," ",Inputs!$F$6)</f>
        <v> </v>
      </c>
      <c r="G128" s="277" t="str">
        <f aca="false">IF(A128="N/A"," ",Inputs!$F$9/IF(AND('Pricing Inputs'!$AQ$3&gt;=4,'Pricing Inputs'!$AQ$3&lt;=6),16,IF(AND('Pricing Inputs'!$AQ$3&gt;=7,'Pricing Inputs'!$AQ$3&lt;=9),8,24))/(BA128/BW128))</f>
        <v> </v>
      </c>
      <c r="H128" s="278" t="str">
        <f aca="false">IF(A128="N/A"," ",(C128*D128)+F128+G128)</f>
        <v> </v>
      </c>
      <c r="I128" s="279" t="str">
        <f aca="false">VLOOKUP(A128,ScaledPrice,(IF(AND('Pricing Inputs'!$AQ$3&gt;=1,'Pricing Inputs'!$AQ$3&lt;=6),2,4)))</f>
        <v> </v>
      </c>
      <c r="J128" s="279" t="str">
        <f aca="false">IF(A128="N/A"," ",IF(AND('Pricing Inputs'!$AQ$3&gt;=1,'Pricing Inputs'!$AQ$3&lt;=6),I128,(VLOOKUP(A128,ScaledPrice,2))*(2-(VLOOKUP(A128,ScaledPrice,3)))))</f>
        <v> </v>
      </c>
      <c r="K128" s="279" t="str">
        <f aca="false">IF(A128="N/A"," ",IF(OR('Pricing Inputs'!$AQ$3=2,'Pricing Inputs'!$AQ$3=3,'Pricing Inputs'!$AQ$3=5,'Pricing Inputs'!$AQ$3=6,'Pricing Inputs'!$AQ$3=8,'Pricing Inputs'!$AQ$3=9),VLOOKUP(A128,ScaledPrice,IF(AND('Pricing Inputs'!$AQ$3&gt;=2,'Pricing Inputs'!$AQ$3&lt;=6),5,6)),0))</f>
        <v> </v>
      </c>
      <c r="L128" s="279" t="str">
        <f aca="false">IF(A128="N/A"," ",IF(OR('Pricing Inputs'!$AQ$3=2,'Pricing Inputs'!$AQ$3=3,'Pricing Inputs'!$AQ$3=5,'Pricing Inputs'!$AQ$3=6,'Pricing Inputs'!$AQ$3=8,'Pricing Inputs'!$AQ$3=9),IF(AND('Pricing Inputs'!$AQ$3&gt;=2,'Pricing Inputs'!$AQ$3&lt;=6),K128,(VLOOKUP(A128,ScaledPrice,5))*(2-(VLOOKUP(A128,ScaledPrice,3)))),0))</f>
        <v> </v>
      </c>
      <c r="M128" s="279" t="str">
        <f aca="false">IF(A128="N/A"," ",IF(OR('Pricing Inputs'!$AQ$3=3,'Pricing Inputs'!$AQ$3=6,'Pricing Inputs'!$AQ$3=9),(VLOOKUP(A128,ScaledPrice,IF(AND('Pricing Inputs'!$AQ$3&gt;=3,'Pricing Inputs'!$AQ$3&lt;=6),7,8))),0))</f>
        <v> </v>
      </c>
      <c r="N128" s="279" t="str">
        <f aca="false">IF(A128="N/A"," ",IF(OR('Pricing Inputs'!$AQ$3=3,'Pricing Inputs'!$AQ$3=6,'Pricing Inputs'!$AQ$3=9),IF(AND('Pricing Inputs'!$AQ$3&gt;=3,'Pricing Inputs'!$AQ$3&lt;=6),M128,(VLOOKUP(A128,ScaledPrice,7))*(2-(VLOOKUP(A128,ScaledPrice,3)))),0))</f>
        <v> </v>
      </c>
      <c r="O128" s="279" t="str">
        <f aca="false">IF(A128="N/A"," ",IF(AND('Pricing Inputs'!$AQ$3&gt;=1,'Pricing Inputs'!$AQ$3&lt;=3),VLOOKUP(A128,ScaledPrice,9),0))</f>
        <v> </v>
      </c>
      <c r="P128" s="280" t="str">
        <f aca="false">IF($A128="N/A"," ",IF('Pricing Inputs'!$AN$8=2,(I128-H128),IF('Pricing Inputs'!$AN$3=2,IF((I128-$H128)&gt;0,I128-$H128,0),(xSPRDOPT(I128,$E128,$BU128,0,$BP128,$BS128,$BT128,($A128-Inputs!$D$1)+15,1,0)))))</f>
        <v> </v>
      </c>
      <c r="Q128" s="280" t="str">
        <f aca="false">IF($A128="N/A"," ",IF('Pricing Inputs'!$AN$8=2,(J128-$H128),IF('Pricing Inputs'!$AN$3=2,IF((J128-$H128)&gt;0,J128-$H128,0),(xSPRDOPT(J128,$E128,$BU128,0,$BP128,$BS128,$BT128,($A128-Inputs!$D$1)+15,1,0)))))</f>
        <v> </v>
      </c>
      <c r="R128" s="280" t="str">
        <f aca="false">IF($A128="N/A"," ",IF('Pricing Inputs'!$AN$8=2,(K128-$H128),IF('Pricing Inputs'!$AN$3=2,IF((K128-$H128)&gt;0,K128-$H128,0),(xSPRDOPT(K128,$E128,$BU128,0,$BP128,$BS128,$BT128,($A128-Inputs!$D$1)+15,1,0)))))</f>
        <v> </v>
      </c>
      <c r="S128" s="280" t="str">
        <f aca="false">IF($A128="N/A"," ",IF('Pricing Inputs'!$AN$8=2,(L128-$H128),IF('Pricing Inputs'!$AN$3=2,IF((L128-$H128)&gt;0,L128-$H128,0),(xSPRDOPT(L128,$E128,$BU128,0,$BP128,$BS128,$BT128,($A128-Inputs!$D$1)+15,1,0)))))</f>
        <v> </v>
      </c>
      <c r="T128" s="280" t="str">
        <f aca="false">IF($A128="N/A"," ",IF('Pricing Inputs'!$AN$8=2,(M128-$H128),IF('Pricing Inputs'!$AN$3=2,IF((M128-$H128)&gt;0,M128-$H128,0),(xSPRDOPT(M128,$E128,$BU128,0,$BP128,$BS128,$BT128,($A128-Inputs!$D$1)+15,1,0)))))</f>
        <v> </v>
      </c>
      <c r="U128" s="280" t="str">
        <f aca="false">IF($A128="N/A"," ",IF('Pricing Inputs'!$AN$8=2,(N128-$H128),IF('Pricing Inputs'!$AN$3=2,IF((N128-$H128)&gt;0,N128-$H128,0),(xSPRDOPT(N128,$E128,$BU128,0,$BP128,$BS128,$BT128,($A128-Inputs!$D$1)+15,1,0)))))</f>
        <v> </v>
      </c>
      <c r="V128" s="281" t="str">
        <f aca="false">IF($A128="N/A"," ",(IF('Pricing Inputs'!$AN$8=2,(O128-$H128),IF((O128-$H128)&lt;=0,0,(O128-$H128)))))</f>
        <v> </v>
      </c>
      <c r="W128" s="282" t="str">
        <f aca="false">IF($A128="N/A"," ",IF(0&lt;&gt;P128,IF('Pricing Inputs'!$AN$3=2,8*VLOOKUP($A128,NumberofDaysTable,2),(xSPRDOPT(I128,$E128,$BU128,0,$BP128,$BS128,$BT128,$A128-Inputs!$D$1,1,1))*(8*VLOOKUP($A128,NumberofDaysTable,2))),0))</f>
        <v> </v>
      </c>
      <c r="X128" s="282" t="str">
        <f aca="false">IF($A128="N/A"," ",IF(Q128&lt;&gt;0,IF('Pricing Inputs'!$AN$3=2,8*VLOOKUP($A128,NumberofDaysTable,2),(xSPRDOPT(J128,$E128,$BU128,0,$BP128,$BS128,$BT128,$A128-Inputs!$D$1,1,1))*(8*VLOOKUP($A128,NumberofDaysTable,2))),0))</f>
        <v> </v>
      </c>
      <c r="Y128" s="282" t="str">
        <f aca="false">IF($A128="N/A"," ",IF(R128&lt;&gt;0,IF('Pricing Inputs'!$AN$3=2,8*VLOOKUP($A128,NumberofDaysTable,3),(xSPRDOPT(K128,$E128,$BU128,0,$BP128,$BS128,$BT128,$A128-Inputs!$D$1,1,1))*(8*VLOOKUP($A128,NumberofDaysTable,3))),0))</f>
        <v> </v>
      </c>
      <c r="Z128" s="282" t="str">
        <f aca="false">IF($A128="N/A"," ",IF(S128&lt;&gt;0,IF('Pricing Inputs'!$AN$3=2,8*VLOOKUP($A128,NumberofDaysTable,3),(xSPRDOPT(L128,$E128,$BU128,0,$BP128,$BS128,$BT128,$A128-Inputs!$D$1,1,1))*(8*VLOOKUP($A128,NumberofDaysTable,3))),0))</f>
        <v> </v>
      </c>
      <c r="AA128" s="282" t="str">
        <f aca="false">IF($A128="N/A"," ",IF(T128&lt;&gt;0,IF('Pricing Inputs'!$AN$3=2,8*VLOOKUP($A128,NumberofDaysTable,4),(xSPRDOPT(M128,$E128,$BU128,0,$BP128,$BS128,$BT128,$A128-Inputs!$D$1,1,1))*(8*VLOOKUP($A128,NumberofDaysTable,4))),0))</f>
        <v> </v>
      </c>
      <c r="AB128" s="282" t="str">
        <f aca="false">IF($A128="N/A"," ",IF(U128&lt;&gt;0,IF('Pricing Inputs'!$AN$3=2,8*VLOOKUP($A128,NumberofDaysTable,4),(xSPRDOPT(N128,$E128,$BU128,0,$BP128,$BS128,$BT128,$A128-Inputs!$D$1,1,1))*(8*VLOOKUP($A128,NumberofDaysTable,4))),0))</f>
        <v> </v>
      </c>
      <c r="AC128" s="282" t="str">
        <f aca="false">IF($A128="N/A"," ",(IF(V128&lt;&gt;0,(8*VLOOKUP($A128,NumberofDaysTable,6)),0)))</f>
        <v> </v>
      </c>
      <c r="AD128" s="298" t="str">
        <f aca="false">IF($A128="N/A"," ",RANK(P128,$P$124:$V$135))</f>
        <v> </v>
      </c>
      <c r="AE128" s="299" t="str">
        <f aca="false">IF($A128="N/A"," ",RANK(Q128,$P$124:$V$135))</f>
        <v> </v>
      </c>
      <c r="AF128" s="299" t="str">
        <f aca="false">IF($A128="N/A"," ",RANK(R128,$P$124:$V$135))</f>
        <v> </v>
      </c>
      <c r="AG128" s="299" t="str">
        <f aca="false">IF($A128="N/A"," ",RANK(S128,$P$124:$V$135))</f>
        <v> </v>
      </c>
      <c r="AH128" s="299" t="str">
        <f aca="false">IF($A128="N/A"," ",RANK(T128,$P$124:$V$135))</f>
        <v> </v>
      </c>
      <c r="AI128" s="299" t="str">
        <f aca="false">IF($A128="N/A"," ",RANK(U128,$P$124:$V$135))</f>
        <v> </v>
      </c>
      <c r="AJ128" s="300" t="str">
        <f aca="false">IF($A128="N/A"," ",RANK(V128,$P$124:$V$135))</f>
        <v> </v>
      </c>
      <c r="AK128" s="286" t="str">
        <f aca="false">IF($A128="N/A"," ",IF(AD128&lt;=$AJ$2,W128,0))</f>
        <v> </v>
      </c>
      <c r="AL128" s="301" t="str">
        <f aca="false">IF($A128="N/A"," ",IF(AE128&lt;=$AJ$2,X128,0))</f>
        <v> </v>
      </c>
      <c r="AM128" s="301" t="str">
        <f aca="false">IF($A128="N/A"," ",IF(AF128&lt;=$AJ$2,Y128,0))</f>
        <v> </v>
      </c>
      <c r="AN128" s="301" t="str">
        <f aca="false">IF($A128="N/A"," ",IF(AG128&lt;=$AJ$2,Z128,0))</f>
        <v> </v>
      </c>
      <c r="AO128" s="301" t="str">
        <f aca="false">IF($A128="N/A"," ",IF(AH128&lt;=$AJ$2,AA128,0))</f>
        <v> </v>
      </c>
      <c r="AP128" s="301" t="str">
        <f aca="false">IF($A128="N/A"," ",IF(AI128&lt;=$AJ$2,AB128,0))</f>
        <v> </v>
      </c>
      <c r="AQ128" s="301" t="str">
        <f aca="false">IF($A128="N/A"," ",IF(AJ128&lt;=$AJ$2,AC128,0))</f>
        <v> </v>
      </c>
      <c r="AR128" s="300"/>
      <c r="AS128" s="288" t="str">
        <f aca="false">IF($A128="N/A"," ",IF(AND(AD128=$AJ$2+1,AK128=0),MIN($AR$135,W128),0))</f>
        <v> </v>
      </c>
      <c r="AT128" s="302" t="str">
        <f aca="false">IF($A128="N/A"," ",IF(AND(AE128=$AJ$2+1,AL128=0),MIN($AR$135,X128),0))</f>
        <v> </v>
      </c>
      <c r="AU128" s="302" t="str">
        <f aca="false">IF($A128="N/A"," ",IF(AND(AF128=$AJ$2+1,AM128=0),MIN($AR$135,Y128),0))</f>
        <v> </v>
      </c>
      <c r="AV128" s="302" t="str">
        <f aca="false">IF($A128="N/A"," ",IF(AND(AG128=$AJ$2+1,AN128=0),MIN($AR$135,Z128),0))</f>
        <v> </v>
      </c>
      <c r="AW128" s="302" t="str">
        <f aca="false">IF($A128="N/A"," ",IF(AND(AH128=$AJ$2+1,AO128=0),MIN($AR$135,AA128),0))</f>
        <v> </v>
      </c>
      <c r="AX128" s="302" t="str">
        <f aca="false">IF($A128="N/A"," ",IF(AND(AI128=$AJ$2+1,AP128=0),MIN($AR$135,AB128),0))</f>
        <v> </v>
      </c>
      <c r="AY128" s="302" t="str">
        <f aca="false">IF($A128="N/A"," ",IF(AND(AJ128=$AJ$2+1,AQ128=0),MIN($AR$135,AC128),0))</f>
        <v> </v>
      </c>
      <c r="AZ128" s="300"/>
      <c r="BA128" s="291" t="str">
        <f aca="false">IF($A128="N/A"," ",(IF(MONTH(A128)&gt;=4,IF(MONTH(A128)&lt;=10,Inputs!$F$13,Inputs!$F$14),Inputs!$F$14))*$BW128)</f>
        <v> </v>
      </c>
      <c r="BB128" s="292" t="str">
        <f aca="false">IF($A128="N/A"," ",(IF(AK128&gt;0,($BA128*(8*(VLOOKUP($A128,NumberofDaysTable,2)))*P128),0)+IF(AS128&gt;0,($BA128*((AS128))*P128),0)))</f>
        <v> </v>
      </c>
      <c r="BC128" s="292" t="str">
        <f aca="false">IF($A128="N/A"," ",(IF(AL128&gt;0,($BA128*(8*(VLOOKUP($A128,NumberofDaysTable,2)))*Q128),0)+IF(AT128&gt;0,($BA128*((AT128))*Q128),0)))</f>
        <v> </v>
      </c>
      <c r="BD128" s="292" t="str">
        <f aca="false">IF($A128="N/A"," ",(IF(AM128&gt;0,($BA128*(8*(VLOOKUP($A128,NumberofDaysTable,3)))*R128),0)+IF(AU128&gt;0,($BA128*((AU128))*R128),0)))</f>
        <v> </v>
      </c>
      <c r="BE128" s="292" t="str">
        <f aca="false">IF($A128="N/A"," ",(IF(AN128&gt;0,($BA128*(8*(VLOOKUP($A128,NumberofDaysTable,3)))*S128),0)+IF(AV128&gt;0,($BA128*((AV128))*S128),0)))</f>
        <v> </v>
      </c>
      <c r="BF128" s="292" t="str">
        <f aca="false">IF($A128="N/A"," ",(IF(AO128&gt;0,($BA128*(8*(VLOOKUP($A128,NumberofDaysTable,4)+VLOOKUP($A128,NumberofDaysTable,5)))*T128),0)+IF(AW128&gt;0,($BA128*((AW128))*T128),0)))</f>
        <v> </v>
      </c>
      <c r="BG128" s="292" t="str">
        <f aca="false">IF($A128="N/A"," ",(IF(AP128&gt;0,($BA128*(8*(VLOOKUP($A128,NumberofDaysTable,4)+VLOOKUP($A128,NumberofDaysTable,5)))*U128),0)+IF(AX128&gt;0,($BA128*((AX128))*U128),0)))</f>
        <v> </v>
      </c>
      <c r="BH128" s="292" t="str">
        <f aca="false">IF($A128="N/A"," ",($BA128*AQ128*V128))</f>
        <v> </v>
      </c>
      <c r="BI128" s="292" t="str">
        <f aca="false">IF($A128="N/A"," ",SUM(BB128:BH128))</f>
        <v> </v>
      </c>
      <c r="BJ128" s="293" t="str">
        <f aca="false">IF($A128="N/A"," ",(H128*(SUM(AK128:AQ128)+SUM(AS128:AY128))*BA128))</f>
        <v> </v>
      </c>
      <c r="BK128" s="293" t="str">
        <f aca="false">IF($A128="N/A"," ",((C128*D128)*(SUM($AK128:$AQ128)+SUM($AS128:$AY128))*$BA128))</f>
        <v> </v>
      </c>
      <c r="BL128" s="293" t="str">
        <f aca="false">IF($A128="N/A"," ",(F128*(SUM($AK128:$AQ128)+SUM($AS128:$AY128))*$BA128))</f>
        <v> </v>
      </c>
      <c r="BM128" s="293" t="str">
        <f aca="false">IF($A128="N/A"," ",(G128*(SUM($AK128:$AQ128)+SUM($AS128:$AY128))*$BA128))</f>
        <v> </v>
      </c>
      <c r="BN128" s="294" t="str">
        <f aca="false">IF(A128="N/A"," ",(VLOOKUP(A128,PowerVolTable,(IF('Pricing Inputs'!$AT$3=2,7,IF('Pricing Inputs'!$AT$3=1,6,8))),FALSE())))</f>
        <v> </v>
      </c>
      <c r="BO128" s="294" t="str">
        <f aca="false">IF(A128="N/A"," ",(VLOOKUP(A128,IntraPowerVol,(IF('Pricing Inputs'!$AT$3=2,3,IF('Pricing Inputs'!$AT$3=1,2,4))),FALSE())*VLOOKUP(MONTH($A128),Inputs!$A$28:$B$39,2)))</f>
        <v> </v>
      </c>
      <c r="BP128" s="295" t="str">
        <f aca="false">IF($A128="N/A"," ",(IF(DateToday&gt;$A128,$BO128,((($BN128^2)*((($A128-1)-DateToday)/((EOMONTH($A128,0)+1)-DateToday-15)))+((($BO128)^2)*((15)/((EOMONTH($A128,0)+1)-DateToday-15))))^0.5)))</f>
        <v> </v>
      </c>
      <c r="BQ128" s="294" t="str">
        <f aca="false">IF($A128="N/A"," ",(VLOOKUP($A128,GasVolTable,(IF('Pricing Inputs'!$AT$3=2,6,IF('Pricing Inputs'!$AT$3=1,7,5))),FALSE())))</f>
        <v> </v>
      </c>
      <c r="BR128" s="294" t="str">
        <f aca="false">IF($A128="N/A"," ",(VLOOKUP($A128,OmicronVol,(IF('Pricing Inputs'!$AT$3=2,3,IF('Pricing Inputs'!$AT$3=1,4,2))),FALSE())))</f>
        <v> </v>
      </c>
      <c r="BS128" s="295" t="str">
        <f aca="false">IF($A128="N/A"," ",IF('Pricing Inputs'!$AN$3=1,(IF(DateToday&gt;$A128,$BR128,((($BQ128^2)*((($A128-1)-DateToday)/((EOMONTH($A128,0)+1)-DateToday-15)))+((($BR128)^2)*((15)/((EOMONTH($A128,0)+1)-DateToday-15))))^0.5)),0.0001))</f>
        <v> </v>
      </c>
      <c r="BT128" s="294" t="str">
        <f aca="false">IF($A128="N/A"," ",IF('Pricing Inputs'!$AN$3=1,(VLOOKUP($A128,CorrelationTable,2,FALSE())),0))</f>
        <v> </v>
      </c>
      <c r="BU128" s="296" t="str">
        <f aca="false">IF($A128="N/A"," ",F128+G128+(D128*(VLOOKUP($A128,'Gas Curves'!$B$17:$P$310,14,FALSE()))))</f>
        <v> </v>
      </c>
      <c r="BV128" s="294" t="str">
        <f aca="false">IF($A128="N/A"," ",IF('Pricing Inputs'!$AW$3=1,0,(VLOOKUP($A128,InterestRatesTable,2))))</f>
        <v> </v>
      </c>
      <c r="BW128" s="297" t="str">
        <f aca="false">IF($A128="N/A"," ",(1+BV128/2)^(-2*((EOMONTH(A128,0)+20)-DateToday)/365.25))</f>
        <v> </v>
      </c>
    </row>
    <row r="129" customFormat="false" ht="12.75" hidden="false" customHeight="false" outlineLevel="0" collapsed="false">
      <c r="A129" s="272" t="str">
        <f aca="false">IF(A128="N/A","N/A",IF(EDATE(A128,1)&gt;Inputs!$K$3,"N/A",EDATE(A128,1)))</f>
        <v>N/A</v>
      </c>
      <c r="B129" s="273" t="str">
        <f aca="false">IF(A129="N/A"," ",YEAR(A129))</f>
        <v> </v>
      </c>
      <c r="C129" s="274" t="str">
        <f aca="false">IF(A129="N/A"," ",VLOOKUP(A129,ScaledPrice,10))</f>
        <v> </v>
      </c>
      <c r="D129" s="275" t="str">
        <f aca="false">IF(A129="N/A"," ",(VLOOKUP(MONTH($A129),Inputs!$A$14:$B$25,2))/1000)</f>
        <v> </v>
      </c>
      <c r="E129" s="276" t="str">
        <f aca="false">IF($A129="N/A"," ",C129*D129)</f>
        <v> </v>
      </c>
      <c r="F129" s="277" t="str">
        <f aca="false">IF(A129="N/A"," ",Inputs!$F$6)</f>
        <v> </v>
      </c>
      <c r="G129" s="277" t="str">
        <f aca="false">IF(A129="N/A"," ",Inputs!$F$9/IF(AND('Pricing Inputs'!$AQ$3&gt;=4,'Pricing Inputs'!$AQ$3&lt;=6),16,IF(AND('Pricing Inputs'!$AQ$3&gt;=7,'Pricing Inputs'!$AQ$3&lt;=9),8,24))/(BA129/BW129))</f>
        <v> </v>
      </c>
      <c r="H129" s="278" t="str">
        <f aca="false">IF(A129="N/A"," ",(C129*D129)+F129+G129)</f>
        <v> </v>
      </c>
      <c r="I129" s="279" t="str">
        <f aca="false">VLOOKUP(A129,ScaledPrice,(IF(AND('Pricing Inputs'!$AQ$3&gt;=1,'Pricing Inputs'!$AQ$3&lt;=6),2,4)))</f>
        <v> </v>
      </c>
      <c r="J129" s="279" t="str">
        <f aca="false">IF(A129="N/A"," ",IF(AND('Pricing Inputs'!$AQ$3&gt;=1,'Pricing Inputs'!$AQ$3&lt;=6),I129,(VLOOKUP(A129,ScaledPrice,2))*(2-(VLOOKUP(A129,ScaledPrice,3)))))</f>
        <v> </v>
      </c>
      <c r="K129" s="279" t="str">
        <f aca="false">IF(A129="N/A"," ",IF(OR('Pricing Inputs'!$AQ$3=2,'Pricing Inputs'!$AQ$3=3,'Pricing Inputs'!$AQ$3=5,'Pricing Inputs'!$AQ$3=6,'Pricing Inputs'!$AQ$3=8,'Pricing Inputs'!$AQ$3=9),VLOOKUP(A129,ScaledPrice,IF(AND('Pricing Inputs'!$AQ$3&gt;=2,'Pricing Inputs'!$AQ$3&lt;=6),5,6)),0))</f>
        <v> </v>
      </c>
      <c r="L129" s="279" t="str">
        <f aca="false">IF(A129="N/A"," ",IF(OR('Pricing Inputs'!$AQ$3=2,'Pricing Inputs'!$AQ$3=3,'Pricing Inputs'!$AQ$3=5,'Pricing Inputs'!$AQ$3=6,'Pricing Inputs'!$AQ$3=8,'Pricing Inputs'!$AQ$3=9),IF(AND('Pricing Inputs'!$AQ$3&gt;=2,'Pricing Inputs'!$AQ$3&lt;=6),K129,(VLOOKUP(A129,ScaledPrice,5))*(2-(VLOOKUP(A129,ScaledPrice,3)))),0))</f>
        <v> </v>
      </c>
      <c r="M129" s="279" t="str">
        <f aca="false">IF(A129="N/A"," ",IF(OR('Pricing Inputs'!$AQ$3=3,'Pricing Inputs'!$AQ$3=6,'Pricing Inputs'!$AQ$3=9),(VLOOKUP(A129,ScaledPrice,IF(AND('Pricing Inputs'!$AQ$3&gt;=3,'Pricing Inputs'!$AQ$3&lt;=6),7,8))),0))</f>
        <v> </v>
      </c>
      <c r="N129" s="279" t="str">
        <f aca="false">IF(A129="N/A"," ",IF(OR('Pricing Inputs'!$AQ$3=3,'Pricing Inputs'!$AQ$3=6,'Pricing Inputs'!$AQ$3=9),IF(AND('Pricing Inputs'!$AQ$3&gt;=3,'Pricing Inputs'!$AQ$3&lt;=6),M129,(VLOOKUP(A129,ScaledPrice,7))*(2-(VLOOKUP(A129,ScaledPrice,3)))),0))</f>
        <v> </v>
      </c>
      <c r="O129" s="279" t="str">
        <f aca="false">IF(A129="N/A"," ",IF(AND('Pricing Inputs'!$AQ$3&gt;=1,'Pricing Inputs'!$AQ$3&lt;=3),VLOOKUP(A129,ScaledPrice,9),0))</f>
        <v> </v>
      </c>
      <c r="P129" s="280" t="str">
        <f aca="false">IF($A129="N/A"," ",IF('Pricing Inputs'!$AN$8=2,(I129-H129),IF('Pricing Inputs'!$AN$3=2,IF((I129-$H129)&gt;0,I129-$H129,0),(xSPRDOPT(I129,$E129,$BU129,0,$BP129,$BS129,$BT129,($A129-Inputs!$D$1)+15,1,0)))))</f>
        <v> </v>
      </c>
      <c r="Q129" s="280" t="str">
        <f aca="false">IF($A129="N/A"," ",IF('Pricing Inputs'!$AN$8=2,(J129-$H129),IF('Pricing Inputs'!$AN$3=2,IF((J129-$H129)&gt;0,J129-$H129,0),(xSPRDOPT(J129,$E129,$BU129,0,$BP129,$BS129,$BT129,($A129-Inputs!$D$1)+15,1,0)))))</f>
        <v> </v>
      </c>
      <c r="R129" s="280" t="str">
        <f aca="false">IF($A129="N/A"," ",IF('Pricing Inputs'!$AN$8=2,(K129-$H129),IF('Pricing Inputs'!$AN$3=2,IF((K129-$H129)&gt;0,K129-$H129,0),(xSPRDOPT(K129,$E129,$BU129,0,$BP129,$BS129,$BT129,($A129-Inputs!$D$1)+15,1,0)))))</f>
        <v> </v>
      </c>
      <c r="S129" s="280" t="str">
        <f aca="false">IF($A129="N/A"," ",IF('Pricing Inputs'!$AN$8=2,(L129-$H129),IF('Pricing Inputs'!$AN$3=2,IF((L129-$H129)&gt;0,L129-$H129,0),(xSPRDOPT(L129,$E129,$BU129,0,$BP129,$BS129,$BT129,($A129-Inputs!$D$1)+15,1,0)))))</f>
        <v> </v>
      </c>
      <c r="T129" s="280" t="str">
        <f aca="false">IF($A129="N/A"," ",IF('Pricing Inputs'!$AN$8=2,(M129-$H129),IF('Pricing Inputs'!$AN$3=2,IF((M129-$H129)&gt;0,M129-$H129,0),(xSPRDOPT(M129,$E129,$BU129,0,$BP129,$BS129,$BT129,($A129-Inputs!$D$1)+15,1,0)))))</f>
        <v> </v>
      </c>
      <c r="U129" s="280" t="str">
        <f aca="false">IF($A129="N/A"," ",IF('Pricing Inputs'!$AN$8=2,(N129-$H129),IF('Pricing Inputs'!$AN$3=2,IF((N129-$H129)&gt;0,N129-$H129,0),(xSPRDOPT(N129,$E129,$BU129,0,$BP129,$BS129,$BT129,($A129-Inputs!$D$1)+15,1,0)))))</f>
        <v> </v>
      </c>
      <c r="V129" s="281" t="str">
        <f aca="false">IF($A129="N/A"," ",(IF('Pricing Inputs'!$AN$8=2,(O129-$H129),IF((O129-$H129)&lt;=0,0,(O129-$H129)))))</f>
        <v> </v>
      </c>
      <c r="W129" s="282" t="str">
        <f aca="false">IF($A129="N/A"," ",IF(0&lt;&gt;P129,IF('Pricing Inputs'!$AN$3=2,8*VLOOKUP($A129,NumberofDaysTable,2),(xSPRDOPT(I129,$E129,$BU129,0,$BP129,$BS129,$BT129,$A129-Inputs!$D$1,1,1))*(8*VLOOKUP($A129,NumberofDaysTable,2))),0))</f>
        <v> </v>
      </c>
      <c r="X129" s="282" t="str">
        <f aca="false">IF($A129="N/A"," ",IF(Q129&lt;&gt;0,IF('Pricing Inputs'!$AN$3=2,8*VLOOKUP($A129,NumberofDaysTable,2),(xSPRDOPT(J129,$E129,$BU129,0,$BP129,$BS129,$BT129,$A129-Inputs!$D$1,1,1))*(8*VLOOKUP($A129,NumberofDaysTable,2))),0))</f>
        <v> </v>
      </c>
      <c r="Y129" s="282" t="str">
        <f aca="false">IF($A129="N/A"," ",IF(R129&lt;&gt;0,IF('Pricing Inputs'!$AN$3=2,8*VLOOKUP($A129,NumberofDaysTable,3),(xSPRDOPT(K129,$E129,$BU129,0,$BP129,$BS129,$BT129,$A129-Inputs!$D$1,1,1))*(8*VLOOKUP($A129,NumberofDaysTable,3))),0))</f>
        <v> </v>
      </c>
      <c r="Z129" s="282" t="str">
        <f aca="false">IF($A129="N/A"," ",IF(S129&lt;&gt;0,IF('Pricing Inputs'!$AN$3=2,8*VLOOKUP($A129,NumberofDaysTable,3),(xSPRDOPT(L129,$E129,$BU129,0,$BP129,$BS129,$BT129,$A129-Inputs!$D$1,1,1))*(8*VLOOKUP($A129,NumberofDaysTable,3))),0))</f>
        <v> </v>
      </c>
      <c r="AA129" s="282" t="str">
        <f aca="false">IF($A129="N/A"," ",IF(T129&lt;&gt;0,IF('Pricing Inputs'!$AN$3=2,8*VLOOKUP($A129,NumberofDaysTable,4),(xSPRDOPT(M129,$E129,$BU129,0,$BP129,$BS129,$BT129,$A129-Inputs!$D$1,1,1))*(8*VLOOKUP($A129,NumberofDaysTable,4))),0))</f>
        <v> </v>
      </c>
      <c r="AB129" s="282" t="str">
        <f aca="false">IF($A129="N/A"," ",IF(U129&lt;&gt;0,IF('Pricing Inputs'!$AN$3=2,8*VLOOKUP($A129,NumberofDaysTable,4),(xSPRDOPT(N129,$E129,$BU129,0,$BP129,$BS129,$BT129,$A129-Inputs!$D$1,1,1))*(8*VLOOKUP($A129,NumberofDaysTable,4))),0))</f>
        <v> </v>
      </c>
      <c r="AC129" s="282" t="str">
        <f aca="false">IF($A129="N/A"," ",(IF(V129&lt;&gt;0,(8*VLOOKUP($A129,NumberofDaysTable,6)),0)))</f>
        <v> </v>
      </c>
      <c r="AD129" s="298" t="str">
        <f aca="false">IF($A129="N/A"," ",RANK(P129,$P$124:$V$135))</f>
        <v> </v>
      </c>
      <c r="AE129" s="299" t="str">
        <f aca="false">IF($A129="N/A"," ",RANK(Q129,$P$124:$V$135))</f>
        <v> </v>
      </c>
      <c r="AF129" s="299" t="str">
        <f aca="false">IF($A129="N/A"," ",RANK(R129,$P$124:$V$135))</f>
        <v> </v>
      </c>
      <c r="AG129" s="299" t="str">
        <f aca="false">IF($A129="N/A"," ",RANK(S129,$P$124:$V$135))</f>
        <v> </v>
      </c>
      <c r="AH129" s="299" t="str">
        <f aca="false">IF($A129="N/A"," ",RANK(T129,$P$124:$V$135))</f>
        <v> </v>
      </c>
      <c r="AI129" s="299" t="str">
        <f aca="false">IF($A129="N/A"," ",RANK(U129,$P$124:$V$135))</f>
        <v> </v>
      </c>
      <c r="AJ129" s="300" t="str">
        <f aca="false">IF($A129="N/A"," ",RANK(V129,$P$124:$V$135))</f>
        <v> </v>
      </c>
      <c r="AK129" s="286" t="str">
        <f aca="false">IF($A129="N/A"," ",IF(AD129&lt;=$AJ$2,W129,0))</f>
        <v> </v>
      </c>
      <c r="AL129" s="301" t="str">
        <f aca="false">IF($A129="N/A"," ",IF(AE129&lt;=$AJ$2,X129,0))</f>
        <v> </v>
      </c>
      <c r="AM129" s="301" t="str">
        <f aca="false">IF($A129="N/A"," ",IF(AF129&lt;=$AJ$2,Y129,0))</f>
        <v> </v>
      </c>
      <c r="AN129" s="301" t="str">
        <f aca="false">IF($A129="N/A"," ",IF(AG129&lt;=$AJ$2,Z129,0))</f>
        <v> </v>
      </c>
      <c r="AO129" s="301" t="str">
        <f aca="false">IF($A129="N/A"," ",IF(AH129&lt;=$AJ$2,AA129,0))</f>
        <v> </v>
      </c>
      <c r="AP129" s="301" t="str">
        <f aca="false">IF($A129="N/A"," ",IF(AI129&lt;=$AJ$2,AB129,0))</f>
        <v> </v>
      </c>
      <c r="AQ129" s="301" t="str">
        <f aca="false">IF($A129="N/A"," ",IF(AJ129&lt;=$AJ$2,AC129,0))</f>
        <v> </v>
      </c>
      <c r="AR129" s="300"/>
      <c r="AS129" s="288" t="str">
        <f aca="false">IF($A129="N/A"," ",IF(AND(AD129=$AJ$2+1,AK129=0),MIN($AR$135,W129),0))</f>
        <v> </v>
      </c>
      <c r="AT129" s="302" t="str">
        <f aca="false">IF($A129="N/A"," ",IF(AND(AE129=$AJ$2+1,AL129=0),MIN($AR$135,X129),0))</f>
        <v> </v>
      </c>
      <c r="AU129" s="302" t="str">
        <f aca="false">IF($A129="N/A"," ",IF(AND(AF129=$AJ$2+1,AM129=0),MIN($AR$135,Y129),0))</f>
        <v> </v>
      </c>
      <c r="AV129" s="302" t="str">
        <f aca="false">IF($A129="N/A"," ",IF(AND(AG129=$AJ$2+1,AN129=0),MIN($AR$135,Z129),0))</f>
        <v> </v>
      </c>
      <c r="AW129" s="302" t="str">
        <f aca="false">IF($A129="N/A"," ",IF(AND(AH129=$AJ$2+1,AO129=0),MIN($AR$135,AA129),0))</f>
        <v> </v>
      </c>
      <c r="AX129" s="302" t="str">
        <f aca="false">IF($A129="N/A"," ",IF(AND(AI129=$AJ$2+1,AP129=0),MIN($AR$135,AB129),0))</f>
        <v> </v>
      </c>
      <c r="AY129" s="302" t="str">
        <f aca="false">IF($A129="N/A"," ",IF(AND(AJ129=$AJ$2+1,AQ129=0),MIN($AR$135,AC129),0))</f>
        <v> </v>
      </c>
      <c r="AZ129" s="300"/>
      <c r="BA129" s="291" t="str">
        <f aca="false">IF($A129="N/A"," ",(IF(MONTH(A129)&gt;=4,IF(MONTH(A129)&lt;=10,Inputs!$F$13,Inputs!$F$14),Inputs!$F$14))*$BW129)</f>
        <v> </v>
      </c>
      <c r="BB129" s="292" t="str">
        <f aca="false">IF($A129="N/A"," ",(IF(AK129&gt;0,($BA129*(8*(VLOOKUP($A129,NumberofDaysTable,2)))*P129),0)+IF(AS129&gt;0,($BA129*((AS129))*P129),0)))</f>
        <v> </v>
      </c>
      <c r="BC129" s="292" t="str">
        <f aca="false">IF($A129="N/A"," ",(IF(AL129&gt;0,($BA129*(8*(VLOOKUP($A129,NumberofDaysTable,2)))*Q129),0)+IF(AT129&gt;0,($BA129*((AT129))*Q129),0)))</f>
        <v> </v>
      </c>
      <c r="BD129" s="292" t="str">
        <f aca="false">IF($A129="N/A"," ",(IF(AM129&gt;0,($BA129*(8*(VLOOKUP($A129,NumberofDaysTable,3)))*R129),0)+IF(AU129&gt;0,($BA129*((AU129))*R129),0)))</f>
        <v> </v>
      </c>
      <c r="BE129" s="292" t="str">
        <f aca="false">IF($A129="N/A"," ",(IF(AN129&gt;0,($BA129*(8*(VLOOKUP($A129,NumberofDaysTable,3)))*S129),0)+IF(AV129&gt;0,($BA129*((AV129))*S129),0)))</f>
        <v> </v>
      </c>
      <c r="BF129" s="292" t="str">
        <f aca="false">IF($A129="N/A"," ",(IF(AO129&gt;0,($BA129*(8*(VLOOKUP($A129,NumberofDaysTable,4)+VLOOKUP($A129,NumberofDaysTable,5)))*T129),0)+IF(AW129&gt;0,($BA129*((AW129))*T129),0)))</f>
        <v> </v>
      </c>
      <c r="BG129" s="292" t="str">
        <f aca="false">IF($A129="N/A"," ",(IF(AP129&gt;0,($BA129*(8*(VLOOKUP($A129,NumberofDaysTable,4)+VLOOKUP($A129,NumberofDaysTable,5)))*U129),0)+IF(AX129&gt;0,($BA129*((AX129))*U129),0)))</f>
        <v> </v>
      </c>
      <c r="BH129" s="292" t="str">
        <f aca="false">IF($A129="N/A"," ",($BA129*AQ129*V129))</f>
        <v> </v>
      </c>
      <c r="BI129" s="292" t="str">
        <f aca="false">IF($A129="N/A"," ",SUM(BB129:BH129))</f>
        <v> </v>
      </c>
      <c r="BJ129" s="293" t="str">
        <f aca="false">IF($A129="N/A"," ",(H129*(SUM(AK129:AQ129)+SUM(AS129:AY129))*BA129))</f>
        <v> </v>
      </c>
      <c r="BK129" s="293" t="str">
        <f aca="false">IF($A129="N/A"," ",((C129*D129)*(SUM($AK129:$AQ129)+SUM($AS129:$AY129))*$BA129))</f>
        <v> </v>
      </c>
      <c r="BL129" s="293" t="str">
        <f aca="false">IF($A129="N/A"," ",(F129*(SUM($AK129:$AQ129)+SUM($AS129:$AY129))*$BA129))</f>
        <v> </v>
      </c>
      <c r="BM129" s="293" t="str">
        <f aca="false">IF($A129="N/A"," ",(G129*(SUM($AK129:$AQ129)+SUM($AS129:$AY129))*$BA129))</f>
        <v> </v>
      </c>
      <c r="BN129" s="294" t="str">
        <f aca="false">IF(A129="N/A"," ",(VLOOKUP(A129,PowerVolTable,(IF('Pricing Inputs'!$AT$3=2,7,IF('Pricing Inputs'!$AT$3=1,6,8))),FALSE())))</f>
        <v> </v>
      </c>
      <c r="BO129" s="294" t="str">
        <f aca="false">IF(A129="N/A"," ",(VLOOKUP(A129,IntraPowerVol,(IF('Pricing Inputs'!$AT$3=2,3,IF('Pricing Inputs'!$AT$3=1,2,4))),FALSE())*VLOOKUP(MONTH($A129),Inputs!$A$28:$B$39,2)))</f>
        <v> </v>
      </c>
      <c r="BP129" s="295" t="str">
        <f aca="false">IF($A129="N/A"," ",(IF(DateToday&gt;$A129,$BO129,((($BN129^2)*((($A129-1)-DateToday)/((EOMONTH($A129,0)+1)-DateToday-15)))+((($BO129)^2)*((15)/((EOMONTH($A129,0)+1)-DateToday-15))))^0.5)))</f>
        <v> </v>
      </c>
      <c r="BQ129" s="294" t="str">
        <f aca="false">IF($A129="N/A"," ",(VLOOKUP($A129,GasVolTable,(IF('Pricing Inputs'!$AT$3=2,6,IF('Pricing Inputs'!$AT$3=1,7,5))),FALSE())))</f>
        <v> </v>
      </c>
      <c r="BR129" s="294" t="str">
        <f aca="false">IF($A129="N/A"," ",(VLOOKUP($A129,OmicronVol,(IF('Pricing Inputs'!$AT$3=2,3,IF('Pricing Inputs'!$AT$3=1,4,2))),FALSE())))</f>
        <v> </v>
      </c>
      <c r="BS129" s="295" t="str">
        <f aca="false">IF($A129="N/A"," ",IF('Pricing Inputs'!$AN$3=1,(IF(DateToday&gt;$A129,$BR129,((($BQ129^2)*((($A129-1)-DateToday)/((EOMONTH($A129,0)+1)-DateToday-15)))+((($BR129)^2)*((15)/((EOMONTH($A129,0)+1)-DateToday-15))))^0.5)),0.0001))</f>
        <v> </v>
      </c>
      <c r="BT129" s="294" t="str">
        <f aca="false">IF($A129="N/A"," ",IF('Pricing Inputs'!$AN$3=1,(VLOOKUP($A129,CorrelationTable,2,FALSE())),0))</f>
        <v> </v>
      </c>
      <c r="BU129" s="296" t="str">
        <f aca="false">IF($A129="N/A"," ",F129+G129+(D129*(VLOOKUP($A129,'Gas Curves'!$B$17:$P$310,14,FALSE()))))</f>
        <v> </v>
      </c>
      <c r="BV129" s="294" t="str">
        <f aca="false">IF($A129="N/A"," ",IF('Pricing Inputs'!$AW$3=1,0,(VLOOKUP($A129,InterestRatesTable,2))))</f>
        <v> </v>
      </c>
      <c r="BW129" s="297" t="str">
        <f aca="false">IF($A129="N/A"," ",(1+BV129/2)^(-2*((EOMONTH(A129,0)+20)-DateToday)/365.25))</f>
        <v> </v>
      </c>
    </row>
    <row r="130" customFormat="false" ht="12.75" hidden="false" customHeight="false" outlineLevel="0" collapsed="false">
      <c r="A130" s="272" t="str">
        <f aca="false">IF(A129="N/A","N/A",IF(EDATE(A129,1)&gt;Inputs!$K$3,"N/A",EDATE(A129,1)))</f>
        <v>N/A</v>
      </c>
      <c r="B130" s="273" t="str">
        <f aca="false">IF(A130="N/A"," ",YEAR(A130))</f>
        <v> </v>
      </c>
      <c r="C130" s="274" t="str">
        <f aca="false">IF(A130="N/A"," ",VLOOKUP(A130,ScaledPrice,10))</f>
        <v> </v>
      </c>
      <c r="D130" s="275" t="str">
        <f aca="false">IF(A130="N/A"," ",(VLOOKUP(MONTH($A130),Inputs!$A$14:$B$25,2))/1000)</f>
        <v> </v>
      </c>
      <c r="E130" s="276" t="str">
        <f aca="false">IF($A130="N/A"," ",C130*D130)</f>
        <v> </v>
      </c>
      <c r="F130" s="277" t="str">
        <f aca="false">IF(A130="N/A"," ",Inputs!$F$6)</f>
        <v> </v>
      </c>
      <c r="G130" s="277" t="str">
        <f aca="false">IF(A130="N/A"," ",Inputs!$F$9/IF(AND('Pricing Inputs'!$AQ$3&gt;=4,'Pricing Inputs'!$AQ$3&lt;=6),16,IF(AND('Pricing Inputs'!$AQ$3&gt;=7,'Pricing Inputs'!$AQ$3&lt;=9),8,24))/(BA130/BW130))</f>
        <v> </v>
      </c>
      <c r="H130" s="278" t="str">
        <f aca="false">IF(A130="N/A"," ",(C130*D130)+F130+G130)</f>
        <v> </v>
      </c>
      <c r="I130" s="279" t="str">
        <f aca="false">VLOOKUP(A130,ScaledPrice,(IF(AND('Pricing Inputs'!$AQ$3&gt;=1,'Pricing Inputs'!$AQ$3&lt;=6),2,4)))</f>
        <v> </v>
      </c>
      <c r="J130" s="279" t="str">
        <f aca="false">IF(A130="N/A"," ",IF(AND('Pricing Inputs'!$AQ$3&gt;=1,'Pricing Inputs'!$AQ$3&lt;=6),I130,(VLOOKUP(A130,ScaledPrice,2))*(2-(VLOOKUP(A130,ScaledPrice,3)))))</f>
        <v> </v>
      </c>
      <c r="K130" s="279" t="str">
        <f aca="false">IF(A130="N/A"," ",IF(OR('Pricing Inputs'!$AQ$3=2,'Pricing Inputs'!$AQ$3=3,'Pricing Inputs'!$AQ$3=5,'Pricing Inputs'!$AQ$3=6,'Pricing Inputs'!$AQ$3=8,'Pricing Inputs'!$AQ$3=9),VLOOKUP(A130,ScaledPrice,IF(AND('Pricing Inputs'!$AQ$3&gt;=2,'Pricing Inputs'!$AQ$3&lt;=6),5,6)),0))</f>
        <v> </v>
      </c>
      <c r="L130" s="279" t="str">
        <f aca="false">IF(A130="N/A"," ",IF(OR('Pricing Inputs'!$AQ$3=2,'Pricing Inputs'!$AQ$3=3,'Pricing Inputs'!$AQ$3=5,'Pricing Inputs'!$AQ$3=6,'Pricing Inputs'!$AQ$3=8,'Pricing Inputs'!$AQ$3=9),IF(AND('Pricing Inputs'!$AQ$3&gt;=2,'Pricing Inputs'!$AQ$3&lt;=6),K130,(VLOOKUP(A130,ScaledPrice,5))*(2-(VLOOKUP(A130,ScaledPrice,3)))),0))</f>
        <v> </v>
      </c>
      <c r="M130" s="279" t="str">
        <f aca="false">IF(A130="N/A"," ",IF(OR('Pricing Inputs'!$AQ$3=3,'Pricing Inputs'!$AQ$3=6,'Pricing Inputs'!$AQ$3=9),(VLOOKUP(A130,ScaledPrice,IF(AND('Pricing Inputs'!$AQ$3&gt;=3,'Pricing Inputs'!$AQ$3&lt;=6),7,8))),0))</f>
        <v> </v>
      </c>
      <c r="N130" s="279" t="str">
        <f aca="false">IF(A130="N/A"," ",IF(OR('Pricing Inputs'!$AQ$3=3,'Pricing Inputs'!$AQ$3=6,'Pricing Inputs'!$AQ$3=9),IF(AND('Pricing Inputs'!$AQ$3&gt;=3,'Pricing Inputs'!$AQ$3&lt;=6),M130,(VLOOKUP(A130,ScaledPrice,7))*(2-(VLOOKUP(A130,ScaledPrice,3)))),0))</f>
        <v> </v>
      </c>
      <c r="O130" s="279" t="str">
        <f aca="false">IF(A130="N/A"," ",IF(AND('Pricing Inputs'!$AQ$3&gt;=1,'Pricing Inputs'!$AQ$3&lt;=3),VLOOKUP(A130,ScaledPrice,9),0))</f>
        <v> </v>
      </c>
      <c r="P130" s="280" t="str">
        <f aca="false">IF($A130="N/A"," ",IF('Pricing Inputs'!$AN$8=2,(I130-H130),IF('Pricing Inputs'!$AN$3=2,IF((I130-$H130)&gt;0,I130-$H130,0),(xSPRDOPT(I130,$E130,$BU130,0,$BP130,$BS130,$BT130,($A130-Inputs!$D$1)+15,1,0)))))</f>
        <v> </v>
      </c>
      <c r="Q130" s="280" t="str">
        <f aca="false">IF($A130="N/A"," ",IF('Pricing Inputs'!$AN$8=2,(J130-$H130),IF('Pricing Inputs'!$AN$3=2,IF((J130-$H130)&gt;0,J130-$H130,0),(xSPRDOPT(J130,$E130,$BU130,0,$BP130,$BS130,$BT130,($A130-Inputs!$D$1)+15,1,0)))))</f>
        <v> </v>
      </c>
      <c r="R130" s="280" t="str">
        <f aca="false">IF($A130="N/A"," ",IF('Pricing Inputs'!$AN$8=2,(K130-$H130),IF('Pricing Inputs'!$AN$3=2,IF((K130-$H130)&gt;0,K130-$H130,0),(xSPRDOPT(K130,$E130,$BU130,0,$BP130,$BS130,$BT130,($A130-Inputs!$D$1)+15,1,0)))))</f>
        <v> </v>
      </c>
      <c r="S130" s="280" t="str">
        <f aca="false">IF($A130="N/A"," ",IF('Pricing Inputs'!$AN$8=2,(L130-$H130),IF('Pricing Inputs'!$AN$3=2,IF((L130-$H130)&gt;0,L130-$H130,0),(xSPRDOPT(L130,$E130,$BU130,0,$BP130,$BS130,$BT130,($A130-Inputs!$D$1)+15,1,0)))))</f>
        <v> </v>
      </c>
      <c r="T130" s="280" t="str">
        <f aca="false">IF($A130="N/A"," ",IF('Pricing Inputs'!$AN$8=2,(M130-$H130),IF('Pricing Inputs'!$AN$3=2,IF((M130-$H130)&gt;0,M130-$H130,0),(xSPRDOPT(M130,$E130,$BU130,0,$BP130,$BS130,$BT130,($A130-Inputs!$D$1)+15,1,0)))))</f>
        <v> </v>
      </c>
      <c r="U130" s="280" t="str">
        <f aca="false">IF($A130="N/A"," ",IF('Pricing Inputs'!$AN$8=2,(N130-$H130),IF('Pricing Inputs'!$AN$3=2,IF((N130-$H130)&gt;0,N130-$H130,0),(xSPRDOPT(N130,$E130,$BU130,0,$BP130,$BS130,$BT130,($A130-Inputs!$D$1)+15,1,0)))))</f>
        <v> </v>
      </c>
      <c r="V130" s="281" t="str">
        <f aca="false">IF($A130="N/A"," ",(IF('Pricing Inputs'!$AN$8=2,(O130-$H130),IF((O130-$H130)&lt;=0,0,(O130-$H130)))))</f>
        <v> </v>
      </c>
      <c r="W130" s="282" t="str">
        <f aca="false">IF($A130="N/A"," ",IF(0&lt;&gt;P130,IF('Pricing Inputs'!$AN$3=2,8*VLOOKUP($A130,NumberofDaysTable,2),(xSPRDOPT(I130,$E130,$BU130,0,$BP130,$BS130,$BT130,$A130-Inputs!$D$1,1,1))*(8*VLOOKUP($A130,NumberofDaysTable,2))),0))</f>
        <v> </v>
      </c>
      <c r="X130" s="282" t="str">
        <f aca="false">IF($A130="N/A"," ",IF(Q130&lt;&gt;0,IF('Pricing Inputs'!$AN$3=2,8*VLOOKUP($A130,NumberofDaysTable,2),(xSPRDOPT(J130,$E130,$BU130,0,$BP130,$BS130,$BT130,$A130-Inputs!$D$1,1,1))*(8*VLOOKUP($A130,NumberofDaysTable,2))),0))</f>
        <v> </v>
      </c>
      <c r="Y130" s="282" t="str">
        <f aca="false">IF($A130="N/A"," ",IF(R130&lt;&gt;0,IF('Pricing Inputs'!$AN$3=2,8*VLOOKUP($A130,NumberofDaysTable,3),(xSPRDOPT(K130,$E130,$BU130,0,$BP130,$BS130,$BT130,$A130-Inputs!$D$1,1,1))*(8*VLOOKUP($A130,NumberofDaysTable,3))),0))</f>
        <v> </v>
      </c>
      <c r="Z130" s="282" t="str">
        <f aca="false">IF($A130="N/A"," ",IF(S130&lt;&gt;0,IF('Pricing Inputs'!$AN$3=2,8*VLOOKUP($A130,NumberofDaysTable,3),(xSPRDOPT(L130,$E130,$BU130,0,$BP130,$BS130,$BT130,$A130-Inputs!$D$1,1,1))*(8*VLOOKUP($A130,NumberofDaysTable,3))),0))</f>
        <v> </v>
      </c>
      <c r="AA130" s="282" t="str">
        <f aca="false">IF($A130="N/A"," ",IF(T130&lt;&gt;0,IF('Pricing Inputs'!$AN$3=2,8*VLOOKUP($A130,NumberofDaysTable,4),(xSPRDOPT(M130,$E130,$BU130,0,$BP130,$BS130,$BT130,$A130-Inputs!$D$1,1,1))*(8*VLOOKUP($A130,NumberofDaysTable,4))),0))</f>
        <v> </v>
      </c>
      <c r="AB130" s="282" t="str">
        <f aca="false">IF($A130="N/A"," ",IF(U130&lt;&gt;0,IF('Pricing Inputs'!$AN$3=2,8*VLOOKUP($A130,NumberofDaysTable,4),(xSPRDOPT(N130,$E130,$BU130,0,$BP130,$BS130,$BT130,$A130-Inputs!$D$1,1,1))*(8*VLOOKUP($A130,NumberofDaysTable,4))),0))</f>
        <v> </v>
      </c>
      <c r="AC130" s="282" t="str">
        <f aca="false">IF($A130="N/A"," ",(IF(V130&lt;&gt;0,(8*VLOOKUP($A130,NumberofDaysTable,6)),0)))</f>
        <v> </v>
      </c>
      <c r="AD130" s="298" t="str">
        <f aca="false">IF($A130="N/A"," ",RANK(P130,$P$124:$V$135))</f>
        <v> </v>
      </c>
      <c r="AE130" s="299" t="str">
        <f aca="false">IF($A130="N/A"," ",RANK(Q130,$P$124:$V$135))</f>
        <v> </v>
      </c>
      <c r="AF130" s="299" t="str">
        <f aca="false">IF($A130="N/A"," ",RANK(R130,$P$124:$V$135))</f>
        <v> </v>
      </c>
      <c r="AG130" s="299" t="str">
        <f aca="false">IF($A130="N/A"," ",RANK(S130,$P$124:$V$135))</f>
        <v> </v>
      </c>
      <c r="AH130" s="299" t="str">
        <f aca="false">IF($A130="N/A"," ",RANK(T130,$P$124:$V$135))</f>
        <v> </v>
      </c>
      <c r="AI130" s="299" t="str">
        <f aca="false">IF($A130="N/A"," ",RANK(U130,$P$124:$V$135))</f>
        <v> </v>
      </c>
      <c r="AJ130" s="300" t="str">
        <f aca="false">IF($A130="N/A"," ",RANK(V130,$P$124:$V$135))</f>
        <v> </v>
      </c>
      <c r="AK130" s="286" t="str">
        <f aca="false">IF($A130="N/A"," ",IF(AD130&lt;=$AJ$2,W130,0))</f>
        <v> </v>
      </c>
      <c r="AL130" s="301" t="str">
        <f aca="false">IF($A130="N/A"," ",IF(AE130&lt;=$AJ$2,X130,0))</f>
        <v> </v>
      </c>
      <c r="AM130" s="301" t="str">
        <f aca="false">IF($A130="N/A"," ",IF(AF130&lt;=$AJ$2,Y130,0))</f>
        <v> </v>
      </c>
      <c r="AN130" s="301" t="str">
        <f aca="false">IF($A130="N/A"," ",IF(AG130&lt;=$AJ$2,Z130,0))</f>
        <v> </v>
      </c>
      <c r="AO130" s="301" t="str">
        <f aca="false">IF($A130="N/A"," ",IF(AH130&lt;=$AJ$2,AA130,0))</f>
        <v> </v>
      </c>
      <c r="AP130" s="301" t="str">
        <f aca="false">IF($A130="N/A"," ",IF(AI130&lt;=$AJ$2,AB130,0))</f>
        <v> </v>
      </c>
      <c r="AQ130" s="301" t="str">
        <f aca="false">IF($A130="N/A"," ",IF(AJ130&lt;=$AJ$2,AC130,0))</f>
        <v> </v>
      </c>
      <c r="AR130" s="300"/>
      <c r="AS130" s="288" t="str">
        <f aca="false">IF($A130="N/A"," ",IF(AND(AD130=$AJ$2+1,AK130=0),MIN($AR$135,W130),0))</f>
        <v> </v>
      </c>
      <c r="AT130" s="302" t="str">
        <f aca="false">IF($A130="N/A"," ",IF(AND(AE130=$AJ$2+1,AL130=0),MIN($AR$135,X130),0))</f>
        <v> </v>
      </c>
      <c r="AU130" s="302" t="str">
        <f aca="false">IF($A130="N/A"," ",IF(AND(AF130=$AJ$2+1,AM130=0),MIN($AR$135,Y130),0))</f>
        <v> </v>
      </c>
      <c r="AV130" s="302" t="str">
        <f aca="false">IF($A130="N/A"," ",IF(AND(AG130=$AJ$2+1,AN130=0),MIN($AR$135,Z130),0))</f>
        <v> </v>
      </c>
      <c r="AW130" s="302" t="str">
        <f aca="false">IF($A130="N/A"," ",IF(AND(AH130=$AJ$2+1,AO130=0),MIN($AR$135,AA130),0))</f>
        <v> </v>
      </c>
      <c r="AX130" s="302" t="str">
        <f aca="false">IF($A130="N/A"," ",IF(AND(AI130=$AJ$2+1,AP130=0),MIN($AR$135,AB130),0))</f>
        <v> </v>
      </c>
      <c r="AY130" s="302" t="str">
        <f aca="false">IF($A130="N/A"," ",IF(AND(AJ130=$AJ$2+1,AQ130=0),MIN($AR$135,AC130),0))</f>
        <v> </v>
      </c>
      <c r="AZ130" s="300"/>
      <c r="BA130" s="291" t="str">
        <f aca="false">IF($A130="N/A"," ",(IF(MONTH(A130)&gt;=4,IF(MONTH(A130)&lt;=10,Inputs!$F$13,Inputs!$F$14),Inputs!$F$14))*$BW130)</f>
        <v> </v>
      </c>
      <c r="BB130" s="292" t="str">
        <f aca="false">IF($A130="N/A"," ",(IF(AK130&gt;0,($BA130*(8*(VLOOKUP($A130,NumberofDaysTable,2)))*P130),0)+IF(AS130&gt;0,($BA130*((AS130))*P130),0)))</f>
        <v> </v>
      </c>
      <c r="BC130" s="292" t="str">
        <f aca="false">IF($A130="N/A"," ",(IF(AL130&gt;0,($BA130*(8*(VLOOKUP($A130,NumberofDaysTable,2)))*Q130),0)+IF(AT130&gt;0,($BA130*((AT130))*Q130),0)))</f>
        <v> </v>
      </c>
      <c r="BD130" s="292" t="str">
        <f aca="false">IF($A130="N/A"," ",(IF(AM130&gt;0,($BA130*(8*(VLOOKUP($A130,NumberofDaysTable,3)))*R130),0)+IF(AU130&gt;0,($BA130*((AU130))*R130),0)))</f>
        <v> </v>
      </c>
      <c r="BE130" s="292" t="str">
        <f aca="false">IF($A130="N/A"," ",(IF(AN130&gt;0,($BA130*(8*(VLOOKUP($A130,NumberofDaysTable,3)))*S130),0)+IF(AV130&gt;0,($BA130*((AV130))*S130),0)))</f>
        <v> </v>
      </c>
      <c r="BF130" s="292" t="str">
        <f aca="false">IF($A130="N/A"," ",(IF(AO130&gt;0,($BA130*(8*(VLOOKUP($A130,NumberofDaysTable,4)+VLOOKUP($A130,NumberofDaysTable,5)))*T130),0)+IF(AW130&gt;0,($BA130*((AW130))*T130),0)))</f>
        <v> </v>
      </c>
      <c r="BG130" s="292" t="str">
        <f aca="false">IF($A130="N/A"," ",(IF(AP130&gt;0,($BA130*(8*(VLOOKUP($A130,NumberofDaysTable,4)+VLOOKUP($A130,NumberofDaysTable,5)))*U130),0)+IF(AX130&gt;0,($BA130*((AX130))*U130),0)))</f>
        <v> </v>
      </c>
      <c r="BH130" s="292" t="str">
        <f aca="false">IF($A130="N/A"," ",($BA130*AQ130*V130))</f>
        <v> </v>
      </c>
      <c r="BI130" s="292" t="str">
        <f aca="false">IF($A130="N/A"," ",SUM(BB130:BH130))</f>
        <v> </v>
      </c>
      <c r="BJ130" s="293" t="str">
        <f aca="false">IF($A130="N/A"," ",(H130*(SUM(AK130:AQ130)+SUM(AS130:AY130))*BA130))</f>
        <v> </v>
      </c>
      <c r="BK130" s="293" t="str">
        <f aca="false">IF($A130="N/A"," ",((C130*D130)*(SUM($AK130:$AQ130)+SUM($AS130:$AY130))*$BA130))</f>
        <v> </v>
      </c>
      <c r="BL130" s="293" t="str">
        <f aca="false">IF($A130="N/A"," ",(F130*(SUM($AK130:$AQ130)+SUM($AS130:$AY130))*$BA130))</f>
        <v> </v>
      </c>
      <c r="BM130" s="293" t="str">
        <f aca="false">IF($A130="N/A"," ",(G130*(SUM($AK130:$AQ130)+SUM($AS130:$AY130))*$BA130))</f>
        <v> </v>
      </c>
      <c r="BN130" s="294" t="str">
        <f aca="false">IF(A130="N/A"," ",(VLOOKUP(A130,PowerVolTable,(IF('Pricing Inputs'!$AT$3=2,7,IF('Pricing Inputs'!$AT$3=1,6,8))),FALSE())))</f>
        <v> </v>
      </c>
      <c r="BO130" s="294" t="str">
        <f aca="false">IF(A130="N/A"," ",(VLOOKUP(A130,IntraPowerVol,(IF('Pricing Inputs'!$AT$3=2,3,IF('Pricing Inputs'!$AT$3=1,2,4))),FALSE())*VLOOKUP(MONTH($A130),Inputs!$A$28:$B$39,2)))</f>
        <v> </v>
      </c>
      <c r="BP130" s="295" t="str">
        <f aca="false">IF($A130="N/A"," ",(IF(DateToday&gt;$A130,$BO130,((($BN130^2)*((($A130-1)-DateToday)/((EOMONTH($A130,0)+1)-DateToday-15)))+((($BO130)^2)*((15)/((EOMONTH($A130,0)+1)-DateToday-15))))^0.5)))</f>
        <v> </v>
      </c>
      <c r="BQ130" s="294" t="str">
        <f aca="false">IF($A130="N/A"," ",(VLOOKUP($A130,GasVolTable,(IF('Pricing Inputs'!$AT$3=2,6,IF('Pricing Inputs'!$AT$3=1,7,5))),FALSE())))</f>
        <v> </v>
      </c>
      <c r="BR130" s="294" t="str">
        <f aca="false">IF($A130="N/A"," ",(VLOOKUP($A130,OmicronVol,(IF('Pricing Inputs'!$AT$3=2,3,IF('Pricing Inputs'!$AT$3=1,4,2))),FALSE())))</f>
        <v> </v>
      </c>
      <c r="BS130" s="295" t="str">
        <f aca="false">IF($A130="N/A"," ",IF('Pricing Inputs'!$AN$3=1,(IF(DateToday&gt;$A130,$BR130,((($BQ130^2)*((($A130-1)-DateToday)/((EOMONTH($A130,0)+1)-DateToday-15)))+((($BR130)^2)*((15)/((EOMONTH($A130,0)+1)-DateToday-15))))^0.5)),0.0001))</f>
        <v> </v>
      </c>
      <c r="BT130" s="294" t="str">
        <f aca="false">IF($A130="N/A"," ",IF('Pricing Inputs'!$AN$3=1,(VLOOKUP($A130,CorrelationTable,2,FALSE())),0))</f>
        <v> </v>
      </c>
      <c r="BU130" s="296" t="str">
        <f aca="false">IF($A130="N/A"," ",F130+G130+(D130*(VLOOKUP($A130,'Gas Curves'!$B$17:$P$310,14,FALSE()))))</f>
        <v> </v>
      </c>
      <c r="BV130" s="294" t="str">
        <f aca="false">IF($A130="N/A"," ",IF('Pricing Inputs'!$AW$3=1,0,(VLOOKUP($A130,InterestRatesTable,2))))</f>
        <v> </v>
      </c>
      <c r="BW130" s="297" t="str">
        <f aca="false">IF($A130="N/A"," ",(1+BV130/2)^(-2*((EOMONTH(A130,0)+20)-DateToday)/365.25))</f>
        <v> </v>
      </c>
    </row>
    <row r="131" customFormat="false" ht="12.75" hidden="false" customHeight="false" outlineLevel="0" collapsed="false">
      <c r="A131" s="272" t="str">
        <f aca="false">IF(A130="N/A","N/A",IF(EDATE(A130,1)&gt;Inputs!$K$3,"N/A",EDATE(A130,1)))</f>
        <v>N/A</v>
      </c>
      <c r="B131" s="273" t="str">
        <f aca="false">IF(A131="N/A"," ",YEAR(A131))</f>
        <v> </v>
      </c>
      <c r="C131" s="274" t="str">
        <f aca="false">IF(A131="N/A"," ",VLOOKUP(A131,ScaledPrice,10))</f>
        <v> </v>
      </c>
      <c r="D131" s="275" t="str">
        <f aca="false">IF(A131="N/A"," ",(VLOOKUP(MONTH($A131),Inputs!$A$14:$B$25,2))/1000)</f>
        <v> </v>
      </c>
      <c r="E131" s="276" t="str">
        <f aca="false">IF($A131="N/A"," ",C131*D131)</f>
        <v> </v>
      </c>
      <c r="F131" s="277" t="str">
        <f aca="false">IF(A131="N/A"," ",Inputs!$F$6)</f>
        <v> </v>
      </c>
      <c r="G131" s="277" t="str">
        <f aca="false">IF(A131="N/A"," ",Inputs!$F$9/IF(AND('Pricing Inputs'!$AQ$3&gt;=4,'Pricing Inputs'!$AQ$3&lt;=6),16,IF(AND('Pricing Inputs'!$AQ$3&gt;=7,'Pricing Inputs'!$AQ$3&lt;=9),8,24))/(BA131/BW131))</f>
        <v> </v>
      </c>
      <c r="H131" s="278" t="str">
        <f aca="false">IF(A131="N/A"," ",(C131*D131)+F131+G131)</f>
        <v> </v>
      </c>
      <c r="I131" s="279" t="str">
        <f aca="false">VLOOKUP(A131,ScaledPrice,(IF(AND('Pricing Inputs'!$AQ$3&gt;=1,'Pricing Inputs'!$AQ$3&lt;=6),2,4)))</f>
        <v> </v>
      </c>
      <c r="J131" s="279" t="str">
        <f aca="false">IF(A131="N/A"," ",IF(AND('Pricing Inputs'!$AQ$3&gt;=1,'Pricing Inputs'!$AQ$3&lt;=6),I131,(VLOOKUP(A131,ScaledPrice,2))*(2-(VLOOKUP(A131,ScaledPrice,3)))))</f>
        <v> </v>
      </c>
      <c r="K131" s="279" t="str">
        <f aca="false">IF(A131="N/A"," ",IF(OR('Pricing Inputs'!$AQ$3=2,'Pricing Inputs'!$AQ$3=3,'Pricing Inputs'!$AQ$3=5,'Pricing Inputs'!$AQ$3=6,'Pricing Inputs'!$AQ$3=8,'Pricing Inputs'!$AQ$3=9),VLOOKUP(A131,ScaledPrice,IF(AND('Pricing Inputs'!$AQ$3&gt;=2,'Pricing Inputs'!$AQ$3&lt;=6),5,6)),0))</f>
        <v> </v>
      </c>
      <c r="L131" s="279" t="str">
        <f aca="false">IF(A131="N/A"," ",IF(OR('Pricing Inputs'!$AQ$3=2,'Pricing Inputs'!$AQ$3=3,'Pricing Inputs'!$AQ$3=5,'Pricing Inputs'!$AQ$3=6,'Pricing Inputs'!$AQ$3=8,'Pricing Inputs'!$AQ$3=9),IF(AND('Pricing Inputs'!$AQ$3&gt;=2,'Pricing Inputs'!$AQ$3&lt;=6),K131,(VLOOKUP(A131,ScaledPrice,5))*(2-(VLOOKUP(A131,ScaledPrice,3)))),0))</f>
        <v> </v>
      </c>
      <c r="M131" s="279" t="str">
        <f aca="false">IF(A131="N/A"," ",IF(OR('Pricing Inputs'!$AQ$3=3,'Pricing Inputs'!$AQ$3=6,'Pricing Inputs'!$AQ$3=9),(VLOOKUP(A131,ScaledPrice,IF(AND('Pricing Inputs'!$AQ$3&gt;=3,'Pricing Inputs'!$AQ$3&lt;=6),7,8))),0))</f>
        <v> </v>
      </c>
      <c r="N131" s="279" t="str">
        <f aca="false">IF(A131="N/A"," ",IF(OR('Pricing Inputs'!$AQ$3=3,'Pricing Inputs'!$AQ$3=6,'Pricing Inputs'!$AQ$3=9),IF(AND('Pricing Inputs'!$AQ$3&gt;=3,'Pricing Inputs'!$AQ$3&lt;=6),M131,(VLOOKUP(A131,ScaledPrice,7))*(2-(VLOOKUP(A131,ScaledPrice,3)))),0))</f>
        <v> </v>
      </c>
      <c r="O131" s="279" t="str">
        <f aca="false">IF(A131="N/A"," ",IF(AND('Pricing Inputs'!$AQ$3&gt;=1,'Pricing Inputs'!$AQ$3&lt;=3),VLOOKUP(A131,ScaledPrice,9),0))</f>
        <v> </v>
      </c>
      <c r="P131" s="280" t="str">
        <f aca="false">IF($A131="N/A"," ",IF('Pricing Inputs'!$AN$8=2,(I131-H131),IF('Pricing Inputs'!$AN$3=2,IF((I131-$H131)&gt;0,I131-$H131,0),(xSPRDOPT(I131,$E131,$BU131,0,$BP131,$BS131,$BT131,($A131-Inputs!$D$1)+15,1,0)))))</f>
        <v> </v>
      </c>
      <c r="Q131" s="280" t="str">
        <f aca="false">IF($A131="N/A"," ",IF('Pricing Inputs'!$AN$8=2,(J131-$H131),IF('Pricing Inputs'!$AN$3=2,IF((J131-$H131)&gt;0,J131-$H131,0),(xSPRDOPT(J131,$E131,$BU131,0,$BP131,$BS131,$BT131,($A131-Inputs!$D$1)+15,1,0)))))</f>
        <v> </v>
      </c>
      <c r="R131" s="280" t="str">
        <f aca="false">IF($A131="N/A"," ",IF('Pricing Inputs'!$AN$8=2,(K131-$H131),IF('Pricing Inputs'!$AN$3=2,IF((K131-$H131)&gt;0,K131-$H131,0),(xSPRDOPT(K131,$E131,$BU131,0,$BP131,$BS131,$BT131,($A131-Inputs!$D$1)+15,1,0)))))</f>
        <v> </v>
      </c>
      <c r="S131" s="280" t="str">
        <f aca="false">IF($A131="N/A"," ",IF('Pricing Inputs'!$AN$8=2,(L131-$H131),IF('Pricing Inputs'!$AN$3=2,IF((L131-$H131)&gt;0,L131-$H131,0),(xSPRDOPT(L131,$E131,$BU131,0,$BP131,$BS131,$BT131,($A131-Inputs!$D$1)+15,1,0)))))</f>
        <v> </v>
      </c>
      <c r="T131" s="280" t="str">
        <f aca="false">IF($A131="N/A"," ",IF('Pricing Inputs'!$AN$8=2,(M131-$H131),IF('Pricing Inputs'!$AN$3=2,IF((M131-$H131)&gt;0,M131-$H131,0),(xSPRDOPT(M131,$E131,$BU131,0,$BP131,$BS131,$BT131,($A131-Inputs!$D$1)+15,1,0)))))</f>
        <v> </v>
      </c>
      <c r="U131" s="280" t="str">
        <f aca="false">IF($A131="N/A"," ",IF('Pricing Inputs'!$AN$8=2,(N131-$H131),IF('Pricing Inputs'!$AN$3=2,IF((N131-$H131)&gt;0,N131-$H131,0),(xSPRDOPT(N131,$E131,$BU131,0,$BP131,$BS131,$BT131,($A131-Inputs!$D$1)+15,1,0)))))</f>
        <v> </v>
      </c>
      <c r="V131" s="281" t="str">
        <f aca="false">IF($A131="N/A"," ",(IF('Pricing Inputs'!$AN$8=2,(O131-$H131),IF((O131-$H131)&lt;=0,0,(O131-$H131)))))</f>
        <v> </v>
      </c>
      <c r="W131" s="282" t="str">
        <f aca="false">IF($A131="N/A"," ",IF(0&lt;&gt;P131,IF('Pricing Inputs'!$AN$3=2,8*VLOOKUP($A131,NumberofDaysTable,2),(xSPRDOPT(I131,$E131,$BU131,0,$BP131,$BS131,$BT131,$A131-Inputs!$D$1,1,1))*(8*VLOOKUP($A131,NumberofDaysTable,2))),0))</f>
        <v> </v>
      </c>
      <c r="X131" s="282" t="str">
        <f aca="false">IF($A131="N/A"," ",IF(Q131&lt;&gt;0,IF('Pricing Inputs'!$AN$3=2,8*VLOOKUP($A131,NumberofDaysTable,2),(xSPRDOPT(J131,$E131,$BU131,0,$BP131,$BS131,$BT131,$A131-Inputs!$D$1,1,1))*(8*VLOOKUP($A131,NumberofDaysTable,2))),0))</f>
        <v> </v>
      </c>
      <c r="Y131" s="282" t="str">
        <f aca="false">IF($A131="N/A"," ",IF(R131&lt;&gt;0,IF('Pricing Inputs'!$AN$3=2,8*VLOOKUP($A131,NumberofDaysTable,3),(xSPRDOPT(K131,$E131,$BU131,0,$BP131,$BS131,$BT131,$A131-Inputs!$D$1,1,1))*(8*VLOOKUP($A131,NumberofDaysTable,3))),0))</f>
        <v> </v>
      </c>
      <c r="Z131" s="282" t="str">
        <f aca="false">IF($A131="N/A"," ",IF(S131&lt;&gt;0,IF('Pricing Inputs'!$AN$3=2,8*VLOOKUP($A131,NumberofDaysTable,3),(xSPRDOPT(L131,$E131,$BU131,0,$BP131,$BS131,$BT131,$A131-Inputs!$D$1,1,1))*(8*VLOOKUP($A131,NumberofDaysTable,3))),0))</f>
        <v> </v>
      </c>
      <c r="AA131" s="282" t="str">
        <f aca="false">IF($A131="N/A"," ",IF(T131&lt;&gt;0,IF('Pricing Inputs'!$AN$3=2,8*VLOOKUP($A131,NumberofDaysTable,4),(xSPRDOPT(M131,$E131,$BU131,0,$BP131,$BS131,$BT131,$A131-Inputs!$D$1,1,1))*(8*VLOOKUP($A131,NumberofDaysTable,4))),0))</f>
        <v> </v>
      </c>
      <c r="AB131" s="282" t="str">
        <f aca="false">IF($A131="N/A"," ",IF(U131&lt;&gt;0,IF('Pricing Inputs'!$AN$3=2,8*VLOOKUP($A131,NumberofDaysTable,4),(xSPRDOPT(N131,$E131,$BU131,0,$BP131,$BS131,$BT131,$A131-Inputs!$D$1,1,1))*(8*VLOOKUP($A131,NumberofDaysTable,4))),0))</f>
        <v> </v>
      </c>
      <c r="AC131" s="282" t="str">
        <f aca="false">IF($A131="N/A"," ",(IF(V131&lt;&gt;0,(8*VLOOKUP($A131,NumberofDaysTable,6)),0)))</f>
        <v> </v>
      </c>
      <c r="AD131" s="298" t="str">
        <f aca="false">IF($A131="N/A"," ",RANK(P131,$P$124:$V$135))</f>
        <v> </v>
      </c>
      <c r="AE131" s="299" t="str">
        <f aca="false">IF($A131="N/A"," ",RANK(Q131,$P$124:$V$135))</f>
        <v> </v>
      </c>
      <c r="AF131" s="299" t="str">
        <f aca="false">IF($A131="N/A"," ",RANK(R131,$P$124:$V$135))</f>
        <v> </v>
      </c>
      <c r="AG131" s="299" t="str">
        <f aca="false">IF($A131="N/A"," ",RANK(S131,$P$124:$V$135))</f>
        <v> </v>
      </c>
      <c r="AH131" s="299" t="str">
        <f aca="false">IF($A131="N/A"," ",RANK(T131,$P$124:$V$135))</f>
        <v> </v>
      </c>
      <c r="AI131" s="299" t="str">
        <f aca="false">IF($A131="N/A"," ",RANK(U131,$P$124:$V$135))</f>
        <v> </v>
      </c>
      <c r="AJ131" s="300" t="str">
        <f aca="false">IF($A131="N/A"," ",RANK(V131,$P$124:$V$135))</f>
        <v> </v>
      </c>
      <c r="AK131" s="286" t="str">
        <f aca="false">IF($A131="N/A"," ",IF(AD131&lt;=$AJ$2,W131,0))</f>
        <v> </v>
      </c>
      <c r="AL131" s="301" t="str">
        <f aca="false">IF($A131="N/A"," ",IF(AE131&lt;=$AJ$2,X131,0))</f>
        <v> </v>
      </c>
      <c r="AM131" s="301" t="str">
        <f aca="false">IF($A131="N/A"," ",IF(AF131&lt;=$AJ$2,Y131,0))</f>
        <v> </v>
      </c>
      <c r="AN131" s="301" t="str">
        <f aca="false">IF($A131="N/A"," ",IF(AG131&lt;=$AJ$2,Z131,0))</f>
        <v> </v>
      </c>
      <c r="AO131" s="301" t="str">
        <f aca="false">IF($A131="N/A"," ",IF(AH131&lt;=$AJ$2,AA131,0))</f>
        <v> </v>
      </c>
      <c r="AP131" s="301" t="str">
        <f aca="false">IF($A131="N/A"," ",IF(AI131&lt;=$AJ$2,AB131,0))</f>
        <v> </v>
      </c>
      <c r="AQ131" s="301" t="str">
        <f aca="false">IF($A131="N/A"," ",IF(AJ131&lt;=$AJ$2,AC131,0))</f>
        <v> </v>
      </c>
      <c r="AR131" s="300"/>
      <c r="AS131" s="288" t="str">
        <f aca="false">IF($A131="N/A"," ",IF(AND(AD131=$AJ$2+1,AK131=0),MIN($AR$135,W131),0))</f>
        <v> </v>
      </c>
      <c r="AT131" s="302" t="str">
        <f aca="false">IF($A131="N/A"," ",IF(AND(AE131=$AJ$2+1,AL131=0),MIN($AR$135,X131),0))</f>
        <v> </v>
      </c>
      <c r="AU131" s="302" t="str">
        <f aca="false">IF($A131="N/A"," ",IF(AND(AF131=$AJ$2+1,AM131=0),MIN($AR$135,Y131),0))</f>
        <v> </v>
      </c>
      <c r="AV131" s="302" t="str">
        <f aca="false">IF($A131="N/A"," ",IF(AND(AG131=$AJ$2+1,AN131=0),MIN($AR$135,Z131),0))</f>
        <v> </v>
      </c>
      <c r="AW131" s="302" t="str">
        <f aca="false">IF($A131="N/A"," ",IF(AND(AH131=$AJ$2+1,AO131=0),MIN($AR$135,AA131),0))</f>
        <v> </v>
      </c>
      <c r="AX131" s="302" t="str">
        <f aca="false">IF($A131="N/A"," ",IF(AND(AI131=$AJ$2+1,AP131=0),MIN($AR$135,AB131),0))</f>
        <v> </v>
      </c>
      <c r="AY131" s="302" t="str">
        <f aca="false">IF($A131="N/A"," ",IF(AND(AJ131=$AJ$2+1,AQ131=0),MIN($AR$135,AC131),0))</f>
        <v> </v>
      </c>
      <c r="AZ131" s="300"/>
      <c r="BA131" s="291" t="str">
        <f aca="false">IF($A131="N/A"," ",(IF(MONTH(A131)&gt;=4,IF(MONTH(A131)&lt;=10,Inputs!$F$13,Inputs!$F$14),Inputs!$F$14))*$BW131)</f>
        <v> </v>
      </c>
      <c r="BB131" s="292" t="str">
        <f aca="false">IF($A131="N/A"," ",(IF(AK131&gt;0,($BA131*(8*(VLOOKUP($A131,NumberofDaysTable,2)))*P131),0)+IF(AS131&gt;0,($BA131*((AS131))*P131),0)))</f>
        <v> </v>
      </c>
      <c r="BC131" s="292" t="str">
        <f aca="false">IF($A131="N/A"," ",(IF(AL131&gt;0,($BA131*(8*(VLOOKUP($A131,NumberofDaysTable,2)))*Q131),0)+IF(AT131&gt;0,($BA131*((AT131))*Q131),0)))</f>
        <v> </v>
      </c>
      <c r="BD131" s="292" t="str">
        <f aca="false">IF($A131="N/A"," ",(IF(AM131&gt;0,($BA131*(8*(VLOOKUP($A131,NumberofDaysTable,3)))*R131),0)+IF(AU131&gt;0,($BA131*((AU131))*R131),0)))</f>
        <v> </v>
      </c>
      <c r="BE131" s="292" t="str">
        <f aca="false">IF($A131="N/A"," ",(IF(AN131&gt;0,($BA131*(8*(VLOOKUP($A131,NumberofDaysTable,3)))*S131),0)+IF(AV131&gt;0,($BA131*((AV131))*S131),0)))</f>
        <v> </v>
      </c>
      <c r="BF131" s="292" t="str">
        <f aca="false">IF($A131="N/A"," ",(IF(AO131&gt;0,($BA131*(8*(VLOOKUP($A131,NumberofDaysTable,4)+VLOOKUP($A131,NumberofDaysTable,5)))*T131),0)+IF(AW131&gt;0,($BA131*((AW131))*T131),0)))</f>
        <v> </v>
      </c>
      <c r="BG131" s="292" t="str">
        <f aca="false">IF($A131="N/A"," ",(IF(AP131&gt;0,($BA131*(8*(VLOOKUP($A131,NumberofDaysTable,4)+VLOOKUP($A131,NumberofDaysTable,5)))*U131),0)+IF(AX131&gt;0,($BA131*((AX131))*U131),0)))</f>
        <v> </v>
      </c>
      <c r="BH131" s="292" t="str">
        <f aca="false">IF($A131="N/A"," ",($BA131*AQ131*V131))</f>
        <v> </v>
      </c>
      <c r="BI131" s="292" t="str">
        <f aca="false">IF($A131="N/A"," ",SUM(BB131:BH131))</f>
        <v> </v>
      </c>
      <c r="BJ131" s="293" t="str">
        <f aca="false">IF($A131="N/A"," ",(H131*(SUM(AK131:AQ131)+SUM(AS131:AY131))*BA131))</f>
        <v> </v>
      </c>
      <c r="BK131" s="293" t="str">
        <f aca="false">IF($A131="N/A"," ",((C131*D131)*(SUM($AK131:$AQ131)+SUM($AS131:$AY131))*$BA131))</f>
        <v> </v>
      </c>
      <c r="BL131" s="293" t="str">
        <f aca="false">IF($A131="N/A"," ",(F131*(SUM($AK131:$AQ131)+SUM($AS131:$AY131))*$BA131))</f>
        <v> </v>
      </c>
      <c r="BM131" s="293" t="str">
        <f aca="false">IF($A131="N/A"," ",(G131*(SUM($AK131:$AQ131)+SUM($AS131:$AY131))*$BA131))</f>
        <v> </v>
      </c>
      <c r="BN131" s="294" t="str">
        <f aca="false">IF(A131="N/A"," ",(VLOOKUP(A131,PowerVolTable,(IF('Pricing Inputs'!$AT$3=2,7,IF('Pricing Inputs'!$AT$3=1,6,8))),FALSE())))</f>
        <v> </v>
      </c>
      <c r="BO131" s="294" t="str">
        <f aca="false">IF(A131="N/A"," ",(VLOOKUP(A131,IntraPowerVol,(IF('Pricing Inputs'!$AT$3=2,3,IF('Pricing Inputs'!$AT$3=1,2,4))),FALSE())*VLOOKUP(MONTH($A131),Inputs!$A$28:$B$39,2)))</f>
        <v> </v>
      </c>
      <c r="BP131" s="295" t="str">
        <f aca="false">IF($A131="N/A"," ",(IF(DateToday&gt;$A131,$BO131,((($BN131^2)*((($A131-1)-DateToday)/((EOMONTH($A131,0)+1)-DateToday-15)))+((($BO131)^2)*((15)/((EOMONTH($A131,0)+1)-DateToday-15))))^0.5)))</f>
        <v> </v>
      </c>
      <c r="BQ131" s="294" t="str">
        <f aca="false">IF($A131="N/A"," ",(VLOOKUP($A131,GasVolTable,(IF('Pricing Inputs'!$AT$3=2,6,IF('Pricing Inputs'!$AT$3=1,7,5))),FALSE())))</f>
        <v> </v>
      </c>
      <c r="BR131" s="294" t="str">
        <f aca="false">IF($A131="N/A"," ",(VLOOKUP($A131,OmicronVol,(IF('Pricing Inputs'!$AT$3=2,3,IF('Pricing Inputs'!$AT$3=1,4,2))),FALSE())))</f>
        <v> </v>
      </c>
      <c r="BS131" s="295" t="str">
        <f aca="false">IF($A131="N/A"," ",IF('Pricing Inputs'!$AN$3=1,(IF(DateToday&gt;$A131,$BR131,((($BQ131^2)*((($A131-1)-DateToday)/((EOMONTH($A131,0)+1)-DateToday-15)))+((($BR131)^2)*((15)/((EOMONTH($A131,0)+1)-DateToday-15))))^0.5)),0.0001))</f>
        <v> </v>
      </c>
      <c r="BT131" s="294" t="str">
        <f aca="false">IF($A131="N/A"," ",IF('Pricing Inputs'!$AN$3=1,(VLOOKUP($A131,CorrelationTable,2,FALSE())),0))</f>
        <v> </v>
      </c>
      <c r="BU131" s="296" t="str">
        <f aca="false">IF($A131="N/A"," ",F131+G131+(D131*(VLOOKUP($A131,'Gas Curves'!$B$17:$P$310,14,FALSE()))))</f>
        <v> </v>
      </c>
      <c r="BV131" s="294" t="str">
        <f aca="false">IF($A131="N/A"," ",IF('Pricing Inputs'!$AW$3=1,0,(VLOOKUP($A131,InterestRatesTable,2))))</f>
        <v> </v>
      </c>
      <c r="BW131" s="297" t="str">
        <f aca="false">IF($A131="N/A"," ",(1+BV131/2)^(-2*((EOMONTH(A131,0)+20)-DateToday)/365.25))</f>
        <v> </v>
      </c>
    </row>
    <row r="132" customFormat="false" ht="12.75" hidden="false" customHeight="false" outlineLevel="0" collapsed="false">
      <c r="A132" s="272" t="str">
        <f aca="false">IF(A131="N/A","N/A",IF(EDATE(A131,1)&gt;Inputs!$K$3,"N/A",EDATE(A131,1)))</f>
        <v>N/A</v>
      </c>
      <c r="B132" s="273" t="str">
        <f aca="false">IF(A132="N/A"," ",YEAR(A132))</f>
        <v> </v>
      </c>
      <c r="C132" s="274" t="str">
        <f aca="false">IF(A132="N/A"," ",VLOOKUP(A132,ScaledPrice,10))</f>
        <v> </v>
      </c>
      <c r="D132" s="275" t="str">
        <f aca="false">IF(A132="N/A"," ",(VLOOKUP(MONTH($A132),Inputs!$A$14:$B$25,2))/1000)</f>
        <v> </v>
      </c>
      <c r="E132" s="276" t="str">
        <f aca="false">IF($A132="N/A"," ",C132*D132)</f>
        <v> </v>
      </c>
      <c r="F132" s="277" t="str">
        <f aca="false">IF(A132="N/A"," ",Inputs!$F$6)</f>
        <v> </v>
      </c>
      <c r="G132" s="277" t="str">
        <f aca="false">IF(A132="N/A"," ",Inputs!$F$9/IF(AND('Pricing Inputs'!$AQ$3&gt;=4,'Pricing Inputs'!$AQ$3&lt;=6),16,IF(AND('Pricing Inputs'!$AQ$3&gt;=7,'Pricing Inputs'!$AQ$3&lt;=9),8,24))/(BA132/BW132))</f>
        <v> </v>
      </c>
      <c r="H132" s="278" t="str">
        <f aca="false">IF(A132="N/A"," ",(C132*D132)+F132+G132)</f>
        <v> </v>
      </c>
      <c r="I132" s="279" t="str">
        <f aca="false">VLOOKUP(A132,ScaledPrice,(IF(AND('Pricing Inputs'!$AQ$3&gt;=1,'Pricing Inputs'!$AQ$3&lt;=6),2,4)))</f>
        <v> </v>
      </c>
      <c r="J132" s="279" t="str">
        <f aca="false">IF(A132="N/A"," ",IF(AND('Pricing Inputs'!$AQ$3&gt;=1,'Pricing Inputs'!$AQ$3&lt;=6),I132,(VLOOKUP(A132,ScaledPrice,2))*(2-(VLOOKUP(A132,ScaledPrice,3)))))</f>
        <v> </v>
      </c>
      <c r="K132" s="279" t="str">
        <f aca="false">IF(A132="N/A"," ",IF(OR('Pricing Inputs'!$AQ$3=2,'Pricing Inputs'!$AQ$3=3,'Pricing Inputs'!$AQ$3=5,'Pricing Inputs'!$AQ$3=6,'Pricing Inputs'!$AQ$3=8,'Pricing Inputs'!$AQ$3=9),VLOOKUP(A132,ScaledPrice,IF(AND('Pricing Inputs'!$AQ$3&gt;=2,'Pricing Inputs'!$AQ$3&lt;=6),5,6)),0))</f>
        <v> </v>
      </c>
      <c r="L132" s="279" t="str">
        <f aca="false">IF(A132="N/A"," ",IF(OR('Pricing Inputs'!$AQ$3=2,'Pricing Inputs'!$AQ$3=3,'Pricing Inputs'!$AQ$3=5,'Pricing Inputs'!$AQ$3=6,'Pricing Inputs'!$AQ$3=8,'Pricing Inputs'!$AQ$3=9),IF(AND('Pricing Inputs'!$AQ$3&gt;=2,'Pricing Inputs'!$AQ$3&lt;=6),K132,(VLOOKUP(A132,ScaledPrice,5))*(2-(VLOOKUP(A132,ScaledPrice,3)))),0))</f>
        <v> </v>
      </c>
      <c r="M132" s="279" t="str">
        <f aca="false">IF(A132="N/A"," ",IF(OR('Pricing Inputs'!$AQ$3=3,'Pricing Inputs'!$AQ$3=6,'Pricing Inputs'!$AQ$3=9),(VLOOKUP(A132,ScaledPrice,IF(AND('Pricing Inputs'!$AQ$3&gt;=3,'Pricing Inputs'!$AQ$3&lt;=6),7,8))),0))</f>
        <v> </v>
      </c>
      <c r="N132" s="279" t="str">
        <f aca="false">IF(A132="N/A"," ",IF(OR('Pricing Inputs'!$AQ$3=3,'Pricing Inputs'!$AQ$3=6,'Pricing Inputs'!$AQ$3=9),IF(AND('Pricing Inputs'!$AQ$3&gt;=3,'Pricing Inputs'!$AQ$3&lt;=6),M132,(VLOOKUP(A132,ScaledPrice,7))*(2-(VLOOKUP(A132,ScaledPrice,3)))),0))</f>
        <v> </v>
      </c>
      <c r="O132" s="279" t="str">
        <f aca="false">IF(A132="N/A"," ",IF(AND('Pricing Inputs'!$AQ$3&gt;=1,'Pricing Inputs'!$AQ$3&lt;=3),VLOOKUP(A132,ScaledPrice,9),0))</f>
        <v> </v>
      </c>
      <c r="P132" s="280" t="str">
        <f aca="false">IF($A132="N/A"," ",IF('Pricing Inputs'!$AN$8=2,(I132-H132),IF('Pricing Inputs'!$AN$3=2,IF((I132-$H132)&gt;0,I132-$H132,0),(xSPRDOPT(I132,$E132,$BU132,0,$BP132,$BS132,$BT132,($A132-Inputs!$D$1)+15,1,0)))))</f>
        <v> </v>
      </c>
      <c r="Q132" s="280" t="str">
        <f aca="false">IF($A132="N/A"," ",IF('Pricing Inputs'!$AN$8=2,(J132-$H132),IF('Pricing Inputs'!$AN$3=2,IF((J132-$H132)&gt;0,J132-$H132,0),(xSPRDOPT(J132,$E132,$BU132,0,$BP132,$BS132,$BT132,($A132-Inputs!$D$1)+15,1,0)))))</f>
        <v> </v>
      </c>
      <c r="R132" s="280" t="str">
        <f aca="false">IF($A132="N/A"," ",IF('Pricing Inputs'!$AN$8=2,(K132-$H132),IF('Pricing Inputs'!$AN$3=2,IF((K132-$H132)&gt;0,K132-$H132,0),(xSPRDOPT(K132,$E132,$BU132,0,$BP132,$BS132,$BT132,($A132-Inputs!$D$1)+15,1,0)))))</f>
        <v> </v>
      </c>
      <c r="S132" s="280" t="str">
        <f aca="false">IF($A132="N/A"," ",IF('Pricing Inputs'!$AN$8=2,(L132-$H132),IF('Pricing Inputs'!$AN$3=2,IF((L132-$H132)&gt;0,L132-$H132,0),(xSPRDOPT(L132,$E132,$BU132,0,$BP132,$BS132,$BT132,($A132-Inputs!$D$1)+15,1,0)))))</f>
        <v> </v>
      </c>
      <c r="T132" s="280" t="str">
        <f aca="false">IF($A132="N/A"," ",IF('Pricing Inputs'!$AN$8=2,(M132-$H132),IF('Pricing Inputs'!$AN$3=2,IF((M132-$H132)&gt;0,M132-$H132,0),(xSPRDOPT(M132,$E132,$BU132,0,$BP132,$BS132,$BT132,($A132-Inputs!$D$1)+15,1,0)))))</f>
        <v> </v>
      </c>
      <c r="U132" s="280" t="str">
        <f aca="false">IF($A132="N/A"," ",IF('Pricing Inputs'!$AN$8=2,(N132-$H132),IF('Pricing Inputs'!$AN$3=2,IF((N132-$H132)&gt;0,N132-$H132,0),(xSPRDOPT(N132,$E132,$BU132,0,$BP132,$BS132,$BT132,($A132-Inputs!$D$1)+15,1,0)))))</f>
        <v> </v>
      </c>
      <c r="V132" s="281" t="str">
        <f aca="false">IF($A132="N/A"," ",(IF('Pricing Inputs'!$AN$8=2,(O132-$H132),IF((O132-$H132)&lt;=0,0,(O132-$H132)))))</f>
        <v> </v>
      </c>
      <c r="W132" s="282" t="str">
        <f aca="false">IF($A132="N/A"," ",IF(0&lt;&gt;P132,IF('Pricing Inputs'!$AN$3=2,8*VLOOKUP($A132,NumberofDaysTable,2),(xSPRDOPT(I132,$E132,$BU132,0,$BP132,$BS132,$BT132,$A132-Inputs!$D$1,1,1))*(8*VLOOKUP($A132,NumberofDaysTable,2))),0))</f>
        <v> </v>
      </c>
      <c r="X132" s="282" t="str">
        <f aca="false">IF($A132="N/A"," ",IF(Q132&lt;&gt;0,IF('Pricing Inputs'!$AN$3=2,8*VLOOKUP($A132,NumberofDaysTable,2),(xSPRDOPT(J132,$E132,$BU132,0,$BP132,$BS132,$BT132,$A132-Inputs!$D$1,1,1))*(8*VLOOKUP($A132,NumberofDaysTable,2))),0))</f>
        <v> </v>
      </c>
      <c r="Y132" s="282" t="str">
        <f aca="false">IF($A132="N/A"," ",IF(R132&lt;&gt;0,IF('Pricing Inputs'!$AN$3=2,8*VLOOKUP($A132,NumberofDaysTable,3),(xSPRDOPT(K132,$E132,$BU132,0,$BP132,$BS132,$BT132,$A132-Inputs!$D$1,1,1))*(8*VLOOKUP($A132,NumberofDaysTable,3))),0))</f>
        <v> </v>
      </c>
      <c r="Z132" s="282" t="str">
        <f aca="false">IF($A132="N/A"," ",IF(S132&lt;&gt;0,IF('Pricing Inputs'!$AN$3=2,8*VLOOKUP($A132,NumberofDaysTable,3),(xSPRDOPT(L132,$E132,$BU132,0,$BP132,$BS132,$BT132,$A132-Inputs!$D$1,1,1))*(8*VLOOKUP($A132,NumberofDaysTable,3))),0))</f>
        <v> </v>
      </c>
      <c r="AA132" s="282" t="str">
        <f aca="false">IF($A132="N/A"," ",IF(T132&lt;&gt;0,IF('Pricing Inputs'!$AN$3=2,8*VLOOKUP($A132,NumberofDaysTable,4),(xSPRDOPT(M132,$E132,$BU132,0,$BP132,$BS132,$BT132,$A132-Inputs!$D$1,1,1))*(8*VLOOKUP($A132,NumberofDaysTable,4))),0))</f>
        <v> </v>
      </c>
      <c r="AB132" s="282" t="str">
        <f aca="false">IF($A132="N/A"," ",IF(U132&lt;&gt;0,IF('Pricing Inputs'!$AN$3=2,8*VLOOKUP($A132,NumberofDaysTable,4),(xSPRDOPT(N132,$E132,$BU132,0,$BP132,$BS132,$BT132,$A132-Inputs!$D$1,1,1))*(8*VLOOKUP($A132,NumberofDaysTable,4))),0))</f>
        <v> </v>
      </c>
      <c r="AC132" s="282" t="str">
        <f aca="false">IF($A132="N/A"," ",(IF(V132&lt;&gt;0,(8*VLOOKUP($A132,NumberofDaysTable,6)),0)))</f>
        <v> </v>
      </c>
      <c r="AD132" s="298" t="str">
        <f aca="false">IF($A132="N/A"," ",RANK(P132,$P$124:$V$135))</f>
        <v> </v>
      </c>
      <c r="AE132" s="299" t="str">
        <f aca="false">IF($A132="N/A"," ",RANK(Q132,$P$124:$V$135))</f>
        <v> </v>
      </c>
      <c r="AF132" s="299" t="str">
        <f aca="false">IF($A132="N/A"," ",RANK(R132,$P$124:$V$135))</f>
        <v> </v>
      </c>
      <c r="AG132" s="299" t="str">
        <f aca="false">IF($A132="N/A"," ",RANK(S132,$P$124:$V$135))</f>
        <v> </v>
      </c>
      <c r="AH132" s="299" t="str">
        <f aca="false">IF($A132="N/A"," ",RANK(T132,$P$124:$V$135))</f>
        <v> </v>
      </c>
      <c r="AI132" s="299" t="str">
        <f aca="false">IF($A132="N/A"," ",RANK(U132,$P$124:$V$135))</f>
        <v> </v>
      </c>
      <c r="AJ132" s="300" t="str">
        <f aca="false">IF($A132="N/A"," ",RANK(V132,$P$124:$V$135))</f>
        <v> </v>
      </c>
      <c r="AK132" s="286" t="str">
        <f aca="false">IF($A132="N/A"," ",IF(AD132&lt;=$AJ$2,W132,0))</f>
        <v> </v>
      </c>
      <c r="AL132" s="301" t="str">
        <f aca="false">IF($A132="N/A"," ",IF(AE132&lt;=$AJ$2,X132,0))</f>
        <v> </v>
      </c>
      <c r="AM132" s="301" t="str">
        <f aca="false">IF($A132="N/A"," ",IF(AF132&lt;=$AJ$2,Y132,0))</f>
        <v> </v>
      </c>
      <c r="AN132" s="301" t="str">
        <f aca="false">IF($A132="N/A"," ",IF(AG132&lt;=$AJ$2,Z132,0))</f>
        <v> </v>
      </c>
      <c r="AO132" s="301" t="str">
        <f aca="false">IF($A132="N/A"," ",IF(AH132&lt;=$AJ$2,AA132,0))</f>
        <v> </v>
      </c>
      <c r="AP132" s="301" t="str">
        <f aca="false">IF($A132="N/A"," ",IF(AI132&lt;=$AJ$2,AB132,0))</f>
        <v> </v>
      </c>
      <c r="AQ132" s="301" t="str">
        <f aca="false">IF($A132="N/A"," ",IF(AJ132&lt;=$AJ$2,AC132,0))</f>
        <v> </v>
      </c>
      <c r="AR132" s="300"/>
      <c r="AS132" s="288" t="str">
        <f aca="false">IF($A132="N/A"," ",IF(AND(AD132=$AJ$2+1,AK132=0),MIN($AR$135,W132),0))</f>
        <v> </v>
      </c>
      <c r="AT132" s="302" t="str">
        <f aca="false">IF($A132="N/A"," ",IF(AND(AE132=$AJ$2+1,AL132=0),MIN($AR$135,X132),0))</f>
        <v> </v>
      </c>
      <c r="AU132" s="302" t="str">
        <f aca="false">IF($A132="N/A"," ",IF(AND(AF132=$AJ$2+1,AM132=0),MIN($AR$135,Y132),0))</f>
        <v> </v>
      </c>
      <c r="AV132" s="302" t="str">
        <f aca="false">IF($A132="N/A"," ",IF(AND(AG132=$AJ$2+1,AN132=0),MIN($AR$135,Z132),0))</f>
        <v> </v>
      </c>
      <c r="AW132" s="302" t="str">
        <f aca="false">IF($A132="N/A"," ",IF(AND(AH132=$AJ$2+1,AO132=0),MIN($AR$135,AA132),0))</f>
        <v> </v>
      </c>
      <c r="AX132" s="302" t="str">
        <f aca="false">IF($A132="N/A"," ",IF(AND(AI132=$AJ$2+1,AP132=0),MIN($AR$135,AB132),0))</f>
        <v> </v>
      </c>
      <c r="AY132" s="302" t="str">
        <f aca="false">IF($A132="N/A"," ",IF(AND(AJ132=$AJ$2+1,AQ132=0),MIN($AR$135,AC132),0))</f>
        <v> </v>
      </c>
      <c r="AZ132" s="303"/>
      <c r="BA132" s="291" t="str">
        <f aca="false">IF($A132="N/A"," ",(IF(MONTH(A132)&gt;=4,IF(MONTH(A132)&lt;=10,Inputs!$F$13,Inputs!$F$14),Inputs!$F$14))*$BW132)</f>
        <v> </v>
      </c>
      <c r="BB132" s="292" t="str">
        <f aca="false">IF($A132="N/A"," ",(IF(AK132&gt;0,($BA132*(8*(VLOOKUP($A132,NumberofDaysTable,2)))*P132),0)+IF(AS132&gt;0,($BA132*((AS132))*P132),0)))</f>
        <v> </v>
      </c>
      <c r="BC132" s="292" t="str">
        <f aca="false">IF($A132="N/A"," ",(IF(AL132&gt;0,($BA132*(8*(VLOOKUP($A132,NumberofDaysTable,2)))*Q132),0)+IF(AT132&gt;0,($BA132*((AT132))*Q132),0)))</f>
        <v> </v>
      </c>
      <c r="BD132" s="292" t="str">
        <f aca="false">IF($A132="N/A"," ",(IF(AM132&gt;0,($BA132*(8*(VLOOKUP($A132,NumberofDaysTable,3)))*R132),0)+IF(AU132&gt;0,($BA132*((AU132))*R132),0)))</f>
        <v> </v>
      </c>
      <c r="BE132" s="292" t="str">
        <f aca="false">IF($A132="N/A"," ",(IF(AN132&gt;0,($BA132*(8*(VLOOKUP($A132,NumberofDaysTable,3)))*S132),0)+IF(AV132&gt;0,($BA132*((AV132))*S132),0)))</f>
        <v> </v>
      </c>
      <c r="BF132" s="292" t="str">
        <f aca="false">IF($A132="N/A"," ",(IF(AO132&gt;0,($BA132*(8*(VLOOKUP($A132,NumberofDaysTable,4)+VLOOKUP($A132,NumberofDaysTable,5)))*T132),0)+IF(AW132&gt;0,($BA132*((AW132))*T132),0)))</f>
        <v> </v>
      </c>
      <c r="BG132" s="292" t="str">
        <f aca="false">IF($A132="N/A"," ",(IF(AP132&gt;0,($BA132*(8*(VLOOKUP($A132,NumberofDaysTable,4)+VLOOKUP($A132,NumberofDaysTable,5)))*U132),0)+IF(AX132&gt;0,($BA132*((AX132))*U132),0)))</f>
        <v> </v>
      </c>
      <c r="BH132" s="292" t="str">
        <f aca="false">IF($A132="N/A"," ",($BA132*AQ132*V132))</f>
        <v> </v>
      </c>
      <c r="BI132" s="292" t="str">
        <f aca="false">IF($A132="N/A"," ",SUM(BB132:BH132))</f>
        <v> </v>
      </c>
      <c r="BJ132" s="293" t="str">
        <f aca="false">IF($A132="N/A"," ",(H132*(SUM(AK132:AQ132)+SUM(AS132:AY132))*BA132))</f>
        <v> </v>
      </c>
      <c r="BK132" s="293" t="str">
        <f aca="false">IF($A132="N/A"," ",((C132*D132)*(SUM($AK132:$AQ132)+SUM($AS132:$AY132))*$BA132))</f>
        <v> </v>
      </c>
      <c r="BL132" s="293" t="str">
        <f aca="false">IF($A132="N/A"," ",(F132*(SUM($AK132:$AQ132)+SUM($AS132:$AY132))*$BA132))</f>
        <v> </v>
      </c>
      <c r="BM132" s="293" t="str">
        <f aca="false">IF($A132="N/A"," ",(G132*(SUM($AK132:$AQ132)+SUM($AS132:$AY132))*$BA132))</f>
        <v> </v>
      </c>
      <c r="BN132" s="294" t="str">
        <f aca="false">IF(A132="N/A"," ",(VLOOKUP(A132,PowerVolTable,(IF('Pricing Inputs'!$AT$3=2,7,IF('Pricing Inputs'!$AT$3=1,6,8))),FALSE())))</f>
        <v> </v>
      </c>
      <c r="BO132" s="294" t="str">
        <f aca="false">IF(A132="N/A"," ",(VLOOKUP(A132,IntraPowerVol,(IF('Pricing Inputs'!$AT$3=2,3,IF('Pricing Inputs'!$AT$3=1,2,4))),FALSE())*VLOOKUP(MONTH($A132),Inputs!$A$28:$B$39,2)))</f>
        <v> </v>
      </c>
      <c r="BP132" s="295" t="str">
        <f aca="false">IF($A132="N/A"," ",(IF(DateToday&gt;$A132,$BO132,((($BN132^2)*((($A132-1)-DateToday)/((EOMONTH($A132,0)+1)-DateToday-15)))+((($BO132)^2)*((15)/((EOMONTH($A132,0)+1)-DateToday-15))))^0.5)))</f>
        <v> </v>
      </c>
      <c r="BQ132" s="294" t="str">
        <f aca="false">IF($A132="N/A"," ",(VLOOKUP($A132,GasVolTable,(IF('Pricing Inputs'!$AT$3=2,6,IF('Pricing Inputs'!$AT$3=1,7,5))),FALSE())))</f>
        <v> </v>
      </c>
      <c r="BR132" s="294" t="str">
        <f aca="false">IF($A132="N/A"," ",(VLOOKUP($A132,OmicronVol,(IF('Pricing Inputs'!$AT$3=2,3,IF('Pricing Inputs'!$AT$3=1,4,2))),FALSE())))</f>
        <v> </v>
      </c>
      <c r="BS132" s="295" t="str">
        <f aca="false">IF($A132="N/A"," ",IF('Pricing Inputs'!$AN$3=1,(IF(DateToday&gt;$A132,$BR132,((($BQ132^2)*((($A132-1)-DateToday)/((EOMONTH($A132,0)+1)-DateToday-15)))+((($BR132)^2)*((15)/((EOMONTH($A132,0)+1)-DateToday-15))))^0.5)),0.0001))</f>
        <v> </v>
      </c>
      <c r="BT132" s="294" t="str">
        <f aca="false">IF($A132="N/A"," ",IF('Pricing Inputs'!$AN$3=1,(VLOOKUP($A132,CorrelationTable,2,FALSE())),0))</f>
        <v> </v>
      </c>
      <c r="BU132" s="296" t="str">
        <f aca="false">IF($A132="N/A"," ",F132+G132+(D132*(VLOOKUP($A132,'Gas Curves'!$B$17:$P$310,14,FALSE()))))</f>
        <v> </v>
      </c>
      <c r="BV132" s="294" t="str">
        <f aca="false">IF($A132="N/A"," ",IF('Pricing Inputs'!$AW$3=1,0,(VLOOKUP($A132,InterestRatesTable,2))))</f>
        <v> </v>
      </c>
      <c r="BW132" s="297" t="str">
        <f aca="false">IF($A132="N/A"," ",(1+BV132/2)^(-2*((EOMONTH(A132,0)+20)-DateToday)/365.25))</f>
        <v> </v>
      </c>
    </row>
    <row r="133" customFormat="false" ht="12.75" hidden="false" customHeight="false" outlineLevel="0" collapsed="false">
      <c r="A133" s="272" t="str">
        <f aca="false">IF(A132="N/A","N/A",IF(EDATE(A132,1)&gt;Inputs!$K$3,"N/A",EDATE(A132,1)))</f>
        <v>N/A</v>
      </c>
      <c r="B133" s="273" t="str">
        <f aca="false">IF(A133="N/A"," ",YEAR(A133))</f>
        <v> </v>
      </c>
      <c r="C133" s="274" t="str">
        <f aca="false">IF(A133="N/A"," ",VLOOKUP(A133,ScaledPrice,10))</f>
        <v> </v>
      </c>
      <c r="D133" s="275" t="str">
        <f aca="false">IF(A133="N/A"," ",(VLOOKUP(MONTH($A133),Inputs!$A$14:$B$25,2))/1000)</f>
        <v> </v>
      </c>
      <c r="E133" s="276" t="str">
        <f aca="false">IF($A133="N/A"," ",C133*D133)</f>
        <v> </v>
      </c>
      <c r="F133" s="277" t="str">
        <f aca="false">IF(A133="N/A"," ",Inputs!$F$6)</f>
        <v> </v>
      </c>
      <c r="G133" s="277" t="str">
        <f aca="false">IF(A133="N/A"," ",Inputs!$F$9/IF(AND('Pricing Inputs'!$AQ$3&gt;=4,'Pricing Inputs'!$AQ$3&lt;=6),16,IF(AND('Pricing Inputs'!$AQ$3&gt;=7,'Pricing Inputs'!$AQ$3&lt;=9),8,24))/(BA133/BW133))</f>
        <v> </v>
      </c>
      <c r="H133" s="278" t="str">
        <f aca="false">IF(A133="N/A"," ",(C133*D133)+F133+G133)</f>
        <v> </v>
      </c>
      <c r="I133" s="279" t="str">
        <f aca="false">VLOOKUP(A133,ScaledPrice,(IF(AND('Pricing Inputs'!$AQ$3&gt;=1,'Pricing Inputs'!$AQ$3&lt;=6),2,4)))</f>
        <v> </v>
      </c>
      <c r="J133" s="279" t="str">
        <f aca="false">IF(A133="N/A"," ",IF(AND('Pricing Inputs'!$AQ$3&gt;=1,'Pricing Inputs'!$AQ$3&lt;=6),I133,(VLOOKUP(A133,ScaledPrice,2))*(2-(VLOOKUP(A133,ScaledPrice,3)))))</f>
        <v> </v>
      </c>
      <c r="K133" s="279" t="str">
        <f aca="false">IF(A133="N/A"," ",IF(OR('Pricing Inputs'!$AQ$3=2,'Pricing Inputs'!$AQ$3=3,'Pricing Inputs'!$AQ$3=5,'Pricing Inputs'!$AQ$3=6,'Pricing Inputs'!$AQ$3=8,'Pricing Inputs'!$AQ$3=9),VLOOKUP(A133,ScaledPrice,IF(AND('Pricing Inputs'!$AQ$3&gt;=2,'Pricing Inputs'!$AQ$3&lt;=6),5,6)),0))</f>
        <v> </v>
      </c>
      <c r="L133" s="279" t="str">
        <f aca="false">IF(A133="N/A"," ",IF(OR('Pricing Inputs'!$AQ$3=2,'Pricing Inputs'!$AQ$3=3,'Pricing Inputs'!$AQ$3=5,'Pricing Inputs'!$AQ$3=6,'Pricing Inputs'!$AQ$3=8,'Pricing Inputs'!$AQ$3=9),IF(AND('Pricing Inputs'!$AQ$3&gt;=2,'Pricing Inputs'!$AQ$3&lt;=6),K133,(VLOOKUP(A133,ScaledPrice,5))*(2-(VLOOKUP(A133,ScaledPrice,3)))),0))</f>
        <v> </v>
      </c>
      <c r="M133" s="279" t="str">
        <f aca="false">IF(A133="N/A"," ",IF(OR('Pricing Inputs'!$AQ$3=3,'Pricing Inputs'!$AQ$3=6,'Pricing Inputs'!$AQ$3=9),(VLOOKUP(A133,ScaledPrice,IF(AND('Pricing Inputs'!$AQ$3&gt;=3,'Pricing Inputs'!$AQ$3&lt;=6),7,8))),0))</f>
        <v> </v>
      </c>
      <c r="N133" s="279" t="str">
        <f aca="false">IF(A133="N/A"," ",IF(OR('Pricing Inputs'!$AQ$3=3,'Pricing Inputs'!$AQ$3=6,'Pricing Inputs'!$AQ$3=9),IF(AND('Pricing Inputs'!$AQ$3&gt;=3,'Pricing Inputs'!$AQ$3&lt;=6),M133,(VLOOKUP(A133,ScaledPrice,7))*(2-(VLOOKUP(A133,ScaledPrice,3)))),0))</f>
        <v> </v>
      </c>
      <c r="O133" s="279" t="str">
        <f aca="false">IF(A133="N/A"," ",IF(AND('Pricing Inputs'!$AQ$3&gt;=1,'Pricing Inputs'!$AQ$3&lt;=3),VLOOKUP(A133,ScaledPrice,9),0))</f>
        <v> </v>
      </c>
      <c r="P133" s="280" t="str">
        <f aca="false">IF($A133="N/A"," ",IF('Pricing Inputs'!$AN$8=2,(I133-H133),IF('Pricing Inputs'!$AN$3=2,IF((I133-$H133)&gt;0,I133-$H133,0),(xSPRDOPT(I133,$E133,$BU133,0,$BP133,$BS133,$BT133,($A133-Inputs!$D$1)+15,1,0)))))</f>
        <v> </v>
      </c>
      <c r="Q133" s="280" t="str">
        <f aca="false">IF($A133="N/A"," ",IF('Pricing Inputs'!$AN$8=2,(J133-$H133),IF('Pricing Inputs'!$AN$3=2,IF((J133-$H133)&gt;0,J133-$H133,0),(xSPRDOPT(J133,$E133,$BU133,0,$BP133,$BS133,$BT133,($A133-Inputs!$D$1)+15,1,0)))))</f>
        <v> </v>
      </c>
      <c r="R133" s="280" t="str">
        <f aca="false">IF($A133="N/A"," ",IF('Pricing Inputs'!$AN$8=2,(K133-$H133),IF('Pricing Inputs'!$AN$3=2,IF((K133-$H133)&gt;0,K133-$H133,0),(xSPRDOPT(K133,$E133,$BU133,0,$BP133,$BS133,$BT133,($A133-Inputs!$D$1)+15,1,0)))))</f>
        <v> </v>
      </c>
      <c r="S133" s="280" t="str">
        <f aca="false">IF($A133="N/A"," ",IF('Pricing Inputs'!$AN$8=2,(L133-$H133),IF('Pricing Inputs'!$AN$3=2,IF((L133-$H133)&gt;0,L133-$H133,0),(xSPRDOPT(L133,$E133,$BU133,0,$BP133,$BS133,$BT133,($A133-Inputs!$D$1)+15,1,0)))))</f>
        <v> </v>
      </c>
      <c r="T133" s="280" t="str">
        <f aca="false">IF($A133="N/A"," ",IF('Pricing Inputs'!$AN$8=2,(M133-$H133),IF('Pricing Inputs'!$AN$3=2,IF((M133-$H133)&gt;0,M133-$H133,0),(xSPRDOPT(M133,$E133,$BU133,0,$BP133,$BS133,$BT133,($A133-Inputs!$D$1)+15,1,0)))))</f>
        <v> </v>
      </c>
      <c r="U133" s="280" t="str">
        <f aca="false">IF($A133="N/A"," ",IF('Pricing Inputs'!$AN$8=2,(N133-$H133),IF('Pricing Inputs'!$AN$3=2,IF((N133-$H133)&gt;0,N133-$H133,0),(xSPRDOPT(N133,$E133,$BU133,0,$BP133,$BS133,$BT133,($A133-Inputs!$D$1)+15,1,0)))))</f>
        <v> </v>
      </c>
      <c r="V133" s="281" t="str">
        <f aca="false">IF($A133="N/A"," ",(IF('Pricing Inputs'!$AN$8=2,(O133-$H133),IF((O133-$H133)&lt;=0,0,(O133-$H133)))))</f>
        <v> </v>
      </c>
      <c r="W133" s="282" t="str">
        <f aca="false">IF($A133="N/A"," ",IF(0&lt;&gt;P133,IF('Pricing Inputs'!$AN$3=2,8*VLOOKUP($A133,NumberofDaysTable,2),(xSPRDOPT(I133,$E133,$BU133,0,$BP133,$BS133,$BT133,$A133-Inputs!$D$1,1,1))*(8*VLOOKUP($A133,NumberofDaysTable,2))),0))</f>
        <v> </v>
      </c>
      <c r="X133" s="282" t="str">
        <f aca="false">IF($A133="N/A"," ",IF(Q133&lt;&gt;0,IF('Pricing Inputs'!$AN$3=2,8*VLOOKUP($A133,NumberofDaysTable,2),(xSPRDOPT(J133,$E133,$BU133,0,$BP133,$BS133,$BT133,$A133-Inputs!$D$1,1,1))*(8*VLOOKUP($A133,NumberofDaysTable,2))),0))</f>
        <v> </v>
      </c>
      <c r="Y133" s="282" t="str">
        <f aca="false">IF($A133="N/A"," ",IF(R133&lt;&gt;0,IF('Pricing Inputs'!$AN$3=2,8*VLOOKUP($A133,NumberofDaysTable,3),(xSPRDOPT(K133,$E133,$BU133,0,$BP133,$BS133,$BT133,$A133-Inputs!$D$1,1,1))*(8*VLOOKUP($A133,NumberofDaysTable,3))),0))</f>
        <v> </v>
      </c>
      <c r="Z133" s="282" t="str">
        <f aca="false">IF($A133="N/A"," ",IF(S133&lt;&gt;0,IF('Pricing Inputs'!$AN$3=2,8*VLOOKUP($A133,NumberofDaysTable,3),(xSPRDOPT(L133,$E133,$BU133,0,$BP133,$BS133,$BT133,$A133-Inputs!$D$1,1,1))*(8*VLOOKUP($A133,NumberofDaysTable,3))),0))</f>
        <v> </v>
      </c>
      <c r="AA133" s="282" t="str">
        <f aca="false">IF($A133="N/A"," ",IF(T133&lt;&gt;0,IF('Pricing Inputs'!$AN$3=2,8*VLOOKUP($A133,NumberofDaysTable,4),(xSPRDOPT(M133,$E133,$BU133,0,$BP133,$BS133,$BT133,$A133-Inputs!$D$1,1,1))*(8*VLOOKUP($A133,NumberofDaysTable,4))),0))</f>
        <v> </v>
      </c>
      <c r="AB133" s="282" t="str">
        <f aca="false">IF($A133="N/A"," ",IF(U133&lt;&gt;0,IF('Pricing Inputs'!$AN$3=2,8*VLOOKUP($A133,NumberofDaysTable,4),(xSPRDOPT(N133,$E133,$BU133,0,$BP133,$BS133,$BT133,$A133-Inputs!$D$1,1,1))*(8*VLOOKUP($A133,NumberofDaysTable,4))),0))</f>
        <v> </v>
      </c>
      <c r="AC133" s="282" t="str">
        <f aca="false">IF($A133="N/A"," ",(IF(V133&lt;&gt;0,(8*VLOOKUP($A133,NumberofDaysTable,6)),0)))</f>
        <v> </v>
      </c>
      <c r="AD133" s="298" t="str">
        <f aca="false">IF($A133="N/A"," ",RANK(P133,$P$124:$V$135))</f>
        <v> </v>
      </c>
      <c r="AE133" s="299" t="str">
        <f aca="false">IF($A133="N/A"," ",RANK(Q133,$P$124:$V$135))</f>
        <v> </v>
      </c>
      <c r="AF133" s="299" t="str">
        <f aca="false">IF($A133="N/A"," ",RANK(R133,$P$124:$V$135))</f>
        <v> </v>
      </c>
      <c r="AG133" s="299" t="str">
        <f aca="false">IF($A133="N/A"," ",RANK(S133,$P$124:$V$135))</f>
        <v> </v>
      </c>
      <c r="AH133" s="299" t="str">
        <f aca="false">IF($A133="N/A"," ",RANK(T133,$P$124:$V$135))</f>
        <v> </v>
      </c>
      <c r="AI133" s="299" t="str">
        <f aca="false">IF($A133="N/A"," ",RANK(U133,$P$124:$V$135))</f>
        <v> </v>
      </c>
      <c r="AJ133" s="300" t="str">
        <f aca="false">IF($A133="N/A"," ",RANK(V133,$P$124:$V$135))</f>
        <v> </v>
      </c>
      <c r="AK133" s="286" t="str">
        <f aca="false">IF($A133="N/A"," ",IF(AD133&lt;=$AJ$2,W133,0))</f>
        <v> </v>
      </c>
      <c r="AL133" s="301" t="str">
        <f aca="false">IF($A133="N/A"," ",IF(AE133&lt;=$AJ$2,X133,0))</f>
        <v> </v>
      </c>
      <c r="AM133" s="301" t="str">
        <f aca="false">IF($A133="N/A"," ",IF(AF133&lt;=$AJ$2,Y133,0))</f>
        <v> </v>
      </c>
      <c r="AN133" s="301" t="str">
        <f aca="false">IF($A133="N/A"," ",IF(AG133&lt;=$AJ$2,Z133,0))</f>
        <v> </v>
      </c>
      <c r="AO133" s="301" t="str">
        <f aca="false">IF($A133="N/A"," ",IF(AH133&lt;=$AJ$2,AA133,0))</f>
        <v> </v>
      </c>
      <c r="AP133" s="301" t="str">
        <f aca="false">IF($A133="N/A"," ",IF(AI133&lt;=$AJ$2,AB133,0))</f>
        <v> </v>
      </c>
      <c r="AQ133" s="301" t="str">
        <f aca="false">IF($A133="N/A"," ",IF(AJ133&lt;=$AJ$2,AC133,0))</f>
        <v> </v>
      </c>
      <c r="AR133" s="304" t="s">
        <v>1301</v>
      </c>
      <c r="AS133" s="288" t="str">
        <f aca="false">IF($A133="N/A"," ",IF(AND(AD133=$AJ$2+1,AK133=0),MIN($AR$135,W133),0))</f>
        <v> </v>
      </c>
      <c r="AT133" s="302" t="str">
        <f aca="false">IF($A133="N/A"," ",IF(AND(AE133=$AJ$2+1,AL133=0),MIN($AR$135,X133),0))</f>
        <v> </v>
      </c>
      <c r="AU133" s="302" t="str">
        <f aca="false">IF($A133="N/A"," ",IF(AND(AF133=$AJ$2+1,AM133=0),MIN($AR$135,Y133),0))</f>
        <v> </v>
      </c>
      <c r="AV133" s="302" t="str">
        <f aca="false">IF($A133="N/A"," ",IF(AND(AG133=$AJ$2+1,AN133=0),MIN($AR$135,Z133),0))</f>
        <v> </v>
      </c>
      <c r="AW133" s="302" t="str">
        <f aca="false">IF($A133="N/A"," ",IF(AND(AH133=$AJ$2+1,AO133=0),MIN($AR$135,AA133),0))</f>
        <v> </v>
      </c>
      <c r="AX133" s="302" t="str">
        <f aca="false">IF($A133="N/A"," ",IF(AND(AI133=$AJ$2+1,AP133=0),MIN($AR$135,AB133),0))</f>
        <v> </v>
      </c>
      <c r="AY133" s="302" t="str">
        <f aca="false">IF($A133="N/A"," ",IF(AND(AJ133=$AJ$2+1,AQ133=0),MIN($AR$135,AC133),0))</f>
        <v> </v>
      </c>
      <c r="AZ133" s="303" t="s">
        <v>1328</v>
      </c>
      <c r="BA133" s="291" t="str">
        <f aca="false">IF($A133="N/A"," ",(IF(MONTH(A133)&gt;=4,IF(MONTH(A133)&lt;=10,Inputs!$F$13,Inputs!$F$14),Inputs!$F$14))*$BW133)</f>
        <v> </v>
      </c>
      <c r="BB133" s="292" t="str">
        <f aca="false">IF($A133="N/A"," ",(IF(AK133&gt;0,($BA133*(8*(VLOOKUP($A133,NumberofDaysTable,2)))*P133),0)+IF(AS133&gt;0,($BA133*((AS133))*P133),0)))</f>
        <v> </v>
      </c>
      <c r="BC133" s="292" t="str">
        <f aca="false">IF($A133="N/A"," ",(IF(AL133&gt;0,($BA133*(8*(VLOOKUP($A133,NumberofDaysTable,2)))*Q133),0)+IF(AT133&gt;0,($BA133*((AT133))*Q133),0)))</f>
        <v> </v>
      </c>
      <c r="BD133" s="292" t="str">
        <f aca="false">IF($A133="N/A"," ",(IF(AM133&gt;0,($BA133*(8*(VLOOKUP($A133,NumberofDaysTable,3)))*R133),0)+IF(AU133&gt;0,($BA133*((AU133))*R133),0)))</f>
        <v> </v>
      </c>
      <c r="BE133" s="292" t="str">
        <f aca="false">IF($A133="N/A"," ",(IF(AN133&gt;0,($BA133*(8*(VLOOKUP($A133,NumberofDaysTable,3)))*S133),0)+IF(AV133&gt;0,($BA133*((AV133))*S133),0)))</f>
        <v> </v>
      </c>
      <c r="BF133" s="292" t="str">
        <f aca="false">IF($A133="N/A"," ",(IF(AO133&gt;0,($BA133*(8*(VLOOKUP($A133,NumberofDaysTable,4)+VLOOKUP($A133,NumberofDaysTable,5)))*T133),0)+IF(AW133&gt;0,($BA133*((AW133))*T133),0)))</f>
        <v> </v>
      </c>
      <c r="BG133" s="292" t="str">
        <f aca="false">IF($A133="N/A"," ",(IF(AP133&gt;0,($BA133*(8*(VLOOKUP($A133,NumberofDaysTable,4)+VLOOKUP($A133,NumberofDaysTable,5)))*U133),0)+IF(AX133&gt;0,($BA133*((AX133))*U133),0)))</f>
        <v> </v>
      </c>
      <c r="BH133" s="292" t="str">
        <f aca="false">IF($A133="N/A"," ",($BA133*AQ133*V133))</f>
        <v> </v>
      </c>
      <c r="BI133" s="292" t="str">
        <f aca="false">IF($A133="N/A"," ",SUM(BB133:BH133))</f>
        <v> </v>
      </c>
      <c r="BJ133" s="293" t="str">
        <f aca="false">IF($A133="N/A"," ",(H133*(SUM(AK133:AQ133)+SUM(AS133:AY133))*BA133))</f>
        <v> </v>
      </c>
      <c r="BK133" s="293" t="str">
        <f aca="false">IF($A133="N/A"," ",((C133*D133)*(SUM($AK133:$AQ133)+SUM($AS133:$AY133))*$BA133))</f>
        <v> </v>
      </c>
      <c r="BL133" s="293" t="str">
        <f aca="false">IF($A133="N/A"," ",(F133*(SUM($AK133:$AQ133)+SUM($AS133:$AY133))*$BA133))</f>
        <v> </v>
      </c>
      <c r="BM133" s="293" t="str">
        <f aca="false">IF($A133="N/A"," ",(G133*(SUM($AK133:$AQ133)+SUM($AS133:$AY133))*$BA133))</f>
        <v> </v>
      </c>
      <c r="BN133" s="294" t="str">
        <f aca="false">IF(A133="N/A"," ",(VLOOKUP(A133,PowerVolTable,(IF('Pricing Inputs'!$AT$3=2,7,IF('Pricing Inputs'!$AT$3=1,6,8))),FALSE())))</f>
        <v> </v>
      </c>
      <c r="BO133" s="294" t="str">
        <f aca="false">IF(A133="N/A"," ",(VLOOKUP(A133,IntraPowerVol,(IF('Pricing Inputs'!$AT$3=2,3,IF('Pricing Inputs'!$AT$3=1,2,4))),FALSE())*VLOOKUP(MONTH($A133),Inputs!$A$28:$B$39,2)))</f>
        <v> </v>
      </c>
      <c r="BP133" s="295" t="str">
        <f aca="false">IF($A133="N/A"," ",(IF(DateToday&gt;$A133,$BO133,((($BN133^2)*((($A133-1)-DateToday)/((EOMONTH($A133,0)+1)-DateToday-15)))+((($BO133)^2)*((15)/((EOMONTH($A133,0)+1)-DateToday-15))))^0.5)))</f>
        <v> </v>
      </c>
      <c r="BQ133" s="294" t="str">
        <f aca="false">IF($A133="N/A"," ",(VLOOKUP($A133,GasVolTable,(IF('Pricing Inputs'!$AT$3=2,6,IF('Pricing Inputs'!$AT$3=1,7,5))),FALSE())))</f>
        <v> </v>
      </c>
      <c r="BR133" s="294" t="str">
        <f aca="false">IF($A133="N/A"," ",(VLOOKUP($A133,OmicronVol,(IF('Pricing Inputs'!$AT$3=2,3,IF('Pricing Inputs'!$AT$3=1,4,2))),FALSE())))</f>
        <v> </v>
      </c>
      <c r="BS133" s="295" t="str">
        <f aca="false">IF($A133="N/A"," ",IF('Pricing Inputs'!$AN$3=1,(IF(DateToday&gt;$A133,$BR133,((($BQ133^2)*((($A133-1)-DateToday)/((EOMONTH($A133,0)+1)-DateToday-15)))+((($BR133)^2)*((15)/((EOMONTH($A133,0)+1)-DateToday-15))))^0.5)),0.0001))</f>
        <v> </v>
      </c>
      <c r="BT133" s="294" t="str">
        <f aca="false">IF($A133="N/A"," ",IF('Pricing Inputs'!$AN$3=1,(VLOOKUP($A133,CorrelationTable,2,FALSE())),0))</f>
        <v> </v>
      </c>
      <c r="BU133" s="296" t="str">
        <f aca="false">IF($A133="N/A"," ",F133+G133+(D133*(VLOOKUP($A133,'Gas Curves'!$B$17:$P$310,14,FALSE()))))</f>
        <v> </v>
      </c>
      <c r="BV133" s="294" t="str">
        <f aca="false">IF($A133="N/A"," ",IF('Pricing Inputs'!$AW$3=1,0,(VLOOKUP($A133,InterestRatesTable,2))))</f>
        <v> </v>
      </c>
      <c r="BW133" s="297" t="str">
        <f aca="false">IF($A133="N/A"," ",(1+BV133/2)^(-2*((EOMONTH(A133,0)+20)-DateToday)/365.25))</f>
        <v> </v>
      </c>
    </row>
    <row r="134" customFormat="false" ht="12.75" hidden="false" customHeight="false" outlineLevel="0" collapsed="false">
      <c r="A134" s="272" t="str">
        <f aca="false">IF(A133="N/A","N/A",IF(EDATE(A133,1)&gt;Inputs!$K$3,"N/A",EDATE(A133,1)))</f>
        <v>N/A</v>
      </c>
      <c r="B134" s="273" t="str">
        <f aca="false">IF(A134="N/A"," ",YEAR(A134))</f>
        <v> </v>
      </c>
      <c r="C134" s="274" t="str">
        <f aca="false">IF(A134="N/A"," ",VLOOKUP(A134,ScaledPrice,10))</f>
        <v> </v>
      </c>
      <c r="D134" s="275" t="str">
        <f aca="false">IF(A134="N/A"," ",(VLOOKUP(MONTH($A134),Inputs!$A$14:$B$25,2))/1000)</f>
        <v> </v>
      </c>
      <c r="E134" s="276" t="str">
        <f aca="false">IF($A134="N/A"," ",C134*D134)</f>
        <v> </v>
      </c>
      <c r="F134" s="277" t="str">
        <f aca="false">IF(A134="N/A"," ",Inputs!$F$6)</f>
        <v> </v>
      </c>
      <c r="G134" s="277" t="str">
        <f aca="false">IF(A134="N/A"," ",Inputs!$F$9/IF(AND('Pricing Inputs'!$AQ$3&gt;=4,'Pricing Inputs'!$AQ$3&lt;=6),16,IF(AND('Pricing Inputs'!$AQ$3&gt;=7,'Pricing Inputs'!$AQ$3&lt;=9),8,24))/(BA134/BW134))</f>
        <v> </v>
      </c>
      <c r="H134" s="278" t="str">
        <f aca="false">IF(A134="N/A"," ",(C134*D134)+F134+G134)</f>
        <v> </v>
      </c>
      <c r="I134" s="279" t="str">
        <f aca="false">VLOOKUP(A134,ScaledPrice,(IF(AND('Pricing Inputs'!$AQ$3&gt;=1,'Pricing Inputs'!$AQ$3&lt;=6),2,4)))</f>
        <v> </v>
      </c>
      <c r="J134" s="279" t="str">
        <f aca="false">IF(A134="N/A"," ",IF(AND('Pricing Inputs'!$AQ$3&gt;=1,'Pricing Inputs'!$AQ$3&lt;=6),I134,(VLOOKUP(A134,ScaledPrice,2))*(2-(VLOOKUP(A134,ScaledPrice,3)))))</f>
        <v> </v>
      </c>
      <c r="K134" s="279" t="str">
        <f aca="false">IF(A134="N/A"," ",IF(OR('Pricing Inputs'!$AQ$3=2,'Pricing Inputs'!$AQ$3=3,'Pricing Inputs'!$AQ$3=5,'Pricing Inputs'!$AQ$3=6,'Pricing Inputs'!$AQ$3=8,'Pricing Inputs'!$AQ$3=9),VLOOKUP(A134,ScaledPrice,IF(AND('Pricing Inputs'!$AQ$3&gt;=2,'Pricing Inputs'!$AQ$3&lt;=6),5,6)),0))</f>
        <v> </v>
      </c>
      <c r="L134" s="279" t="str">
        <f aca="false">IF(A134="N/A"," ",IF(OR('Pricing Inputs'!$AQ$3=2,'Pricing Inputs'!$AQ$3=3,'Pricing Inputs'!$AQ$3=5,'Pricing Inputs'!$AQ$3=6,'Pricing Inputs'!$AQ$3=8,'Pricing Inputs'!$AQ$3=9),IF(AND('Pricing Inputs'!$AQ$3&gt;=2,'Pricing Inputs'!$AQ$3&lt;=6),K134,(VLOOKUP(A134,ScaledPrice,5))*(2-(VLOOKUP(A134,ScaledPrice,3)))),0))</f>
        <v> </v>
      </c>
      <c r="M134" s="279" t="str">
        <f aca="false">IF(A134="N/A"," ",IF(OR('Pricing Inputs'!$AQ$3=3,'Pricing Inputs'!$AQ$3=6,'Pricing Inputs'!$AQ$3=9),(VLOOKUP(A134,ScaledPrice,IF(AND('Pricing Inputs'!$AQ$3&gt;=3,'Pricing Inputs'!$AQ$3&lt;=6),7,8))),0))</f>
        <v> </v>
      </c>
      <c r="N134" s="279" t="str">
        <f aca="false">IF(A134="N/A"," ",IF(OR('Pricing Inputs'!$AQ$3=3,'Pricing Inputs'!$AQ$3=6,'Pricing Inputs'!$AQ$3=9),IF(AND('Pricing Inputs'!$AQ$3&gt;=3,'Pricing Inputs'!$AQ$3&lt;=6),M134,(VLOOKUP(A134,ScaledPrice,7))*(2-(VLOOKUP(A134,ScaledPrice,3)))),0))</f>
        <v> </v>
      </c>
      <c r="O134" s="279" t="str">
        <f aca="false">IF(A134="N/A"," ",IF(AND('Pricing Inputs'!$AQ$3&gt;=1,'Pricing Inputs'!$AQ$3&lt;=3),VLOOKUP(A134,ScaledPrice,9),0))</f>
        <v> </v>
      </c>
      <c r="P134" s="280" t="str">
        <f aca="false">IF($A134="N/A"," ",IF('Pricing Inputs'!$AN$8=2,(I134-H134),IF('Pricing Inputs'!$AN$3=2,IF((I134-$H134)&gt;0,I134-$H134,0),(xSPRDOPT(I134,$E134,$BU134,0,$BP134,$BS134,$BT134,($A134-Inputs!$D$1)+15,1,0)))))</f>
        <v> </v>
      </c>
      <c r="Q134" s="280" t="str">
        <f aca="false">IF($A134="N/A"," ",IF('Pricing Inputs'!$AN$8=2,(J134-$H134),IF('Pricing Inputs'!$AN$3=2,IF((J134-$H134)&gt;0,J134-$H134,0),(xSPRDOPT(J134,$E134,$BU134,0,$BP134,$BS134,$BT134,($A134-Inputs!$D$1)+15,1,0)))))</f>
        <v> </v>
      </c>
      <c r="R134" s="280" t="str">
        <f aca="false">IF($A134="N/A"," ",IF('Pricing Inputs'!$AN$8=2,(K134-$H134),IF('Pricing Inputs'!$AN$3=2,IF((K134-$H134)&gt;0,K134-$H134,0),(xSPRDOPT(K134,$E134,$BU134,0,$BP134,$BS134,$BT134,($A134-Inputs!$D$1)+15,1,0)))))</f>
        <v> </v>
      </c>
      <c r="S134" s="280" t="str">
        <f aca="false">IF($A134="N/A"," ",IF('Pricing Inputs'!$AN$8=2,(L134-$H134),IF('Pricing Inputs'!$AN$3=2,IF((L134-$H134)&gt;0,L134-$H134,0),(xSPRDOPT(L134,$E134,$BU134,0,$BP134,$BS134,$BT134,($A134-Inputs!$D$1)+15,1,0)))))</f>
        <v> </v>
      </c>
      <c r="T134" s="280" t="str">
        <f aca="false">IF($A134="N/A"," ",IF('Pricing Inputs'!$AN$8=2,(M134-$H134),IF('Pricing Inputs'!$AN$3=2,IF((M134-$H134)&gt;0,M134-$H134,0),(xSPRDOPT(M134,$E134,$BU134,0,$BP134,$BS134,$BT134,($A134-Inputs!$D$1)+15,1,0)))))</f>
        <v> </v>
      </c>
      <c r="U134" s="280" t="str">
        <f aca="false">IF($A134="N/A"," ",IF('Pricing Inputs'!$AN$8=2,(N134-$H134),IF('Pricing Inputs'!$AN$3=2,IF((N134-$H134)&gt;0,N134-$H134,0),(xSPRDOPT(N134,$E134,$BU134,0,$BP134,$BS134,$BT134,($A134-Inputs!$D$1)+15,1,0)))))</f>
        <v> </v>
      </c>
      <c r="V134" s="281" t="str">
        <f aca="false">IF($A134="N/A"," ",(IF('Pricing Inputs'!$AN$8=2,(O134-$H134),IF((O134-$H134)&lt;=0,0,(O134-$H134)))))</f>
        <v> </v>
      </c>
      <c r="W134" s="282" t="str">
        <f aca="false">IF($A134="N/A"," ",IF(0&lt;&gt;P134,IF('Pricing Inputs'!$AN$3=2,8*VLOOKUP($A134,NumberofDaysTable,2),(xSPRDOPT(I134,$E134,$BU134,0,$BP134,$BS134,$BT134,$A134-Inputs!$D$1,1,1))*(8*VLOOKUP($A134,NumberofDaysTable,2))),0))</f>
        <v> </v>
      </c>
      <c r="X134" s="282" t="str">
        <f aca="false">IF($A134="N/A"," ",IF(Q134&lt;&gt;0,IF('Pricing Inputs'!$AN$3=2,8*VLOOKUP($A134,NumberofDaysTable,2),(xSPRDOPT(J134,$E134,$BU134,0,$BP134,$BS134,$BT134,$A134-Inputs!$D$1,1,1))*(8*VLOOKUP($A134,NumberofDaysTable,2))),0))</f>
        <v> </v>
      </c>
      <c r="Y134" s="282" t="str">
        <f aca="false">IF($A134="N/A"," ",IF(R134&lt;&gt;0,IF('Pricing Inputs'!$AN$3=2,8*VLOOKUP($A134,NumberofDaysTable,3),(xSPRDOPT(K134,$E134,$BU134,0,$BP134,$BS134,$BT134,$A134-Inputs!$D$1,1,1))*(8*VLOOKUP($A134,NumberofDaysTable,3))),0))</f>
        <v> </v>
      </c>
      <c r="Z134" s="282" t="str">
        <f aca="false">IF($A134="N/A"," ",IF(S134&lt;&gt;0,IF('Pricing Inputs'!$AN$3=2,8*VLOOKUP($A134,NumberofDaysTable,3),(xSPRDOPT(L134,$E134,$BU134,0,$BP134,$BS134,$BT134,$A134-Inputs!$D$1,1,1))*(8*VLOOKUP($A134,NumberofDaysTable,3))),0))</f>
        <v> </v>
      </c>
      <c r="AA134" s="282" t="str">
        <f aca="false">IF($A134="N/A"," ",IF(T134&lt;&gt;0,IF('Pricing Inputs'!$AN$3=2,8*VLOOKUP($A134,NumberofDaysTable,4),(xSPRDOPT(M134,$E134,$BU134,0,$BP134,$BS134,$BT134,$A134-Inputs!$D$1,1,1))*(8*VLOOKUP($A134,NumberofDaysTable,4))),0))</f>
        <v> </v>
      </c>
      <c r="AB134" s="282" t="str">
        <f aca="false">IF($A134="N/A"," ",IF(U134&lt;&gt;0,IF('Pricing Inputs'!$AN$3=2,8*VLOOKUP($A134,NumberofDaysTable,4),(xSPRDOPT(N134,$E134,$BU134,0,$BP134,$BS134,$BT134,$A134-Inputs!$D$1,1,1))*(8*VLOOKUP($A134,NumberofDaysTable,4))),0))</f>
        <v> </v>
      </c>
      <c r="AC134" s="282" t="str">
        <f aca="false">IF($A134="N/A"," ",(IF(V134&lt;&gt;0,(8*VLOOKUP($A134,NumberofDaysTable,6)),0)))</f>
        <v> </v>
      </c>
      <c r="AD134" s="298" t="str">
        <f aca="false">IF($A134="N/A"," ",RANK(P134,$P$124:$V$135))</f>
        <v> </v>
      </c>
      <c r="AE134" s="299" t="str">
        <f aca="false">IF($A134="N/A"," ",RANK(Q134,$P$124:$V$135))</f>
        <v> </v>
      </c>
      <c r="AF134" s="299" t="str">
        <f aca="false">IF($A134="N/A"," ",RANK(R134,$P$124:$V$135))</f>
        <v> </v>
      </c>
      <c r="AG134" s="299" t="str">
        <f aca="false">IF($A134="N/A"," ",RANK(S134,$P$124:$V$135))</f>
        <v> </v>
      </c>
      <c r="AH134" s="299" t="str">
        <f aca="false">IF($A134="N/A"," ",RANK(T134,$P$124:$V$135))</f>
        <v> </v>
      </c>
      <c r="AI134" s="299" t="str">
        <f aca="false">IF($A134="N/A"," ",RANK(U134,$P$124:$V$135))</f>
        <v> </v>
      </c>
      <c r="AJ134" s="300" t="str">
        <f aca="false">IF($A134="N/A"," ",RANK(V134,$P$124:$V$135))</f>
        <v> </v>
      </c>
      <c r="AK134" s="286" t="str">
        <f aca="false">IF($A134="N/A"," ",IF(AD134&lt;=$AJ$2,W134,0))</f>
        <v> </v>
      </c>
      <c r="AL134" s="301" t="str">
        <f aca="false">IF($A134="N/A"," ",IF(AE134&lt;=$AJ$2,X134,0))</f>
        <v> </v>
      </c>
      <c r="AM134" s="301" t="str">
        <f aca="false">IF($A134="N/A"," ",IF(AF134&lt;=$AJ$2,Y134,0))</f>
        <v> </v>
      </c>
      <c r="AN134" s="301" t="str">
        <f aca="false">IF($A134="N/A"," ",IF(AG134&lt;=$AJ$2,Z134,0))</f>
        <v> </v>
      </c>
      <c r="AO134" s="301" t="str">
        <f aca="false">IF($A134="N/A"," ",IF(AH134&lt;=$AJ$2,AA134,0))</f>
        <v> </v>
      </c>
      <c r="AP134" s="301" t="str">
        <f aca="false">IF($A134="N/A"," ",IF(AI134&lt;=$AJ$2,AB134,0))</f>
        <v> </v>
      </c>
      <c r="AQ134" s="301" t="str">
        <f aca="false">IF($A134="N/A"," ",IF(AJ134&lt;=$AJ$2,AC134,0))</f>
        <v> </v>
      </c>
      <c r="AR134" s="300" t="n">
        <f aca="false">SUM(AK124:AQ135)</f>
        <v>0</v>
      </c>
      <c r="AS134" s="288" t="str">
        <f aca="false">IF($A134="N/A"," ",IF(AND(AD134=$AJ$2+1,AK134=0),MIN($AR$135,W134),0))</f>
        <v> </v>
      </c>
      <c r="AT134" s="302" t="str">
        <f aca="false">IF($A134="N/A"," ",IF(AND(AE134=$AJ$2+1,AL134=0),MIN($AR$135,X134),0))</f>
        <v> </v>
      </c>
      <c r="AU134" s="302" t="str">
        <f aca="false">IF($A134="N/A"," ",IF(AND(AF134=$AJ$2+1,AM134=0),MIN($AR$135,Y134),0))</f>
        <v> </v>
      </c>
      <c r="AV134" s="302" t="str">
        <f aca="false">IF($A134="N/A"," ",IF(AND(AG134=$AJ$2+1,AN134=0),MIN($AR$135,Z134),0))</f>
        <v> </v>
      </c>
      <c r="AW134" s="302" t="str">
        <f aca="false">IF($A134="N/A"," ",IF(AND(AH134=$AJ$2+1,AO134=0),MIN($AR$135,AA134),0))</f>
        <v> </v>
      </c>
      <c r="AX134" s="302" t="str">
        <f aca="false">IF($A134="N/A"," ",IF(AND(AI134=$AJ$2+1,AP134=0),MIN($AR$135,AB134),0))</f>
        <v> </v>
      </c>
      <c r="AY134" s="302" t="str">
        <f aca="false">IF($A134="N/A"," ",IF(AND(AJ134=$AJ$2+1,AQ134=0),MIN($AR$135,AC134),0))</f>
        <v> </v>
      </c>
      <c r="AZ134" s="300" t="n">
        <f aca="false">SUM(AS124:AY135)</f>
        <v>0</v>
      </c>
      <c r="BA134" s="291" t="str">
        <f aca="false">IF($A134="N/A"," ",(IF(MONTH(A134)&gt;=4,IF(MONTH(A134)&lt;=10,Inputs!$F$13,Inputs!$F$14),Inputs!$F$14))*$BW134)</f>
        <v> </v>
      </c>
      <c r="BB134" s="292" t="str">
        <f aca="false">IF($A134="N/A"," ",(IF(AK134&gt;0,($BA134*(8*(VLOOKUP($A134,NumberofDaysTable,2)))*P134),0)+IF(AS134&gt;0,($BA134*((AS134))*P134),0)))</f>
        <v> </v>
      </c>
      <c r="BC134" s="292" t="str">
        <f aca="false">IF($A134="N/A"," ",(IF(AL134&gt;0,($BA134*(8*(VLOOKUP($A134,NumberofDaysTable,2)))*Q134),0)+IF(AT134&gt;0,($BA134*((AT134))*Q134),0)))</f>
        <v> </v>
      </c>
      <c r="BD134" s="292" t="str">
        <f aca="false">IF($A134="N/A"," ",(IF(AM134&gt;0,($BA134*(8*(VLOOKUP($A134,NumberofDaysTable,3)))*R134),0)+IF(AU134&gt;0,($BA134*((AU134))*R134),0)))</f>
        <v> </v>
      </c>
      <c r="BE134" s="292" t="str">
        <f aca="false">IF($A134="N/A"," ",(IF(AN134&gt;0,($BA134*(8*(VLOOKUP($A134,NumberofDaysTable,3)))*S134),0)+IF(AV134&gt;0,($BA134*((AV134))*S134),0)))</f>
        <v> </v>
      </c>
      <c r="BF134" s="292" t="str">
        <f aca="false">IF($A134="N/A"," ",(IF(AO134&gt;0,($BA134*(8*(VLOOKUP($A134,NumberofDaysTable,4)+VLOOKUP($A134,NumberofDaysTable,5)))*T134),0)+IF(AW134&gt;0,($BA134*((AW134))*T134),0)))</f>
        <v> </v>
      </c>
      <c r="BG134" s="292" t="str">
        <f aca="false">IF($A134="N/A"," ",(IF(AP134&gt;0,($BA134*(8*(VLOOKUP($A134,NumberofDaysTable,4)+VLOOKUP($A134,NumberofDaysTable,5)))*U134),0)+IF(AX134&gt;0,($BA134*((AX134))*U134),0)))</f>
        <v> </v>
      </c>
      <c r="BH134" s="292" t="str">
        <f aca="false">IF($A134="N/A"," ",($BA134*AQ134*V134))</f>
        <v> </v>
      </c>
      <c r="BI134" s="292" t="str">
        <f aca="false">IF($A134="N/A"," ",SUM(BB134:BH134))</f>
        <v> </v>
      </c>
      <c r="BJ134" s="293" t="str">
        <f aca="false">IF($A134="N/A"," ",(H134*(SUM(AK134:AQ134)+SUM(AS134:AY134))*BA134))</f>
        <v> </v>
      </c>
      <c r="BK134" s="293" t="str">
        <f aca="false">IF($A134="N/A"," ",((C134*D134)*(SUM($AK134:$AQ134)+SUM($AS134:$AY134))*$BA134))</f>
        <v> </v>
      </c>
      <c r="BL134" s="293" t="str">
        <f aca="false">IF($A134="N/A"," ",(F134*(SUM($AK134:$AQ134)+SUM($AS134:$AY134))*$BA134))</f>
        <v> </v>
      </c>
      <c r="BM134" s="293" t="str">
        <f aca="false">IF($A134="N/A"," ",(G134*(SUM($AK134:$AQ134)+SUM($AS134:$AY134))*$BA134))</f>
        <v> </v>
      </c>
      <c r="BN134" s="294" t="str">
        <f aca="false">IF(A134="N/A"," ",(VLOOKUP(A134,PowerVolTable,(IF('Pricing Inputs'!$AT$3=2,7,IF('Pricing Inputs'!$AT$3=1,6,8))),FALSE())))</f>
        <v> </v>
      </c>
      <c r="BO134" s="294" t="str">
        <f aca="false">IF(A134="N/A"," ",(VLOOKUP(A134,IntraPowerVol,(IF('Pricing Inputs'!$AT$3=2,3,IF('Pricing Inputs'!$AT$3=1,2,4))),FALSE())*VLOOKUP(MONTH($A134),Inputs!$A$28:$B$39,2)))</f>
        <v> </v>
      </c>
      <c r="BP134" s="295" t="str">
        <f aca="false">IF($A134="N/A"," ",(IF(DateToday&gt;$A134,$BO134,((($BN134^2)*((($A134-1)-DateToday)/((EOMONTH($A134,0)+1)-DateToday-15)))+((($BO134)^2)*((15)/((EOMONTH($A134,0)+1)-DateToday-15))))^0.5)))</f>
        <v> </v>
      </c>
      <c r="BQ134" s="294" t="str">
        <f aca="false">IF($A134="N/A"," ",(VLOOKUP($A134,GasVolTable,(IF('Pricing Inputs'!$AT$3=2,6,IF('Pricing Inputs'!$AT$3=1,7,5))),FALSE())))</f>
        <v> </v>
      </c>
      <c r="BR134" s="294" t="str">
        <f aca="false">IF($A134="N/A"," ",(VLOOKUP($A134,OmicronVol,(IF('Pricing Inputs'!$AT$3=2,3,IF('Pricing Inputs'!$AT$3=1,4,2))),FALSE())))</f>
        <v> </v>
      </c>
      <c r="BS134" s="295" t="str">
        <f aca="false">IF($A134="N/A"," ",IF('Pricing Inputs'!$AN$3=1,(IF(DateToday&gt;$A134,$BR134,((($BQ134^2)*((($A134-1)-DateToday)/((EOMONTH($A134,0)+1)-DateToday-15)))+((($BR134)^2)*((15)/((EOMONTH($A134,0)+1)-DateToday-15))))^0.5)),0.0001))</f>
        <v> </v>
      </c>
      <c r="BT134" s="294" t="str">
        <f aca="false">IF($A134="N/A"," ",IF('Pricing Inputs'!$AN$3=1,(VLOOKUP($A134,CorrelationTable,2,FALSE())),0))</f>
        <v> </v>
      </c>
      <c r="BU134" s="296" t="str">
        <f aca="false">IF($A134="N/A"," ",F134+G134+(D134*(VLOOKUP($A134,'Gas Curves'!$B$17:$P$310,14,FALSE()))))</f>
        <v> </v>
      </c>
      <c r="BV134" s="294" t="str">
        <f aca="false">IF($A134="N/A"," ",IF('Pricing Inputs'!$AW$3=1,0,(VLOOKUP($A134,InterestRatesTable,2))))</f>
        <v> </v>
      </c>
      <c r="BW134" s="297" t="str">
        <f aca="false">IF($A134="N/A"," ",(1+BV134/2)^(-2*((EOMONTH(A134,0)+20)-DateToday)/365.25))</f>
        <v> </v>
      </c>
    </row>
    <row r="135" customFormat="false" ht="12.75" hidden="false" customHeight="false" outlineLevel="0" collapsed="false">
      <c r="A135" s="272" t="str">
        <f aca="false">IF(A134="N/A","N/A",IF(EDATE(A134,1)&gt;Inputs!$K$3,"N/A",EDATE(A134,1)))</f>
        <v>N/A</v>
      </c>
      <c r="B135" s="273" t="str">
        <f aca="false">IF(A135="N/A"," ",YEAR(A135))</f>
        <v> </v>
      </c>
      <c r="C135" s="274" t="str">
        <f aca="false">IF(A135="N/A"," ",VLOOKUP(A135,ScaledPrice,10))</f>
        <v> </v>
      </c>
      <c r="D135" s="275" t="str">
        <f aca="false">IF(A135="N/A"," ",(VLOOKUP(MONTH($A135),Inputs!$A$14:$B$25,2))/1000)</f>
        <v> </v>
      </c>
      <c r="E135" s="276" t="str">
        <f aca="false">IF($A135="N/A"," ",C135*D135)</f>
        <v> </v>
      </c>
      <c r="F135" s="277" t="str">
        <f aca="false">IF(A135="N/A"," ",Inputs!$F$6)</f>
        <v> </v>
      </c>
      <c r="G135" s="277" t="str">
        <f aca="false">IF(A135="N/A"," ",Inputs!$F$9/IF(AND('Pricing Inputs'!$AQ$3&gt;=4,'Pricing Inputs'!$AQ$3&lt;=6),16,IF(AND('Pricing Inputs'!$AQ$3&gt;=7,'Pricing Inputs'!$AQ$3&lt;=9),8,24))/(BA135/BW135))</f>
        <v> </v>
      </c>
      <c r="H135" s="278" t="str">
        <f aca="false">IF(A135="N/A"," ",(C135*D135)+F135+G135)</f>
        <v> </v>
      </c>
      <c r="I135" s="279" t="str">
        <f aca="false">VLOOKUP(A135,ScaledPrice,(IF(AND('Pricing Inputs'!$AQ$3&gt;=1,'Pricing Inputs'!$AQ$3&lt;=6),2,4)))</f>
        <v> </v>
      </c>
      <c r="J135" s="279" t="str">
        <f aca="false">IF(A135="N/A"," ",IF(AND('Pricing Inputs'!$AQ$3&gt;=1,'Pricing Inputs'!$AQ$3&lt;=6),I135,(VLOOKUP(A135,ScaledPrice,2))*(2-(VLOOKUP(A135,ScaledPrice,3)))))</f>
        <v> </v>
      </c>
      <c r="K135" s="279" t="str">
        <f aca="false">IF(A135="N/A"," ",IF(OR('Pricing Inputs'!$AQ$3=2,'Pricing Inputs'!$AQ$3=3,'Pricing Inputs'!$AQ$3=5,'Pricing Inputs'!$AQ$3=6,'Pricing Inputs'!$AQ$3=8,'Pricing Inputs'!$AQ$3=9),VLOOKUP(A135,ScaledPrice,IF(AND('Pricing Inputs'!$AQ$3&gt;=2,'Pricing Inputs'!$AQ$3&lt;=6),5,6)),0))</f>
        <v> </v>
      </c>
      <c r="L135" s="279" t="str">
        <f aca="false">IF(A135="N/A"," ",IF(OR('Pricing Inputs'!$AQ$3=2,'Pricing Inputs'!$AQ$3=3,'Pricing Inputs'!$AQ$3=5,'Pricing Inputs'!$AQ$3=6,'Pricing Inputs'!$AQ$3=8,'Pricing Inputs'!$AQ$3=9),IF(AND('Pricing Inputs'!$AQ$3&gt;=2,'Pricing Inputs'!$AQ$3&lt;=6),K135,(VLOOKUP(A135,ScaledPrice,5))*(2-(VLOOKUP(A135,ScaledPrice,3)))),0))</f>
        <v> </v>
      </c>
      <c r="M135" s="279" t="str">
        <f aca="false">IF(A135="N/A"," ",IF(OR('Pricing Inputs'!$AQ$3=3,'Pricing Inputs'!$AQ$3=6,'Pricing Inputs'!$AQ$3=9),(VLOOKUP(A135,ScaledPrice,IF(AND('Pricing Inputs'!$AQ$3&gt;=3,'Pricing Inputs'!$AQ$3&lt;=6),7,8))),0))</f>
        <v> </v>
      </c>
      <c r="N135" s="279" t="str">
        <f aca="false">IF(A135="N/A"," ",IF(OR('Pricing Inputs'!$AQ$3=3,'Pricing Inputs'!$AQ$3=6,'Pricing Inputs'!$AQ$3=9),IF(AND('Pricing Inputs'!$AQ$3&gt;=3,'Pricing Inputs'!$AQ$3&lt;=6),M135,(VLOOKUP(A135,ScaledPrice,7))*(2-(VLOOKUP(A135,ScaledPrice,3)))),0))</f>
        <v> </v>
      </c>
      <c r="O135" s="279" t="str">
        <f aca="false">IF(A135="N/A"," ",IF(AND('Pricing Inputs'!$AQ$3&gt;=1,'Pricing Inputs'!$AQ$3&lt;=3),VLOOKUP(A135,ScaledPrice,9),0))</f>
        <v> </v>
      </c>
      <c r="P135" s="280" t="str">
        <f aca="false">IF($A135="N/A"," ",IF('Pricing Inputs'!$AN$8=2,(I135-H135),IF('Pricing Inputs'!$AN$3=2,IF((I135-$H135)&gt;0,I135-$H135,0),(xSPRDOPT(I135,$E135,$BU135,0,$BP135,$BS135,$BT135,($A135-Inputs!$D$1)+15,1,0)))))</f>
        <v> </v>
      </c>
      <c r="Q135" s="280" t="str">
        <f aca="false">IF($A135="N/A"," ",IF('Pricing Inputs'!$AN$8=2,(J135-$H135),IF('Pricing Inputs'!$AN$3=2,IF((J135-$H135)&gt;0,J135-$H135,0),(xSPRDOPT(J135,$E135,$BU135,0,$BP135,$BS135,$BT135,($A135-Inputs!$D$1)+15,1,0)))))</f>
        <v> </v>
      </c>
      <c r="R135" s="280" t="str">
        <f aca="false">IF($A135="N/A"," ",IF('Pricing Inputs'!$AN$8=2,(K135-$H135),IF('Pricing Inputs'!$AN$3=2,IF((K135-$H135)&gt;0,K135-$H135,0),(xSPRDOPT(K135,$E135,$BU135,0,$BP135,$BS135,$BT135,($A135-Inputs!$D$1)+15,1,0)))))</f>
        <v> </v>
      </c>
      <c r="S135" s="280" t="str">
        <f aca="false">IF($A135="N/A"," ",IF('Pricing Inputs'!$AN$8=2,(L135-$H135),IF('Pricing Inputs'!$AN$3=2,IF((L135-$H135)&gt;0,L135-$H135,0),(xSPRDOPT(L135,$E135,$BU135,0,$BP135,$BS135,$BT135,($A135-Inputs!$D$1)+15,1,0)))))</f>
        <v> </v>
      </c>
      <c r="T135" s="280" t="str">
        <f aca="false">IF($A135="N/A"," ",IF('Pricing Inputs'!$AN$8=2,(M135-$H135),IF('Pricing Inputs'!$AN$3=2,IF((M135-$H135)&gt;0,M135-$H135,0),(xSPRDOPT(M135,$E135,$BU135,0,$BP135,$BS135,$BT135,($A135-Inputs!$D$1)+15,1,0)))))</f>
        <v> </v>
      </c>
      <c r="U135" s="280" t="str">
        <f aca="false">IF($A135="N/A"," ",IF('Pricing Inputs'!$AN$8=2,(N135-$H135),IF('Pricing Inputs'!$AN$3=2,IF((N135-$H135)&gt;0,N135-$H135,0),(xSPRDOPT(N135,$E135,$BU135,0,$BP135,$BS135,$BT135,($A135-Inputs!$D$1)+15,1,0)))))</f>
        <v> </v>
      </c>
      <c r="V135" s="281" t="str">
        <f aca="false">IF($A135="N/A"," ",(IF('Pricing Inputs'!$AN$8=2,(O135-$H135),IF((O135-$H135)&lt;=0,0,(O135-$H135)))))</f>
        <v> </v>
      </c>
      <c r="W135" s="282" t="str">
        <f aca="false">IF($A135="N/A"," ",IF(0&lt;&gt;P135,IF('Pricing Inputs'!$AN$3=2,8*VLOOKUP($A135,NumberofDaysTable,2),(xSPRDOPT(I135,$E135,$BU135,0,$BP135,$BS135,$BT135,$A135-Inputs!$D$1,1,1))*(8*VLOOKUP($A135,NumberofDaysTable,2))),0))</f>
        <v> </v>
      </c>
      <c r="X135" s="282" t="str">
        <f aca="false">IF($A135="N/A"," ",IF(Q135&lt;&gt;0,IF('Pricing Inputs'!$AN$3=2,8*VLOOKUP($A135,NumberofDaysTable,2),(xSPRDOPT(J135,$E135,$BU135,0,$BP135,$BS135,$BT135,$A135-Inputs!$D$1,1,1))*(8*VLOOKUP($A135,NumberofDaysTable,2))),0))</f>
        <v> </v>
      </c>
      <c r="Y135" s="282" t="str">
        <f aca="false">IF($A135="N/A"," ",IF(R135&lt;&gt;0,IF('Pricing Inputs'!$AN$3=2,8*VLOOKUP($A135,NumberofDaysTable,3),(xSPRDOPT(K135,$E135,$BU135,0,$BP135,$BS135,$BT135,$A135-Inputs!$D$1,1,1))*(8*VLOOKUP($A135,NumberofDaysTable,3))),0))</f>
        <v> </v>
      </c>
      <c r="Z135" s="282" t="str">
        <f aca="false">IF($A135="N/A"," ",IF(S135&lt;&gt;0,IF('Pricing Inputs'!$AN$3=2,8*VLOOKUP($A135,NumberofDaysTable,3),(xSPRDOPT(L135,$E135,$BU135,0,$BP135,$BS135,$BT135,$A135-Inputs!$D$1,1,1))*(8*VLOOKUP($A135,NumberofDaysTable,3))),0))</f>
        <v> </v>
      </c>
      <c r="AA135" s="282" t="str">
        <f aca="false">IF($A135="N/A"," ",IF(T135&lt;&gt;0,IF('Pricing Inputs'!$AN$3=2,8*VLOOKUP($A135,NumberofDaysTable,4),(xSPRDOPT(M135,$E135,$BU135,0,$BP135,$BS135,$BT135,$A135-Inputs!$D$1,1,1))*(8*VLOOKUP($A135,NumberofDaysTable,4))),0))</f>
        <v> </v>
      </c>
      <c r="AB135" s="282" t="str">
        <f aca="false">IF($A135="N/A"," ",IF(U135&lt;&gt;0,IF('Pricing Inputs'!$AN$3=2,8*VLOOKUP($A135,NumberofDaysTable,4),(xSPRDOPT(N135,$E135,$BU135,0,$BP135,$BS135,$BT135,$A135-Inputs!$D$1,1,1))*(8*VLOOKUP($A135,NumberofDaysTable,4))),0))</f>
        <v> </v>
      </c>
      <c r="AC135" s="282" t="str">
        <f aca="false">IF($A135="N/A"," ",(IF(V135&lt;&gt;0,(8*VLOOKUP($A135,NumberofDaysTable,6)),0)))</f>
        <v> </v>
      </c>
      <c r="AD135" s="305" t="str">
        <f aca="false">IF($A135="N/A"," ",RANK(P135,$P$124:$V$135))</f>
        <v> </v>
      </c>
      <c r="AE135" s="306" t="str">
        <f aca="false">IF($A135="N/A"," ",RANK(Q135,$P$124:$V$135))</f>
        <v> </v>
      </c>
      <c r="AF135" s="306" t="str">
        <f aca="false">IF($A135="N/A"," ",RANK(R135,$P$124:$V$135))</f>
        <v> </v>
      </c>
      <c r="AG135" s="306" t="str">
        <f aca="false">IF($A135="N/A"," ",RANK(S135,$P$124:$V$135))</f>
        <v> </v>
      </c>
      <c r="AH135" s="306" t="str">
        <f aca="false">IF($A135="N/A"," ",RANK(T135,$P$124:$V$135))</f>
        <v> </v>
      </c>
      <c r="AI135" s="306" t="str">
        <f aca="false">IF($A135="N/A"," ",RANK(U135,$P$124:$V$135))</f>
        <v> </v>
      </c>
      <c r="AJ135" s="307" t="str">
        <f aca="false">IF($A135="N/A"," ",RANK(V135,$P$124:$V$135))</f>
        <v> </v>
      </c>
      <c r="AK135" s="308" t="str">
        <f aca="false">IF($A135="N/A"," ",IF(AD135&lt;=$AJ$2,W135,0))</f>
        <v> </v>
      </c>
      <c r="AL135" s="309" t="str">
        <f aca="false">IF($A135="N/A"," ",IF(AE135&lt;=$AJ$2,X135,0))</f>
        <v> </v>
      </c>
      <c r="AM135" s="309" t="str">
        <f aca="false">IF($A135="N/A"," ",IF(AF135&lt;=$AJ$2,Y135,0))</f>
        <v> </v>
      </c>
      <c r="AN135" s="309" t="str">
        <f aca="false">IF($A135="N/A"," ",IF(AG135&lt;=$AJ$2,Z135,0))</f>
        <v> </v>
      </c>
      <c r="AO135" s="309" t="str">
        <f aca="false">IF($A135="N/A"," ",IF(AH135&lt;=$AJ$2,AA135,0))</f>
        <v> </v>
      </c>
      <c r="AP135" s="309" t="str">
        <f aca="false">IF($A135="N/A"," ",IF(AI135&lt;=$AJ$2,AB135,0))</f>
        <v> </v>
      </c>
      <c r="AQ135" s="309" t="str">
        <f aca="false">IF($A135="N/A"," ",IF(AJ135&lt;=$AJ$2,AC135,0))</f>
        <v> </v>
      </c>
      <c r="AR135" s="307" t="n">
        <f aca="false">IF(($AP$2-AR134)&gt;=0,$AP$2-AR134,0)</f>
        <v>1400</v>
      </c>
      <c r="AS135" s="310" t="str">
        <f aca="false">IF($A135="N/A"," ",IF(AND(AD135=$AJ$2+1,AK135=0),MIN($AR$135,W135),0))</f>
        <v> </v>
      </c>
      <c r="AT135" s="311" t="str">
        <f aca="false">IF($A135="N/A"," ",IF(AND(AE135=$AJ$2+1,AL135=0),MIN($AR$135,X135),0))</f>
        <v> </v>
      </c>
      <c r="AU135" s="311" t="str">
        <f aca="false">IF($A135="N/A"," ",IF(AND(AF135=$AJ$2+1,AM135=0),MIN($AR$135,Y135),0))</f>
        <v> </v>
      </c>
      <c r="AV135" s="311" t="str">
        <f aca="false">IF($A135="N/A"," ",IF(AND(AG135=$AJ$2+1,AN135=0),MIN($AR$135,Z135),0))</f>
        <v> </v>
      </c>
      <c r="AW135" s="311" t="str">
        <f aca="false">IF($A135="N/A"," ",IF(AND(AH135=$AJ$2+1,AO135=0),MIN($AR$135,AA135),0))</f>
        <v> </v>
      </c>
      <c r="AX135" s="311" t="str">
        <f aca="false">IF($A135="N/A"," ",IF(AND(AI135=$AJ$2+1,AP135=0),MIN($AR$135,AB135),0))</f>
        <v> </v>
      </c>
      <c r="AY135" s="311" t="str">
        <f aca="false">IF($A135="N/A"," ",IF(AND(AJ135=$AJ$2+1,AQ135=0),MIN($AR$135,AC135),0))</f>
        <v> </v>
      </c>
      <c r="AZ135" s="312" t="n">
        <f aca="false">AR134+AZ134</f>
        <v>0</v>
      </c>
      <c r="BA135" s="291" t="str">
        <f aca="false">IF($A135="N/A"," ",(IF(MONTH(A135)&gt;=4,IF(MONTH(A135)&lt;=10,Inputs!$F$13,Inputs!$F$14),Inputs!$F$14))*$BW135)</f>
        <v> </v>
      </c>
      <c r="BB135" s="292" t="str">
        <f aca="false">IF($A135="N/A"," ",(IF(AK135&gt;0,($BA135*(8*(VLOOKUP($A135,NumberofDaysTable,2)))*P135),0)+IF(AS135&gt;0,($BA135*((AS135))*P135),0)))</f>
        <v> </v>
      </c>
      <c r="BC135" s="292" t="str">
        <f aca="false">IF($A135="N/A"," ",(IF(AL135&gt;0,($BA135*(8*(VLOOKUP($A135,NumberofDaysTable,2)))*Q135),0)+IF(AT135&gt;0,($BA135*((AT135))*Q135),0)))</f>
        <v> </v>
      </c>
      <c r="BD135" s="292" t="str">
        <f aca="false">IF($A135="N/A"," ",(IF(AM135&gt;0,($BA135*(8*(VLOOKUP($A135,NumberofDaysTable,3)))*R135),0)+IF(AU135&gt;0,($BA135*((AU135))*R135),0)))</f>
        <v> </v>
      </c>
      <c r="BE135" s="292" t="str">
        <f aca="false">IF($A135="N/A"," ",(IF(AN135&gt;0,($BA135*(8*(VLOOKUP($A135,NumberofDaysTable,3)))*S135),0)+IF(AV135&gt;0,($BA135*((AV135))*S135),0)))</f>
        <v> </v>
      </c>
      <c r="BF135" s="292" t="str">
        <f aca="false">IF($A135="N/A"," ",(IF(AO135&gt;0,($BA135*(8*(VLOOKUP($A135,NumberofDaysTable,4)+VLOOKUP($A135,NumberofDaysTable,5)))*T135),0)+IF(AW135&gt;0,($BA135*((AW135))*T135),0)))</f>
        <v> </v>
      </c>
      <c r="BG135" s="292" t="str">
        <f aca="false">IF($A135="N/A"," ",(IF(AP135&gt;0,($BA135*(8*(VLOOKUP($A135,NumberofDaysTable,4)+VLOOKUP($A135,NumberofDaysTable,5)))*U135),0)+IF(AX135&gt;0,($BA135*((AX135))*U135),0)))</f>
        <v> </v>
      </c>
      <c r="BH135" s="292" t="str">
        <f aca="false">IF($A135="N/A"," ",($BA135*AQ135*V135))</f>
        <v> </v>
      </c>
      <c r="BI135" s="292" t="str">
        <f aca="false">IF($A135="N/A"," ",SUM(BB135:BH135))</f>
        <v> </v>
      </c>
      <c r="BJ135" s="293" t="str">
        <f aca="false">IF($A135="N/A"," ",(H135*(SUM(AK135:AQ135)+SUM(AS135:AY135))*BA135))</f>
        <v> </v>
      </c>
      <c r="BK135" s="293" t="str">
        <f aca="false">IF($A135="N/A"," ",((C135*D135)*(SUM($AK135:$AQ135)+SUM($AS135:$AY135))*$BA135))</f>
        <v> </v>
      </c>
      <c r="BL135" s="293" t="str">
        <f aca="false">IF($A135="N/A"," ",(F135*(SUM($AK135:$AQ135)+SUM($AS135:$AY135))*$BA135))</f>
        <v> </v>
      </c>
      <c r="BM135" s="293" t="str">
        <f aca="false">IF($A135="N/A"," ",(G135*(SUM($AK135:$AQ135)+SUM($AS135:$AY135))*$BA135))</f>
        <v> </v>
      </c>
      <c r="BN135" s="294" t="str">
        <f aca="false">IF(A135="N/A"," ",(VLOOKUP(A135,PowerVolTable,(IF('Pricing Inputs'!$AT$3=2,7,IF('Pricing Inputs'!$AT$3=1,6,8))),FALSE())))</f>
        <v> </v>
      </c>
      <c r="BO135" s="294" t="str">
        <f aca="false">IF(A135="N/A"," ",(VLOOKUP(A135,IntraPowerVol,(IF('Pricing Inputs'!$AT$3=2,3,IF('Pricing Inputs'!$AT$3=1,2,4))),FALSE())*VLOOKUP(MONTH($A135),Inputs!$A$28:$B$39,2)))</f>
        <v> </v>
      </c>
      <c r="BP135" s="295" t="str">
        <f aca="false">IF($A135="N/A"," ",(IF(DateToday&gt;$A135,$BO135,((($BN135^2)*((($A135-1)-DateToday)/((EOMONTH($A135,0)+1)-DateToday-15)))+((($BO135)^2)*((15)/((EOMONTH($A135,0)+1)-DateToday-15))))^0.5)))</f>
        <v> </v>
      </c>
      <c r="BQ135" s="294" t="str">
        <f aca="false">IF($A135="N/A"," ",(VLOOKUP($A135,GasVolTable,(IF('Pricing Inputs'!$AT$3=2,6,IF('Pricing Inputs'!$AT$3=1,7,5))),FALSE())))</f>
        <v> </v>
      </c>
      <c r="BR135" s="294" t="str">
        <f aca="false">IF($A135="N/A"," ",(VLOOKUP($A135,OmicronVol,(IF('Pricing Inputs'!$AT$3=2,3,IF('Pricing Inputs'!$AT$3=1,4,2))),FALSE())))</f>
        <v> </v>
      </c>
      <c r="BS135" s="295" t="str">
        <f aca="false">IF($A135="N/A"," ",IF('Pricing Inputs'!$AN$3=1,(IF(DateToday&gt;$A135,$BR135,((($BQ135^2)*((($A135-1)-DateToday)/((EOMONTH($A135,0)+1)-DateToday-15)))+((($BR135)^2)*((15)/((EOMONTH($A135,0)+1)-DateToday-15))))^0.5)),0.0001))</f>
        <v> </v>
      </c>
      <c r="BT135" s="294" t="str">
        <f aca="false">IF($A135="N/A"," ",IF('Pricing Inputs'!$AN$3=1,(VLOOKUP($A135,CorrelationTable,2,FALSE())),0))</f>
        <v> </v>
      </c>
      <c r="BU135" s="296" t="str">
        <f aca="false">IF($A135="N/A"," ",F135+G135+(D135*(VLOOKUP($A135,'Gas Curves'!$B$17:$P$310,14,FALSE()))))</f>
        <v> </v>
      </c>
      <c r="BV135" s="294" t="str">
        <f aca="false">IF($A135="N/A"," ",IF('Pricing Inputs'!$AW$3=1,0,(VLOOKUP($A135,InterestRatesTable,2))))</f>
        <v> </v>
      </c>
      <c r="BW135" s="297" t="str">
        <f aca="false">IF($A135="N/A"," ",(1+BV135/2)^(-2*((EOMONTH(A135,0)+20)-DateToday)/365.25))</f>
        <v> </v>
      </c>
    </row>
    <row r="136" customFormat="false" ht="12.75" hidden="false" customHeight="false" outlineLevel="0" collapsed="false">
      <c r="A136" s="272" t="str">
        <f aca="false">IF(A135="N/A","N/A",IF(EDATE(A135,1)&gt;Inputs!$K$3,"N/A",EDATE(A135,1)))</f>
        <v>N/A</v>
      </c>
      <c r="B136" s="273" t="str">
        <f aca="false">IF(A136="N/A"," ",YEAR(A136))</f>
        <v> </v>
      </c>
      <c r="C136" s="274" t="str">
        <f aca="false">IF(A136="N/A"," ",VLOOKUP(A136,ScaledPrice,10))</f>
        <v> </v>
      </c>
      <c r="D136" s="275" t="str">
        <f aca="false">IF(A136="N/A"," ",(VLOOKUP(MONTH($A136),Inputs!$A$14:$B$25,2))/1000)</f>
        <v> </v>
      </c>
      <c r="E136" s="276" t="str">
        <f aca="false">IF($A136="N/A"," ",C136*D136)</f>
        <v> </v>
      </c>
      <c r="F136" s="277" t="str">
        <f aca="false">IF(A136="N/A"," ",Inputs!$F$6)</f>
        <v> </v>
      </c>
      <c r="G136" s="277" t="str">
        <f aca="false">IF(A136="N/A"," ",Inputs!$F$9/IF(AND('Pricing Inputs'!$AQ$3&gt;=4,'Pricing Inputs'!$AQ$3&lt;=6),16,IF(AND('Pricing Inputs'!$AQ$3&gt;=7,'Pricing Inputs'!$AQ$3&lt;=9),8,24))/(BA136/BW136))</f>
        <v> </v>
      </c>
      <c r="H136" s="278" t="str">
        <f aca="false">IF(A136="N/A"," ",(C136*D136)+F136+G136)</f>
        <v> </v>
      </c>
      <c r="I136" s="279" t="str">
        <f aca="false">VLOOKUP(A136,ScaledPrice,(IF(AND('Pricing Inputs'!$AQ$3&gt;=1,'Pricing Inputs'!$AQ$3&lt;=6),2,4)))</f>
        <v> </v>
      </c>
      <c r="J136" s="279" t="str">
        <f aca="false">IF(A136="N/A"," ",IF(AND('Pricing Inputs'!$AQ$3&gt;=1,'Pricing Inputs'!$AQ$3&lt;=6),I136,(VLOOKUP(A136,ScaledPrice,2))*(2-(VLOOKUP(A136,ScaledPrice,3)))))</f>
        <v> </v>
      </c>
      <c r="K136" s="279" t="str">
        <f aca="false">IF(A136="N/A"," ",IF(OR('Pricing Inputs'!$AQ$3=2,'Pricing Inputs'!$AQ$3=3,'Pricing Inputs'!$AQ$3=5,'Pricing Inputs'!$AQ$3=6,'Pricing Inputs'!$AQ$3=8,'Pricing Inputs'!$AQ$3=9),VLOOKUP(A136,ScaledPrice,IF(AND('Pricing Inputs'!$AQ$3&gt;=2,'Pricing Inputs'!$AQ$3&lt;=6),5,6)),0))</f>
        <v> </v>
      </c>
      <c r="L136" s="279" t="str">
        <f aca="false">IF(A136="N/A"," ",IF(OR('Pricing Inputs'!$AQ$3=2,'Pricing Inputs'!$AQ$3=3,'Pricing Inputs'!$AQ$3=5,'Pricing Inputs'!$AQ$3=6,'Pricing Inputs'!$AQ$3=8,'Pricing Inputs'!$AQ$3=9),IF(AND('Pricing Inputs'!$AQ$3&gt;=2,'Pricing Inputs'!$AQ$3&lt;=6),K136,(VLOOKUP(A136,ScaledPrice,5))*(2-(VLOOKUP(A136,ScaledPrice,3)))),0))</f>
        <v> </v>
      </c>
      <c r="M136" s="279" t="str">
        <f aca="false">IF(A136="N/A"," ",IF(OR('Pricing Inputs'!$AQ$3=3,'Pricing Inputs'!$AQ$3=6,'Pricing Inputs'!$AQ$3=9),(VLOOKUP(A136,ScaledPrice,IF(AND('Pricing Inputs'!$AQ$3&gt;=3,'Pricing Inputs'!$AQ$3&lt;=6),7,8))),0))</f>
        <v> </v>
      </c>
      <c r="N136" s="279" t="str">
        <f aca="false">IF(A136="N/A"," ",IF(OR('Pricing Inputs'!$AQ$3=3,'Pricing Inputs'!$AQ$3=6,'Pricing Inputs'!$AQ$3=9),IF(AND('Pricing Inputs'!$AQ$3&gt;=3,'Pricing Inputs'!$AQ$3&lt;=6),M136,(VLOOKUP(A136,ScaledPrice,7))*(2-(VLOOKUP(A136,ScaledPrice,3)))),0))</f>
        <v> </v>
      </c>
      <c r="O136" s="279" t="str">
        <f aca="false">IF(A136="N/A"," ",IF(AND('Pricing Inputs'!$AQ$3&gt;=1,'Pricing Inputs'!$AQ$3&lt;=3),VLOOKUP(A136,ScaledPrice,9),0))</f>
        <v> </v>
      </c>
      <c r="P136" s="280" t="str">
        <f aca="false">IF($A136="N/A"," ",IF('Pricing Inputs'!$AN$8=2,(I136-H136),IF('Pricing Inputs'!$AN$3=2,IF((I136-$H136)&gt;0,I136-$H136,0),(xSPRDOPT(I136,$E136,$BU136,0,$BP136,$BS136,$BT136,($A136-Inputs!$D$1)+15,1,0)))))</f>
        <v> </v>
      </c>
      <c r="Q136" s="280" t="str">
        <f aca="false">IF($A136="N/A"," ",IF('Pricing Inputs'!$AN$8=2,(J136-$H136),IF('Pricing Inputs'!$AN$3=2,IF((J136-$H136)&gt;0,J136-$H136,0),(xSPRDOPT(J136,$E136,$BU136,0,$BP136,$BS136,$BT136,($A136-Inputs!$D$1)+15,1,0)))))</f>
        <v> </v>
      </c>
      <c r="R136" s="280" t="str">
        <f aca="false">IF($A136="N/A"," ",IF('Pricing Inputs'!$AN$8=2,(K136-$H136),IF('Pricing Inputs'!$AN$3=2,IF((K136-$H136)&gt;0,K136-$H136,0),(xSPRDOPT(K136,$E136,$BU136,0,$BP136,$BS136,$BT136,($A136-Inputs!$D$1)+15,1,0)))))</f>
        <v> </v>
      </c>
      <c r="S136" s="280" t="str">
        <f aca="false">IF($A136="N/A"," ",IF('Pricing Inputs'!$AN$8=2,(L136-$H136),IF('Pricing Inputs'!$AN$3=2,IF((L136-$H136)&gt;0,L136-$H136,0),(xSPRDOPT(L136,$E136,$BU136,0,$BP136,$BS136,$BT136,($A136-Inputs!$D$1)+15,1,0)))))</f>
        <v> </v>
      </c>
      <c r="T136" s="280" t="str">
        <f aca="false">IF($A136="N/A"," ",IF('Pricing Inputs'!$AN$8=2,(M136-$H136),IF('Pricing Inputs'!$AN$3=2,IF((M136-$H136)&gt;0,M136-$H136,0),(xSPRDOPT(M136,$E136,$BU136,0,$BP136,$BS136,$BT136,($A136-Inputs!$D$1)+15,1,0)))))</f>
        <v> </v>
      </c>
      <c r="U136" s="280" t="str">
        <f aca="false">IF($A136="N/A"," ",IF('Pricing Inputs'!$AN$8=2,(N136-$H136),IF('Pricing Inputs'!$AN$3=2,IF((N136-$H136)&gt;0,N136-$H136,0),(xSPRDOPT(N136,$E136,$BU136,0,$BP136,$BS136,$BT136,($A136-Inputs!$D$1)+15,1,0)))))</f>
        <v> </v>
      </c>
      <c r="V136" s="281" t="str">
        <f aca="false">IF($A136="N/A"," ",(IF('Pricing Inputs'!$AN$8=2,(O136-$H136),IF((O136-$H136)&lt;=0,0,(O136-$H136)))))</f>
        <v> </v>
      </c>
      <c r="W136" s="282" t="str">
        <f aca="false">IF($A136="N/A"," ",IF(0&lt;&gt;P136,IF('Pricing Inputs'!$AN$3=2,8*VLOOKUP($A136,NumberofDaysTable,2),(xSPRDOPT(I136,$E136,$BU136,0,$BP136,$BS136,$BT136,$A136-Inputs!$D$1,1,1))*(8*VLOOKUP($A136,NumberofDaysTable,2))),0))</f>
        <v> </v>
      </c>
      <c r="X136" s="282" t="str">
        <f aca="false">IF($A136="N/A"," ",IF(Q136&lt;&gt;0,IF('Pricing Inputs'!$AN$3=2,8*VLOOKUP($A136,NumberofDaysTable,2),(xSPRDOPT(J136,$E136,$BU136,0,$BP136,$BS136,$BT136,$A136-Inputs!$D$1,1,1))*(8*VLOOKUP($A136,NumberofDaysTable,2))),0))</f>
        <v> </v>
      </c>
      <c r="Y136" s="282" t="str">
        <f aca="false">IF($A136="N/A"," ",IF(R136&lt;&gt;0,IF('Pricing Inputs'!$AN$3=2,8*VLOOKUP($A136,NumberofDaysTable,3),(xSPRDOPT(K136,$E136,$BU136,0,$BP136,$BS136,$BT136,$A136-Inputs!$D$1,1,1))*(8*VLOOKUP($A136,NumberofDaysTable,3))),0))</f>
        <v> </v>
      </c>
      <c r="Z136" s="282" t="str">
        <f aca="false">IF($A136="N/A"," ",IF(S136&lt;&gt;0,IF('Pricing Inputs'!$AN$3=2,8*VLOOKUP($A136,NumberofDaysTable,3),(xSPRDOPT(L136,$E136,$BU136,0,$BP136,$BS136,$BT136,$A136-Inputs!$D$1,1,1))*(8*VLOOKUP($A136,NumberofDaysTable,3))),0))</f>
        <v> </v>
      </c>
      <c r="AA136" s="282" t="str">
        <f aca="false">IF($A136="N/A"," ",IF(T136&lt;&gt;0,IF('Pricing Inputs'!$AN$3=2,8*VLOOKUP($A136,NumberofDaysTable,4),(xSPRDOPT(M136,$E136,$BU136,0,$BP136,$BS136,$BT136,$A136-Inputs!$D$1,1,1))*(8*VLOOKUP($A136,NumberofDaysTable,4))),0))</f>
        <v> </v>
      </c>
      <c r="AB136" s="282" t="str">
        <f aca="false">IF($A136="N/A"," ",IF(U136&lt;&gt;0,IF('Pricing Inputs'!$AN$3=2,8*VLOOKUP($A136,NumberofDaysTable,4),(xSPRDOPT(N136,$E136,$BU136,0,$BP136,$BS136,$BT136,$A136-Inputs!$D$1,1,1))*(8*VLOOKUP($A136,NumberofDaysTable,4))),0))</f>
        <v> </v>
      </c>
      <c r="AC136" s="282" t="str">
        <f aca="false">IF($A136="N/A"," ",(IF(V136&lt;&gt;0,(8*VLOOKUP($A136,NumberofDaysTable,6)),0)))</f>
        <v> </v>
      </c>
      <c r="AD136" s="283" t="str">
        <f aca="false">IF($A136="N/A"," ",RANK(P136,$P$136:$V$147))</f>
        <v> </v>
      </c>
      <c r="AE136" s="284" t="str">
        <f aca="false">IF($A136="N/A"," ",RANK(Q136,$P$136:$V$147))</f>
        <v> </v>
      </c>
      <c r="AF136" s="284" t="str">
        <f aca="false">IF($A136="N/A"," ",RANK(R136,$P$136:$V$147))</f>
        <v> </v>
      </c>
      <c r="AG136" s="284" t="str">
        <f aca="false">IF($A136="N/A"," ",RANK(S136,$P$136:$V$147))</f>
        <v> </v>
      </c>
      <c r="AH136" s="284" t="str">
        <f aca="false">IF($A136="N/A"," ",RANK(T136,$P$136:$V$147))</f>
        <v> </v>
      </c>
      <c r="AI136" s="284" t="str">
        <f aca="false">IF($A136="N/A"," ",RANK(U136,$P$136:$V$147))</f>
        <v> </v>
      </c>
      <c r="AJ136" s="285" t="str">
        <f aca="false">IF($A136="N/A"," ",RANK(V136,$P$136:$V$147))</f>
        <v> </v>
      </c>
      <c r="AK136" s="313" t="str">
        <f aca="false">IF($A136="N/A"," ",IF(AD136&lt;=$AJ$2,W136,0))</f>
        <v> </v>
      </c>
      <c r="AL136" s="287" t="str">
        <f aca="false">IF($A136="N/A"," ",IF(AE136&lt;=$AJ$2,X136,0))</f>
        <v> </v>
      </c>
      <c r="AM136" s="287" t="str">
        <f aca="false">IF($A136="N/A"," ",IF(AF136&lt;=$AJ$2,Y136,0))</f>
        <v> </v>
      </c>
      <c r="AN136" s="287" t="str">
        <f aca="false">IF($A136="N/A"," ",IF(AG136&lt;=$AJ$2,Z136,0))</f>
        <v> </v>
      </c>
      <c r="AO136" s="287" t="str">
        <f aca="false">IF($A136="N/A"," ",IF(AH136&lt;=$AJ$2,AA136,0))</f>
        <v> </v>
      </c>
      <c r="AP136" s="287" t="str">
        <f aca="false">IF($A136="N/A"," ",IF(AI136&lt;=$AJ$2,AB136,0))</f>
        <v> </v>
      </c>
      <c r="AQ136" s="287" t="str">
        <f aca="false">IF($A136="N/A"," ",IF(AJ136&lt;=$AJ$2,AC136,0))</f>
        <v> </v>
      </c>
      <c r="AR136" s="285"/>
      <c r="AS136" s="314" t="str">
        <f aca="false">IF($A136="N/A"," ",IF(AND(AD136=$AJ$2+1,AK136=0),MIN($AR$147,W136),0))</f>
        <v> </v>
      </c>
      <c r="AT136" s="289" t="str">
        <f aca="false">IF($A136="N/A"," ",IF(AND(AE136=$AJ$2+1,AL136=0),MIN($AR$147,X136),0))</f>
        <v> </v>
      </c>
      <c r="AU136" s="289" t="str">
        <f aca="false">IF($A136="N/A"," ",IF(AND(AF136=$AJ$2+1,AM136=0),MIN($AR$147,Y136),0))</f>
        <v> </v>
      </c>
      <c r="AV136" s="289" t="str">
        <f aca="false">IF($A136="N/A"," ",IF(AND(AG136=$AJ$2+1,AN136=0),MIN($AR$147,Z136),0))</f>
        <v> </v>
      </c>
      <c r="AW136" s="289" t="str">
        <f aca="false">IF($A136="N/A"," ",IF(AND(AH136=$AJ$2+1,AO136=0),MIN($AR$147,AA136),0))</f>
        <v> </v>
      </c>
      <c r="AX136" s="289" t="str">
        <f aca="false">IF($A136="N/A"," ",IF(AND(AI136=$AJ$2+1,AP136=0),MIN($AR$147,AB136),0))</f>
        <v> </v>
      </c>
      <c r="AY136" s="289" t="str">
        <f aca="false">IF($A136="N/A"," ",IF(AND(AJ136=$AJ$2+1,AQ136=0),MIN($AR$147,AC136),0))</f>
        <v> </v>
      </c>
      <c r="AZ136" s="285"/>
      <c r="BA136" s="291" t="str">
        <f aca="false">IF($A136="N/A"," ",(IF(MONTH(A136)&gt;=4,IF(MONTH(A136)&lt;=10,Inputs!$F$13,Inputs!$F$14),Inputs!$F$14))*$BW136)</f>
        <v> </v>
      </c>
      <c r="BB136" s="292" t="str">
        <f aca="false">IF($A136="N/A"," ",(IF(AK136&gt;0,($BA136*(8*(VLOOKUP($A136,NumberofDaysTable,2)))*P136),0)+IF(AS136&gt;0,($BA136*((AS136))*P136),0)))</f>
        <v> </v>
      </c>
      <c r="BC136" s="292" t="str">
        <f aca="false">IF($A136="N/A"," ",(IF(AL136&gt;0,($BA136*(8*(VLOOKUP($A136,NumberofDaysTable,2)))*Q136),0)+IF(AT136&gt;0,($BA136*((AT136))*Q136),0)))</f>
        <v> </v>
      </c>
      <c r="BD136" s="292" t="str">
        <f aca="false">IF($A136="N/A"," ",(IF(AM136&gt;0,($BA136*(8*(VLOOKUP($A136,NumberofDaysTable,3)))*R136),0)+IF(AU136&gt;0,($BA136*((AU136))*R136),0)))</f>
        <v> </v>
      </c>
      <c r="BE136" s="292" t="str">
        <f aca="false">IF($A136="N/A"," ",(IF(AN136&gt;0,($BA136*(8*(VLOOKUP($A136,NumberofDaysTable,3)))*S136),0)+IF(AV136&gt;0,($BA136*((AV136))*S136),0)))</f>
        <v> </v>
      </c>
      <c r="BF136" s="292" t="str">
        <f aca="false">IF($A136="N/A"," ",(IF(AO136&gt;0,($BA136*(8*(VLOOKUP($A136,NumberofDaysTable,4)+VLOOKUP($A136,NumberofDaysTable,5)))*T136),0)+IF(AW136&gt;0,($BA136*((AW136))*T136),0)))</f>
        <v> </v>
      </c>
      <c r="BG136" s="292" t="str">
        <f aca="false">IF($A136="N/A"," ",(IF(AP136&gt;0,($BA136*(8*(VLOOKUP($A136,NumberofDaysTable,4)+VLOOKUP($A136,NumberofDaysTable,5)))*U136),0)+IF(AX136&gt;0,($BA136*((AX136))*U136),0)))</f>
        <v> </v>
      </c>
      <c r="BH136" s="292" t="str">
        <f aca="false">IF($A136="N/A"," ",($BA136*AQ136*V136))</f>
        <v> </v>
      </c>
      <c r="BI136" s="292" t="str">
        <f aca="false">IF($A136="N/A"," ",SUM(BB136:BH136))</f>
        <v> </v>
      </c>
      <c r="BJ136" s="293" t="str">
        <f aca="false">IF($A136="N/A"," ",(H136*(SUM(AK136:AQ136)+SUM(AS136:AY136))*BA136))</f>
        <v> </v>
      </c>
      <c r="BK136" s="293" t="str">
        <f aca="false">IF($A136="N/A"," ",((C136*D136)*(SUM($AK136:$AQ136)+SUM($AS136:$AY136))*$BA136))</f>
        <v> </v>
      </c>
      <c r="BL136" s="293" t="str">
        <f aca="false">IF($A136="N/A"," ",(F136*(SUM($AK136:$AQ136)+SUM($AS136:$AY136))*$BA136))</f>
        <v> </v>
      </c>
      <c r="BM136" s="293" t="str">
        <f aca="false">IF($A136="N/A"," ",(G136*(SUM($AK136:$AQ136)+SUM($AS136:$AY136))*$BA136))</f>
        <v> </v>
      </c>
      <c r="BN136" s="294" t="str">
        <f aca="false">IF(A136="N/A"," ",(VLOOKUP(A136,PowerVolTable,(IF('Pricing Inputs'!$AT$3=2,7,IF('Pricing Inputs'!$AT$3=1,6,8))),FALSE())))</f>
        <v> </v>
      </c>
      <c r="BO136" s="294" t="str">
        <f aca="false">IF(A136="N/A"," ",(VLOOKUP(A136,IntraPowerVol,(IF('Pricing Inputs'!$AT$3=2,3,IF('Pricing Inputs'!$AT$3=1,2,4))),FALSE())*VLOOKUP(MONTH($A136),Inputs!$A$28:$B$39,2)))</f>
        <v> </v>
      </c>
      <c r="BP136" s="295" t="str">
        <f aca="false">IF($A136="N/A"," ",(IF(DateToday&gt;$A136,$BO136,((($BN136^2)*((($A136-1)-DateToday)/((EOMONTH($A136,0)+1)-DateToday-15)))+((($BO136)^2)*((15)/((EOMONTH($A136,0)+1)-DateToday-15))))^0.5)))</f>
        <v> </v>
      </c>
      <c r="BQ136" s="294" t="str">
        <f aca="false">IF($A136="N/A"," ",(VLOOKUP($A136,GasVolTable,(IF('Pricing Inputs'!$AT$3=2,6,IF('Pricing Inputs'!$AT$3=1,7,5))),FALSE())))</f>
        <v> </v>
      </c>
      <c r="BR136" s="294" t="str">
        <f aca="false">IF($A136="N/A"," ",(VLOOKUP($A136,OmicronVol,(IF('Pricing Inputs'!$AT$3=2,3,IF('Pricing Inputs'!$AT$3=1,4,2))),FALSE())))</f>
        <v> </v>
      </c>
      <c r="BS136" s="295" t="str">
        <f aca="false">IF($A136="N/A"," ",IF('Pricing Inputs'!$AN$3=1,(IF(DateToday&gt;$A136,$BR136,((($BQ136^2)*((($A136-1)-DateToday)/((EOMONTH($A136,0)+1)-DateToday-15)))+((($BR136)^2)*((15)/((EOMONTH($A136,0)+1)-DateToday-15))))^0.5)),0.0001))</f>
        <v> </v>
      </c>
      <c r="BT136" s="294" t="str">
        <f aca="false">IF($A136="N/A"," ",IF('Pricing Inputs'!$AN$3=1,(VLOOKUP($A136,CorrelationTable,2,FALSE())),0))</f>
        <v> </v>
      </c>
      <c r="BU136" s="296" t="str">
        <f aca="false">IF($A136="N/A"," ",F136+G136+(D136*(VLOOKUP($A136,'Gas Curves'!$B$17:$P$310,14,FALSE()))))</f>
        <v> </v>
      </c>
      <c r="BV136" s="294" t="str">
        <f aca="false">IF($A136="N/A"," ",IF('Pricing Inputs'!$AW$3=1,0,(VLOOKUP($A136,InterestRatesTable,2))))</f>
        <v> </v>
      </c>
      <c r="BW136" s="297" t="str">
        <f aca="false">IF($A136="N/A"," ",(1+BV136/2)^(-2*((EOMONTH(A136,0)+20)-DateToday)/365.25))</f>
        <v> </v>
      </c>
    </row>
    <row r="137" customFormat="false" ht="12.75" hidden="false" customHeight="false" outlineLevel="0" collapsed="false">
      <c r="A137" s="272" t="str">
        <f aca="false">IF(A136="N/A","N/A",IF(EDATE(A136,1)&gt;Inputs!$K$3,"N/A",EDATE(A136,1)))</f>
        <v>N/A</v>
      </c>
      <c r="B137" s="273" t="str">
        <f aca="false">IF(A137="N/A"," ",YEAR(A137))</f>
        <v> </v>
      </c>
      <c r="C137" s="274" t="str">
        <f aca="false">IF(A137="N/A"," ",VLOOKUP(A137,ScaledPrice,10))</f>
        <v> </v>
      </c>
      <c r="D137" s="275" t="str">
        <f aca="false">IF(A137="N/A"," ",(VLOOKUP(MONTH($A137),Inputs!$A$14:$B$25,2))/1000)</f>
        <v> </v>
      </c>
      <c r="E137" s="276" t="str">
        <f aca="false">IF($A137="N/A"," ",C137*D137)</f>
        <v> </v>
      </c>
      <c r="F137" s="277" t="str">
        <f aca="false">IF(A137="N/A"," ",Inputs!$F$6)</f>
        <v> </v>
      </c>
      <c r="G137" s="277" t="str">
        <f aca="false">IF(A137="N/A"," ",Inputs!$F$9/IF(AND('Pricing Inputs'!$AQ$3&gt;=4,'Pricing Inputs'!$AQ$3&lt;=6),16,IF(AND('Pricing Inputs'!$AQ$3&gt;=7,'Pricing Inputs'!$AQ$3&lt;=9),8,24))/(BA137/BW137))</f>
        <v> </v>
      </c>
      <c r="H137" s="278" t="str">
        <f aca="false">IF(A137="N/A"," ",(C137*D137)+F137+G137)</f>
        <v> </v>
      </c>
      <c r="I137" s="279" t="str">
        <f aca="false">VLOOKUP(A137,ScaledPrice,(IF(AND('Pricing Inputs'!$AQ$3&gt;=1,'Pricing Inputs'!$AQ$3&lt;=6),2,4)))</f>
        <v> </v>
      </c>
      <c r="J137" s="279" t="str">
        <f aca="false">IF(A137="N/A"," ",IF(AND('Pricing Inputs'!$AQ$3&gt;=1,'Pricing Inputs'!$AQ$3&lt;=6),I137,(VLOOKUP(A137,ScaledPrice,2))*(2-(VLOOKUP(A137,ScaledPrice,3)))))</f>
        <v> </v>
      </c>
      <c r="K137" s="279" t="str">
        <f aca="false">IF(A137="N/A"," ",IF(OR('Pricing Inputs'!$AQ$3=2,'Pricing Inputs'!$AQ$3=3,'Pricing Inputs'!$AQ$3=5,'Pricing Inputs'!$AQ$3=6,'Pricing Inputs'!$AQ$3=8,'Pricing Inputs'!$AQ$3=9),VLOOKUP(A137,ScaledPrice,IF(AND('Pricing Inputs'!$AQ$3&gt;=2,'Pricing Inputs'!$AQ$3&lt;=6),5,6)),0))</f>
        <v> </v>
      </c>
      <c r="L137" s="279" t="str">
        <f aca="false">IF(A137="N/A"," ",IF(OR('Pricing Inputs'!$AQ$3=2,'Pricing Inputs'!$AQ$3=3,'Pricing Inputs'!$AQ$3=5,'Pricing Inputs'!$AQ$3=6,'Pricing Inputs'!$AQ$3=8,'Pricing Inputs'!$AQ$3=9),IF(AND('Pricing Inputs'!$AQ$3&gt;=2,'Pricing Inputs'!$AQ$3&lt;=6),K137,(VLOOKUP(A137,ScaledPrice,5))*(2-(VLOOKUP(A137,ScaledPrice,3)))),0))</f>
        <v> </v>
      </c>
      <c r="M137" s="279" t="str">
        <f aca="false">IF(A137="N/A"," ",IF(OR('Pricing Inputs'!$AQ$3=3,'Pricing Inputs'!$AQ$3=6,'Pricing Inputs'!$AQ$3=9),(VLOOKUP(A137,ScaledPrice,IF(AND('Pricing Inputs'!$AQ$3&gt;=3,'Pricing Inputs'!$AQ$3&lt;=6),7,8))),0))</f>
        <v> </v>
      </c>
      <c r="N137" s="279" t="str">
        <f aca="false">IF(A137="N/A"," ",IF(OR('Pricing Inputs'!$AQ$3=3,'Pricing Inputs'!$AQ$3=6,'Pricing Inputs'!$AQ$3=9),IF(AND('Pricing Inputs'!$AQ$3&gt;=3,'Pricing Inputs'!$AQ$3&lt;=6),M137,(VLOOKUP(A137,ScaledPrice,7))*(2-(VLOOKUP(A137,ScaledPrice,3)))),0))</f>
        <v> </v>
      </c>
      <c r="O137" s="279" t="str">
        <f aca="false">IF(A137="N/A"," ",IF(AND('Pricing Inputs'!$AQ$3&gt;=1,'Pricing Inputs'!$AQ$3&lt;=3),VLOOKUP(A137,ScaledPrice,9),0))</f>
        <v> </v>
      </c>
      <c r="P137" s="280" t="str">
        <f aca="false">IF($A137="N/A"," ",IF('Pricing Inputs'!$AN$8=2,(I137-H137),IF('Pricing Inputs'!$AN$3=2,IF((I137-$H137)&gt;0,I137-$H137,0),(xSPRDOPT(I137,$E137,$BU137,0,$BP137,$BS137,$BT137,($A137-Inputs!$D$1)+15,1,0)))))</f>
        <v> </v>
      </c>
      <c r="Q137" s="280" t="str">
        <f aca="false">IF($A137="N/A"," ",IF('Pricing Inputs'!$AN$8=2,(J137-$H137),IF('Pricing Inputs'!$AN$3=2,IF((J137-$H137)&gt;0,J137-$H137,0),(xSPRDOPT(J137,$E137,$BU137,0,$BP137,$BS137,$BT137,($A137-Inputs!$D$1)+15,1,0)))))</f>
        <v> </v>
      </c>
      <c r="R137" s="280" t="str">
        <f aca="false">IF($A137="N/A"," ",IF('Pricing Inputs'!$AN$8=2,(K137-$H137),IF('Pricing Inputs'!$AN$3=2,IF((K137-$H137)&gt;0,K137-$H137,0),(xSPRDOPT(K137,$E137,$BU137,0,$BP137,$BS137,$BT137,($A137-Inputs!$D$1)+15,1,0)))))</f>
        <v> </v>
      </c>
      <c r="S137" s="280" t="str">
        <f aca="false">IF($A137="N/A"," ",IF('Pricing Inputs'!$AN$8=2,(L137-$H137),IF('Pricing Inputs'!$AN$3=2,IF((L137-$H137)&gt;0,L137-$H137,0),(xSPRDOPT(L137,$E137,$BU137,0,$BP137,$BS137,$BT137,($A137-Inputs!$D$1)+15,1,0)))))</f>
        <v> </v>
      </c>
      <c r="T137" s="280" t="str">
        <f aca="false">IF($A137="N/A"," ",IF('Pricing Inputs'!$AN$8=2,(M137-$H137),IF('Pricing Inputs'!$AN$3=2,IF((M137-$H137)&gt;0,M137-$H137,0),(xSPRDOPT(M137,$E137,$BU137,0,$BP137,$BS137,$BT137,($A137-Inputs!$D$1)+15,1,0)))))</f>
        <v> </v>
      </c>
      <c r="U137" s="280" t="str">
        <f aca="false">IF($A137="N/A"," ",IF('Pricing Inputs'!$AN$8=2,(N137-$H137),IF('Pricing Inputs'!$AN$3=2,IF((N137-$H137)&gt;0,N137-$H137,0),(xSPRDOPT(N137,$E137,$BU137,0,$BP137,$BS137,$BT137,($A137-Inputs!$D$1)+15,1,0)))))</f>
        <v> </v>
      </c>
      <c r="V137" s="281" t="str">
        <f aca="false">IF($A137="N/A"," ",(IF('Pricing Inputs'!$AN$8=2,(O137-$H137),IF((O137-$H137)&lt;=0,0,(O137-$H137)))))</f>
        <v> </v>
      </c>
      <c r="W137" s="282" t="str">
        <f aca="false">IF($A137="N/A"," ",IF(0&lt;&gt;P137,IF('Pricing Inputs'!$AN$3=2,8*VLOOKUP($A137,NumberofDaysTable,2),(xSPRDOPT(I137,$E137,$BU137,0,$BP137,$BS137,$BT137,$A137-Inputs!$D$1,1,1))*(8*VLOOKUP($A137,NumberofDaysTable,2))),0))</f>
        <v> </v>
      </c>
      <c r="X137" s="282" t="str">
        <f aca="false">IF($A137="N/A"," ",IF(Q137&lt;&gt;0,IF('Pricing Inputs'!$AN$3=2,8*VLOOKUP($A137,NumberofDaysTable,2),(xSPRDOPT(J137,$E137,$BU137,0,$BP137,$BS137,$BT137,$A137-Inputs!$D$1,1,1))*(8*VLOOKUP($A137,NumberofDaysTable,2))),0))</f>
        <v> </v>
      </c>
      <c r="Y137" s="282" t="str">
        <f aca="false">IF($A137="N/A"," ",IF(R137&lt;&gt;0,IF('Pricing Inputs'!$AN$3=2,8*VLOOKUP($A137,NumberofDaysTable,3),(xSPRDOPT(K137,$E137,$BU137,0,$BP137,$BS137,$BT137,$A137-Inputs!$D$1,1,1))*(8*VLOOKUP($A137,NumberofDaysTable,3))),0))</f>
        <v> </v>
      </c>
      <c r="Z137" s="282" t="str">
        <f aca="false">IF($A137="N/A"," ",IF(S137&lt;&gt;0,IF('Pricing Inputs'!$AN$3=2,8*VLOOKUP($A137,NumberofDaysTable,3),(xSPRDOPT(L137,$E137,$BU137,0,$BP137,$BS137,$BT137,$A137-Inputs!$D$1,1,1))*(8*VLOOKUP($A137,NumberofDaysTable,3))),0))</f>
        <v> </v>
      </c>
      <c r="AA137" s="282" t="str">
        <f aca="false">IF($A137="N/A"," ",IF(T137&lt;&gt;0,IF('Pricing Inputs'!$AN$3=2,8*VLOOKUP($A137,NumberofDaysTable,4),(xSPRDOPT(M137,$E137,$BU137,0,$BP137,$BS137,$BT137,$A137-Inputs!$D$1,1,1))*(8*VLOOKUP($A137,NumberofDaysTable,4))),0))</f>
        <v> </v>
      </c>
      <c r="AB137" s="282" t="str">
        <f aca="false">IF($A137="N/A"," ",IF(U137&lt;&gt;0,IF('Pricing Inputs'!$AN$3=2,8*VLOOKUP($A137,NumberofDaysTable,4),(xSPRDOPT(N137,$E137,$BU137,0,$BP137,$BS137,$BT137,$A137-Inputs!$D$1,1,1))*(8*VLOOKUP($A137,NumberofDaysTable,4))),0))</f>
        <v> </v>
      </c>
      <c r="AC137" s="282" t="str">
        <f aca="false">IF($A137="N/A"," ",(IF(V137&lt;&gt;0,(8*VLOOKUP($A137,NumberofDaysTable,6)),0)))</f>
        <v> </v>
      </c>
      <c r="AD137" s="298" t="str">
        <f aca="false">IF($A137="N/A"," ",RANK(P137,$P$136:$V$147))</f>
        <v> </v>
      </c>
      <c r="AE137" s="299" t="str">
        <f aca="false">IF($A137="N/A"," ",RANK(Q137,$P$136:$V$147))</f>
        <v> </v>
      </c>
      <c r="AF137" s="299" t="str">
        <f aca="false">IF($A137="N/A"," ",RANK(R137,$P$136:$V$147))</f>
        <v> </v>
      </c>
      <c r="AG137" s="299" t="str">
        <f aca="false">IF($A137="N/A"," ",RANK(S137,$P$136:$V$147))</f>
        <v> </v>
      </c>
      <c r="AH137" s="299" t="str">
        <f aca="false">IF($A137="N/A"," ",RANK(T137,$P$136:$V$147))</f>
        <v> </v>
      </c>
      <c r="AI137" s="299" t="str">
        <f aca="false">IF($A137="N/A"," ",RANK(U137,$P$136:$V$147))</f>
        <v> </v>
      </c>
      <c r="AJ137" s="300" t="str">
        <f aca="false">IF($A137="N/A"," ",RANK(V137,$P$136:$V$147))</f>
        <v> </v>
      </c>
      <c r="AK137" s="286" t="str">
        <f aca="false">IF($A137="N/A"," ",IF(AD137&lt;=$AJ$2,W137,0))</f>
        <v> </v>
      </c>
      <c r="AL137" s="301" t="str">
        <f aca="false">IF($A137="N/A"," ",IF(AE137&lt;=$AJ$2,X137,0))</f>
        <v> </v>
      </c>
      <c r="AM137" s="301" t="str">
        <f aca="false">IF($A137="N/A"," ",IF(AF137&lt;=$AJ$2,Y137,0))</f>
        <v> </v>
      </c>
      <c r="AN137" s="301" t="str">
        <f aca="false">IF($A137="N/A"," ",IF(AG137&lt;=$AJ$2,Z137,0))</f>
        <v> </v>
      </c>
      <c r="AO137" s="301" t="str">
        <f aca="false">IF($A137="N/A"," ",IF(AH137&lt;=$AJ$2,AA137,0))</f>
        <v> </v>
      </c>
      <c r="AP137" s="301" t="str">
        <f aca="false">IF($A137="N/A"," ",IF(AI137&lt;=$AJ$2,AB137,0))</f>
        <v> </v>
      </c>
      <c r="AQ137" s="301" t="str">
        <f aca="false">IF($A137="N/A"," ",IF(AJ137&lt;=$AJ$2,AC137,0))</f>
        <v> </v>
      </c>
      <c r="AR137" s="300"/>
      <c r="AS137" s="288" t="str">
        <f aca="false">IF($A137="N/A"," ",IF(AND(AD137=$AJ$2+1,AK137=0),MIN($AR$147,W137),0))</f>
        <v> </v>
      </c>
      <c r="AT137" s="302" t="str">
        <f aca="false">IF($A137="N/A"," ",IF(AND(AE137=$AJ$2+1,AL137=0),MIN($AR$147,X137),0))</f>
        <v> </v>
      </c>
      <c r="AU137" s="302" t="str">
        <f aca="false">IF($A137="N/A"," ",IF(AND(AF137=$AJ$2+1,AM137=0),MIN($AR$147,Y137),0))</f>
        <v> </v>
      </c>
      <c r="AV137" s="302" t="str">
        <f aca="false">IF($A137="N/A"," ",IF(AND(AG137=$AJ$2+1,AN137=0),MIN($AR$147,Z137),0))</f>
        <v> </v>
      </c>
      <c r="AW137" s="302" t="str">
        <f aca="false">IF($A137="N/A"," ",IF(AND(AH137=$AJ$2+1,AO137=0),MIN($AR$147,AA137),0))</f>
        <v> </v>
      </c>
      <c r="AX137" s="302" t="str">
        <f aca="false">IF($A137="N/A"," ",IF(AND(AI137=$AJ$2+1,AP137=0),MIN($AR$147,AB137),0))</f>
        <v> </v>
      </c>
      <c r="AY137" s="302" t="str">
        <f aca="false">IF($A137="N/A"," ",IF(AND(AJ137=$AJ$2+1,AQ137=0),MIN($AR$147,AC137),0))</f>
        <v> </v>
      </c>
      <c r="AZ137" s="300"/>
      <c r="BA137" s="291" t="str">
        <f aca="false">IF($A137="N/A"," ",(IF(MONTH(A137)&gt;=4,IF(MONTH(A137)&lt;=10,Inputs!$F$13,Inputs!$F$14),Inputs!$F$14))*$BW137)</f>
        <v> </v>
      </c>
      <c r="BB137" s="292" t="str">
        <f aca="false">IF($A137="N/A"," ",(IF(AK137&gt;0,($BA137*(8*(VLOOKUP($A137,NumberofDaysTable,2)))*P137),0)+IF(AS137&gt;0,($BA137*((AS137))*P137),0)))</f>
        <v> </v>
      </c>
      <c r="BC137" s="292" t="str">
        <f aca="false">IF($A137="N/A"," ",(IF(AL137&gt;0,($BA137*(8*(VLOOKUP($A137,NumberofDaysTable,2)))*Q137),0)+IF(AT137&gt;0,($BA137*((AT137))*Q137),0)))</f>
        <v> </v>
      </c>
      <c r="BD137" s="292" t="str">
        <f aca="false">IF($A137="N/A"," ",(IF(AM137&gt;0,($BA137*(8*(VLOOKUP($A137,NumberofDaysTable,3)))*R137),0)+IF(AU137&gt;0,($BA137*((AU137))*R137),0)))</f>
        <v> </v>
      </c>
      <c r="BE137" s="292" t="str">
        <f aca="false">IF($A137="N/A"," ",(IF(AN137&gt;0,($BA137*(8*(VLOOKUP($A137,NumberofDaysTable,3)))*S137),0)+IF(AV137&gt;0,($BA137*((AV137))*S137),0)))</f>
        <v> </v>
      </c>
      <c r="BF137" s="292" t="str">
        <f aca="false">IF($A137="N/A"," ",(IF(AO137&gt;0,($BA137*(8*(VLOOKUP($A137,NumberofDaysTable,4)+VLOOKUP($A137,NumberofDaysTable,5)))*T137),0)+IF(AW137&gt;0,($BA137*((AW137))*T137),0)))</f>
        <v> </v>
      </c>
      <c r="BG137" s="292" t="str">
        <f aca="false">IF($A137="N/A"," ",(IF(AP137&gt;0,($BA137*(8*(VLOOKUP($A137,NumberofDaysTable,4)+VLOOKUP($A137,NumberofDaysTable,5)))*U137),0)+IF(AX137&gt;0,($BA137*((AX137))*U137),0)))</f>
        <v> </v>
      </c>
      <c r="BH137" s="292" t="str">
        <f aca="false">IF($A137="N/A"," ",($BA137*AQ137*V137))</f>
        <v> </v>
      </c>
      <c r="BI137" s="292" t="str">
        <f aca="false">IF($A137="N/A"," ",SUM(BB137:BH137))</f>
        <v> </v>
      </c>
      <c r="BJ137" s="293" t="str">
        <f aca="false">IF($A137="N/A"," ",(H137*(SUM(AK137:AQ137)+SUM(AS137:AY137))*BA137))</f>
        <v> </v>
      </c>
      <c r="BK137" s="293" t="str">
        <f aca="false">IF($A137="N/A"," ",((C137*D137)*(SUM($AK137:$AQ137)+SUM($AS137:$AY137))*$BA137))</f>
        <v> </v>
      </c>
      <c r="BL137" s="293" t="str">
        <f aca="false">IF($A137="N/A"," ",(F137*(SUM($AK137:$AQ137)+SUM($AS137:$AY137))*$BA137))</f>
        <v> </v>
      </c>
      <c r="BM137" s="293" t="str">
        <f aca="false">IF($A137="N/A"," ",(G137*(SUM($AK137:$AQ137)+SUM($AS137:$AY137))*$BA137))</f>
        <v> </v>
      </c>
      <c r="BN137" s="294" t="str">
        <f aca="false">IF(A137="N/A"," ",(VLOOKUP(A137,PowerVolTable,(IF('Pricing Inputs'!$AT$3=2,7,IF('Pricing Inputs'!$AT$3=1,6,8))),FALSE())))</f>
        <v> </v>
      </c>
      <c r="BO137" s="294" t="str">
        <f aca="false">IF(A137="N/A"," ",(VLOOKUP(A137,IntraPowerVol,(IF('Pricing Inputs'!$AT$3=2,3,IF('Pricing Inputs'!$AT$3=1,2,4))),FALSE())*VLOOKUP(MONTH($A137),Inputs!$A$28:$B$39,2)))</f>
        <v> </v>
      </c>
      <c r="BP137" s="295" t="str">
        <f aca="false">IF($A137="N/A"," ",(IF(DateToday&gt;$A137,$BO137,((($BN137^2)*((($A137-1)-DateToday)/((EOMONTH($A137,0)+1)-DateToday-15)))+((($BO137)^2)*((15)/((EOMONTH($A137,0)+1)-DateToday-15))))^0.5)))</f>
        <v> </v>
      </c>
      <c r="BQ137" s="294" t="str">
        <f aca="false">IF($A137="N/A"," ",(VLOOKUP($A137,GasVolTable,(IF('Pricing Inputs'!$AT$3=2,6,IF('Pricing Inputs'!$AT$3=1,7,5))),FALSE())))</f>
        <v> </v>
      </c>
      <c r="BR137" s="294" t="str">
        <f aca="false">IF($A137="N/A"," ",(VLOOKUP($A137,OmicronVol,(IF('Pricing Inputs'!$AT$3=2,3,IF('Pricing Inputs'!$AT$3=1,4,2))),FALSE())))</f>
        <v> </v>
      </c>
      <c r="BS137" s="295" t="str">
        <f aca="false">IF($A137="N/A"," ",IF('Pricing Inputs'!$AN$3=1,(IF(DateToday&gt;$A137,$BR137,((($BQ137^2)*((($A137-1)-DateToday)/((EOMONTH($A137,0)+1)-DateToday-15)))+((($BR137)^2)*((15)/((EOMONTH($A137,0)+1)-DateToday-15))))^0.5)),0.0001))</f>
        <v> </v>
      </c>
      <c r="BT137" s="294" t="str">
        <f aca="false">IF($A137="N/A"," ",IF('Pricing Inputs'!$AN$3=1,(VLOOKUP($A137,CorrelationTable,2,FALSE())),0))</f>
        <v> </v>
      </c>
      <c r="BU137" s="296" t="str">
        <f aca="false">IF($A137="N/A"," ",F137+G137+(D137*(VLOOKUP($A137,'Gas Curves'!$B$17:$P$310,14,FALSE()))))</f>
        <v> </v>
      </c>
      <c r="BV137" s="294" t="str">
        <f aca="false">IF($A137="N/A"," ",IF('Pricing Inputs'!$AW$3=1,0,(VLOOKUP($A137,InterestRatesTable,2))))</f>
        <v> </v>
      </c>
      <c r="BW137" s="297" t="str">
        <f aca="false">IF($A137="N/A"," ",(1+BV137/2)^(-2*((EOMONTH(A137,0)+20)-DateToday)/365.25))</f>
        <v> </v>
      </c>
    </row>
    <row r="138" customFormat="false" ht="12.75" hidden="false" customHeight="false" outlineLevel="0" collapsed="false">
      <c r="A138" s="272" t="str">
        <f aca="false">IF(A137="N/A","N/A",IF(EDATE(A137,1)&gt;Inputs!$K$3,"N/A",EDATE(A137,1)))</f>
        <v>N/A</v>
      </c>
      <c r="B138" s="273" t="str">
        <f aca="false">IF(A138="N/A"," ",YEAR(A138))</f>
        <v> </v>
      </c>
      <c r="C138" s="274" t="str">
        <f aca="false">IF(A138="N/A"," ",VLOOKUP(A138,ScaledPrice,10))</f>
        <v> </v>
      </c>
      <c r="D138" s="275" t="str">
        <f aca="false">IF(A138="N/A"," ",(VLOOKUP(MONTH($A138),Inputs!$A$14:$B$25,2))/1000)</f>
        <v> </v>
      </c>
      <c r="E138" s="276" t="str">
        <f aca="false">IF($A138="N/A"," ",C138*D138)</f>
        <v> </v>
      </c>
      <c r="F138" s="277" t="str">
        <f aca="false">IF(A138="N/A"," ",Inputs!$F$6)</f>
        <v> </v>
      </c>
      <c r="G138" s="277" t="str">
        <f aca="false">IF(A138="N/A"," ",Inputs!$F$9/IF(AND('Pricing Inputs'!$AQ$3&gt;=4,'Pricing Inputs'!$AQ$3&lt;=6),16,IF(AND('Pricing Inputs'!$AQ$3&gt;=7,'Pricing Inputs'!$AQ$3&lt;=9),8,24))/(BA138/BW138))</f>
        <v> </v>
      </c>
      <c r="H138" s="278" t="str">
        <f aca="false">IF(A138="N/A"," ",(C138*D138)+F138+G138)</f>
        <v> </v>
      </c>
      <c r="I138" s="279" t="str">
        <f aca="false">VLOOKUP(A138,ScaledPrice,(IF(AND('Pricing Inputs'!$AQ$3&gt;=1,'Pricing Inputs'!$AQ$3&lt;=6),2,4)))</f>
        <v> </v>
      </c>
      <c r="J138" s="279" t="str">
        <f aca="false">IF(A138="N/A"," ",IF(AND('Pricing Inputs'!$AQ$3&gt;=1,'Pricing Inputs'!$AQ$3&lt;=6),I138,(VLOOKUP(A138,ScaledPrice,2))*(2-(VLOOKUP(A138,ScaledPrice,3)))))</f>
        <v> </v>
      </c>
      <c r="K138" s="279" t="str">
        <f aca="false">IF(A138="N/A"," ",IF(OR('Pricing Inputs'!$AQ$3=2,'Pricing Inputs'!$AQ$3=3,'Pricing Inputs'!$AQ$3=5,'Pricing Inputs'!$AQ$3=6,'Pricing Inputs'!$AQ$3=8,'Pricing Inputs'!$AQ$3=9),VLOOKUP(A138,ScaledPrice,IF(AND('Pricing Inputs'!$AQ$3&gt;=2,'Pricing Inputs'!$AQ$3&lt;=6),5,6)),0))</f>
        <v> </v>
      </c>
      <c r="L138" s="279" t="str">
        <f aca="false">IF(A138="N/A"," ",IF(OR('Pricing Inputs'!$AQ$3=2,'Pricing Inputs'!$AQ$3=3,'Pricing Inputs'!$AQ$3=5,'Pricing Inputs'!$AQ$3=6,'Pricing Inputs'!$AQ$3=8,'Pricing Inputs'!$AQ$3=9),IF(AND('Pricing Inputs'!$AQ$3&gt;=2,'Pricing Inputs'!$AQ$3&lt;=6),K138,(VLOOKUP(A138,ScaledPrice,5))*(2-(VLOOKUP(A138,ScaledPrice,3)))),0))</f>
        <v> </v>
      </c>
      <c r="M138" s="279" t="str">
        <f aca="false">IF(A138="N/A"," ",IF(OR('Pricing Inputs'!$AQ$3=3,'Pricing Inputs'!$AQ$3=6,'Pricing Inputs'!$AQ$3=9),(VLOOKUP(A138,ScaledPrice,IF(AND('Pricing Inputs'!$AQ$3&gt;=3,'Pricing Inputs'!$AQ$3&lt;=6),7,8))),0))</f>
        <v> </v>
      </c>
      <c r="N138" s="279" t="str">
        <f aca="false">IF(A138="N/A"," ",IF(OR('Pricing Inputs'!$AQ$3=3,'Pricing Inputs'!$AQ$3=6,'Pricing Inputs'!$AQ$3=9),IF(AND('Pricing Inputs'!$AQ$3&gt;=3,'Pricing Inputs'!$AQ$3&lt;=6),M138,(VLOOKUP(A138,ScaledPrice,7))*(2-(VLOOKUP(A138,ScaledPrice,3)))),0))</f>
        <v> </v>
      </c>
      <c r="O138" s="279" t="str">
        <f aca="false">IF(A138="N/A"," ",IF(AND('Pricing Inputs'!$AQ$3&gt;=1,'Pricing Inputs'!$AQ$3&lt;=3),VLOOKUP(A138,ScaledPrice,9),0))</f>
        <v> </v>
      </c>
      <c r="P138" s="280" t="str">
        <f aca="false">IF($A138="N/A"," ",IF('Pricing Inputs'!$AN$8=2,(I138-H138),IF('Pricing Inputs'!$AN$3=2,IF((I138-$H138)&gt;0,I138-$H138,0),(xSPRDOPT(I138,$E138,$BU138,0,$BP138,$BS138,$BT138,($A138-Inputs!$D$1)+15,1,0)))))</f>
        <v> </v>
      </c>
      <c r="Q138" s="280" t="str">
        <f aca="false">IF($A138="N/A"," ",IF('Pricing Inputs'!$AN$8=2,(J138-$H138),IF('Pricing Inputs'!$AN$3=2,IF((J138-$H138)&gt;0,J138-$H138,0),(xSPRDOPT(J138,$E138,$BU138,0,$BP138,$BS138,$BT138,($A138-Inputs!$D$1)+15,1,0)))))</f>
        <v> </v>
      </c>
      <c r="R138" s="280" t="str">
        <f aca="false">IF($A138="N/A"," ",IF('Pricing Inputs'!$AN$8=2,(K138-$H138),IF('Pricing Inputs'!$AN$3=2,IF((K138-$H138)&gt;0,K138-$H138,0),(xSPRDOPT(K138,$E138,$BU138,0,$BP138,$BS138,$BT138,($A138-Inputs!$D$1)+15,1,0)))))</f>
        <v> </v>
      </c>
      <c r="S138" s="280" t="str">
        <f aca="false">IF($A138="N/A"," ",IF('Pricing Inputs'!$AN$8=2,(L138-$H138),IF('Pricing Inputs'!$AN$3=2,IF((L138-$H138)&gt;0,L138-$H138,0),(xSPRDOPT(L138,$E138,$BU138,0,$BP138,$BS138,$BT138,($A138-Inputs!$D$1)+15,1,0)))))</f>
        <v> </v>
      </c>
      <c r="T138" s="280" t="str">
        <f aca="false">IF($A138="N/A"," ",IF('Pricing Inputs'!$AN$8=2,(M138-$H138),IF('Pricing Inputs'!$AN$3=2,IF((M138-$H138)&gt;0,M138-$H138,0),(xSPRDOPT(M138,$E138,$BU138,0,$BP138,$BS138,$BT138,($A138-Inputs!$D$1)+15,1,0)))))</f>
        <v> </v>
      </c>
      <c r="U138" s="280" t="str">
        <f aca="false">IF($A138="N/A"," ",IF('Pricing Inputs'!$AN$8=2,(N138-$H138),IF('Pricing Inputs'!$AN$3=2,IF((N138-$H138)&gt;0,N138-$H138,0),(xSPRDOPT(N138,$E138,$BU138,0,$BP138,$BS138,$BT138,($A138-Inputs!$D$1)+15,1,0)))))</f>
        <v> </v>
      </c>
      <c r="V138" s="281" t="str">
        <f aca="false">IF($A138="N/A"," ",(IF('Pricing Inputs'!$AN$8=2,(O138-$H138),IF((O138-$H138)&lt;=0,0,(O138-$H138)))))</f>
        <v> </v>
      </c>
      <c r="W138" s="282" t="str">
        <f aca="false">IF($A138="N/A"," ",IF(0&lt;&gt;P138,IF('Pricing Inputs'!$AN$3=2,8*VLOOKUP($A138,NumberofDaysTable,2),(xSPRDOPT(I138,$E138,$BU138,0,$BP138,$BS138,$BT138,$A138-Inputs!$D$1,1,1))*(8*VLOOKUP($A138,NumberofDaysTable,2))),0))</f>
        <v> </v>
      </c>
      <c r="X138" s="282" t="str">
        <f aca="false">IF($A138="N/A"," ",IF(Q138&lt;&gt;0,IF('Pricing Inputs'!$AN$3=2,8*VLOOKUP($A138,NumberofDaysTable,2),(xSPRDOPT(J138,$E138,$BU138,0,$BP138,$BS138,$BT138,$A138-Inputs!$D$1,1,1))*(8*VLOOKUP($A138,NumberofDaysTable,2))),0))</f>
        <v> </v>
      </c>
      <c r="Y138" s="282" t="str">
        <f aca="false">IF($A138="N/A"," ",IF(R138&lt;&gt;0,IF('Pricing Inputs'!$AN$3=2,8*VLOOKUP($A138,NumberofDaysTable,3),(xSPRDOPT(K138,$E138,$BU138,0,$BP138,$BS138,$BT138,$A138-Inputs!$D$1,1,1))*(8*VLOOKUP($A138,NumberofDaysTable,3))),0))</f>
        <v> </v>
      </c>
      <c r="Z138" s="282" t="str">
        <f aca="false">IF($A138="N/A"," ",IF(S138&lt;&gt;0,IF('Pricing Inputs'!$AN$3=2,8*VLOOKUP($A138,NumberofDaysTable,3),(xSPRDOPT(L138,$E138,$BU138,0,$BP138,$BS138,$BT138,$A138-Inputs!$D$1,1,1))*(8*VLOOKUP($A138,NumberofDaysTable,3))),0))</f>
        <v> </v>
      </c>
      <c r="AA138" s="282" t="str">
        <f aca="false">IF($A138="N/A"," ",IF(T138&lt;&gt;0,IF('Pricing Inputs'!$AN$3=2,8*VLOOKUP($A138,NumberofDaysTable,4),(xSPRDOPT(M138,$E138,$BU138,0,$BP138,$BS138,$BT138,$A138-Inputs!$D$1,1,1))*(8*VLOOKUP($A138,NumberofDaysTable,4))),0))</f>
        <v> </v>
      </c>
      <c r="AB138" s="282" t="str">
        <f aca="false">IF($A138="N/A"," ",IF(U138&lt;&gt;0,IF('Pricing Inputs'!$AN$3=2,8*VLOOKUP($A138,NumberofDaysTable,4),(xSPRDOPT(N138,$E138,$BU138,0,$BP138,$BS138,$BT138,$A138-Inputs!$D$1,1,1))*(8*VLOOKUP($A138,NumberofDaysTable,4))),0))</f>
        <v> </v>
      </c>
      <c r="AC138" s="282" t="str">
        <f aca="false">IF($A138="N/A"," ",(IF(V138&lt;&gt;0,(8*VLOOKUP($A138,NumberofDaysTable,6)),0)))</f>
        <v> </v>
      </c>
      <c r="AD138" s="298" t="str">
        <f aca="false">IF($A138="N/A"," ",RANK(P138,$P$136:$V$147))</f>
        <v> </v>
      </c>
      <c r="AE138" s="299" t="str">
        <f aca="false">IF($A138="N/A"," ",RANK(Q138,$P$136:$V$147))</f>
        <v> </v>
      </c>
      <c r="AF138" s="299" t="str">
        <f aca="false">IF($A138="N/A"," ",RANK(R138,$P$136:$V$147))</f>
        <v> </v>
      </c>
      <c r="AG138" s="299" t="str">
        <f aca="false">IF($A138="N/A"," ",RANK(S138,$P$136:$V$147))</f>
        <v> </v>
      </c>
      <c r="AH138" s="299" t="str">
        <f aca="false">IF($A138="N/A"," ",RANK(T138,$P$136:$V$147))</f>
        <v> </v>
      </c>
      <c r="AI138" s="299" t="str">
        <f aca="false">IF($A138="N/A"," ",RANK(U138,$P$136:$V$147))</f>
        <v> </v>
      </c>
      <c r="AJ138" s="300" t="str">
        <f aca="false">IF($A138="N/A"," ",RANK(V138,$P$136:$V$147))</f>
        <v> </v>
      </c>
      <c r="AK138" s="286" t="str">
        <f aca="false">IF($A138="N/A"," ",IF(AD138&lt;=$AJ$2,W138,0))</f>
        <v> </v>
      </c>
      <c r="AL138" s="301" t="str">
        <f aca="false">IF($A138="N/A"," ",IF(AE138&lt;=$AJ$2,X138,0))</f>
        <v> </v>
      </c>
      <c r="AM138" s="301" t="str">
        <f aca="false">IF($A138="N/A"," ",IF(AF138&lt;=$AJ$2,Y138,0))</f>
        <v> </v>
      </c>
      <c r="AN138" s="301" t="str">
        <f aca="false">IF($A138="N/A"," ",IF(AG138&lt;=$AJ$2,Z138,0))</f>
        <v> </v>
      </c>
      <c r="AO138" s="301" t="str">
        <f aca="false">IF($A138="N/A"," ",IF(AH138&lt;=$AJ$2,AA138,0))</f>
        <v> </v>
      </c>
      <c r="AP138" s="301" t="str">
        <f aca="false">IF($A138="N/A"," ",IF(AI138&lt;=$AJ$2,AB138,0))</f>
        <v> </v>
      </c>
      <c r="AQ138" s="301" t="str">
        <f aca="false">IF($A138="N/A"," ",IF(AJ138&lt;=$AJ$2,AC138,0))</f>
        <v> </v>
      </c>
      <c r="AR138" s="300"/>
      <c r="AS138" s="288" t="str">
        <f aca="false">IF($A138="N/A"," ",IF(AND(AD138=$AJ$2+1,AK138=0),MIN($AR$147,W138),0))</f>
        <v> </v>
      </c>
      <c r="AT138" s="302" t="str">
        <f aca="false">IF($A138="N/A"," ",IF(AND(AE138=$AJ$2+1,AL138=0),MIN($AR$147,X138),0))</f>
        <v> </v>
      </c>
      <c r="AU138" s="302" t="str">
        <f aca="false">IF($A138="N/A"," ",IF(AND(AF138=$AJ$2+1,AM138=0),MIN($AR$147,Y138),0))</f>
        <v> </v>
      </c>
      <c r="AV138" s="302" t="str">
        <f aca="false">IF($A138="N/A"," ",IF(AND(AG138=$AJ$2+1,AN138=0),MIN($AR$147,Z138),0))</f>
        <v> </v>
      </c>
      <c r="AW138" s="302" t="str">
        <f aca="false">IF($A138="N/A"," ",IF(AND(AH138=$AJ$2+1,AO138=0),MIN($AR$147,AA138),0))</f>
        <v> </v>
      </c>
      <c r="AX138" s="302" t="str">
        <f aca="false">IF($A138="N/A"," ",IF(AND(AI138=$AJ$2+1,AP138=0),MIN($AR$147,AB138),0))</f>
        <v> </v>
      </c>
      <c r="AY138" s="302" t="str">
        <f aca="false">IF($A138="N/A"," ",IF(AND(AJ138=$AJ$2+1,AQ138=0),MIN($AR$147,AC138),0))</f>
        <v> </v>
      </c>
      <c r="AZ138" s="300"/>
      <c r="BA138" s="291" t="str">
        <f aca="false">IF($A138="N/A"," ",(IF(MONTH(A138)&gt;=4,IF(MONTH(A138)&lt;=10,Inputs!$F$13,Inputs!$F$14),Inputs!$F$14))*$BW138)</f>
        <v> </v>
      </c>
      <c r="BB138" s="292" t="str">
        <f aca="false">IF($A138="N/A"," ",(IF(AK138&gt;0,($BA138*(8*(VLOOKUP($A138,NumberofDaysTable,2)))*P138),0)+IF(AS138&gt;0,($BA138*((AS138))*P138),0)))</f>
        <v> </v>
      </c>
      <c r="BC138" s="292" t="str">
        <f aca="false">IF($A138="N/A"," ",(IF(AL138&gt;0,($BA138*(8*(VLOOKUP($A138,NumberofDaysTable,2)))*Q138),0)+IF(AT138&gt;0,($BA138*((AT138))*Q138),0)))</f>
        <v> </v>
      </c>
      <c r="BD138" s="292" t="str">
        <f aca="false">IF($A138="N/A"," ",(IF(AM138&gt;0,($BA138*(8*(VLOOKUP($A138,NumberofDaysTable,3)))*R138),0)+IF(AU138&gt;0,($BA138*((AU138))*R138),0)))</f>
        <v> </v>
      </c>
      <c r="BE138" s="292" t="str">
        <f aca="false">IF($A138="N/A"," ",(IF(AN138&gt;0,($BA138*(8*(VLOOKUP($A138,NumberofDaysTable,3)))*S138),0)+IF(AV138&gt;0,($BA138*((AV138))*S138),0)))</f>
        <v> </v>
      </c>
      <c r="BF138" s="292" t="str">
        <f aca="false">IF($A138="N/A"," ",(IF(AO138&gt;0,($BA138*(8*(VLOOKUP($A138,NumberofDaysTable,4)+VLOOKUP($A138,NumberofDaysTable,5)))*T138),0)+IF(AW138&gt;0,($BA138*((AW138))*T138),0)))</f>
        <v> </v>
      </c>
      <c r="BG138" s="292" t="str">
        <f aca="false">IF($A138="N/A"," ",(IF(AP138&gt;0,($BA138*(8*(VLOOKUP($A138,NumberofDaysTable,4)+VLOOKUP($A138,NumberofDaysTable,5)))*U138),0)+IF(AX138&gt;0,($BA138*((AX138))*U138),0)))</f>
        <v> </v>
      </c>
      <c r="BH138" s="292" t="str">
        <f aca="false">IF($A138="N/A"," ",($BA138*AQ138*V138))</f>
        <v> </v>
      </c>
      <c r="BI138" s="292" t="str">
        <f aca="false">IF($A138="N/A"," ",SUM(BB138:BH138))</f>
        <v> </v>
      </c>
      <c r="BJ138" s="293" t="str">
        <f aca="false">IF($A138="N/A"," ",(H138*(SUM(AK138:AQ138)+SUM(AS138:AY138))*BA138))</f>
        <v> </v>
      </c>
      <c r="BK138" s="293" t="str">
        <f aca="false">IF($A138="N/A"," ",((C138*D138)*(SUM($AK138:$AQ138)+SUM($AS138:$AY138))*$BA138))</f>
        <v> </v>
      </c>
      <c r="BL138" s="293" t="str">
        <f aca="false">IF($A138="N/A"," ",(F138*(SUM($AK138:$AQ138)+SUM($AS138:$AY138))*$BA138))</f>
        <v> </v>
      </c>
      <c r="BM138" s="293" t="str">
        <f aca="false">IF($A138="N/A"," ",(G138*(SUM($AK138:$AQ138)+SUM($AS138:$AY138))*$BA138))</f>
        <v> </v>
      </c>
      <c r="BN138" s="294" t="str">
        <f aca="false">IF(A138="N/A"," ",(VLOOKUP(A138,PowerVolTable,(IF('Pricing Inputs'!$AT$3=2,7,IF('Pricing Inputs'!$AT$3=1,6,8))),FALSE())))</f>
        <v> </v>
      </c>
      <c r="BO138" s="294" t="str">
        <f aca="false">IF(A138="N/A"," ",(VLOOKUP(A138,IntraPowerVol,(IF('Pricing Inputs'!$AT$3=2,3,IF('Pricing Inputs'!$AT$3=1,2,4))),FALSE())*VLOOKUP(MONTH($A138),Inputs!$A$28:$B$39,2)))</f>
        <v> </v>
      </c>
      <c r="BP138" s="295" t="str">
        <f aca="false">IF($A138="N/A"," ",(IF(DateToday&gt;$A138,$BO138,((($BN138^2)*((($A138-1)-DateToday)/((EOMONTH($A138,0)+1)-DateToday-15)))+((($BO138)^2)*((15)/((EOMONTH($A138,0)+1)-DateToday-15))))^0.5)))</f>
        <v> </v>
      </c>
      <c r="BQ138" s="294" t="str">
        <f aca="false">IF($A138="N/A"," ",(VLOOKUP($A138,GasVolTable,(IF('Pricing Inputs'!$AT$3=2,6,IF('Pricing Inputs'!$AT$3=1,7,5))),FALSE())))</f>
        <v> </v>
      </c>
      <c r="BR138" s="294" t="str">
        <f aca="false">IF($A138="N/A"," ",(VLOOKUP($A138,OmicronVol,(IF('Pricing Inputs'!$AT$3=2,3,IF('Pricing Inputs'!$AT$3=1,4,2))),FALSE())))</f>
        <v> </v>
      </c>
      <c r="BS138" s="295" t="str">
        <f aca="false">IF($A138="N/A"," ",IF('Pricing Inputs'!$AN$3=1,(IF(DateToday&gt;$A138,$BR138,((($BQ138^2)*((($A138-1)-DateToday)/((EOMONTH($A138,0)+1)-DateToday-15)))+((($BR138)^2)*((15)/((EOMONTH($A138,0)+1)-DateToday-15))))^0.5)),0.0001))</f>
        <v> </v>
      </c>
      <c r="BT138" s="294" t="str">
        <f aca="false">IF($A138="N/A"," ",IF('Pricing Inputs'!$AN$3=1,(VLOOKUP($A138,CorrelationTable,2,FALSE())),0))</f>
        <v> </v>
      </c>
      <c r="BU138" s="296" t="str">
        <f aca="false">IF($A138="N/A"," ",F138+G138+(D138*(VLOOKUP($A138,'Gas Curves'!$B$17:$P$310,14,FALSE()))))</f>
        <v> </v>
      </c>
      <c r="BV138" s="294" t="str">
        <f aca="false">IF($A138="N/A"," ",IF('Pricing Inputs'!$AW$3=1,0,(VLOOKUP($A138,InterestRatesTable,2))))</f>
        <v> </v>
      </c>
      <c r="BW138" s="297" t="str">
        <f aca="false">IF($A138="N/A"," ",(1+BV138/2)^(-2*((EOMONTH(A138,0)+20)-DateToday)/365.25))</f>
        <v> </v>
      </c>
    </row>
    <row r="139" customFormat="false" ht="12.75" hidden="false" customHeight="false" outlineLevel="0" collapsed="false">
      <c r="A139" s="272" t="str">
        <f aca="false">IF(A138="N/A","N/A",IF(EDATE(A138,1)&gt;Inputs!$K$3,"N/A",EDATE(A138,1)))</f>
        <v>N/A</v>
      </c>
      <c r="B139" s="273" t="str">
        <f aca="false">IF(A139="N/A"," ",YEAR(A139))</f>
        <v> </v>
      </c>
      <c r="C139" s="274" t="str">
        <f aca="false">IF(A139="N/A"," ",VLOOKUP(A139,ScaledPrice,10))</f>
        <v> </v>
      </c>
      <c r="D139" s="275" t="str">
        <f aca="false">IF(A139="N/A"," ",(VLOOKUP(MONTH($A139),Inputs!$A$14:$B$25,2))/1000)</f>
        <v> </v>
      </c>
      <c r="E139" s="276" t="str">
        <f aca="false">IF($A139="N/A"," ",C139*D139)</f>
        <v> </v>
      </c>
      <c r="F139" s="277" t="str">
        <f aca="false">IF(A139="N/A"," ",Inputs!$F$6)</f>
        <v> </v>
      </c>
      <c r="G139" s="277" t="str">
        <f aca="false">IF(A139="N/A"," ",Inputs!$F$9/IF(AND('Pricing Inputs'!$AQ$3&gt;=4,'Pricing Inputs'!$AQ$3&lt;=6),16,IF(AND('Pricing Inputs'!$AQ$3&gt;=7,'Pricing Inputs'!$AQ$3&lt;=9),8,24))/(BA139/BW139))</f>
        <v> </v>
      </c>
      <c r="H139" s="278" t="str">
        <f aca="false">IF(A139="N/A"," ",(C139*D139)+F139+G139)</f>
        <v> </v>
      </c>
      <c r="I139" s="279" t="str">
        <f aca="false">VLOOKUP(A139,ScaledPrice,(IF(AND('Pricing Inputs'!$AQ$3&gt;=1,'Pricing Inputs'!$AQ$3&lt;=6),2,4)))</f>
        <v> </v>
      </c>
      <c r="J139" s="279" t="str">
        <f aca="false">IF(A139="N/A"," ",IF(AND('Pricing Inputs'!$AQ$3&gt;=1,'Pricing Inputs'!$AQ$3&lt;=6),I139,(VLOOKUP(A139,ScaledPrice,2))*(2-(VLOOKUP(A139,ScaledPrice,3)))))</f>
        <v> </v>
      </c>
      <c r="K139" s="279" t="str">
        <f aca="false">IF(A139="N/A"," ",IF(OR('Pricing Inputs'!$AQ$3=2,'Pricing Inputs'!$AQ$3=3,'Pricing Inputs'!$AQ$3=5,'Pricing Inputs'!$AQ$3=6,'Pricing Inputs'!$AQ$3=8,'Pricing Inputs'!$AQ$3=9),VLOOKUP(A139,ScaledPrice,IF(AND('Pricing Inputs'!$AQ$3&gt;=2,'Pricing Inputs'!$AQ$3&lt;=6),5,6)),0))</f>
        <v> </v>
      </c>
      <c r="L139" s="279" t="str">
        <f aca="false">IF(A139="N/A"," ",IF(OR('Pricing Inputs'!$AQ$3=2,'Pricing Inputs'!$AQ$3=3,'Pricing Inputs'!$AQ$3=5,'Pricing Inputs'!$AQ$3=6,'Pricing Inputs'!$AQ$3=8,'Pricing Inputs'!$AQ$3=9),IF(AND('Pricing Inputs'!$AQ$3&gt;=2,'Pricing Inputs'!$AQ$3&lt;=6),K139,(VLOOKUP(A139,ScaledPrice,5))*(2-(VLOOKUP(A139,ScaledPrice,3)))),0))</f>
        <v> </v>
      </c>
      <c r="M139" s="279" t="str">
        <f aca="false">IF(A139="N/A"," ",IF(OR('Pricing Inputs'!$AQ$3=3,'Pricing Inputs'!$AQ$3=6,'Pricing Inputs'!$AQ$3=9),(VLOOKUP(A139,ScaledPrice,IF(AND('Pricing Inputs'!$AQ$3&gt;=3,'Pricing Inputs'!$AQ$3&lt;=6),7,8))),0))</f>
        <v> </v>
      </c>
      <c r="N139" s="279" t="str">
        <f aca="false">IF(A139="N/A"," ",IF(OR('Pricing Inputs'!$AQ$3=3,'Pricing Inputs'!$AQ$3=6,'Pricing Inputs'!$AQ$3=9),IF(AND('Pricing Inputs'!$AQ$3&gt;=3,'Pricing Inputs'!$AQ$3&lt;=6),M139,(VLOOKUP(A139,ScaledPrice,7))*(2-(VLOOKUP(A139,ScaledPrice,3)))),0))</f>
        <v> </v>
      </c>
      <c r="O139" s="279" t="str">
        <f aca="false">IF(A139="N/A"," ",IF(AND('Pricing Inputs'!$AQ$3&gt;=1,'Pricing Inputs'!$AQ$3&lt;=3),VLOOKUP(A139,ScaledPrice,9),0))</f>
        <v> </v>
      </c>
      <c r="P139" s="280" t="str">
        <f aca="false">IF($A139="N/A"," ",IF('Pricing Inputs'!$AN$8=2,(I139-H139),IF('Pricing Inputs'!$AN$3=2,IF((I139-$H139)&gt;0,I139-$H139,0),(xSPRDOPT(I139,$E139,$BU139,0,$BP139,$BS139,$BT139,($A139-Inputs!$D$1)+15,1,0)))))</f>
        <v> </v>
      </c>
      <c r="Q139" s="280" t="str">
        <f aca="false">IF($A139="N/A"," ",IF('Pricing Inputs'!$AN$8=2,(J139-$H139),IF('Pricing Inputs'!$AN$3=2,IF((J139-$H139)&gt;0,J139-$H139,0),(xSPRDOPT(J139,$E139,$BU139,0,$BP139,$BS139,$BT139,($A139-Inputs!$D$1)+15,1,0)))))</f>
        <v> </v>
      </c>
      <c r="R139" s="280" t="str">
        <f aca="false">IF($A139="N/A"," ",IF('Pricing Inputs'!$AN$8=2,(K139-$H139),IF('Pricing Inputs'!$AN$3=2,IF((K139-$H139)&gt;0,K139-$H139,0),(xSPRDOPT(K139,$E139,$BU139,0,$BP139,$BS139,$BT139,($A139-Inputs!$D$1)+15,1,0)))))</f>
        <v> </v>
      </c>
      <c r="S139" s="280" t="str">
        <f aca="false">IF($A139="N/A"," ",IF('Pricing Inputs'!$AN$8=2,(L139-$H139),IF('Pricing Inputs'!$AN$3=2,IF((L139-$H139)&gt;0,L139-$H139,0),(xSPRDOPT(L139,$E139,$BU139,0,$BP139,$BS139,$BT139,($A139-Inputs!$D$1)+15,1,0)))))</f>
        <v> </v>
      </c>
      <c r="T139" s="280" t="str">
        <f aca="false">IF($A139="N/A"," ",IF('Pricing Inputs'!$AN$8=2,(M139-$H139),IF('Pricing Inputs'!$AN$3=2,IF((M139-$H139)&gt;0,M139-$H139,0),(xSPRDOPT(M139,$E139,$BU139,0,$BP139,$BS139,$BT139,($A139-Inputs!$D$1)+15,1,0)))))</f>
        <v> </v>
      </c>
      <c r="U139" s="280" t="str">
        <f aca="false">IF($A139="N/A"," ",IF('Pricing Inputs'!$AN$8=2,(N139-$H139),IF('Pricing Inputs'!$AN$3=2,IF((N139-$H139)&gt;0,N139-$H139,0),(xSPRDOPT(N139,$E139,$BU139,0,$BP139,$BS139,$BT139,($A139-Inputs!$D$1)+15,1,0)))))</f>
        <v> </v>
      </c>
      <c r="V139" s="281" t="str">
        <f aca="false">IF($A139="N/A"," ",(IF('Pricing Inputs'!$AN$8=2,(O139-$H139),IF((O139-$H139)&lt;=0,0,(O139-$H139)))))</f>
        <v> </v>
      </c>
      <c r="W139" s="282" t="str">
        <f aca="false">IF($A139="N/A"," ",IF(0&lt;&gt;P139,IF('Pricing Inputs'!$AN$3=2,8*VLOOKUP($A139,NumberofDaysTable,2),(xSPRDOPT(I139,$E139,$BU139,0,$BP139,$BS139,$BT139,$A139-Inputs!$D$1,1,1))*(8*VLOOKUP($A139,NumberofDaysTable,2))),0))</f>
        <v> </v>
      </c>
      <c r="X139" s="282" t="str">
        <f aca="false">IF($A139="N/A"," ",IF(Q139&lt;&gt;0,IF('Pricing Inputs'!$AN$3=2,8*VLOOKUP($A139,NumberofDaysTable,2),(xSPRDOPT(J139,$E139,$BU139,0,$BP139,$BS139,$BT139,$A139-Inputs!$D$1,1,1))*(8*VLOOKUP($A139,NumberofDaysTable,2))),0))</f>
        <v> </v>
      </c>
      <c r="Y139" s="282" t="str">
        <f aca="false">IF($A139="N/A"," ",IF(R139&lt;&gt;0,IF('Pricing Inputs'!$AN$3=2,8*VLOOKUP($A139,NumberofDaysTable,3),(xSPRDOPT(K139,$E139,$BU139,0,$BP139,$BS139,$BT139,$A139-Inputs!$D$1,1,1))*(8*VLOOKUP($A139,NumberofDaysTable,3))),0))</f>
        <v> </v>
      </c>
      <c r="Z139" s="282" t="str">
        <f aca="false">IF($A139="N/A"," ",IF(S139&lt;&gt;0,IF('Pricing Inputs'!$AN$3=2,8*VLOOKUP($A139,NumberofDaysTable,3),(xSPRDOPT(L139,$E139,$BU139,0,$BP139,$BS139,$BT139,$A139-Inputs!$D$1,1,1))*(8*VLOOKUP($A139,NumberofDaysTable,3))),0))</f>
        <v> </v>
      </c>
      <c r="AA139" s="282" t="str">
        <f aca="false">IF($A139="N/A"," ",IF(T139&lt;&gt;0,IF('Pricing Inputs'!$AN$3=2,8*VLOOKUP($A139,NumberofDaysTable,4),(xSPRDOPT(M139,$E139,$BU139,0,$BP139,$BS139,$BT139,$A139-Inputs!$D$1,1,1))*(8*VLOOKUP($A139,NumberofDaysTable,4))),0))</f>
        <v> </v>
      </c>
      <c r="AB139" s="282" t="str">
        <f aca="false">IF($A139="N/A"," ",IF(U139&lt;&gt;0,IF('Pricing Inputs'!$AN$3=2,8*VLOOKUP($A139,NumberofDaysTable,4),(xSPRDOPT(N139,$E139,$BU139,0,$BP139,$BS139,$BT139,$A139-Inputs!$D$1,1,1))*(8*VLOOKUP($A139,NumberofDaysTable,4))),0))</f>
        <v> </v>
      </c>
      <c r="AC139" s="282" t="str">
        <f aca="false">IF($A139="N/A"," ",(IF(V139&lt;&gt;0,(8*VLOOKUP($A139,NumberofDaysTable,6)),0)))</f>
        <v> </v>
      </c>
      <c r="AD139" s="298" t="str">
        <f aca="false">IF($A139="N/A"," ",RANK(P139,$P$136:$V$147))</f>
        <v> </v>
      </c>
      <c r="AE139" s="299" t="str">
        <f aca="false">IF($A139="N/A"," ",RANK(Q139,$P$136:$V$147))</f>
        <v> </v>
      </c>
      <c r="AF139" s="299" t="str">
        <f aca="false">IF($A139="N/A"," ",RANK(R139,$P$136:$V$147))</f>
        <v> </v>
      </c>
      <c r="AG139" s="299" t="str">
        <f aca="false">IF($A139="N/A"," ",RANK(S139,$P$136:$V$147))</f>
        <v> </v>
      </c>
      <c r="AH139" s="299" t="str">
        <f aca="false">IF($A139="N/A"," ",RANK(T139,$P$136:$V$147))</f>
        <v> </v>
      </c>
      <c r="AI139" s="299" t="str">
        <f aca="false">IF($A139="N/A"," ",RANK(U139,$P$136:$V$147))</f>
        <v> </v>
      </c>
      <c r="AJ139" s="300" t="str">
        <f aca="false">IF($A139="N/A"," ",RANK(V139,$P$136:$V$147))</f>
        <v> </v>
      </c>
      <c r="AK139" s="286" t="str">
        <f aca="false">IF($A139="N/A"," ",IF(AD139&lt;=$AJ$2,W139,0))</f>
        <v> </v>
      </c>
      <c r="AL139" s="301" t="str">
        <f aca="false">IF($A139="N/A"," ",IF(AE139&lt;=$AJ$2,X139,0))</f>
        <v> </v>
      </c>
      <c r="AM139" s="301" t="str">
        <f aca="false">IF($A139="N/A"," ",IF(AF139&lt;=$AJ$2,Y139,0))</f>
        <v> </v>
      </c>
      <c r="AN139" s="301" t="str">
        <f aca="false">IF($A139="N/A"," ",IF(AG139&lt;=$AJ$2,Z139,0))</f>
        <v> </v>
      </c>
      <c r="AO139" s="301" t="str">
        <f aca="false">IF($A139="N/A"," ",IF(AH139&lt;=$AJ$2,AA139,0))</f>
        <v> </v>
      </c>
      <c r="AP139" s="301" t="str">
        <f aca="false">IF($A139="N/A"," ",IF(AI139&lt;=$AJ$2,AB139,0))</f>
        <v> </v>
      </c>
      <c r="AQ139" s="301" t="str">
        <f aca="false">IF($A139="N/A"," ",IF(AJ139&lt;=$AJ$2,AC139,0))</f>
        <v> </v>
      </c>
      <c r="AR139" s="300"/>
      <c r="AS139" s="288" t="str">
        <f aca="false">IF($A139="N/A"," ",IF(AND(AD139=$AJ$2+1,AK139=0),MIN($AR$147,W139),0))</f>
        <v> </v>
      </c>
      <c r="AT139" s="302" t="str">
        <f aca="false">IF($A139="N/A"," ",IF(AND(AE139=$AJ$2+1,AL139=0),MIN($AR$147,X139),0))</f>
        <v> </v>
      </c>
      <c r="AU139" s="302" t="str">
        <f aca="false">IF($A139="N/A"," ",IF(AND(AF139=$AJ$2+1,AM139=0),MIN($AR$147,Y139),0))</f>
        <v> </v>
      </c>
      <c r="AV139" s="302" t="str">
        <f aca="false">IF($A139="N/A"," ",IF(AND(AG139=$AJ$2+1,AN139=0),MIN($AR$147,Z139),0))</f>
        <v> </v>
      </c>
      <c r="AW139" s="302" t="str">
        <f aca="false">IF($A139="N/A"," ",IF(AND(AH139=$AJ$2+1,AO139=0),MIN($AR$147,AA139),0))</f>
        <v> </v>
      </c>
      <c r="AX139" s="302" t="str">
        <f aca="false">IF($A139="N/A"," ",IF(AND(AI139=$AJ$2+1,AP139=0),MIN($AR$147,AB139),0))</f>
        <v> </v>
      </c>
      <c r="AY139" s="302" t="str">
        <f aca="false">IF($A139="N/A"," ",IF(AND(AJ139=$AJ$2+1,AQ139=0),MIN($AR$147,AC139),0))</f>
        <v> </v>
      </c>
      <c r="AZ139" s="300"/>
      <c r="BA139" s="291" t="str">
        <f aca="false">IF($A139="N/A"," ",(IF(MONTH(A139)&gt;=4,IF(MONTH(A139)&lt;=10,Inputs!$F$13,Inputs!$F$14),Inputs!$F$14))*$BW139)</f>
        <v> </v>
      </c>
      <c r="BB139" s="292" t="str">
        <f aca="false">IF($A139="N/A"," ",(IF(AK139&gt;0,($BA139*(8*(VLOOKUP($A139,NumberofDaysTable,2)))*P139),0)+IF(AS139&gt;0,($BA139*((AS139))*P139),0)))</f>
        <v> </v>
      </c>
      <c r="BC139" s="292" t="str">
        <f aca="false">IF($A139="N/A"," ",(IF(AL139&gt;0,($BA139*(8*(VLOOKUP($A139,NumberofDaysTable,2)))*Q139),0)+IF(AT139&gt;0,($BA139*((AT139))*Q139),0)))</f>
        <v> </v>
      </c>
      <c r="BD139" s="292" t="str">
        <f aca="false">IF($A139="N/A"," ",(IF(AM139&gt;0,($BA139*(8*(VLOOKUP($A139,NumberofDaysTable,3)))*R139),0)+IF(AU139&gt;0,($BA139*((AU139))*R139),0)))</f>
        <v> </v>
      </c>
      <c r="BE139" s="292" t="str">
        <f aca="false">IF($A139="N/A"," ",(IF(AN139&gt;0,($BA139*(8*(VLOOKUP($A139,NumberofDaysTable,3)))*S139),0)+IF(AV139&gt;0,($BA139*((AV139))*S139),0)))</f>
        <v> </v>
      </c>
      <c r="BF139" s="292" t="str">
        <f aca="false">IF($A139="N/A"," ",(IF(AO139&gt;0,($BA139*(8*(VLOOKUP($A139,NumberofDaysTable,4)+VLOOKUP($A139,NumberofDaysTable,5)))*T139),0)+IF(AW139&gt;0,($BA139*((AW139))*T139),0)))</f>
        <v> </v>
      </c>
      <c r="BG139" s="292" t="str">
        <f aca="false">IF($A139="N/A"," ",(IF(AP139&gt;0,($BA139*(8*(VLOOKUP($A139,NumberofDaysTable,4)+VLOOKUP($A139,NumberofDaysTable,5)))*U139),0)+IF(AX139&gt;0,($BA139*((AX139))*U139),0)))</f>
        <v> </v>
      </c>
      <c r="BH139" s="292" t="str">
        <f aca="false">IF($A139="N/A"," ",($BA139*AQ139*V139))</f>
        <v> </v>
      </c>
      <c r="BI139" s="292" t="str">
        <f aca="false">IF($A139="N/A"," ",SUM(BB139:BH139))</f>
        <v> </v>
      </c>
      <c r="BJ139" s="293" t="str">
        <f aca="false">IF($A139="N/A"," ",(H139*(SUM(AK139:AQ139)+SUM(AS139:AY139))*BA139))</f>
        <v> </v>
      </c>
      <c r="BK139" s="293" t="str">
        <f aca="false">IF($A139="N/A"," ",((C139*D139)*(SUM($AK139:$AQ139)+SUM($AS139:$AY139))*$BA139))</f>
        <v> </v>
      </c>
      <c r="BL139" s="293" t="str">
        <f aca="false">IF($A139="N/A"," ",(F139*(SUM($AK139:$AQ139)+SUM($AS139:$AY139))*$BA139))</f>
        <v> </v>
      </c>
      <c r="BM139" s="293" t="str">
        <f aca="false">IF($A139="N/A"," ",(G139*(SUM($AK139:$AQ139)+SUM($AS139:$AY139))*$BA139))</f>
        <v> </v>
      </c>
      <c r="BN139" s="294" t="str">
        <f aca="false">IF(A139="N/A"," ",(VLOOKUP(A139,PowerVolTable,(IF('Pricing Inputs'!$AT$3=2,7,IF('Pricing Inputs'!$AT$3=1,6,8))),FALSE())))</f>
        <v> </v>
      </c>
      <c r="BO139" s="294" t="str">
        <f aca="false">IF(A139="N/A"," ",(VLOOKUP(A139,IntraPowerVol,(IF('Pricing Inputs'!$AT$3=2,3,IF('Pricing Inputs'!$AT$3=1,2,4))),FALSE())*VLOOKUP(MONTH($A139),Inputs!$A$28:$B$39,2)))</f>
        <v> </v>
      </c>
      <c r="BP139" s="295" t="str">
        <f aca="false">IF($A139="N/A"," ",(IF(DateToday&gt;$A139,$BO139,((($BN139^2)*((($A139-1)-DateToday)/((EOMONTH($A139,0)+1)-DateToday-15)))+((($BO139)^2)*((15)/((EOMONTH($A139,0)+1)-DateToday-15))))^0.5)))</f>
        <v> </v>
      </c>
      <c r="BQ139" s="294" t="str">
        <f aca="false">IF($A139="N/A"," ",(VLOOKUP($A139,GasVolTable,(IF('Pricing Inputs'!$AT$3=2,6,IF('Pricing Inputs'!$AT$3=1,7,5))),FALSE())))</f>
        <v> </v>
      </c>
      <c r="BR139" s="294" t="str">
        <f aca="false">IF($A139="N/A"," ",(VLOOKUP($A139,OmicronVol,(IF('Pricing Inputs'!$AT$3=2,3,IF('Pricing Inputs'!$AT$3=1,4,2))),FALSE())))</f>
        <v> </v>
      </c>
      <c r="BS139" s="295" t="str">
        <f aca="false">IF($A139="N/A"," ",IF('Pricing Inputs'!$AN$3=1,(IF(DateToday&gt;$A139,$BR139,((($BQ139^2)*((($A139-1)-DateToday)/((EOMONTH($A139,0)+1)-DateToday-15)))+((($BR139)^2)*((15)/((EOMONTH($A139,0)+1)-DateToday-15))))^0.5)),0.0001))</f>
        <v> </v>
      </c>
      <c r="BT139" s="294" t="str">
        <f aca="false">IF($A139="N/A"," ",IF('Pricing Inputs'!$AN$3=1,(VLOOKUP($A139,CorrelationTable,2,FALSE())),0))</f>
        <v> </v>
      </c>
      <c r="BU139" s="296" t="str">
        <f aca="false">IF($A139="N/A"," ",F139+G139+(D139*(VLOOKUP($A139,'Gas Curves'!$B$17:$P$310,14,FALSE()))))</f>
        <v> </v>
      </c>
      <c r="BV139" s="294" t="str">
        <f aca="false">IF($A139="N/A"," ",IF('Pricing Inputs'!$AW$3=1,0,(VLOOKUP($A139,InterestRatesTable,2))))</f>
        <v> </v>
      </c>
      <c r="BW139" s="297" t="str">
        <f aca="false">IF($A139="N/A"," ",(1+BV139/2)^(-2*((EOMONTH(A139,0)+20)-DateToday)/365.25))</f>
        <v> </v>
      </c>
    </row>
    <row r="140" customFormat="false" ht="12.75" hidden="false" customHeight="false" outlineLevel="0" collapsed="false">
      <c r="A140" s="272" t="str">
        <f aca="false">IF(A139="N/A","N/A",IF(EDATE(A139,1)&gt;Inputs!$K$3,"N/A",EDATE(A139,1)))</f>
        <v>N/A</v>
      </c>
      <c r="B140" s="273" t="str">
        <f aca="false">IF(A140="N/A"," ",YEAR(A140))</f>
        <v> </v>
      </c>
      <c r="C140" s="274" t="str">
        <f aca="false">IF(A140="N/A"," ",VLOOKUP(A140,ScaledPrice,10))</f>
        <v> </v>
      </c>
      <c r="D140" s="275" t="str">
        <f aca="false">IF(A140="N/A"," ",(VLOOKUP(MONTH($A140),Inputs!$A$14:$B$25,2))/1000)</f>
        <v> </v>
      </c>
      <c r="E140" s="276" t="str">
        <f aca="false">IF($A140="N/A"," ",C140*D140)</f>
        <v> </v>
      </c>
      <c r="F140" s="277" t="str">
        <f aca="false">IF(A140="N/A"," ",Inputs!$F$6)</f>
        <v> </v>
      </c>
      <c r="G140" s="277" t="str">
        <f aca="false">IF(A140="N/A"," ",Inputs!$F$9/IF(AND('Pricing Inputs'!$AQ$3&gt;=4,'Pricing Inputs'!$AQ$3&lt;=6),16,IF(AND('Pricing Inputs'!$AQ$3&gt;=7,'Pricing Inputs'!$AQ$3&lt;=9),8,24))/(BA140/BW140))</f>
        <v> </v>
      </c>
      <c r="H140" s="278" t="str">
        <f aca="false">IF(A140="N/A"," ",(C140*D140)+F140+G140)</f>
        <v> </v>
      </c>
      <c r="I140" s="279" t="str">
        <f aca="false">VLOOKUP(A140,ScaledPrice,(IF(AND('Pricing Inputs'!$AQ$3&gt;=1,'Pricing Inputs'!$AQ$3&lt;=6),2,4)))</f>
        <v> </v>
      </c>
      <c r="J140" s="279" t="str">
        <f aca="false">IF(A140="N/A"," ",IF(AND('Pricing Inputs'!$AQ$3&gt;=1,'Pricing Inputs'!$AQ$3&lt;=6),I140,(VLOOKUP(A140,ScaledPrice,2))*(2-(VLOOKUP(A140,ScaledPrice,3)))))</f>
        <v> </v>
      </c>
      <c r="K140" s="279" t="str">
        <f aca="false">IF(A140="N/A"," ",IF(OR('Pricing Inputs'!$AQ$3=2,'Pricing Inputs'!$AQ$3=3,'Pricing Inputs'!$AQ$3=5,'Pricing Inputs'!$AQ$3=6,'Pricing Inputs'!$AQ$3=8,'Pricing Inputs'!$AQ$3=9),VLOOKUP(A140,ScaledPrice,IF(AND('Pricing Inputs'!$AQ$3&gt;=2,'Pricing Inputs'!$AQ$3&lt;=6),5,6)),0))</f>
        <v> </v>
      </c>
      <c r="L140" s="279" t="str">
        <f aca="false">IF(A140="N/A"," ",IF(OR('Pricing Inputs'!$AQ$3=2,'Pricing Inputs'!$AQ$3=3,'Pricing Inputs'!$AQ$3=5,'Pricing Inputs'!$AQ$3=6,'Pricing Inputs'!$AQ$3=8,'Pricing Inputs'!$AQ$3=9),IF(AND('Pricing Inputs'!$AQ$3&gt;=2,'Pricing Inputs'!$AQ$3&lt;=6),K140,(VLOOKUP(A140,ScaledPrice,5))*(2-(VLOOKUP(A140,ScaledPrice,3)))),0))</f>
        <v> </v>
      </c>
      <c r="M140" s="279" t="str">
        <f aca="false">IF(A140="N/A"," ",IF(OR('Pricing Inputs'!$AQ$3=3,'Pricing Inputs'!$AQ$3=6,'Pricing Inputs'!$AQ$3=9),(VLOOKUP(A140,ScaledPrice,IF(AND('Pricing Inputs'!$AQ$3&gt;=3,'Pricing Inputs'!$AQ$3&lt;=6),7,8))),0))</f>
        <v> </v>
      </c>
      <c r="N140" s="279" t="str">
        <f aca="false">IF(A140="N/A"," ",IF(OR('Pricing Inputs'!$AQ$3=3,'Pricing Inputs'!$AQ$3=6,'Pricing Inputs'!$AQ$3=9),IF(AND('Pricing Inputs'!$AQ$3&gt;=3,'Pricing Inputs'!$AQ$3&lt;=6),M140,(VLOOKUP(A140,ScaledPrice,7))*(2-(VLOOKUP(A140,ScaledPrice,3)))),0))</f>
        <v> </v>
      </c>
      <c r="O140" s="279" t="str">
        <f aca="false">IF(A140="N/A"," ",IF(AND('Pricing Inputs'!$AQ$3&gt;=1,'Pricing Inputs'!$AQ$3&lt;=3),VLOOKUP(A140,ScaledPrice,9),0))</f>
        <v> </v>
      </c>
      <c r="P140" s="280" t="str">
        <f aca="false">IF($A140="N/A"," ",IF('Pricing Inputs'!$AN$8=2,(I140-H140),IF('Pricing Inputs'!$AN$3=2,IF((I140-$H140)&gt;0,I140-$H140,0),(xSPRDOPT(I140,$E140,$BU140,0,$BP140,$BS140,$BT140,($A140-Inputs!$D$1)+15,1,0)))))</f>
        <v> </v>
      </c>
      <c r="Q140" s="280" t="str">
        <f aca="false">IF($A140="N/A"," ",IF('Pricing Inputs'!$AN$8=2,(J140-$H140),IF('Pricing Inputs'!$AN$3=2,IF((J140-$H140)&gt;0,J140-$H140,0),(xSPRDOPT(J140,$E140,$BU140,0,$BP140,$BS140,$BT140,($A140-Inputs!$D$1)+15,1,0)))))</f>
        <v> </v>
      </c>
      <c r="R140" s="280" t="str">
        <f aca="false">IF($A140="N/A"," ",IF('Pricing Inputs'!$AN$8=2,(K140-$H140),IF('Pricing Inputs'!$AN$3=2,IF((K140-$H140)&gt;0,K140-$H140,0),(xSPRDOPT(K140,$E140,$BU140,0,$BP140,$BS140,$BT140,($A140-Inputs!$D$1)+15,1,0)))))</f>
        <v> </v>
      </c>
      <c r="S140" s="280" t="str">
        <f aca="false">IF($A140="N/A"," ",IF('Pricing Inputs'!$AN$8=2,(L140-$H140),IF('Pricing Inputs'!$AN$3=2,IF((L140-$H140)&gt;0,L140-$H140,0),(xSPRDOPT(L140,$E140,$BU140,0,$BP140,$BS140,$BT140,($A140-Inputs!$D$1)+15,1,0)))))</f>
        <v> </v>
      </c>
      <c r="T140" s="280" t="str">
        <f aca="false">IF($A140="N/A"," ",IF('Pricing Inputs'!$AN$8=2,(M140-$H140),IF('Pricing Inputs'!$AN$3=2,IF((M140-$H140)&gt;0,M140-$H140,0),(xSPRDOPT(M140,$E140,$BU140,0,$BP140,$BS140,$BT140,($A140-Inputs!$D$1)+15,1,0)))))</f>
        <v> </v>
      </c>
      <c r="U140" s="280" t="str">
        <f aca="false">IF($A140="N/A"," ",IF('Pricing Inputs'!$AN$8=2,(N140-$H140),IF('Pricing Inputs'!$AN$3=2,IF((N140-$H140)&gt;0,N140-$H140,0),(xSPRDOPT(N140,$E140,$BU140,0,$BP140,$BS140,$BT140,($A140-Inputs!$D$1)+15,1,0)))))</f>
        <v> </v>
      </c>
      <c r="V140" s="281" t="str">
        <f aca="false">IF($A140="N/A"," ",(IF('Pricing Inputs'!$AN$8=2,(O140-$H140),IF((O140-$H140)&lt;=0,0,(O140-$H140)))))</f>
        <v> </v>
      </c>
      <c r="W140" s="282" t="str">
        <f aca="false">IF($A140="N/A"," ",IF(0&lt;&gt;P140,IF('Pricing Inputs'!$AN$3=2,8*VLOOKUP($A140,NumberofDaysTable,2),(xSPRDOPT(I140,$E140,$BU140,0,$BP140,$BS140,$BT140,$A140-Inputs!$D$1,1,1))*(8*VLOOKUP($A140,NumberofDaysTable,2))),0))</f>
        <v> </v>
      </c>
      <c r="X140" s="282" t="str">
        <f aca="false">IF($A140="N/A"," ",IF(Q140&lt;&gt;0,IF('Pricing Inputs'!$AN$3=2,8*VLOOKUP($A140,NumberofDaysTable,2),(xSPRDOPT(J140,$E140,$BU140,0,$BP140,$BS140,$BT140,$A140-Inputs!$D$1,1,1))*(8*VLOOKUP($A140,NumberofDaysTable,2))),0))</f>
        <v> </v>
      </c>
      <c r="Y140" s="282" t="str">
        <f aca="false">IF($A140="N/A"," ",IF(R140&lt;&gt;0,IF('Pricing Inputs'!$AN$3=2,8*VLOOKUP($A140,NumberofDaysTable,3),(xSPRDOPT(K140,$E140,$BU140,0,$BP140,$BS140,$BT140,$A140-Inputs!$D$1,1,1))*(8*VLOOKUP($A140,NumberofDaysTable,3))),0))</f>
        <v> </v>
      </c>
      <c r="Z140" s="282" t="str">
        <f aca="false">IF($A140="N/A"," ",IF(S140&lt;&gt;0,IF('Pricing Inputs'!$AN$3=2,8*VLOOKUP($A140,NumberofDaysTable,3),(xSPRDOPT(L140,$E140,$BU140,0,$BP140,$BS140,$BT140,$A140-Inputs!$D$1,1,1))*(8*VLOOKUP($A140,NumberofDaysTable,3))),0))</f>
        <v> </v>
      </c>
      <c r="AA140" s="282" t="str">
        <f aca="false">IF($A140="N/A"," ",IF(T140&lt;&gt;0,IF('Pricing Inputs'!$AN$3=2,8*VLOOKUP($A140,NumberofDaysTable,4),(xSPRDOPT(M140,$E140,$BU140,0,$BP140,$BS140,$BT140,$A140-Inputs!$D$1,1,1))*(8*VLOOKUP($A140,NumberofDaysTable,4))),0))</f>
        <v> </v>
      </c>
      <c r="AB140" s="282" t="str">
        <f aca="false">IF($A140="N/A"," ",IF(U140&lt;&gt;0,IF('Pricing Inputs'!$AN$3=2,8*VLOOKUP($A140,NumberofDaysTable,4),(xSPRDOPT(N140,$E140,$BU140,0,$BP140,$BS140,$BT140,$A140-Inputs!$D$1,1,1))*(8*VLOOKUP($A140,NumberofDaysTable,4))),0))</f>
        <v> </v>
      </c>
      <c r="AC140" s="282" t="str">
        <f aca="false">IF($A140="N/A"," ",(IF(V140&lt;&gt;0,(8*VLOOKUP($A140,NumberofDaysTable,6)),0)))</f>
        <v> </v>
      </c>
      <c r="AD140" s="298" t="str">
        <f aca="false">IF($A140="N/A"," ",RANK(P140,$P$136:$V$147))</f>
        <v> </v>
      </c>
      <c r="AE140" s="299" t="str">
        <f aca="false">IF($A140="N/A"," ",RANK(Q140,$P$136:$V$147))</f>
        <v> </v>
      </c>
      <c r="AF140" s="299" t="str">
        <f aca="false">IF($A140="N/A"," ",RANK(R140,$P$136:$V$147))</f>
        <v> </v>
      </c>
      <c r="AG140" s="299" t="str">
        <f aca="false">IF($A140="N/A"," ",RANK(S140,$P$136:$V$147))</f>
        <v> </v>
      </c>
      <c r="AH140" s="299" t="str">
        <f aca="false">IF($A140="N/A"," ",RANK(T140,$P$136:$V$147))</f>
        <v> </v>
      </c>
      <c r="AI140" s="299" t="str">
        <f aca="false">IF($A140="N/A"," ",RANK(U140,$P$136:$V$147))</f>
        <v> </v>
      </c>
      <c r="AJ140" s="300" t="str">
        <f aca="false">IF($A140="N/A"," ",RANK(V140,$P$136:$V$147))</f>
        <v> </v>
      </c>
      <c r="AK140" s="286" t="str">
        <f aca="false">IF($A140="N/A"," ",IF(AD140&lt;=$AJ$2,W140,0))</f>
        <v> </v>
      </c>
      <c r="AL140" s="301" t="str">
        <f aca="false">IF($A140="N/A"," ",IF(AE140&lt;=$AJ$2,X140,0))</f>
        <v> </v>
      </c>
      <c r="AM140" s="301" t="str">
        <f aca="false">IF($A140="N/A"," ",IF(AF140&lt;=$AJ$2,Y140,0))</f>
        <v> </v>
      </c>
      <c r="AN140" s="301" t="str">
        <f aca="false">IF($A140="N/A"," ",IF(AG140&lt;=$AJ$2,Z140,0))</f>
        <v> </v>
      </c>
      <c r="AO140" s="301" t="str">
        <f aca="false">IF($A140="N/A"," ",IF(AH140&lt;=$AJ$2,AA140,0))</f>
        <v> </v>
      </c>
      <c r="AP140" s="301" t="str">
        <f aca="false">IF($A140="N/A"," ",IF(AI140&lt;=$AJ$2,AB140,0))</f>
        <v> </v>
      </c>
      <c r="AQ140" s="301" t="str">
        <f aca="false">IF($A140="N/A"," ",IF(AJ140&lt;=$AJ$2,AC140,0))</f>
        <v> </v>
      </c>
      <c r="AR140" s="300"/>
      <c r="AS140" s="288" t="str">
        <f aca="false">IF($A140="N/A"," ",IF(AND(AD140=$AJ$2+1,AK140=0),MIN($AR$147,W140),0))</f>
        <v> </v>
      </c>
      <c r="AT140" s="302" t="str">
        <f aca="false">IF($A140="N/A"," ",IF(AND(AE140=$AJ$2+1,AL140=0),MIN($AR$147,X140),0))</f>
        <v> </v>
      </c>
      <c r="AU140" s="302" t="str">
        <f aca="false">IF($A140="N/A"," ",IF(AND(AF140=$AJ$2+1,AM140=0),MIN($AR$147,Y140),0))</f>
        <v> </v>
      </c>
      <c r="AV140" s="302" t="str">
        <f aca="false">IF($A140="N/A"," ",IF(AND(AG140=$AJ$2+1,AN140=0),MIN($AR$147,Z140),0))</f>
        <v> </v>
      </c>
      <c r="AW140" s="302" t="str">
        <f aca="false">IF($A140="N/A"," ",IF(AND(AH140=$AJ$2+1,AO140=0),MIN($AR$147,AA140),0))</f>
        <v> </v>
      </c>
      <c r="AX140" s="302" t="str">
        <f aca="false">IF($A140="N/A"," ",IF(AND(AI140=$AJ$2+1,AP140=0),MIN($AR$147,AB140),0))</f>
        <v> </v>
      </c>
      <c r="AY140" s="302" t="str">
        <f aca="false">IF($A140="N/A"," ",IF(AND(AJ140=$AJ$2+1,AQ140=0),MIN($AR$147,AC140),0))</f>
        <v> </v>
      </c>
      <c r="AZ140" s="300"/>
      <c r="BA140" s="291" t="str">
        <f aca="false">IF($A140="N/A"," ",(IF(MONTH(A140)&gt;=4,IF(MONTH(A140)&lt;=10,Inputs!$F$13,Inputs!$F$14),Inputs!$F$14))*$BW140)</f>
        <v> </v>
      </c>
      <c r="BB140" s="292" t="str">
        <f aca="false">IF($A140="N/A"," ",(IF(AK140&gt;0,($BA140*(8*(VLOOKUP($A140,NumberofDaysTable,2)))*P140),0)+IF(AS140&gt;0,($BA140*((AS140))*P140),0)))</f>
        <v> </v>
      </c>
      <c r="BC140" s="292" t="str">
        <f aca="false">IF($A140="N/A"," ",(IF(AL140&gt;0,($BA140*(8*(VLOOKUP($A140,NumberofDaysTable,2)))*Q140),0)+IF(AT140&gt;0,($BA140*((AT140))*Q140),0)))</f>
        <v> </v>
      </c>
      <c r="BD140" s="292" t="str">
        <f aca="false">IF($A140="N/A"," ",(IF(AM140&gt;0,($BA140*(8*(VLOOKUP($A140,NumberofDaysTable,3)))*R140),0)+IF(AU140&gt;0,($BA140*((AU140))*R140),0)))</f>
        <v> </v>
      </c>
      <c r="BE140" s="292" t="str">
        <f aca="false">IF($A140="N/A"," ",(IF(AN140&gt;0,($BA140*(8*(VLOOKUP($A140,NumberofDaysTable,3)))*S140),0)+IF(AV140&gt;0,($BA140*((AV140))*S140),0)))</f>
        <v> </v>
      </c>
      <c r="BF140" s="292" t="str">
        <f aca="false">IF($A140="N/A"," ",(IF(AO140&gt;0,($BA140*(8*(VLOOKUP($A140,NumberofDaysTable,4)+VLOOKUP($A140,NumberofDaysTable,5)))*T140),0)+IF(AW140&gt;0,($BA140*((AW140))*T140),0)))</f>
        <v> </v>
      </c>
      <c r="BG140" s="292" t="str">
        <f aca="false">IF($A140="N/A"," ",(IF(AP140&gt;0,($BA140*(8*(VLOOKUP($A140,NumberofDaysTable,4)+VLOOKUP($A140,NumberofDaysTable,5)))*U140),0)+IF(AX140&gt;0,($BA140*((AX140))*U140),0)))</f>
        <v> </v>
      </c>
      <c r="BH140" s="292" t="str">
        <f aca="false">IF($A140="N/A"," ",($BA140*AQ140*V140))</f>
        <v> </v>
      </c>
      <c r="BI140" s="292" t="str">
        <f aca="false">IF($A140="N/A"," ",SUM(BB140:BH140))</f>
        <v> </v>
      </c>
      <c r="BJ140" s="293" t="str">
        <f aca="false">IF($A140="N/A"," ",(H140*(SUM(AK140:AQ140)+SUM(AS140:AY140))*BA140))</f>
        <v> </v>
      </c>
      <c r="BK140" s="293" t="str">
        <f aca="false">IF($A140="N/A"," ",((C140*D140)*(SUM($AK140:$AQ140)+SUM($AS140:$AY140))*$BA140))</f>
        <v> </v>
      </c>
      <c r="BL140" s="293" t="str">
        <f aca="false">IF($A140="N/A"," ",(F140*(SUM($AK140:$AQ140)+SUM($AS140:$AY140))*$BA140))</f>
        <v> </v>
      </c>
      <c r="BM140" s="293" t="str">
        <f aca="false">IF($A140="N/A"," ",(G140*(SUM($AK140:$AQ140)+SUM($AS140:$AY140))*$BA140))</f>
        <v> </v>
      </c>
      <c r="BN140" s="294" t="str">
        <f aca="false">IF(A140="N/A"," ",(VLOOKUP(A140,PowerVolTable,(IF('Pricing Inputs'!$AT$3=2,7,IF('Pricing Inputs'!$AT$3=1,6,8))),FALSE())))</f>
        <v> </v>
      </c>
      <c r="BO140" s="294" t="str">
        <f aca="false">IF(A140="N/A"," ",(VLOOKUP(A140,IntraPowerVol,(IF('Pricing Inputs'!$AT$3=2,3,IF('Pricing Inputs'!$AT$3=1,2,4))),FALSE())*VLOOKUP(MONTH($A140),Inputs!$A$28:$B$39,2)))</f>
        <v> </v>
      </c>
      <c r="BP140" s="295" t="str">
        <f aca="false">IF($A140="N/A"," ",(IF(DateToday&gt;$A140,$BO140,((($BN140^2)*((($A140-1)-DateToday)/((EOMONTH($A140,0)+1)-DateToday-15)))+((($BO140)^2)*((15)/((EOMONTH($A140,0)+1)-DateToday-15))))^0.5)))</f>
        <v> </v>
      </c>
      <c r="BQ140" s="294" t="str">
        <f aca="false">IF($A140="N/A"," ",(VLOOKUP($A140,GasVolTable,(IF('Pricing Inputs'!$AT$3=2,6,IF('Pricing Inputs'!$AT$3=1,7,5))),FALSE())))</f>
        <v> </v>
      </c>
      <c r="BR140" s="294" t="str">
        <f aca="false">IF($A140="N/A"," ",(VLOOKUP($A140,OmicronVol,(IF('Pricing Inputs'!$AT$3=2,3,IF('Pricing Inputs'!$AT$3=1,4,2))),FALSE())))</f>
        <v> </v>
      </c>
      <c r="BS140" s="295" t="str">
        <f aca="false">IF($A140="N/A"," ",IF('Pricing Inputs'!$AN$3=1,(IF(DateToday&gt;$A140,$BR140,((($BQ140^2)*((($A140-1)-DateToday)/((EOMONTH($A140,0)+1)-DateToday-15)))+((($BR140)^2)*((15)/((EOMONTH($A140,0)+1)-DateToday-15))))^0.5)),0.0001))</f>
        <v> </v>
      </c>
      <c r="BT140" s="294" t="str">
        <f aca="false">IF($A140="N/A"," ",IF('Pricing Inputs'!$AN$3=1,(VLOOKUP($A140,CorrelationTable,2,FALSE())),0))</f>
        <v> </v>
      </c>
      <c r="BU140" s="296" t="str">
        <f aca="false">IF($A140="N/A"," ",F140+G140+(D140*(VLOOKUP($A140,'Gas Curves'!$B$17:$P$310,14,FALSE()))))</f>
        <v> </v>
      </c>
      <c r="BV140" s="294" t="str">
        <f aca="false">IF($A140="N/A"," ",IF('Pricing Inputs'!$AW$3=1,0,(VLOOKUP($A140,InterestRatesTable,2))))</f>
        <v> </v>
      </c>
      <c r="BW140" s="297" t="str">
        <f aca="false">IF($A140="N/A"," ",(1+BV140/2)^(-2*((EOMONTH(A140,0)+20)-DateToday)/365.25))</f>
        <v> </v>
      </c>
    </row>
    <row r="141" customFormat="false" ht="12.75" hidden="false" customHeight="false" outlineLevel="0" collapsed="false">
      <c r="A141" s="272" t="str">
        <f aca="false">IF(A140="N/A","N/A",IF(EDATE(A140,1)&gt;Inputs!$K$3,"N/A",EDATE(A140,1)))</f>
        <v>N/A</v>
      </c>
      <c r="B141" s="273" t="str">
        <f aca="false">IF(A141="N/A"," ",YEAR(A141))</f>
        <v> </v>
      </c>
      <c r="C141" s="274" t="str">
        <f aca="false">IF(A141="N/A"," ",VLOOKUP(A141,ScaledPrice,10))</f>
        <v> </v>
      </c>
      <c r="D141" s="275" t="str">
        <f aca="false">IF(A141="N/A"," ",(VLOOKUP(MONTH($A141),Inputs!$A$14:$B$25,2))/1000)</f>
        <v> </v>
      </c>
      <c r="E141" s="276" t="str">
        <f aca="false">IF($A141="N/A"," ",C141*D141)</f>
        <v> </v>
      </c>
      <c r="F141" s="277" t="str">
        <f aca="false">IF(A141="N/A"," ",Inputs!$F$6)</f>
        <v> </v>
      </c>
      <c r="G141" s="277" t="str">
        <f aca="false">IF(A141="N/A"," ",Inputs!$F$9/IF(AND('Pricing Inputs'!$AQ$3&gt;=4,'Pricing Inputs'!$AQ$3&lt;=6),16,IF(AND('Pricing Inputs'!$AQ$3&gt;=7,'Pricing Inputs'!$AQ$3&lt;=9),8,24))/(BA141/BW141))</f>
        <v> </v>
      </c>
      <c r="H141" s="278" t="str">
        <f aca="false">IF(A141="N/A"," ",(C141*D141)+F141+G141)</f>
        <v> </v>
      </c>
      <c r="I141" s="279" t="str">
        <f aca="false">VLOOKUP(A141,ScaledPrice,(IF(AND('Pricing Inputs'!$AQ$3&gt;=1,'Pricing Inputs'!$AQ$3&lt;=6),2,4)))</f>
        <v> </v>
      </c>
      <c r="J141" s="279" t="str">
        <f aca="false">IF(A141="N/A"," ",IF(AND('Pricing Inputs'!$AQ$3&gt;=1,'Pricing Inputs'!$AQ$3&lt;=6),I141,(VLOOKUP(A141,ScaledPrice,2))*(2-(VLOOKUP(A141,ScaledPrice,3)))))</f>
        <v> </v>
      </c>
      <c r="K141" s="279" t="str">
        <f aca="false">IF(A141="N/A"," ",IF(OR('Pricing Inputs'!$AQ$3=2,'Pricing Inputs'!$AQ$3=3,'Pricing Inputs'!$AQ$3=5,'Pricing Inputs'!$AQ$3=6,'Pricing Inputs'!$AQ$3=8,'Pricing Inputs'!$AQ$3=9),VLOOKUP(A141,ScaledPrice,IF(AND('Pricing Inputs'!$AQ$3&gt;=2,'Pricing Inputs'!$AQ$3&lt;=6),5,6)),0))</f>
        <v> </v>
      </c>
      <c r="L141" s="279" t="str">
        <f aca="false">IF(A141="N/A"," ",IF(OR('Pricing Inputs'!$AQ$3=2,'Pricing Inputs'!$AQ$3=3,'Pricing Inputs'!$AQ$3=5,'Pricing Inputs'!$AQ$3=6,'Pricing Inputs'!$AQ$3=8,'Pricing Inputs'!$AQ$3=9),IF(AND('Pricing Inputs'!$AQ$3&gt;=2,'Pricing Inputs'!$AQ$3&lt;=6),K141,(VLOOKUP(A141,ScaledPrice,5))*(2-(VLOOKUP(A141,ScaledPrice,3)))),0))</f>
        <v> </v>
      </c>
      <c r="M141" s="279" t="str">
        <f aca="false">IF(A141="N/A"," ",IF(OR('Pricing Inputs'!$AQ$3=3,'Pricing Inputs'!$AQ$3=6,'Pricing Inputs'!$AQ$3=9),(VLOOKUP(A141,ScaledPrice,IF(AND('Pricing Inputs'!$AQ$3&gt;=3,'Pricing Inputs'!$AQ$3&lt;=6),7,8))),0))</f>
        <v> </v>
      </c>
      <c r="N141" s="279" t="str">
        <f aca="false">IF(A141="N/A"," ",IF(OR('Pricing Inputs'!$AQ$3=3,'Pricing Inputs'!$AQ$3=6,'Pricing Inputs'!$AQ$3=9),IF(AND('Pricing Inputs'!$AQ$3&gt;=3,'Pricing Inputs'!$AQ$3&lt;=6),M141,(VLOOKUP(A141,ScaledPrice,7))*(2-(VLOOKUP(A141,ScaledPrice,3)))),0))</f>
        <v> </v>
      </c>
      <c r="O141" s="279" t="str">
        <f aca="false">IF(A141="N/A"," ",IF(AND('Pricing Inputs'!$AQ$3&gt;=1,'Pricing Inputs'!$AQ$3&lt;=3),VLOOKUP(A141,ScaledPrice,9),0))</f>
        <v> </v>
      </c>
      <c r="P141" s="280" t="str">
        <f aca="false">IF($A141="N/A"," ",IF('Pricing Inputs'!$AN$8=2,(I141-H141),IF('Pricing Inputs'!$AN$3=2,IF((I141-$H141)&gt;0,I141-$H141,0),(xSPRDOPT(I141,$E141,$BU141,0,$BP141,$BS141,$BT141,($A141-Inputs!$D$1)+15,1,0)))))</f>
        <v> </v>
      </c>
      <c r="Q141" s="280" t="str">
        <f aca="false">IF($A141="N/A"," ",IF('Pricing Inputs'!$AN$8=2,(J141-$H141),IF('Pricing Inputs'!$AN$3=2,IF((J141-$H141)&gt;0,J141-$H141,0),(xSPRDOPT(J141,$E141,$BU141,0,$BP141,$BS141,$BT141,($A141-Inputs!$D$1)+15,1,0)))))</f>
        <v> </v>
      </c>
      <c r="R141" s="280" t="str">
        <f aca="false">IF($A141="N/A"," ",IF('Pricing Inputs'!$AN$8=2,(K141-$H141),IF('Pricing Inputs'!$AN$3=2,IF((K141-$H141)&gt;0,K141-$H141,0),(xSPRDOPT(K141,$E141,$BU141,0,$BP141,$BS141,$BT141,($A141-Inputs!$D$1)+15,1,0)))))</f>
        <v> </v>
      </c>
      <c r="S141" s="280" t="str">
        <f aca="false">IF($A141="N/A"," ",IF('Pricing Inputs'!$AN$8=2,(L141-$H141),IF('Pricing Inputs'!$AN$3=2,IF((L141-$H141)&gt;0,L141-$H141,0),(xSPRDOPT(L141,$E141,$BU141,0,$BP141,$BS141,$BT141,($A141-Inputs!$D$1)+15,1,0)))))</f>
        <v> </v>
      </c>
      <c r="T141" s="280" t="str">
        <f aca="false">IF($A141="N/A"," ",IF('Pricing Inputs'!$AN$8=2,(M141-$H141),IF('Pricing Inputs'!$AN$3=2,IF((M141-$H141)&gt;0,M141-$H141,0),(xSPRDOPT(M141,$E141,$BU141,0,$BP141,$BS141,$BT141,($A141-Inputs!$D$1)+15,1,0)))))</f>
        <v> </v>
      </c>
      <c r="U141" s="280" t="str">
        <f aca="false">IF($A141="N/A"," ",IF('Pricing Inputs'!$AN$8=2,(N141-$H141),IF('Pricing Inputs'!$AN$3=2,IF((N141-$H141)&gt;0,N141-$H141,0),(xSPRDOPT(N141,$E141,$BU141,0,$BP141,$BS141,$BT141,($A141-Inputs!$D$1)+15,1,0)))))</f>
        <v> </v>
      </c>
      <c r="V141" s="281" t="str">
        <f aca="false">IF($A141="N/A"," ",(IF('Pricing Inputs'!$AN$8=2,(O141-$H141),IF((O141-$H141)&lt;=0,0,(O141-$H141)))))</f>
        <v> </v>
      </c>
      <c r="W141" s="282" t="str">
        <f aca="false">IF($A141="N/A"," ",IF(0&lt;&gt;P141,IF('Pricing Inputs'!$AN$3=2,8*VLOOKUP($A141,NumberofDaysTable,2),(xSPRDOPT(I141,$E141,$BU141,0,$BP141,$BS141,$BT141,$A141-Inputs!$D$1,1,1))*(8*VLOOKUP($A141,NumberofDaysTable,2))),0))</f>
        <v> </v>
      </c>
      <c r="X141" s="282" t="str">
        <f aca="false">IF($A141="N/A"," ",IF(Q141&lt;&gt;0,IF('Pricing Inputs'!$AN$3=2,8*VLOOKUP($A141,NumberofDaysTable,2),(xSPRDOPT(J141,$E141,$BU141,0,$BP141,$BS141,$BT141,$A141-Inputs!$D$1,1,1))*(8*VLOOKUP($A141,NumberofDaysTable,2))),0))</f>
        <v> </v>
      </c>
      <c r="Y141" s="282" t="str">
        <f aca="false">IF($A141="N/A"," ",IF(R141&lt;&gt;0,IF('Pricing Inputs'!$AN$3=2,8*VLOOKUP($A141,NumberofDaysTable,3),(xSPRDOPT(K141,$E141,$BU141,0,$BP141,$BS141,$BT141,$A141-Inputs!$D$1,1,1))*(8*VLOOKUP($A141,NumberofDaysTable,3))),0))</f>
        <v> </v>
      </c>
      <c r="Z141" s="282" t="str">
        <f aca="false">IF($A141="N/A"," ",IF(S141&lt;&gt;0,IF('Pricing Inputs'!$AN$3=2,8*VLOOKUP($A141,NumberofDaysTable,3),(xSPRDOPT(L141,$E141,$BU141,0,$BP141,$BS141,$BT141,$A141-Inputs!$D$1,1,1))*(8*VLOOKUP($A141,NumberofDaysTable,3))),0))</f>
        <v> </v>
      </c>
      <c r="AA141" s="282" t="str">
        <f aca="false">IF($A141="N/A"," ",IF(T141&lt;&gt;0,IF('Pricing Inputs'!$AN$3=2,8*VLOOKUP($A141,NumberofDaysTable,4),(xSPRDOPT(M141,$E141,$BU141,0,$BP141,$BS141,$BT141,$A141-Inputs!$D$1,1,1))*(8*VLOOKUP($A141,NumberofDaysTable,4))),0))</f>
        <v> </v>
      </c>
      <c r="AB141" s="282" t="str">
        <f aca="false">IF($A141="N/A"," ",IF(U141&lt;&gt;0,IF('Pricing Inputs'!$AN$3=2,8*VLOOKUP($A141,NumberofDaysTable,4),(xSPRDOPT(N141,$E141,$BU141,0,$BP141,$BS141,$BT141,$A141-Inputs!$D$1,1,1))*(8*VLOOKUP($A141,NumberofDaysTable,4))),0))</f>
        <v> </v>
      </c>
      <c r="AC141" s="282" t="str">
        <f aca="false">IF($A141="N/A"," ",(IF(V141&lt;&gt;0,(8*VLOOKUP($A141,NumberofDaysTable,6)),0)))</f>
        <v> </v>
      </c>
      <c r="AD141" s="298" t="str">
        <f aca="false">IF($A141="N/A"," ",RANK(P141,$P$136:$V$147))</f>
        <v> </v>
      </c>
      <c r="AE141" s="299" t="str">
        <f aca="false">IF($A141="N/A"," ",RANK(Q141,$P$136:$V$147))</f>
        <v> </v>
      </c>
      <c r="AF141" s="299" t="str">
        <f aca="false">IF($A141="N/A"," ",RANK(R141,$P$136:$V$147))</f>
        <v> </v>
      </c>
      <c r="AG141" s="299" t="str">
        <f aca="false">IF($A141="N/A"," ",RANK(S141,$P$136:$V$147))</f>
        <v> </v>
      </c>
      <c r="AH141" s="299" t="str">
        <f aca="false">IF($A141="N/A"," ",RANK(T141,$P$136:$V$147))</f>
        <v> </v>
      </c>
      <c r="AI141" s="299" t="str">
        <f aca="false">IF($A141="N/A"," ",RANK(U141,$P$136:$V$147))</f>
        <v> </v>
      </c>
      <c r="AJ141" s="300" t="str">
        <f aca="false">IF($A141="N/A"," ",RANK(V141,$P$136:$V$147))</f>
        <v> </v>
      </c>
      <c r="AK141" s="286" t="str">
        <f aca="false">IF($A141="N/A"," ",IF(AD141&lt;=$AJ$2,W141,0))</f>
        <v> </v>
      </c>
      <c r="AL141" s="301" t="str">
        <f aca="false">IF($A141="N/A"," ",IF(AE141&lt;=$AJ$2,X141,0))</f>
        <v> </v>
      </c>
      <c r="AM141" s="301" t="str">
        <f aca="false">IF($A141="N/A"," ",IF(AF141&lt;=$AJ$2,Y141,0))</f>
        <v> </v>
      </c>
      <c r="AN141" s="301" t="str">
        <f aca="false">IF($A141="N/A"," ",IF(AG141&lt;=$AJ$2,Z141,0))</f>
        <v> </v>
      </c>
      <c r="AO141" s="301" t="str">
        <f aca="false">IF($A141="N/A"," ",IF(AH141&lt;=$AJ$2,AA141,0))</f>
        <v> </v>
      </c>
      <c r="AP141" s="301" t="str">
        <f aca="false">IF($A141="N/A"," ",IF(AI141&lt;=$AJ$2,AB141,0))</f>
        <v> </v>
      </c>
      <c r="AQ141" s="301" t="str">
        <f aca="false">IF($A141="N/A"," ",IF(AJ141&lt;=$AJ$2,AC141,0))</f>
        <v> </v>
      </c>
      <c r="AR141" s="300"/>
      <c r="AS141" s="288" t="str">
        <f aca="false">IF($A141="N/A"," ",IF(AND(AD141=$AJ$2+1,AK141=0),MIN($AR$147,W141),0))</f>
        <v> </v>
      </c>
      <c r="AT141" s="302" t="str">
        <f aca="false">IF($A141="N/A"," ",IF(AND(AE141=$AJ$2+1,AL141=0),MIN($AR$147,X141),0))</f>
        <v> </v>
      </c>
      <c r="AU141" s="302" t="str">
        <f aca="false">IF($A141="N/A"," ",IF(AND(AF141=$AJ$2+1,AM141=0),MIN($AR$147,Y141),0))</f>
        <v> </v>
      </c>
      <c r="AV141" s="302" t="str">
        <f aca="false">IF($A141="N/A"," ",IF(AND(AG141=$AJ$2+1,AN141=0),MIN($AR$147,Z141),0))</f>
        <v> </v>
      </c>
      <c r="AW141" s="302" t="str">
        <f aca="false">IF($A141="N/A"," ",IF(AND(AH141=$AJ$2+1,AO141=0),MIN($AR$147,AA141),0))</f>
        <v> </v>
      </c>
      <c r="AX141" s="302" t="str">
        <f aca="false">IF($A141="N/A"," ",IF(AND(AI141=$AJ$2+1,AP141=0),MIN($AR$147,AB141),0))</f>
        <v> </v>
      </c>
      <c r="AY141" s="302" t="str">
        <f aca="false">IF($A141="N/A"," ",IF(AND(AJ141=$AJ$2+1,AQ141=0),MIN($AR$147,AC141),0))</f>
        <v> </v>
      </c>
      <c r="AZ141" s="300"/>
      <c r="BA141" s="291" t="str">
        <f aca="false">IF($A141="N/A"," ",(IF(MONTH(A141)&gt;=4,IF(MONTH(A141)&lt;=10,Inputs!$F$13,Inputs!$F$14),Inputs!$F$14))*$BW141)</f>
        <v> </v>
      </c>
      <c r="BB141" s="292" t="str">
        <f aca="false">IF($A141="N/A"," ",(IF(AK141&gt;0,($BA141*(8*(VLOOKUP($A141,NumberofDaysTable,2)))*P141),0)+IF(AS141&gt;0,($BA141*((AS141))*P141),0)))</f>
        <v> </v>
      </c>
      <c r="BC141" s="292" t="str">
        <f aca="false">IF($A141="N/A"," ",(IF(AL141&gt;0,($BA141*(8*(VLOOKUP($A141,NumberofDaysTable,2)))*Q141),0)+IF(AT141&gt;0,($BA141*((AT141))*Q141),0)))</f>
        <v> </v>
      </c>
      <c r="BD141" s="292" t="str">
        <f aca="false">IF($A141="N/A"," ",(IF(AM141&gt;0,($BA141*(8*(VLOOKUP($A141,NumberofDaysTable,3)))*R141),0)+IF(AU141&gt;0,($BA141*((AU141))*R141),0)))</f>
        <v> </v>
      </c>
      <c r="BE141" s="292" t="str">
        <f aca="false">IF($A141="N/A"," ",(IF(AN141&gt;0,($BA141*(8*(VLOOKUP($A141,NumberofDaysTable,3)))*S141),0)+IF(AV141&gt;0,($BA141*((AV141))*S141),0)))</f>
        <v> </v>
      </c>
      <c r="BF141" s="292" t="str">
        <f aca="false">IF($A141="N/A"," ",(IF(AO141&gt;0,($BA141*(8*(VLOOKUP($A141,NumberofDaysTable,4)+VLOOKUP($A141,NumberofDaysTable,5)))*T141),0)+IF(AW141&gt;0,($BA141*((AW141))*T141),0)))</f>
        <v> </v>
      </c>
      <c r="BG141" s="292" t="str">
        <f aca="false">IF($A141="N/A"," ",(IF(AP141&gt;0,($BA141*(8*(VLOOKUP($A141,NumberofDaysTable,4)+VLOOKUP($A141,NumberofDaysTable,5)))*U141),0)+IF(AX141&gt;0,($BA141*((AX141))*U141),0)))</f>
        <v> </v>
      </c>
      <c r="BH141" s="292" t="str">
        <f aca="false">IF($A141="N/A"," ",($BA141*AQ141*V141))</f>
        <v> </v>
      </c>
      <c r="BI141" s="292" t="str">
        <f aca="false">IF($A141="N/A"," ",SUM(BB141:BH141))</f>
        <v> </v>
      </c>
      <c r="BJ141" s="293" t="str">
        <f aca="false">IF($A141="N/A"," ",(H141*(SUM(AK141:AQ141)+SUM(AS141:AY141))*BA141))</f>
        <v> </v>
      </c>
      <c r="BK141" s="293" t="str">
        <f aca="false">IF($A141="N/A"," ",((C141*D141)*(SUM($AK141:$AQ141)+SUM($AS141:$AY141))*$BA141))</f>
        <v> </v>
      </c>
      <c r="BL141" s="293" t="str">
        <f aca="false">IF($A141="N/A"," ",(F141*(SUM($AK141:$AQ141)+SUM($AS141:$AY141))*$BA141))</f>
        <v> </v>
      </c>
      <c r="BM141" s="293" t="str">
        <f aca="false">IF($A141="N/A"," ",(G141*(SUM($AK141:$AQ141)+SUM($AS141:$AY141))*$BA141))</f>
        <v> </v>
      </c>
      <c r="BN141" s="294" t="str">
        <f aca="false">IF(A141="N/A"," ",(VLOOKUP(A141,PowerVolTable,(IF('Pricing Inputs'!$AT$3=2,7,IF('Pricing Inputs'!$AT$3=1,6,8))),FALSE())))</f>
        <v> </v>
      </c>
      <c r="BO141" s="294" t="str">
        <f aca="false">IF(A141="N/A"," ",(VLOOKUP(A141,IntraPowerVol,(IF('Pricing Inputs'!$AT$3=2,3,IF('Pricing Inputs'!$AT$3=1,2,4))),FALSE())*VLOOKUP(MONTH($A141),Inputs!$A$28:$B$39,2)))</f>
        <v> </v>
      </c>
      <c r="BP141" s="295" t="str">
        <f aca="false">IF($A141="N/A"," ",(IF(DateToday&gt;$A141,$BO141,((($BN141^2)*((($A141-1)-DateToday)/((EOMONTH($A141,0)+1)-DateToday-15)))+((($BO141)^2)*((15)/((EOMONTH($A141,0)+1)-DateToday-15))))^0.5)))</f>
        <v> </v>
      </c>
      <c r="BQ141" s="294" t="str">
        <f aca="false">IF($A141="N/A"," ",(VLOOKUP($A141,GasVolTable,(IF('Pricing Inputs'!$AT$3=2,6,IF('Pricing Inputs'!$AT$3=1,7,5))),FALSE())))</f>
        <v> </v>
      </c>
      <c r="BR141" s="294" t="str">
        <f aca="false">IF($A141="N/A"," ",(VLOOKUP($A141,OmicronVol,(IF('Pricing Inputs'!$AT$3=2,3,IF('Pricing Inputs'!$AT$3=1,4,2))),FALSE())))</f>
        <v> </v>
      </c>
      <c r="BS141" s="295" t="str">
        <f aca="false">IF($A141="N/A"," ",IF('Pricing Inputs'!$AN$3=1,(IF(DateToday&gt;$A141,$BR141,((($BQ141^2)*((($A141-1)-DateToday)/((EOMONTH($A141,0)+1)-DateToday-15)))+((($BR141)^2)*((15)/((EOMONTH($A141,0)+1)-DateToday-15))))^0.5)),0.0001))</f>
        <v> </v>
      </c>
      <c r="BT141" s="294" t="str">
        <f aca="false">IF($A141="N/A"," ",IF('Pricing Inputs'!$AN$3=1,(VLOOKUP($A141,CorrelationTable,2,FALSE())),0))</f>
        <v> </v>
      </c>
      <c r="BU141" s="296" t="str">
        <f aca="false">IF($A141="N/A"," ",F141+G141+(D141*(VLOOKUP($A141,'Gas Curves'!$B$17:$P$310,14,FALSE()))))</f>
        <v> </v>
      </c>
      <c r="BV141" s="294" t="str">
        <f aca="false">IF($A141="N/A"," ",IF('Pricing Inputs'!$AW$3=1,0,(VLOOKUP($A141,InterestRatesTable,2))))</f>
        <v> </v>
      </c>
      <c r="BW141" s="297" t="str">
        <f aca="false">IF($A141="N/A"," ",(1+BV141/2)^(-2*((EOMONTH(A141,0)+20)-DateToday)/365.25))</f>
        <v> </v>
      </c>
    </row>
    <row r="142" customFormat="false" ht="12.75" hidden="false" customHeight="false" outlineLevel="0" collapsed="false">
      <c r="A142" s="272" t="str">
        <f aca="false">IF(A141="N/A","N/A",IF(EDATE(A141,1)&gt;Inputs!$K$3,"N/A",EDATE(A141,1)))</f>
        <v>N/A</v>
      </c>
      <c r="B142" s="273" t="str">
        <f aca="false">IF(A142="N/A"," ",YEAR(A142))</f>
        <v> </v>
      </c>
      <c r="C142" s="274" t="str">
        <f aca="false">IF(A142="N/A"," ",VLOOKUP(A142,ScaledPrice,10))</f>
        <v> </v>
      </c>
      <c r="D142" s="275" t="str">
        <f aca="false">IF(A142="N/A"," ",(VLOOKUP(MONTH($A142),Inputs!$A$14:$B$25,2))/1000)</f>
        <v> </v>
      </c>
      <c r="E142" s="276" t="str">
        <f aca="false">IF($A142="N/A"," ",C142*D142)</f>
        <v> </v>
      </c>
      <c r="F142" s="277" t="str">
        <f aca="false">IF(A142="N/A"," ",Inputs!$F$6)</f>
        <v> </v>
      </c>
      <c r="G142" s="277" t="str">
        <f aca="false">IF(A142="N/A"," ",Inputs!$F$9/IF(AND('Pricing Inputs'!$AQ$3&gt;=4,'Pricing Inputs'!$AQ$3&lt;=6),16,IF(AND('Pricing Inputs'!$AQ$3&gt;=7,'Pricing Inputs'!$AQ$3&lt;=9),8,24))/(BA142/BW142))</f>
        <v> </v>
      </c>
      <c r="H142" s="278" t="str">
        <f aca="false">IF(A142="N/A"," ",(C142*D142)+F142+G142)</f>
        <v> </v>
      </c>
      <c r="I142" s="279" t="str">
        <f aca="false">VLOOKUP(A142,ScaledPrice,(IF(AND('Pricing Inputs'!$AQ$3&gt;=1,'Pricing Inputs'!$AQ$3&lt;=6),2,4)))</f>
        <v> </v>
      </c>
      <c r="J142" s="279" t="str">
        <f aca="false">IF(A142="N/A"," ",IF(AND('Pricing Inputs'!$AQ$3&gt;=1,'Pricing Inputs'!$AQ$3&lt;=6),I142,(VLOOKUP(A142,ScaledPrice,2))*(2-(VLOOKUP(A142,ScaledPrice,3)))))</f>
        <v> </v>
      </c>
      <c r="K142" s="279" t="str">
        <f aca="false">IF(A142="N/A"," ",IF(OR('Pricing Inputs'!$AQ$3=2,'Pricing Inputs'!$AQ$3=3,'Pricing Inputs'!$AQ$3=5,'Pricing Inputs'!$AQ$3=6,'Pricing Inputs'!$AQ$3=8,'Pricing Inputs'!$AQ$3=9),VLOOKUP(A142,ScaledPrice,IF(AND('Pricing Inputs'!$AQ$3&gt;=2,'Pricing Inputs'!$AQ$3&lt;=6),5,6)),0))</f>
        <v> </v>
      </c>
      <c r="L142" s="279" t="str">
        <f aca="false">IF(A142="N/A"," ",IF(OR('Pricing Inputs'!$AQ$3=2,'Pricing Inputs'!$AQ$3=3,'Pricing Inputs'!$AQ$3=5,'Pricing Inputs'!$AQ$3=6,'Pricing Inputs'!$AQ$3=8,'Pricing Inputs'!$AQ$3=9),IF(AND('Pricing Inputs'!$AQ$3&gt;=2,'Pricing Inputs'!$AQ$3&lt;=6),K142,(VLOOKUP(A142,ScaledPrice,5))*(2-(VLOOKUP(A142,ScaledPrice,3)))),0))</f>
        <v> </v>
      </c>
      <c r="M142" s="279" t="str">
        <f aca="false">IF(A142="N/A"," ",IF(OR('Pricing Inputs'!$AQ$3=3,'Pricing Inputs'!$AQ$3=6,'Pricing Inputs'!$AQ$3=9),(VLOOKUP(A142,ScaledPrice,IF(AND('Pricing Inputs'!$AQ$3&gt;=3,'Pricing Inputs'!$AQ$3&lt;=6),7,8))),0))</f>
        <v> </v>
      </c>
      <c r="N142" s="279" t="str">
        <f aca="false">IF(A142="N/A"," ",IF(OR('Pricing Inputs'!$AQ$3=3,'Pricing Inputs'!$AQ$3=6,'Pricing Inputs'!$AQ$3=9),IF(AND('Pricing Inputs'!$AQ$3&gt;=3,'Pricing Inputs'!$AQ$3&lt;=6),M142,(VLOOKUP(A142,ScaledPrice,7))*(2-(VLOOKUP(A142,ScaledPrice,3)))),0))</f>
        <v> </v>
      </c>
      <c r="O142" s="279" t="str">
        <f aca="false">IF(A142="N/A"," ",IF(AND('Pricing Inputs'!$AQ$3&gt;=1,'Pricing Inputs'!$AQ$3&lt;=3),VLOOKUP(A142,ScaledPrice,9),0))</f>
        <v> </v>
      </c>
      <c r="P142" s="280" t="str">
        <f aca="false">IF($A142="N/A"," ",IF('Pricing Inputs'!$AN$8=2,(I142-H142),IF('Pricing Inputs'!$AN$3=2,IF((I142-$H142)&gt;0,I142-$H142,0),(xSPRDOPT(I142,$E142,$BU142,0,$BP142,$BS142,$BT142,($A142-Inputs!$D$1)+15,1,0)))))</f>
        <v> </v>
      </c>
      <c r="Q142" s="280" t="str">
        <f aca="false">IF($A142="N/A"," ",IF('Pricing Inputs'!$AN$8=2,(J142-$H142),IF('Pricing Inputs'!$AN$3=2,IF((J142-$H142)&gt;0,J142-$H142,0),(xSPRDOPT(J142,$E142,$BU142,0,$BP142,$BS142,$BT142,($A142-Inputs!$D$1)+15,1,0)))))</f>
        <v> </v>
      </c>
      <c r="R142" s="280" t="str">
        <f aca="false">IF($A142="N/A"," ",IF('Pricing Inputs'!$AN$8=2,(K142-$H142),IF('Pricing Inputs'!$AN$3=2,IF((K142-$H142)&gt;0,K142-$H142,0),(xSPRDOPT(K142,$E142,$BU142,0,$BP142,$BS142,$BT142,($A142-Inputs!$D$1)+15,1,0)))))</f>
        <v> </v>
      </c>
      <c r="S142" s="280" t="str">
        <f aca="false">IF($A142="N/A"," ",IF('Pricing Inputs'!$AN$8=2,(L142-$H142),IF('Pricing Inputs'!$AN$3=2,IF((L142-$H142)&gt;0,L142-$H142,0),(xSPRDOPT(L142,$E142,$BU142,0,$BP142,$BS142,$BT142,($A142-Inputs!$D$1)+15,1,0)))))</f>
        <v> </v>
      </c>
      <c r="T142" s="280" t="str">
        <f aca="false">IF($A142="N/A"," ",IF('Pricing Inputs'!$AN$8=2,(M142-$H142),IF('Pricing Inputs'!$AN$3=2,IF((M142-$H142)&gt;0,M142-$H142,0),(xSPRDOPT(M142,$E142,$BU142,0,$BP142,$BS142,$BT142,($A142-Inputs!$D$1)+15,1,0)))))</f>
        <v> </v>
      </c>
      <c r="U142" s="280" t="str">
        <f aca="false">IF($A142="N/A"," ",IF('Pricing Inputs'!$AN$8=2,(N142-$H142),IF('Pricing Inputs'!$AN$3=2,IF((N142-$H142)&gt;0,N142-$H142,0),(xSPRDOPT(N142,$E142,$BU142,0,$BP142,$BS142,$BT142,($A142-Inputs!$D$1)+15,1,0)))))</f>
        <v> </v>
      </c>
      <c r="V142" s="281" t="str">
        <f aca="false">IF($A142="N/A"," ",(IF('Pricing Inputs'!$AN$8=2,(O142-$H142),IF((O142-$H142)&lt;=0,0,(O142-$H142)))))</f>
        <v> </v>
      </c>
      <c r="W142" s="282" t="str">
        <f aca="false">IF($A142="N/A"," ",IF(0&lt;&gt;P142,IF('Pricing Inputs'!$AN$3=2,8*VLOOKUP($A142,NumberofDaysTable,2),(xSPRDOPT(I142,$E142,$BU142,0,$BP142,$BS142,$BT142,$A142-Inputs!$D$1,1,1))*(8*VLOOKUP($A142,NumberofDaysTable,2))),0))</f>
        <v> </v>
      </c>
      <c r="X142" s="282" t="str">
        <f aca="false">IF($A142="N/A"," ",IF(Q142&lt;&gt;0,IF('Pricing Inputs'!$AN$3=2,8*VLOOKUP($A142,NumberofDaysTable,2),(xSPRDOPT(J142,$E142,$BU142,0,$BP142,$BS142,$BT142,$A142-Inputs!$D$1,1,1))*(8*VLOOKUP($A142,NumberofDaysTable,2))),0))</f>
        <v> </v>
      </c>
      <c r="Y142" s="282" t="str">
        <f aca="false">IF($A142="N/A"," ",IF(R142&lt;&gt;0,IF('Pricing Inputs'!$AN$3=2,8*VLOOKUP($A142,NumberofDaysTable,3),(xSPRDOPT(K142,$E142,$BU142,0,$BP142,$BS142,$BT142,$A142-Inputs!$D$1,1,1))*(8*VLOOKUP($A142,NumberofDaysTable,3))),0))</f>
        <v> </v>
      </c>
      <c r="Z142" s="282" t="str">
        <f aca="false">IF($A142="N/A"," ",IF(S142&lt;&gt;0,IF('Pricing Inputs'!$AN$3=2,8*VLOOKUP($A142,NumberofDaysTable,3),(xSPRDOPT(L142,$E142,$BU142,0,$BP142,$BS142,$BT142,$A142-Inputs!$D$1,1,1))*(8*VLOOKUP($A142,NumberofDaysTable,3))),0))</f>
        <v> </v>
      </c>
      <c r="AA142" s="282" t="str">
        <f aca="false">IF($A142="N/A"," ",IF(T142&lt;&gt;0,IF('Pricing Inputs'!$AN$3=2,8*VLOOKUP($A142,NumberofDaysTable,4),(xSPRDOPT(M142,$E142,$BU142,0,$BP142,$BS142,$BT142,$A142-Inputs!$D$1,1,1))*(8*VLOOKUP($A142,NumberofDaysTable,4))),0))</f>
        <v> </v>
      </c>
      <c r="AB142" s="282" t="str">
        <f aca="false">IF($A142="N/A"," ",IF(U142&lt;&gt;0,IF('Pricing Inputs'!$AN$3=2,8*VLOOKUP($A142,NumberofDaysTable,4),(xSPRDOPT(N142,$E142,$BU142,0,$BP142,$BS142,$BT142,$A142-Inputs!$D$1,1,1))*(8*VLOOKUP($A142,NumberofDaysTable,4))),0))</f>
        <v> </v>
      </c>
      <c r="AC142" s="282" t="str">
        <f aca="false">IF($A142="N/A"," ",(IF(V142&lt;&gt;0,(8*VLOOKUP($A142,NumberofDaysTable,6)),0)))</f>
        <v> </v>
      </c>
      <c r="AD142" s="298" t="str">
        <f aca="false">IF($A142="N/A"," ",RANK(P142,$P$136:$V$147))</f>
        <v> </v>
      </c>
      <c r="AE142" s="299" t="str">
        <f aca="false">IF($A142="N/A"," ",RANK(Q142,$P$136:$V$147))</f>
        <v> </v>
      </c>
      <c r="AF142" s="299" t="str">
        <f aca="false">IF($A142="N/A"," ",RANK(R142,$P$136:$V$147))</f>
        <v> </v>
      </c>
      <c r="AG142" s="299" t="str">
        <f aca="false">IF($A142="N/A"," ",RANK(S142,$P$136:$V$147))</f>
        <v> </v>
      </c>
      <c r="AH142" s="299" t="str">
        <f aca="false">IF($A142="N/A"," ",RANK(T142,$P$136:$V$147))</f>
        <v> </v>
      </c>
      <c r="AI142" s="299" t="str">
        <f aca="false">IF($A142="N/A"," ",RANK(U142,$P$136:$V$147))</f>
        <v> </v>
      </c>
      <c r="AJ142" s="300" t="str">
        <f aca="false">IF($A142="N/A"," ",RANK(V142,$P$136:$V$147))</f>
        <v> </v>
      </c>
      <c r="AK142" s="286" t="str">
        <f aca="false">IF($A142="N/A"," ",IF(AD142&lt;=$AJ$2,W142,0))</f>
        <v> </v>
      </c>
      <c r="AL142" s="301" t="str">
        <f aca="false">IF($A142="N/A"," ",IF(AE142&lt;=$AJ$2,X142,0))</f>
        <v> </v>
      </c>
      <c r="AM142" s="301" t="str">
        <f aca="false">IF($A142="N/A"," ",IF(AF142&lt;=$AJ$2,Y142,0))</f>
        <v> </v>
      </c>
      <c r="AN142" s="301" t="str">
        <f aca="false">IF($A142="N/A"," ",IF(AG142&lt;=$AJ$2,Z142,0))</f>
        <v> </v>
      </c>
      <c r="AO142" s="301" t="str">
        <f aca="false">IF($A142="N/A"," ",IF(AH142&lt;=$AJ$2,AA142,0))</f>
        <v> </v>
      </c>
      <c r="AP142" s="301" t="str">
        <f aca="false">IF($A142="N/A"," ",IF(AI142&lt;=$AJ$2,AB142,0))</f>
        <v> </v>
      </c>
      <c r="AQ142" s="301" t="str">
        <f aca="false">IF($A142="N/A"," ",IF(AJ142&lt;=$AJ$2,AC142,0))</f>
        <v> </v>
      </c>
      <c r="AR142" s="300"/>
      <c r="AS142" s="288" t="str">
        <f aca="false">IF($A142="N/A"," ",IF(AND(AD142=$AJ$2+1,AK142=0),MIN($AR$147,W142),0))</f>
        <v> </v>
      </c>
      <c r="AT142" s="302" t="str">
        <f aca="false">IF($A142="N/A"," ",IF(AND(AE142=$AJ$2+1,AL142=0),MIN($AR$147,X142),0))</f>
        <v> </v>
      </c>
      <c r="AU142" s="302" t="str">
        <f aca="false">IF($A142="N/A"," ",IF(AND(AF142=$AJ$2+1,AM142=0),MIN($AR$147,Y142),0))</f>
        <v> </v>
      </c>
      <c r="AV142" s="302" t="str">
        <f aca="false">IF($A142="N/A"," ",IF(AND(AG142=$AJ$2+1,AN142=0),MIN($AR$147,Z142),0))</f>
        <v> </v>
      </c>
      <c r="AW142" s="302" t="str">
        <f aca="false">IF($A142="N/A"," ",IF(AND(AH142=$AJ$2+1,AO142=0),MIN($AR$147,AA142),0))</f>
        <v> </v>
      </c>
      <c r="AX142" s="302" t="str">
        <f aca="false">IF($A142="N/A"," ",IF(AND(AI142=$AJ$2+1,AP142=0),MIN($AR$147,AB142),0))</f>
        <v> </v>
      </c>
      <c r="AY142" s="302" t="str">
        <f aca="false">IF($A142="N/A"," ",IF(AND(AJ142=$AJ$2+1,AQ142=0),MIN($AR$147,AC142),0))</f>
        <v> </v>
      </c>
      <c r="AZ142" s="300"/>
      <c r="BA142" s="291" t="str">
        <f aca="false">IF($A142="N/A"," ",(IF(MONTH(A142)&gt;=4,IF(MONTH(A142)&lt;=10,Inputs!$F$13,Inputs!$F$14),Inputs!$F$14))*$BW142)</f>
        <v> </v>
      </c>
      <c r="BB142" s="292" t="str">
        <f aca="false">IF($A142="N/A"," ",(IF(AK142&gt;0,($BA142*(8*(VLOOKUP($A142,NumberofDaysTable,2)))*P142),0)+IF(AS142&gt;0,($BA142*((AS142))*P142),0)))</f>
        <v> </v>
      </c>
      <c r="BC142" s="292" t="str">
        <f aca="false">IF($A142="N/A"," ",(IF(AL142&gt;0,($BA142*(8*(VLOOKUP($A142,NumberofDaysTable,2)))*Q142),0)+IF(AT142&gt;0,($BA142*((AT142))*Q142),0)))</f>
        <v> </v>
      </c>
      <c r="BD142" s="292" t="str">
        <f aca="false">IF($A142="N/A"," ",(IF(AM142&gt;0,($BA142*(8*(VLOOKUP($A142,NumberofDaysTable,3)))*R142),0)+IF(AU142&gt;0,($BA142*((AU142))*R142),0)))</f>
        <v> </v>
      </c>
      <c r="BE142" s="292" t="str">
        <f aca="false">IF($A142="N/A"," ",(IF(AN142&gt;0,($BA142*(8*(VLOOKUP($A142,NumberofDaysTable,3)))*S142),0)+IF(AV142&gt;0,($BA142*((AV142))*S142),0)))</f>
        <v> </v>
      </c>
      <c r="BF142" s="292" t="str">
        <f aca="false">IF($A142="N/A"," ",(IF(AO142&gt;0,($BA142*(8*(VLOOKUP($A142,NumberofDaysTable,4)+VLOOKUP($A142,NumberofDaysTable,5)))*T142),0)+IF(AW142&gt;0,($BA142*((AW142))*T142),0)))</f>
        <v> </v>
      </c>
      <c r="BG142" s="292" t="str">
        <f aca="false">IF($A142="N/A"," ",(IF(AP142&gt;0,($BA142*(8*(VLOOKUP($A142,NumberofDaysTable,4)+VLOOKUP($A142,NumberofDaysTable,5)))*U142),0)+IF(AX142&gt;0,($BA142*((AX142))*U142),0)))</f>
        <v> </v>
      </c>
      <c r="BH142" s="292" t="str">
        <f aca="false">IF($A142="N/A"," ",($BA142*AQ142*V142))</f>
        <v> </v>
      </c>
      <c r="BI142" s="292" t="str">
        <f aca="false">IF($A142="N/A"," ",SUM(BB142:BH142))</f>
        <v> </v>
      </c>
      <c r="BJ142" s="293" t="str">
        <f aca="false">IF($A142="N/A"," ",(H142*(SUM(AK142:AQ142)+SUM(AS142:AY142))*BA142))</f>
        <v> </v>
      </c>
      <c r="BK142" s="293" t="str">
        <f aca="false">IF($A142="N/A"," ",((C142*D142)*(SUM($AK142:$AQ142)+SUM($AS142:$AY142))*$BA142))</f>
        <v> </v>
      </c>
      <c r="BL142" s="293" t="str">
        <f aca="false">IF($A142="N/A"," ",(F142*(SUM($AK142:$AQ142)+SUM($AS142:$AY142))*$BA142))</f>
        <v> </v>
      </c>
      <c r="BM142" s="293" t="str">
        <f aca="false">IF($A142="N/A"," ",(G142*(SUM($AK142:$AQ142)+SUM($AS142:$AY142))*$BA142))</f>
        <v> </v>
      </c>
      <c r="BN142" s="294" t="str">
        <f aca="false">IF(A142="N/A"," ",(VLOOKUP(A142,PowerVolTable,(IF('Pricing Inputs'!$AT$3=2,7,IF('Pricing Inputs'!$AT$3=1,6,8))),FALSE())))</f>
        <v> </v>
      </c>
      <c r="BO142" s="294" t="str">
        <f aca="false">IF(A142="N/A"," ",(VLOOKUP(A142,IntraPowerVol,(IF('Pricing Inputs'!$AT$3=2,3,IF('Pricing Inputs'!$AT$3=1,2,4))),FALSE())*VLOOKUP(MONTH($A142),Inputs!$A$28:$B$39,2)))</f>
        <v> </v>
      </c>
      <c r="BP142" s="295" t="str">
        <f aca="false">IF($A142="N/A"," ",(IF(DateToday&gt;$A142,$BO142,((($BN142^2)*((($A142-1)-DateToday)/((EOMONTH($A142,0)+1)-DateToday-15)))+((($BO142)^2)*((15)/((EOMONTH($A142,0)+1)-DateToday-15))))^0.5)))</f>
        <v> </v>
      </c>
      <c r="BQ142" s="294" t="str">
        <f aca="false">IF($A142="N/A"," ",(VLOOKUP($A142,GasVolTable,(IF('Pricing Inputs'!$AT$3=2,6,IF('Pricing Inputs'!$AT$3=1,7,5))),FALSE())))</f>
        <v> </v>
      </c>
      <c r="BR142" s="294" t="str">
        <f aca="false">IF($A142="N/A"," ",(VLOOKUP($A142,OmicronVol,(IF('Pricing Inputs'!$AT$3=2,3,IF('Pricing Inputs'!$AT$3=1,4,2))),FALSE())))</f>
        <v> </v>
      </c>
      <c r="BS142" s="295" t="str">
        <f aca="false">IF($A142="N/A"," ",IF('Pricing Inputs'!$AN$3=1,(IF(DateToday&gt;$A142,$BR142,((($BQ142^2)*((($A142-1)-DateToday)/((EOMONTH($A142,0)+1)-DateToday-15)))+((($BR142)^2)*((15)/((EOMONTH($A142,0)+1)-DateToday-15))))^0.5)),0.0001))</f>
        <v> </v>
      </c>
      <c r="BT142" s="294" t="str">
        <f aca="false">IF($A142="N/A"," ",IF('Pricing Inputs'!$AN$3=1,(VLOOKUP($A142,CorrelationTable,2,FALSE())),0))</f>
        <v> </v>
      </c>
      <c r="BU142" s="296" t="str">
        <f aca="false">IF($A142="N/A"," ",F142+G142+(D142*(VLOOKUP($A142,'Gas Curves'!$B$17:$P$310,14,FALSE()))))</f>
        <v> </v>
      </c>
      <c r="BV142" s="294" t="str">
        <f aca="false">IF($A142="N/A"," ",IF('Pricing Inputs'!$AW$3=1,0,(VLOOKUP($A142,InterestRatesTable,2))))</f>
        <v> </v>
      </c>
      <c r="BW142" s="297" t="str">
        <f aca="false">IF($A142="N/A"," ",(1+BV142/2)^(-2*((EOMONTH(A142,0)+20)-DateToday)/365.25))</f>
        <v> </v>
      </c>
    </row>
    <row r="143" customFormat="false" ht="12.75" hidden="false" customHeight="false" outlineLevel="0" collapsed="false">
      <c r="A143" s="272" t="str">
        <f aca="false">IF(A142="N/A","N/A",IF(EDATE(A142,1)&gt;Inputs!$K$3,"N/A",EDATE(A142,1)))</f>
        <v>N/A</v>
      </c>
      <c r="B143" s="273" t="str">
        <f aca="false">IF(A143="N/A"," ",YEAR(A143))</f>
        <v> </v>
      </c>
      <c r="C143" s="274" t="str">
        <f aca="false">IF(A143="N/A"," ",VLOOKUP(A143,ScaledPrice,10))</f>
        <v> </v>
      </c>
      <c r="D143" s="275" t="str">
        <f aca="false">IF(A143="N/A"," ",(VLOOKUP(MONTH($A143),Inputs!$A$14:$B$25,2))/1000)</f>
        <v> </v>
      </c>
      <c r="E143" s="276" t="str">
        <f aca="false">IF($A143="N/A"," ",C143*D143)</f>
        <v> </v>
      </c>
      <c r="F143" s="277" t="str">
        <f aca="false">IF(A143="N/A"," ",Inputs!$F$6)</f>
        <v> </v>
      </c>
      <c r="G143" s="277" t="str">
        <f aca="false">IF(A143="N/A"," ",Inputs!$F$9/IF(AND('Pricing Inputs'!$AQ$3&gt;=4,'Pricing Inputs'!$AQ$3&lt;=6),16,IF(AND('Pricing Inputs'!$AQ$3&gt;=7,'Pricing Inputs'!$AQ$3&lt;=9),8,24))/(BA143/BW143))</f>
        <v> </v>
      </c>
      <c r="H143" s="278" t="str">
        <f aca="false">IF(A143="N/A"," ",(C143*D143)+F143+G143)</f>
        <v> </v>
      </c>
      <c r="I143" s="279" t="str">
        <f aca="false">VLOOKUP(A143,ScaledPrice,(IF(AND('Pricing Inputs'!$AQ$3&gt;=1,'Pricing Inputs'!$AQ$3&lt;=6),2,4)))</f>
        <v> </v>
      </c>
      <c r="J143" s="279" t="str">
        <f aca="false">IF(A143="N/A"," ",IF(AND('Pricing Inputs'!$AQ$3&gt;=1,'Pricing Inputs'!$AQ$3&lt;=6),I143,(VLOOKUP(A143,ScaledPrice,2))*(2-(VLOOKUP(A143,ScaledPrice,3)))))</f>
        <v> </v>
      </c>
      <c r="K143" s="279" t="str">
        <f aca="false">IF(A143="N/A"," ",IF(OR('Pricing Inputs'!$AQ$3=2,'Pricing Inputs'!$AQ$3=3,'Pricing Inputs'!$AQ$3=5,'Pricing Inputs'!$AQ$3=6,'Pricing Inputs'!$AQ$3=8,'Pricing Inputs'!$AQ$3=9),VLOOKUP(A143,ScaledPrice,IF(AND('Pricing Inputs'!$AQ$3&gt;=2,'Pricing Inputs'!$AQ$3&lt;=6),5,6)),0))</f>
        <v> </v>
      </c>
      <c r="L143" s="279" t="str">
        <f aca="false">IF(A143="N/A"," ",IF(OR('Pricing Inputs'!$AQ$3=2,'Pricing Inputs'!$AQ$3=3,'Pricing Inputs'!$AQ$3=5,'Pricing Inputs'!$AQ$3=6,'Pricing Inputs'!$AQ$3=8,'Pricing Inputs'!$AQ$3=9),IF(AND('Pricing Inputs'!$AQ$3&gt;=2,'Pricing Inputs'!$AQ$3&lt;=6),K143,(VLOOKUP(A143,ScaledPrice,5))*(2-(VLOOKUP(A143,ScaledPrice,3)))),0))</f>
        <v> </v>
      </c>
      <c r="M143" s="279" t="str">
        <f aca="false">IF(A143="N/A"," ",IF(OR('Pricing Inputs'!$AQ$3=3,'Pricing Inputs'!$AQ$3=6,'Pricing Inputs'!$AQ$3=9),(VLOOKUP(A143,ScaledPrice,IF(AND('Pricing Inputs'!$AQ$3&gt;=3,'Pricing Inputs'!$AQ$3&lt;=6),7,8))),0))</f>
        <v> </v>
      </c>
      <c r="N143" s="279" t="str">
        <f aca="false">IF(A143="N/A"," ",IF(OR('Pricing Inputs'!$AQ$3=3,'Pricing Inputs'!$AQ$3=6,'Pricing Inputs'!$AQ$3=9),IF(AND('Pricing Inputs'!$AQ$3&gt;=3,'Pricing Inputs'!$AQ$3&lt;=6),M143,(VLOOKUP(A143,ScaledPrice,7))*(2-(VLOOKUP(A143,ScaledPrice,3)))),0))</f>
        <v> </v>
      </c>
      <c r="O143" s="279" t="str">
        <f aca="false">IF(A143="N/A"," ",IF(AND('Pricing Inputs'!$AQ$3&gt;=1,'Pricing Inputs'!$AQ$3&lt;=3),VLOOKUP(A143,ScaledPrice,9),0))</f>
        <v> </v>
      </c>
      <c r="P143" s="280" t="str">
        <f aca="false">IF($A143="N/A"," ",IF('Pricing Inputs'!$AN$8=2,(I143-H143),IF('Pricing Inputs'!$AN$3=2,IF((I143-$H143)&gt;0,I143-$H143,0),(xSPRDOPT(I143,$E143,$BU143,0,$BP143,$BS143,$BT143,($A143-Inputs!$D$1)+15,1,0)))))</f>
        <v> </v>
      </c>
      <c r="Q143" s="280" t="str">
        <f aca="false">IF($A143="N/A"," ",IF('Pricing Inputs'!$AN$8=2,(J143-$H143),IF('Pricing Inputs'!$AN$3=2,IF((J143-$H143)&gt;0,J143-$H143,0),(xSPRDOPT(J143,$E143,$BU143,0,$BP143,$BS143,$BT143,($A143-Inputs!$D$1)+15,1,0)))))</f>
        <v> </v>
      </c>
      <c r="R143" s="280" t="str">
        <f aca="false">IF($A143="N/A"," ",IF('Pricing Inputs'!$AN$8=2,(K143-$H143),IF('Pricing Inputs'!$AN$3=2,IF((K143-$H143)&gt;0,K143-$H143,0),(xSPRDOPT(K143,$E143,$BU143,0,$BP143,$BS143,$BT143,($A143-Inputs!$D$1)+15,1,0)))))</f>
        <v> </v>
      </c>
      <c r="S143" s="280" t="str">
        <f aca="false">IF($A143="N/A"," ",IF('Pricing Inputs'!$AN$8=2,(L143-$H143),IF('Pricing Inputs'!$AN$3=2,IF((L143-$H143)&gt;0,L143-$H143,0),(xSPRDOPT(L143,$E143,$BU143,0,$BP143,$BS143,$BT143,($A143-Inputs!$D$1)+15,1,0)))))</f>
        <v> </v>
      </c>
      <c r="T143" s="280" t="str">
        <f aca="false">IF($A143="N/A"," ",IF('Pricing Inputs'!$AN$8=2,(M143-$H143),IF('Pricing Inputs'!$AN$3=2,IF((M143-$H143)&gt;0,M143-$H143,0),(xSPRDOPT(M143,$E143,$BU143,0,$BP143,$BS143,$BT143,($A143-Inputs!$D$1)+15,1,0)))))</f>
        <v> </v>
      </c>
      <c r="U143" s="280" t="str">
        <f aca="false">IF($A143="N/A"," ",IF('Pricing Inputs'!$AN$8=2,(N143-$H143),IF('Pricing Inputs'!$AN$3=2,IF((N143-$H143)&gt;0,N143-$H143,0),(xSPRDOPT(N143,$E143,$BU143,0,$BP143,$BS143,$BT143,($A143-Inputs!$D$1)+15,1,0)))))</f>
        <v> </v>
      </c>
      <c r="V143" s="281" t="str">
        <f aca="false">IF($A143="N/A"," ",(IF('Pricing Inputs'!$AN$8=2,(O143-$H143),IF((O143-$H143)&lt;=0,0,(O143-$H143)))))</f>
        <v> </v>
      </c>
      <c r="W143" s="282" t="str">
        <f aca="false">IF($A143="N/A"," ",IF(0&lt;&gt;P143,IF('Pricing Inputs'!$AN$3=2,8*VLOOKUP($A143,NumberofDaysTable,2),(xSPRDOPT(I143,$E143,$BU143,0,$BP143,$BS143,$BT143,$A143-Inputs!$D$1,1,1))*(8*VLOOKUP($A143,NumberofDaysTable,2))),0))</f>
        <v> </v>
      </c>
      <c r="X143" s="282" t="str">
        <f aca="false">IF($A143="N/A"," ",IF(Q143&lt;&gt;0,IF('Pricing Inputs'!$AN$3=2,8*VLOOKUP($A143,NumberofDaysTable,2),(xSPRDOPT(J143,$E143,$BU143,0,$BP143,$BS143,$BT143,$A143-Inputs!$D$1,1,1))*(8*VLOOKUP($A143,NumberofDaysTable,2))),0))</f>
        <v> </v>
      </c>
      <c r="Y143" s="282" t="str">
        <f aca="false">IF($A143="N/A"," ",IF(R143&lt;&gt;0,IF('Pricing Inputs'!$AN$3=2,8*VLOOKUP($A143,NumberofDaysTable,3),(xSPRDOPT(K143,$E143,$BU143,0,$BP143,$BS143,$BT143,$A143-Inputs!$D$1,1,1))*(8*VLOOKUP($A143,NumberofDaysTable,3))),0))</f>
        <v> </v>
      </c>
      <c r="Z143" s="282" t="str">
        <f aca="false">IF($A143="N/A"," ",IF(S143&lt;&gt;0,IF('Pricing Inputs'!$AN$3=2,8*VLOOKUP($A143,NumberofDaysTable,3),(xSPRDOPT(L143,$E143,$BU143,0,$BP143,$BS143,$BT143,$A143-Inputs!$D$1,1,1))*(8*VLOOKUP($A143,NumberofDaysTable,3))),0))</f>
        <v> </v>
      </c>
      <c r="AA143" s="282" t="str">
        <f aca="false">IF($A143="N/A"," ",IF(T143&lt;&gt;0,IF('Pricing Inputs'!$AN$3=2,8*VLOOKUP($A143,NumberofDaysTable,4),(xSPRDOPT(M143,$E143,$BU143,0,$BP143,$BS143,$BT143,$A143-Inputs!$D$1,1,1))*(8*VLOOKUP($A143,NumberofDaysTable,4))),0))</f>
        <v> </v>
      </c>
      <c r="AB143" s="282" t="str">
        <f aca="false">IF($A143="N/A"," ",IF(U143&lt;&gt;0,IF('Pricing Inputs'!$AN$3=2,8*VLOOKUP($A143,NumberofDaysTable,4),(xSPRDOPT(N143,$E143,$BU143,0,$BP143,$BS143,$BT143,$A143-Inputs!$D$1,1,1))*(8*VLOOKUP($A143,NumberofDaysTable,4))),0))</f>
        <v> </v>
      </c>
      <c r="AC143" s="282" t="str">
        <f aca="false">IF($A143="N/A"," ",(IF(V143&lt;&gt;0,(8*VLOOKUP($A143,NumberofDaysTable,6)),0)))</f>
        <v> </v>
      </c>
      <c r="AD143" s="298" t="str">
        <f aca="false">IF($A143="N/A"," ",RANK(P143,$P$136:$V$147))</f>
        <v> </v>
      </c>
      <c r="AE143" s="299" t="str">
        <f aca="false">IF($A143="N/A"," ",RANK(Q143,$P$136:$V$147))</f>
        <v> </v>
      </c>
      <c r="AF143" s="299" t="str">
        <f aca="false">IF($A143="N/A"," ",RANK(R143,$P$136:$V$147))</f>
        <v> </v>
      </c>
      <c r="AG143" s="299" t="str">
        <f aca="false">IF($A143="N/A"," ",RANK(S143,$P$136:$V$147))</f>
        <v> </v>
      </c>
      <c r="AH143" s="299" t="str">
        <f aca="false">IF($A143="N/A"," ",RANK(T143,$P$136:$V$147))</f>
        <v> </v>
      </c>
      <c r="AI143" s="299" t="str">
        <f aca="false">IF($A143="N/A"," ",RANK(U143,$P$136:$V$147))</f>
        <v> </v>
      </c>
      <c r="AJ143" s="300" t="str">
        <f aca="false">IF($A143="N/A"," ",RANK(V143,$P$136:$V$147))</f>
        <v> </v>
      </c>
      <c r="AK143" s="286" t="str">
        <f aca="false">IF($A143="N/A"," ",IF(AD143&lt;=$AJ$2,W143,0))</f>
        <v> </v>
      </c>
      <c r="AL143" s="301" t="str">
        <f aca="false">IF($A143="N/A"," ",IF(AE143&lt;=$AJ$2,X143,0))</f>
        <v> </v>
      </c>
      <c r="AM143" s="301" t="str">
        <f aca="false">IF($A143="N/A"," ",IF(AF143&lt;=$AJ$2,Y143,0))</f>
        <v> </v>
      </c>
      <c r="AN143" s="301" t="str">
        <f aca="false">IF($A143="N/A"," ",IF(AG143&lt;=$AJ$2,Z143,0))</f>
        <v> </v>
      </c>
      <c r="AO143" s="301" t="str">
        <f aca="false">IF($A143="N/A"," ",IF(AH143&lt;=$AJ$2,AA143,0))</f>
        <v> </v>
      </c>
      <c r="AP143" s="301" t="str">
        <f aca="false">IF($A143="N/A"," ",IF(AI143&lt;=$AJ$2,AB143,0))</f>
        <v> </v>
      </c>
      <c r="AQ143" s="301" t="str">
        <f aca="false">IF($A143="N/A"," ",IF(AJ143&lt;=$AJ$2,AC143,0))</f>
        <v> </v>
      </c>
      <c r="AR143" s="300"/>
      <c r="AS143" s="288" t="str">
        <f aca="false">IF($A143="N/A"," ",IF(AND(AD143=$AJ$2+1,AK143=0),MIN($AR$147,W143),0))</f>
        <v> </v>
      </c>
      <c r="AT143" s="302" t="str">
        <f aca="false">IF($A143="N/A"," ",IF(AND(AE143=$AJ$2+1,AL143=0),MIN($AR$147,X143),0))</f>
        <v> </v>
      </c>
      <c r="AU143" s="302" t="str">
        <f aca="false">IF($A143="N/A"," ",IF(AND(AF143=$AJ$2+1,AM143=0),MIN($AR$147,Y143),0))</f>
        <v> </v>
      </c>
      <c r="AV143" s="302" t="str">
        <f aca="false">IF($A143="N/A"," ",IF(AND(AG143=$AJ$2+1,AN143=0),MIN($AR$147,Z143),0))</f>
        <v> </v>
      </c>
      <c r="AW143" s="302" t="str">
        <f aca="false">IF($A143="N/A"," ",IF(AND(AH143=$AJ$2+1,AO143=0),MIN($AR$147,AA143),0))</f>
        <v> </v>
      </c>
      <c r="AX143" s="302" t="str">
        <f aca="false">IF($A143="N/A"," ",IF(AND(AI143=$AJ$2+1,AP143=0),MIN($AR$147,AB143),0))</f>
        <v> </v>
      </c>
      <c r="AY143" s="302" t="str">
        <f aca="false">IF($A143="N/A"," ",IF(AND(AJ143=$AJ$2+1,AQ143=0),MIN($AR$147,AC143),0))</f>
        <v> </v>
      </c>
      <c r="AZ143" s="300"/>
      <c r="BA143" s="291" t="str">
        <f aca="false">IF($A143="N/A"," ",(IF(MONTH(A143)&gt;=4,IF(MONTH(A143)&lt;=10,Inputs!$F$13,Inputs!$F$14),Inputs!$F$14))*$BW143)</f>
        <v> </v>
      </c>
      <c r="BB143" s="292" t="str">
        <f aca="false">IF($A143="N/A"," ",(IF(AK143&gt;0,($BA143*(8*(VLOOKUP($A143,NumberofDaysTable,2)))*P143),0)+IF(AS143&gt;0,($BA143*((AS143))*P143),0)))</f>
        <v> </v>
      </c>
      <c r="BC143" s="292" t="str">
        <f aca="false">IF($A143="N/A"," ",(IF(AL143&gt;0,($BA143*(8*(VLOOKUP($A143,NumberofDaysTable,2)))*Q143),0)+IF(AT143&gt;0,($BA143*((AT143))*Q143),0)))</f>
        <v> </v>
      </c>
      <c r="BD143" s="292" t="str">
        <f aca="false">IF($A143="N/A"," ",(IF(AM143&gt;0,($BA143*(8*(VLOOKUP($A143,NumberofDaysTable,3)))*R143),0)+IF(AU143&gt;0,($BA143*((AU143))*R143),0)))</f>
        <v> </v>
      </c>
      <c r="BE143" s="292" t="str">
        <f aca="false">IF($A143="N/A"," ",(IF(AN143&gt;0,($BA143*(8*(VLOOKUP($A143,NumberofDaysTable,3)))*S143),0)+IF(AV143&gt;0,($BA143*((AV143))*S143),0)))</f>
        <v> </v>
      </c>
      <c r="BF143" s="292" t="str">
        <f aca="false">IF($A143="N/A"," ",(IF(AO143&gt;0,($BA143*(8*(VLOOKUP($A143,NumberofDaysTable,4)+VLOOKUP($A143,NumberofDaysTable,5)))*T143),0)+IF(AW143&gt;0,($BA143*((AW143))*T143),0)))</f>
        <v> </v>
      </c>
      <c r="BG143" s="292" t="str">
        <f aca="false">IF($A143="N/A"," ",(IF(AP143&gt;0,($BA143*(8*(VLOOKUP($A143,NumberofDaysTable,4)+VLOOKUP($A143,NumberofDaysTable,5)))*U143),0)+IF(AX143&gt;0,($BA143*((AX143))*U143),0)))</f>
        <v> </v>
      </c>
      <c r="BH143" s="292" t="str">
        <f aca="false">IF($A143="N/A"," ",($BA143*AQ143*V143))</f>
        <v> </v>
      </c>
      <c r="BI143" s="292" t="str">
        <f aca="false">IF($A143="N/A"," ",SUM(BB143:BH143))</f>
        <v> </v>
      </c>
      <c r="BJ143" s="293" t="str">
        <f aca="false">IF($A143="N/A"," ",(H143*(SUM(AK143:AQ143)+SUM(AS143:AY143))*BA143))</f>
        <v> </v>
      </c>
      <c r="BK143" s="293" t="str">
        <f aca="false">IF($A143="N/A"," ",((C143*D143)*(SUM($AK143:$AQ143)+SUM($AS143:$AY143))*$BA143))</f>
        <v> </v>
      </c>
      <c r="BL143" s="293" t="str">
        <f aca="false">IF($A143="N/A"," ",(F143*(SUM($AK143:$AQ143)+SUM($AS143:$AY143))*$BA143))</f>
        <v> </v>
      </c>
      <c r="BM143" s="293" t="str">
        <f aca="false">IF($A143="N/A"," ",(G143*(SUM($AK143:$AQ143)+SUM($AS143:$AY143))*$BA143))</f>
        <v> </v>
      </c>
      <c r="BN143" s="294" t="str">
        <f aca="false">IF(A143="N/A"," ",(VLOOKUP(A143,PowerVolTable,(IF('Pricing Inputs'!$AT$3=2,7,IF('Pricing Inputs'!$AT$3=1,6,8))),FALSE())))</f>
        <v> </v>
      </c>
      <c r="BO143" s="294" t="str">
        <f aca="false">IF(A143="N/A"," ",(VLOOKUP(A143,IntraPowerVol,(IF('Pricing Inputs'!$AT$3=2,3,IF('Pricing Inputs'!$AT$3=1,2,4))),FALSE())*VLOOKUP(MONTH($A143),Inputs!$A$28:$B$39,2)))</f>
        <v> </v>
      </c>
      <c r="BP143" s="295" t="str">
        <f aca="false">IF($A143="N/A"," ",(IF(DateToday&gt;$A143,$BO143,((($BN143^2)*((($A143-1)-DateToday)/((EOMONTH($A143,0)+1)-DateToday-15)))+((($BO143)^2)*((15)/((EOMONTH($A143,0)+1)-DateToday-15))))^0.5)))</f>
        <v> </v>
      </c>
      <c r="BQ143" s="294" t="str">
        <f aca="false">IF($A143="N/A"," ",(VLOOKUP($A143,GasVolTable,(IF('Pricing Inputs'!$AT$3=2,6,IF('Pricing Inputs'!$AT$3=1,7,5))),FALSE())))</f>
        <v> </v>
      </c>
      <c r="BR143" s="294" t="str">
        <f aca="false">IF($A143="N/A"," ",(VLOOKUP($A143,OmicronVol,(IF('Pricing Inputs'!$AT$3=2,3,IF('Pricing Inputs'!$AT$3=1,4,2))),FALSE())))</f>
        <v> </v>
      </c>
      <c r="BS143" s="295" t="str">
        <f aca="false">IF($A143="N/A"," ",IF('Pricing Inputs'!$AN$3=1,(IF(DateToday&gt;$A143,$BR143,((($BQ143^2)*((($A143-1)-DateToday)/((EOMONTH($A143,0)+1)-DateToday-15)))+((($BR143)^2)*((15)/((EOMONTH($A143,0)+1)-DateToday-15))))^0.5)),0.0001))</f>
        <v> </v>
      </c>
      <c r="BT143" s="294" t="str">
        <f aca="false">IF($A143="N/A"," ",IF('Pricing Inputs'!$AN$3=1,(VLOOKUP($A143,CorrelationTable,2,FALSE())),0))</f>
        <v> </v>
      </c>
      <c r="BU143" s="296" t="str">
        <f aca="false">IF($A143="N/A"," ",F143+G143+(D143*(VLOOKUP($A143,'Gas Curves'!$B$17:$P$310,14,FALSE()))))</f>
        <v> </v>
      </c>
      <c r="BV143" s="294" t="str">
        <f aca="false">IF($A143="N/A"," ",IF('Pricing Inputs'!$AW$3=1,0,(VLOOKUP($A143,InterestRatesTable,2))))</f>
        <v> </v>
      </c>
      <c r="BW143" s="297" t="str">
        <f aca="false">IF($A143="N/A"," ",(1+BV143/2)^(-2*((EOMONTH(A143,0)+20)-DateToday)/365.25))</f>
        <v> </v>
      </c>
    </row>
    <row r="144" customFormat="false" ht="12.75" hidden="false" customHeight="false" outlineLevel="0" collapsed="false">
      <c r="A144" s="272" t="str">
        <f aca="false">IF(A143="N/A","N/A",IF(EDATE(A143,1)&gt;Inputs!$K$3,"N/A",EDATE(A143,1)))</f>
        <v>N/A</v>
      </c>
      <c r="B144" s="273" t="str">
        <f aca="false">IF(A144="N/A"," ",YEAR(A144))</f>
        <v> </v>
      </c>
      <c r="C144" s="274" t="str">
        <f aca="false">IF(A144="N/A"," ",VLOOKUP(A144,ScaledPrice,10))</f>
        <v> </v>
      </c>
      <c r="D144" s="275" t="str">
        <f aca="false">IF(A144="N/A"," ",(VLOOKUP(MONTH($A144),Inputs!$A$14:$B$25,2))/1000)</f>
        <v> </v>
      </c>
      <c r="E144" s="276" t="str">
        <f aca="false">IF($A144="N/A"," ",C144*D144)</f>
        <v> </v>
      </c>
      <c r="F144" s="277" t="str">
        <f aca="false">IF(A144="N/A"," ",Inputs!$F$6)</f>
        <v> </v>
      </c>
      <c r="G144" s="277" t="str">
        <f aca="false">IF(A144="N/A"," ",Inputs!$F$9/IF(AND('Pricing Inputs'!$AQ$3&gt;=4,'Pricing Inputs'!$AQ$3&lt;=6),16,IF(AND('Pricing Inputs'!$AQ$3&gt;=7,'Pricing Inputs'!$AQ$3&lt;=9),8,24))/(BA144/BW144))</f>
        <v> </v>
      </c>
      <c r="H144" s="278" t="str">
        <f aca="false">IF(A144="N/A"," ",(C144*D144)+F144+G144)</f>
        <v> </v>
      </c>
      <c r="I144" s="279" t="str">
        <f aca="false">VLOOKUP(A144,ScaledPrice,(IF(AND('Pricing Inputs'!$AQ$3&gt;=1,'Pricing Inputs'!$AQ$3&lt;=6),2,4)))</f>
        <v> </v>
      </c>
      <c r="J144" s="279" t="str">
        <f aca="false">IF(A144="N/A"," ",IF(AND('Pricing Inputs'!$AQ$3&gt;=1,'Pricing Inputs'!$AQ$3&lt;=6),I144,(VLOOKUP(A144,ScaledPrice,2))*(2-(VLOOKUP(A144,ScaledPrice,3)))))</f>
        <v> </v>
      </c>
      <c r="K144" s="279" t="str">
        <f aca="false">IF(A144="N/A"," ",IF(OR('Pricing Inputs'!$AQ$3=2,'Pricing Inputs'!$AQ$3=3,'Pricing Inputs'!$AQ$3=5,'Pricing Inputs'!$AQ$3=6,'Pricing Inputs'!$AQ$3=8,'Pricing Inputs'!$AQ$3=9),VLOOKUP(A144,ScaledPrice,IF(AND('Pricing Inputs'!$AQ$3&gt;=2,'Pricing Inputs'!$AQ$3&lt;=6),5,6)),0))</f>
        <v> </v>
      </c>
      <c r="L144" s="279" t="str">
        <f aca="false">IF(A144="N/A"," ",IF(OR('Pricing Inputs'!$AQ$3=2,'Pricing Inputs'!$AQ$3=3,'Pricing Inputs'!$AQ$3=5,'Pricing Inputs'!$AQ$3=6,'Pricing Inputs'!$AQ$3=8,'Pricing Inputs'!$AQ$3=9),IF(AND('Pricing Inputs'!$AQ$3&gt;=2,'Pricing Inputs'!$AQ$3&lt;=6),K144,(VLOOKUP(A144,ScaledPrice,5))*(2-(VLOOKUP(A144,ScaledPrice,3)))),0))</f>
        <v> </v>
      </c>
      <c r="M144" s="279" t="str">
        <f aca="false">IF(A144="N/A"," ",IF(OR('Pricing Inputs'!$AQ$3=3,'Pricing Inputs'!$AQ$3=6,'Pricing Inputs'!$AQ$3=9),(VLOOKUP(A144,ScaledPrice,IF(AND('Pricing Inputs'!$AQ$3&gt;=3,'Pricing Inputs'!$AQ$3&lt;=6),7,8))),0))</f>
        <v> </v>
      </c>
      <c r="N144" s="279" t="str">
        <f aca="false">IF(A144="N/A"," ",IF(OR('Pricing Inputs'!$AQ$3=3,'Pricing Inputs'!$AQ$3=6,'Pricing Inputs'!$AQ$3=9),IF(AND('Pricing Inputs'!$AQ$3&gt;=3,'Pricing Inputs'!$AQ$3&lt;=6),M144,(VLOOKUP(A144,ScaledPrice,7))*(2-(VLOOKUP(A144,ScaledPrice,3)))),0))</f>
        <v> </v>
      </c>
      <c r="O144" s="279" t="str">
        <f aca="false">IF(A144="N/A"," ",IF(AND('Pricing Inputs'!$AQ$3&gt;=1,'Pricing Inputs'!$AQ$3&lt;=3),VLOOKUP(A144,ScaledPrice,9),0))</f>
        <v> </v>
      </c>
      <c r="P144" s="280" t="str">
        <f aca="false">IF($A144="N/A"," ",IF('Pricing Inputs'!$AN$8=2,(I144-H144),IF('Pricing Inputs'!$AN$3=2,IF((I144-$H144)&gt;0,I144-$H144,0),(xSPRDOPT(I144,$E144,$BU144,0,$BP144,$BS144,$BT144,($A144-Inputs!$D$1)+15,1,0)))))</f>
        <v> </v>
      </c>
      <c r="Q144" s="280" t="str">
        <f aca="false">IF($A144="N/A"," ",IF('Pricing Inputs'!$AN$8=2,(J144-$H144),IF('Pricing Inputs'!$AN$3=2,IF((J144-$H144)&gt;0,J144-$H144,0),(xSPRDOPT(J144,$E144,$BU144,0,$BP144,$BS144,$BT144,($A144-Inputs!$D$1)+15,1,0)))))</f>
        <v> </v>
      </c>
      <c r="R144" s="280" t="str">
        <f aca="false">IF($A144="N/A"," ",IF('Pricing Inputs'!$AN$8=2,(K144-$H144),IF('Pricing Inputs'!$AN$3=2,IF((K144-$H144)&gt;0,K144-$H144,0),(xSPRDOPT(K144,$E144,$BU144,0,$BP144,$BS144,$BT144,($A144-Inputs!$D$1)+15,1,0)))))</f>
        <v> </v>
      </c>
      <c r="S144" s="280" t="str">
        <f aca="false">IF($A144="N/A"," ",IF('Pricing Inputs'!$AN$8=2,(L144-$H144),IF('Pricing Inputs'!$AN$3=2,IF((L144-$H144)&gt;0,L144-$H144,0),(xSPRDOPT(L144,$E144,$BU144,0,$BP144,$BS144,$BT144,($A144-Inputs!$D$1)+15,1,0)))))</f>
        <v> </v>
      </c>
      <c r="T144" s="280" t="str">
        <f aca="false">IF($A144="N/A"," ",IF('Pricing Inputs'!$AN$8=2,(M144-$H144),IF('Pricing Inputs'!$AN$3=2,IF((M144-$H144)&gt;0,M144-$H144,0),(xSPRDOPT(M144,$E144,$BU144,0,$BP144,$BS144,$BT144,($A144-Inputs!$D$1)+15,1,0)))))</f>
        <v> </v>
      </c>
      <c r="U144" s="280" t="str">
        <f aca="false">IF($A144="N/A"," ",IF('Pricing Inputs'!$AN$8=2,(N144-$H144),IF('Pricing Inputs'!$AN$3=2,IF((N144-$H144)&gt;0,N144-$H144,0),(xSPRDOPT(N144,$E144,$BU144,0,$BP144,$BS144,$BT144,($A144-Inputs!$D$1)+15,1,0)))))</f>
        <v> </v>
      </c>
      <c r="V144" s="281" t="str">
        <f aca="false">IF($A144="N/A"," ",(IF('Pricing Inputs'!$AN$8=2,(O144-$H144),IF((O144-$H144)&lt;=0,0,(O144-$H144)))))</f>
        <v> </v>
      </c>
      <c r="W144" s="282" t="str">
        <f aca="false">IF($A144="N/A"," ",IF(0&lt;&gt;P144,IF('Pricing Inputs'!$AN$3=2,8*VLOOKUP($A144,NumberofDaysTable,2),(xSPRDOPT(I144,$E144,$BU144,0,$BP144,$BS144,$BT144,$A144-Inputs!$D$1,1,1))*(8*VLOOKUP($A144,NumberofDaysTable,2))),0))</f>
        <v> </v>
      </c>
      <c r="X144" s="282" t="str">
        <f aca="false">IF($A144="N/A"," ",IF(Q144&lt;&gt;0,IF('Pricing Inputs'!$AN$3=2,8*VLOOKUP($A144,NumberofDaysTable,2),(xSPRDOPT(J144,$E144,$BU144,0,$BP144,$BS144,$BT144,$A144-Inputs!$D$1,1,1))*(8*VLOOKUP($A144,NumberofDaysTable,2))),0))</f>
        <v> </v>
      </c>
      <c r="Y144" s="282" t="str">
        <f aca="false">IF($A144="N/A"," ",IF(R144&lt;&gt;0,IF('Pricing Inputs'!$AN$3=2,8*VLOOKUP($A144,NumberofDaysTable,3),(xSPRDOPT(K144,$E144,$BU144,0,$BP144,$BS144,$BT144,$A144-Inputs!$D$1,1,1))*(8*VLOOKUP($A144,NumberofDaysTable,3))),0))</f>
        <v> </v>
      </c>
      <c r="Z144" s="282" t="str">
        <f aca="false">IF($A144="N/A"," ",IF(S144&lt;&gt;0,IF('Pricing Inputs'!$AN$3=2,8*VLOOKUP($A144,NumberofDaysTable,3),(xSPRDOPT(L144,$E144,$BU144,0,$BP144,$BS144,$BT144,$A144-Inputs!$D$1,1,1))*(8*VLOOKUP($A144,NumberofDaysTable,3))),0))</f>
        <v> </v>
      </c>
      <c r="AA144" s="282" t="str">
        <f aca="false">IF($A144="N/A"," ",IF(T144&lt;&gt;0,IF('Pricing Inputs'!$AN$3=2,8*VLOOKUP($A144,NumberofDaysTable,4),(xSPRDOPT(M144,$E144,$BU144,0,$BP144,$BS144,$BT144,$A144-Inputs!$D$1,1,1))*(8*VLOOKUP($A144,NumberofDaysTable,4))),0))</f>
        <v> </v>
      </c>
      <c r="AB144" s="282" t="str">
        <f aca="false">IF($A144="N/A"," ",IF(U144&lt;&gt;0,IF('Pricing Inputs'!$AN$3=2,8*VLOOKUP($A144,NumberofDaysTable,4),(xSPRDOPT(N144,$E144,$BU144,0,$BP144,$BS144,$BT144,$A144-Inputs!$D$1,1,1))*(8*VLOOKUP($A144,NumberofDaysTable,4))),0))</f>
        <v> </v>
      </c>
      <c r="AC144" s="282" t="str">
        <f aca="false">IF($A144="N/A"," ",(IF(V144&lt;&gt;0,(8*VLOOKUP($A144,NumberofDaysTable,6)),0)))</f>
        <v> </v>
      </c>
      <c r="AD144" s="298" t="str">
        <f aca="false">IF($A144="N/A"," ",RANK(P144,$P$136:$V$147))</f>
        <v> </v>
      </c>
      <c r="AE144" s="299" t="str">
        <f aca="false">IF($A144="N/A"," ",RANK(Q144,$P$136:$V$147))</f>
        <v> </v>
      </c>
      <c r="AF144" s="299" t="str">
        <f aca="false">IF($A144="N/A"," ",RANK(R144,$P$136:$V$147))</f>
        <v> </v>
      </c>
      <c r="AG144" s="299" t="str">
        <f aca="false">IF($A144="N/A"," ",RANK(S144,$P$136:$V$147))</f>
        <v> </v>
      </c>
      <c r="AH144" s="299" t="str">
        <f aca="false">IF($A144="N/A"," ",RANK(T144,$P$136:$V$147))</f>
        <v> </v>
      </c>
      <c r="AI144" s="299" t="str">
        <f aca="false">IF($A144="N/A"," ",RANK(U144,$P$136:$V$147))</f>
        <v> </v>
      </c>
      <c r="AJ144" s="300" t="str">
        <f aca="false">IF($A144="N/A"," ",RANK(V144,$P$136:$V$147))</f>
        <v> </v>
      </c>
      <c r="AK144" s="286" t="str">
        <f aca="false">IF($A144="N/A"," ",IF(AD144&lt;=$AJ$2,W144,0))</f>
        <v> </v>
      </c>
      <c r="AL144" s="301" t="str">
        <f aca="false">IF($A144="N/A"," ",IF(AE144&lt;=$AJ$2,X144,0))</f>
        <v> </v>
      </c>
      <c r="AM144" s="301" t="str">
        <f aca="false">IF($A144="N/A"," ",IF(AF144&lt;=$AJ$2,Y144,0))</f>
        <v> </v>
      </c>
      <c r="AN144" s="301" t="str">
        <f aca="false">IF($A144="N/A"," ",IF(AG144&lt;=$AJ$2,Z144,0))</f>
        <v> </v>
      </c>
      <c r="AO144" s="301" t="str">
        <f aca="false">IF($A144="N/A"," ",IF(AH144&lt;=$AJ$2,AA144,0))</f>
        <v> </v>
      </c>
      <c r="AP144" s="301" t="str">
        <f aca="false">IF($A144="N/A"," ",IF(AI144&lt;=$AJ$2,AB144,0))</f>
        <v> </v>
      </c>
      <c r="AQ144" s="301" t="str">
        <f aca="false">IF($A144="N/A"," ",IF(AJ144&lt;=$AJ$2,AC144,0))</f>
        <v> </v>
      </c>
      <c r="AR144" s="300"/>
      <c r="AS144" s="288" t="str">
        <f aca="false">IF($A144="N/A"," ",IF(AND(AD144=$AJ$2+1,AK144=0),MIN($AR$147,W144),0))</f>
        <v> </v>
      </c>
      <c r="AT144" s="302" t="str">
        <f aca="false">IF($A144="N/A"," ",IF(AND(AE144=$AJ$2+1,AL144=0),MIN($AR$147,X144),0))</f>
        <v> </v>
      </c>
      <c r="AU144" s="302" t="str">
        <f aca="false">IF($A144="N/A"," ",IF(AND(AF144=$AJ$2+1,AM144=0),MIN($AR$147,Y144),0))</f>
        <v> </v>
      </c>
      <c r="AV144" s="302" t="str">
        <f aca="false">IF($A144="N/A"," ",IF(AND(AG144=$AJ$2+1,AN144=0),MIN($AR$147,Z144),0))</f>
        <v> </v>
      </c>
      <c r="AW144" s="302" t="str">
        <f aca="false">IF($A144="N/A"," ",IF(AND(AH144=$AJ$2+1,AO144=0),MIN($AR$147,AA144),0))</f>
        <v> </v>
      </c>
      <c r="AX144" s="302" t="str">
        <f aca="false">IF($A144="N/A"," ",IF(AND(AI144=$AJ$2+1,AP144=0),MIN($AR$147,AB144),0))</f>
        <v> </v>
      </c>
      <c r="AY144" s="302" t="str">
        <f aca="false">IF($A144="N/A"," ",IF(AND(AJ144=$AJ$2+1,AQ144=0),MIN($AR$147,AC144),0))</f>
        <v> </v>
      </c>
      <c r="AZ144" s="300"/>
      <c r="BA144" s="291" t="str">
        <f aca="false">IF($A144="N/A"," ",(IF(MONTH(A144)&gt;=4,IF(MONTH(A144)&lt;=10,Inputs!$F$13,Inputs!$F$14),Inputs!$F$14))*$BW144)</f>
        <v> </v>
      </c>
      <c r="BB144" s="292" t="str">
        <f aca="false">IF($A144="N/A"," ",(IF(AK144&gt;0,($BA144*(8*(VLOOKUP($A144,NumberofDaysTable,2)))*P144),0)+IF(AS144&gt;0,($BA144*((AS144))*P144),0)))</f>
        <v> </v>
      </c>
      <c r="BC144" s="292" t="str">
        <f aca="false">IF($A144="N/A"," ",(IF(AL144&gt;0,($BA144*(8*(VLOOKUP($A144,NumberofDaysTable,2)))*Q144),0)+IF(AT144&gt;0,($BA144*((AT144))*Q144),0)))</f>
        <v> </v>
      </c>
      <c r="BD144" s="292" t="str">
        <f aca="false">IF($A144="N/A"," ",(IF(AM144&gt;0,($BA144*(8*(VLOOKUP($A144,NumberofDaysTable,3)))*R144),0)+IF(AU144&gt;0,($BA144*((AU144))*R144),0)))</f>
        <v> </v>
      </c>
      <c r="BE144" s="292" t="str">
        <f aca="false">IF($A144="N/A"," ",(IF(AN144&gt;0,($BA144*(8*(VLOOKUP($A144,NumberofDaysTable,3)))*S144),0)+IF(AV144&gt;0,($BA144*((AV144))*S144),0)))</f>
        <v> </v>
      </c>
      <c r="BF144" s="292" t="str">
        <f aca="false">IF($A144="N/A"," ",(IF(AO144&gt;0,($BA144*(8*(VLOOKUP($A144,NumberofDaysTable,4)+VLOOKUP($A144,NumberofDaysTable,5)))*T144),0)+IF(AW144&gt;0,($BA144*((AW144))*T144),0)))</f>
        <v> </v>
      </c>
      <c r="BG144" s="292" t="str">
        <f aca="false">IF($A144="N/A"," ",(IF(AP144&gt;0,($BA144*(8*(VLOOKUP($A144,NumberofDaysTable,4)+VLOOKUP($A144,NumberofDaysTable,5)))*U144),0)+IF(AX144&gt;0,($BA144*((AX144))*U144),0)))</f>
        <v> </v>
      </c>
      <c r="BH144" s="292" t="str">
        <f aca="false">IF($A144="N/A"," ",($BA144*AQ144*V144))</f>
        <v> </v>
      </c>
      <c r="BI144" s="292" t="str">
        <f aca="false">IF($A144="N/A"," ",SUM(BB144:BH144))</f>
        <v> </v>
      </c>
      <c r="BJ144" s="293" t="str">
        <f aca="false">IF($A144="N/A"," ",(H144*(SUM(AK144:AQ144)+SUM(AS144:AY144))*BA144))</f>
        <v> </v>
      </c>
      <c r="BK144" s="293" t="str">
        <f aca="false">IF($A144="N/A"," ",((C144*D144)*(SUM($AK144:$AQ144)+SUM($AS144:$AY144))*$BA144))</f>
        <v> </v>
      </c>
      <c r="BL144" s="293" t="str">
        <f aca="false">IF($A144="N/A"," ",(F144*(SUM($AK144:$AQ144)+SUM($AS144:$AY144))*$BA144))</f>
        <v> </v>
      </c>
      <c r="BM144" s="293" t="str">
        <f aca="false">IF($A144="N/A"," ",(G144*(SUM($AK144:$AQ144)+SUM($AS144:$AY144))*$BA144))</f>
        <v> </v>
      </c>
      <c r="BN144" s="294" t="str">
        <f aca="false">IF(A144="N/A"," ",(VLOOKUP(A144,PowerVolTable,(IF('Pricing Inputs'!$AT$3=2,7,IF('Pricing Inputs'!$AT$3=1,6,8))),FALSE())))</f>
        <v> </v>
      </c>
      <c r="BO144" s="294" t="str">
        <f aca="false">IF(A144="N/A"," ",(VLOOKUP(A144,IntraPowerVol,(IF('Pricing Inputs'!$AT$3=2,3,IF('Pricing Inputs'!$AT$3=1,2,4))),FALSE())*VLOOKUP(MONTH($A144),Inputs!$A$28:$B$39,2)))</f>
        <v> </v>
      </c>
      <c r="BP144" s="295" t="str">
        <f aca="false">IF($A144="N/A"," ",(IF(DateToday&gt;$A144,$BO144,((($BN144^2)*((($A144-1)-DateToday)/((EOMONTH($A144,0)+1)-DateToday-15)))+((($BO144)^2)*((15)/((EOMONTH($A144,0)+1)-DateToday-15))))^0.5)))</f>
        <v> </v>
      </c>
      <c r="BQ144" s="294" t="str">
        <f aca="false">IF($A144="N/A"," ",(VLOOKUP($A144,GasVolTable,(IF('Pricing Inputs'!$AT$3=2,6,IF('Pricing Inputs'!$AT$3=1,7,5))),FALSE())))</f>
        <v> </v>
      </c>
      <c r="BR144" s="294" t="str">
        <f aca="false">IF($A144="N/A"," ",(VLOOKUP($A144,OmicronVol,(IF('Pricing Inputs'!$AT$3=2,3,IF('Pricing Inputs'!$AT$3=1,4,2))),FALSE())))</f>
        <v> </v>
      </c>
      <c r="BS144" s="295" t="str">
        <f aca="false">IF($A144="N/A"," ",IF('Pricing Inputs'!$AN$3=1,(IF(DateToday&gt;$A144,$BR144,((($BQ144^2)*((($A144-1)-DateToday)/((EOMONTH($A144,0)+1)-DateToday-15)))+((($BR144)^2)*((15)/((EOMONTH($A144,0)+1)-DateToday-15))))^0.5)),0.0001))</f>
        <v> </v>
      </c>
      <c r="BT144" s="294" t="str">
        <f aca="false">IF($A144="N/A"," ",IF('Pricing Inputs'!$AN$3=1,(VLOOKUP($A144,CorrelationTable,2,FALSE())),0))</f>
        <v> </v>
      </c>
      <c r="BU144" s="296" t="str">
        <f aca="false">IF($A144="N/A"," ",F144+G144+(D144*(VLOOKUP($A144,'Gas Curves'!$B$17:$P$310,14,FALSE()))))</f>
        <v> </v>
      </c>
      <c r="BV144" s="294" t="str">
        <f aca="false">IF($A144="N/A"," ",IF('Pricing Inputs'!$AW$3=1,0,(VLOOKUP($A144,InterestRatesTable,2))))</f>
        <v> </v>
      </c>
      <c r="BW144" s="297" t="str">
        <f aca="false">IF($A144="N/A"," ",(1+BV144/2)^(-2*((EOMONTH(A144,0)+20)-DateToday)/365.25))</f>
        <v> </v>
      </c>
    </row>
    <row r="145" customFormat="false" ht="12.75" hidden="false" customHeight="false" outlineLevel="0" collapsed="false">
      <c r="A145" s="272" t="str">
        <f aca="false">IF(A144="N/A","N/A",IF(EDATE(A144,1)&gt;Inputs!$K$3,"N/A",EDATE(A144,1)))</f>
        <v>N/A</v>
      </c>
      <c r="B145" s="273" t="str">
        <f aca="false">IF(A145="N/A"," ",YEAR(A145))</f>
        <v> </v>
      </c>
      <c r="C145" s="274" t="str">
        <f aca="false">IF(A145="N/A"," ",VLOOKUP(A145,ScaledPrice,10))</f>
        <v> </v>
      </c>
      <c r="D145" s="275" t="str">
        <f aca="false">IF(A145="N/A"," ",(VLOOKUP(MONTH($A145),Inputs!$A$14:$B$25,2))/1000)</f>
        <v> </v>
      </c>
      <c r="E145" s="276" t="str">
        <f aca="false">IF($A145="N/A"," ",C145*D145)</f>
        <v> </v>
      </c>
      <c r="F145" s="277" t="str">
        <f aca="false">IF(A145="N/A"," ",Inputs!$F$6)</f>
        <v> </v>
      </c>
      <c r="G145" s="277" t="str">
        <f aca="false">IF(A145="N/A"," ",Inputs!$F$9/IF(AND('Pricing Inputs'!$AQ$3&gt;=4,'Pricing Inputs'!$AQ$3&lt;=6),16,IF(AND('Pricing Inputs'!$AQ$3&gt;=7,'Pricing Inputs'!$AQ$3&lt;=9),8,24))/(BA145/BW145))</f>
        <v> </v>
      </c>
      <c r="H145" s="278" t="str">
        <f aca="false">IF(A145="N/A"," ",(C145*D145)+F145+G145)</f>
        <v> </v>
      </c>
      <c r="I145" s="279" t="str">
        <f aca="false">VLOOKUP(A145,ScaledPrice,(IF(AND('Pricing Inputs'!$AQ$3&gt;=1,'Pricing Inputs'!$AQ$3&lt;=6),2,4)))</f>
        <v> </v>
      </c>
      <c r="J145" s="279" t="str">
        <f aca="false">IF(A145="N/A"," ",IF(AND('Pricing Inputs'!$AQ$3&gt;=1,'Pricing Inputs'!$AQ$3&lt;=6),I145,(VLOOKUP(A145,ScaledPrice,2))*(2-(VLOOKUP(A145,ScaledPrice,3)))))</f>
        <v> </v>
      </c>
      <c r="K145" s="279" t="str">
        <f aca="false">IF(A145="N/A"," ",IF(OR('Pricing Inputs'!$AQ$3=2,'Pricing Inputs'!$AQ$3=3,'Pricing Inputs'!$AQ$3=5,'Pricing Inputs'!$AQ$3=6,'Pricing Inputs'!$AQ$3=8,'Pricing Inputs'!$AQ$3=9),VLOOKUP(A145,ScaledPrice,IF(AND('Pricing Inputs'!$AQ$3&gt;=2,'Pricing Inputs'!$AQ$3&lt;=6),5,6)),0))</f>
        <v> </v>
      </c>
      <c r="L145" s="279" t="str">
        <f aca="false">IF(A145="N/A"," ",IF(OR('Pricing Inputs'!$AQ$3=2,'Pricing Inputs'!$AQ$3=3,'Pricing Inputs'!$AQ$3=5,'Pricing Inputs'!$AQ$3=6,'Pricing Inputs'!$AQ$3=8,'Pricing Inputs'!$AQ$3=9),IF(AND('Pricing Inputs'!$AQ$3&gt;=2,'Pricing Inputs'!$AQ$3&lt;=6),K145,(VLOOKUP(A145,ScaledPrice,5))*(2-(VLOOKUP(A145,ScaledPrice,3)))),0))</f>
        <v> </v>
      </c>
      <c r="M145" s="279" t="str">
        <f aca="false">IF(A145="N/A"," ",IF(OR('Pricing Inputs'!$AQ$3=3,'Pricing Inputs'!$AQ$3=6,'Pricing Inputs'!$AQ$3=9),(VLOOKUP(A145,ScaledPrice,IF(AND('Pricing Inputs'!$AQ$3&gt;=3,'Pricing Inputs'!$AQ$3&lt;=6),7,8))),0))</f>
        <v> </v>
      </c>
      <c r="N145" s="279" t="str">
        <f aca="false">IF(A145="N/A"," ",IF(OR('Pricing Inputs'!$AQ$3=3,'Pricing Inputs'!$AQ$3=6,'Pricing Inputs'!$AQ$3=9),IF(AND('Pricing Inputs'!$AQ$3&gt;=3,'Pricing Inputs'!$AQ$3&lt;=6),M145,(VLOOKUP(A145,ScaledPrice,7))*(2-(VLOOKUP(A145,ScaledPrice,3)))),0))</f>
        <v> </v>
      </c>
      <c r="O145" s="279" t="str">
        <f aca="false">IF(A145="N/A"," ",IF(AND('Pricing Inputs'!$AQ$3&gt;=1,'Pricing Inputs'!$AQ$3&lt;=3),VLOOKUP(A145,ScaledPrice,9),0))</f>
        <v> </v>
      </c>
      <c r="P145" s="280" t="str">
        <f aca="false">IF($A145="N/A"," ",IF('Pricing Inputs'!$AN$8=2,(I145-H145),IF('Pricing Inputs'!$AN$3=2,IF((I145-$H145)&gt;0,I145-$H145,0),(xSPRDOPT(I145,$E145,$BU145,0,$BP145,$BS145,$BT145,($A145-Inputs!$D$1)+15,1,0)))))</f>
        <v> </v>
      </c>
      <c r="Q145" s="280" t="str">
        <f aca="false">IF($A145="N/A"," ",IF('Pricing Inputs'!$AN$8=2,(J145-$H145),IF('Pricing Inputs'!$AN$3=2,IF((J145-$H145)&gt;0,J145-$H145,0),(xSPRDOPT(J145,$E145,$BU145,0,$BP145,$BS145,$BT145,($A145-Inputs!$D$1)+15,1,0)))))</f>
        <v> </v>
      </c>
      <c r="R145" s="280" t="str">
        <f aca="false">IF($A145="N/A"," ",IF('Pricing Inputs'!$AN$8=2,(K145-$H145),IF('Pricing Inputs'!$AN$3=2,IF((K145-$H145)&gt;0,K145-$H145,0),(xSPRDOPT(K145,$E145,$BU145,0,$BP145,$BS145,$BT145,($A145-Inputs!$D$1)+15,1,0)))))</f>
        <v> </v>
      </c>
      <c r="S145" s="280" t="str">
        <f aca="false">IF($A145="N/A"," ",IF('Pricing Inputs'!$AN$8=2,(L145-$H145),IF('Pricing Inputs'!$AN$3=2,IF((L145-$H145)&gt;0,L145-$H145,0),(xSPRDOPT(L145,$E145,$BU145,0,$BP145,$BS145,$BT145,($A145-Inputs!$D$1)+15,1,0)))))</f>
        <v> </v>
      </c>
      <c r="T145" s="280" t="str">
        <f aca="false">IF($A145="N/A"," ",IF('Pricing Inputs'!$AN$8=2,(M145-$H145),IF('Pricing Inputs'!$AN$3=2,IF((M145-$H145)&gt;0,M145-$H145,0),(xSPRDOPT(M145,$E145,$BU145,0,$BP145,$BS145,$BT145,($A145-Inputs!$D$1)+15,1,0)))))</f>
        <v> </v>
      </c>
      <c r="U145" s="280" t="str">
        <f aca="false">IF($A145="N/A"," ",IF('Pricing Inputs'!$AN$8=2,(N145-$H145),IF('Pricing Inputs'!$AN$3=2,IF((N145-$H145)&gt;0,N145-$H145,0),(xSPRDOPT(N145,$E145,$BU145,0,$BP145,$BS145,$BT145,($A145-Inputs!$D$1)+15,1,0)))))</f>
        <v> </v>
      </c>
      <c r="V145" s="281" t="str">
        <f aca="false">IF($A145="N/A"," ",(IF('Pricing Inputs'!$AN$8=2,(O145-$H145),IF((O145-$H145)&lt;=0,0,(O145-$H145)))))</f>
        <v> </v>
      </c>
      <c r="W145" s="282" t="str">
        <f aca="false">IF($A145="N/A"," ",IF(0&lt;&gt;P145,IF('Pricing Inputs'!$AN$3=2,8*VLOOKUP($A145,NumberofDaysTable,2),(xSPRDOPT(I145,$E145,$BU145,0,$BP145,$BS145,$BT145,$A145-Inputs!$D$1,1,1))*(8*VLOOKUP($A145,NumberofDaysTable,2))),0))</f>
        <v> </v>
      </c>
      <c r="X145" s="282" t="str">
        <f aca="false">IF($A145="N/A"," ",IF(Q145&lt;&gt;0,IF('Pricing Inputs'!$AN$3=2,8*VLOOKUP($A145,NumberofDaysTable,2),(xSPRDOPT(J145,$E145,$BU145,0,$BP145,$BS145,$BT145,$A145-Inputs!$D$1,1,1))*(8*VLOOKUP($A145,NumberofDaysTable,2))),0))</f>
        <v> </v>
      </c>
      <c r="Y145" s="282" t="str">
        <f aca="false">IF($A145="N/A"," ",IF(R145&lt;&gt;0,IF('Pricing Inputs'!$AN$3=2,8*VLOOKUP($A145,NumberofDaysTable,3),(xSPRDOPT(K145,$E145,$BU145,0,$BP145,$BS145,$BT145,$A145-Inputs!$D$1,1,1))*(8*VLOOKUP($A145,NumberofDaysTable,3))),0))</f>
        <v> </v>
      </c>
      <c r="Z145" s="282" t="str">
        <f aca="false">IF($A145="N/A"," ",IF(S145&lt;&gt;0,IF('Pricing Inputs'!$AN$3=2,8*VLOOKUP($A145,NumberofDaysTable,3),(xSPRDOPT(L145,$E145,$BU145,0,$BP145,$BS145,$BT145,$A145-Inputs!$D$1,1,1))*(8*VLOOKUP($A145,NumberofDaysTable,3))),0))</f>
        <v> </v>
      </c>
      <c r="AA145" s="282" t="str">
        <f aca="false">IF($A145="N/A"," ",IF(T145&lt;&gt;0,IF('Pricing Inputs'!$AN$3=2,8*VLOOKUP($A145,NumberofDaysTable,4),(xSPRDOPT(M145,$E145,$BU145,0,$BP145,$BS145,$BT145,$A145-Inputs!$D$1,1,1))*(8*VLOOKUP($A145,NumberofDaysTable,4))),0))</f>
        <v> </v>
      </c>
      <c r="AB145" s="282" t="str">
        <f aca="false">IF($A145="N/A"," ",IF(U145&lt;&gt;0,IF('Pricing Inputs'!$AN$3=2,8*VLOOKUP($A145,NumberofDaysTable,4),(xSPRDOPT(N145,$E145,$BU145,0,$BP145,$BS145,$BT145,$A145-Inputs!$D$1,1,1))*(8*VLOOKUP($A145,NumberofDaysTable,4))),0))</f>
        <v> </v>
      </c>
      <c r="AC145" s="282" t="str">
        <f aca="false">IF($A145="N/A"," ",(IF(V145&lt;&gt;0,(8*VLOOKUP($A145,NumberofDaysTable,6)),0)))</f>
        <v> </v>
      </c>
      <c r="AD145" s="298" t="str">
        <f aca="false">IF($A145="N/A"," ",RANK(P145,$P$136:$V$147))</f>
        <v> </v>
      </c>
      <c r="AE145" s="299" t="str">
        <f aca="false">IF($A145="N/A"," ",RANK(Q145,$P$136:$V$147))</f>
        <v> </v>
      </c>
      <c r="AF145" s="299" t="str">
        <f aca="false">IF($A145="N/A"," ",RANK(R145,$P$136:$V$147))</f>
        <v> </v>
      </c>
      <c r="AG145" s="299" t="str">
        <f aca="false">IF($A145="N/A"," ",RANK(S145,$P$136:$V$147))</f>
        <v> </v>
      </c>
      <c r="AH145" s="299" t="str">
        <f aca="false">IF($A145="N/A"," ",RANK(T145,$P$136:$V$147))</f>
        <v> </v>
      </c>
      <c r="AI145" s="299" t="str">
        <f aca="false">IF($A145="N/A"," ",RANK(U145,$P$136:$V$147))</f>
        <v> </v>
      </c>
      <c r="AJ145" s="300" t="str">
        <f aca="false">IF($A145="N/A"," ",RANK(V145,$P$136:$V$147))</f>
        <v> </v>
      </c>
      <c r="AK145" s="286" t="str">
        <f aca="false">IF($A145="N/A"," ",IF(AD145&lt;=$AJ$2,W145,0))</f>
        <v> </v>
      </c>
      <c r="AL145" s="301" t="str">
        <f aca="false">IF($A145="N/A"," ",IF(AE145&lt;=$AJ$2,X145,0))</f>
        <v> </v>
      </c>
      <c r="AM145" s="301" t="str">
        <f aca="false">IF($A145="N/A"," ",IF(AF145&lt;=$AJ$2,Y145,0))</f>
        <v> </v>
      </c>
      <c r="AN145" s="301" t="str">
        <f aca="false">IF($A145="N/A"," ",IF(AG145&lt;=$AJ$2,Z145,0))</f>
        <v> </v>
      </c>
      <c r="AO145" s="301" t="str">
        <f aca="false">IF($A145="N/A"," ",IF(AH145&lt;=$AJ$2,AA145,0))</f>
        <v> </v>
      </c>
      <c r="AP145" s="301" t="str">
        <f aca="false">IF($A145="N/A"," ",IF(AI145&lt;=$AJ$2,AB145,0))</f>
        <v> </v>
      </c>
      <c r="AQ145" s="301" t="str">
        <f aca="false">IF($A145="N/A"," ",IF(AJ145&lt;=$AJ$2,AC145,0))</f>
        <v> </v>
      </c>
      <c r="AR145" s="304" t="s">
        <v>1301</v>
      </c>
      <c r="AS145" s="288" t="str">
        <f aca="false">IF($A145="N/A"," ",IF(AND(AD145=$AJ$2+1,AK145=0),MIN($AR$147,W145),0))</f>
        <v> </v>
      </c>
      <c r="AT145" s="302" t="str">
        <f aca="false">IF($A145="N/A"," ",IF(AND(AE145=$AJ$2+1,AL145=0),MIN($AR$147,X145),0))</f>
        <v> </v>
      </c>
      <c r="AU145" s="302" t="str">
        <f aca="false">IF($A145="N/A"," ",IF(AND(AF145=$AJ$2+1,AM145=0),MIN($AR$147,Y145),0))</f>
        <v> </v>
      </c>
      <c r="AV145" s="302" t="str">
        <f aca="false">IF($A145="N/A"," ",IF(AND(AG145=$AJ$2+1,AN145=0),MIN($AR$147,Z145),0))</f>
        <v> </v>
      </c>
      <c r="AW145" s="302" t="str">
        <f aca="false">IF($A145="N/A"," ",IF(AND(AH145=$AJ$2+1,AO145=0),MIN($AR$147,AA145),0))</f>
        <v> </v>
      </c>
      <c r="AX145" s="302" t="str">
        <f aca="false">IF($A145="N/A"," ",IF(AND(AI145=$AJ$2+1,AP145=0),MIN($AR$147,AB145),0))</f>
        <v> </v>
      </c>
      <c r="AY145" s="302" t="str">
        <f aca="false">IF($A145="N/A"," ",IF(AND(AJ145=$AJ$2+1,AQ145=0),MIN($AR$147,AC145),0))</f>
        <v> </v>
      </c>
      <c r="AZ145" s="303" t="s">
        <v>1328</v>
      </c>
      <c r="BA145" s="291" t="str">
        <f aca="false">IF($A145="N/A"," ",(IF(MONTH(A145)&gt;=4,IF(MONTH(A145)&lt;=10,Inputs!$F$13,Inputs!$F$14),Inputs!$F$14))*$BW145)</f>
        <v> </v>
      </c>
      <c r="BB145" s="292" t="str">
        <f aca="false">IF($A145="N/A"," ",(IF(AK145&gt;0,($BA145*(8*(VLOOKUP($A145,NumberofDaysTable,2)))*P145),0)+IF(AS145&gt;0,($BA145*((AS145))*P145),0)))</f>
        <v> </v>
      </c>
      <c r="BC145" s="292" t="str">
        <f aca="false">IF($A145="N/A"," ",(IF(AL145&gt;0,($BA145*(8*(VLOOKUP($A145,NumberofDaysTable,2)))*Q145),0)+IF(AT145&gt;0,($BA145*((AT145))*Q145),0)))</f>
        <v> </v>
      </c>
      <c r="BD145" s="292" t="str">
        <f aca="false">IF($A145="N/A"," ",(IF(AM145&gt;0,($BA145*(8*(VLOOKUP($A145,NumberofDaysTable,3)))*R145),0)+IF(AU145&gt;0,($BA145*((AU145))*R145),0)))</f>
        <v> </v>
      </c>
      <c r="BE145" s="292" t="str">
        <f aca="false">IF($A145="N/A"," ",(IF(AN145&gt;0,($BA145*(8*(VLOOKUP($A145,NumberofDaysTable,3)))*S145),0)+IF(AV145&gt;0,($BA145*((AV145))*S145),0)))</f>
        <v> </v>
      </c>
      <c r="BF145" s="292" t="str">
        <f aca="false">IF($A145="N/A"," ",(IF(AO145&gt;0,($BA145*(8*(VLOOKUP($A145,NumberofDaysTable,4)+VLOOKUP($A145,NumberofDaysTable,5)))*T145),0)+IF(AW145&gt;0,($BA145*((AW145))*T145),0)))</f>
        <v> </v>
      </c>
      <c r="BG145" s="292" t="str">
        <f aca="false">IF($A145="N/A"," ",(IF(AP145&gt;0,($BA145*(8*(VLOOKUP($A145,NumberofDaysTable,4)+VLOOKUP($A145,NumberofDaysTable,5)))*U145),0)+IF(AX145&gt;0,($BA145*((AX145))*U145),0)))</f>
        <v> </v>
      </c>
      <c r="BH145" s="292" t="str">
        <f aca="false">IF($A145="N/A"," ",($BA145*AQ145*V145))</f>
        <v> </v>
      </c>
      <c r="BI145" s="292" t="str">
        <f aca="false">IF($A145="N/A"," ",SUM(BB145:BH145))</f>
        <v> </v>
      </c>
      <c r="BJ145" s="293" t="str">
        <f aca="false">IF($A145="N/A"," ",(H145*(SUM(AK145:AQ145)+SUM(AS145:AY145))*BA145))</f>
        <v> </v>
      </c>
      <c r="BK145" s="293" t="str">
        <f aca="false">IF($A145="N/A"," ",((C145*D145)*(SUM($AK145:$AQ145)+SUM($AS145:$AY145))*$BA145))</f>
        <v> </v>
      </c>
      <c r="BL145" s="293" t="str">
        <f aca="false">IF($A145="N/A"," ",(F145*(SUM($AK145:$AQ145)+SUM($AS145:$AY145))*$BA145))</f>
        <v> </v>
      </c>
      <c r="BM145" s="293" t="str">
        <f aca="false">IF($A145="N/A"," ",(G145*(SUM($AK145:$AQ145)+SUM($AS145:$AY145))*$BA145))</f>
        <v> </v>
      </c>
      <c r="BN145" s="294" t="str">
        <f aca="false">IF(A145="N/A"," ",(VLOOKUP(A145,PowerVolTable,(IF('Pricing Inputs'!$AT$3=2,7,IF('Pricing Inputs'!$AT$3=1,6,8))),FALSE())))</f>
        <v> </v>
      </c>
      <c r="BO145" s="294" t="str">
        <f aca="false">IF(A145="N/A"," ",(VLOOKUP(A145,IntraPowerVol,(IF('Pricing Inputs'!$AT$3=2,3,IF('Pricing Inputs'!$AT$3=1,2,4))),FALSE())*VLOOKUP(MONTH($A145),Inputs!$A$28:$B$39,2)))</f>
        <v> </v>
      </c>
      <c r="BP145" s="295" t="str">
        <f aca="false">IF($A145="N/A"," ",(IF(DateToday&gt;$A145,$BO145,((($BN145^2)*((($A145-1)-DateToday)/((EOMONTH($A145,0)+1)-DateToday-15)))+((($BO145)^2)*((15)/((EOMONTH($A145,0)+1)-DateToday-15))))^0.5)))</f>
        <v> </v>
      </c>
      <c r="BQ145" s="294" t="str">
        <f aca="false">IF($A145="N/A"," ",(VLOOKUP($A145,GasVolTable,(IF('Pricing Inputs'!$AT$3=2,6,IF('Pricing Inputs'!$AT$3=1,7,5))),FALSE())))</f>
        <v> </v>
      </c>
      <c r="BR145" s="294" t="str">
        <f aca="false">IF($A145="N/A"," ",(VLOOKUP($A145,OmicronVol,(IF('Pricing Inputs'!$AT$3=2,3,IF('Pricing Inputs'!$AT$3=1,4,2))),FALSE())))</f>
        <v> </v>
      </c>
      <c r="BS145" s="295" t="str">
        <f aca="false">IF($A145="N/A"," ",IF('Pricing Inputs'!$AN$3=1,(IF(DateToday&gt;$A145,$BR145,((($BQ145^2)*((($A145-1)-DateToday)/((EOMONTH($A145,0)+1)-DateToday-15)))+((($BR145)^2)*((15)/((EOMONTH($A145,0)+1)-DateToday-15))))^0.5)),0.0001))</f>
        <v> </v>
      </c>
      <c r="BT145" s="294" t="str">
        <f aca="false">IF($A145="N/A"," ",IF('Pricing Inputs'!$AN$3=1,(VLOOKUP($A145,CorrelationTable,2,FALSE())),0))</f>
        <v> </v>
      </c>
      <c r="BU145" s="296" t="str">
        <f aca="false">IF($A145="N/A"," ",F145+G145+(D145*(VLOOKUP($A145,'Gas Curves'!$B$17:$P$310,14,FALSE()))))</f>
        <v> </v>
      </c>
      <c r="BV145" s="294" t="str">
        <f aca="false">IF($A145="N/A"," ",IF('Pricing Inputs'!$AW$3=1,0,(VLOOKUP($A145,InterestRatesTable,2))))</f>
        <v> </v>
      </c>
      <c r="BW145" s="297" t="str">
        <f aca="false">IF($A145="N/A"," ",(1+BV145/2)^(-2*((EOMONTH(A145,0)+20)-DateToday)/365.25))</f>
        <v> </v>
      </c>
    </row>
    <row r="146" customFormat="false" ht="12.75" hidden="false" customHeight="false" outlineLevel="0" collapsed="false">
      <c r="A146" s="272" t="str">
        <f aca="false">IF(A145="N/A","N/A",IF(EDATE(A145,1)&gt;Inputs!$K$3,"N/A",EDATE(A145,1)))</f>
        <v>N/A</v>
      </c>
      <c r="B146" s="273" t="str">
        <f aca="false">IF(A146="N/A"," ",YEAR(A146))</f>
        <v> </v>
      </c>
      <c r="C146" s="274" t="str">
        <f aca="false">IF(A146="N/A"," ",VLOOKUP(A146,ScaledPrice,10))</f>
        <v> </v>
      </c>
      <c r="D146" s="275" t="str">
        <f aca="false">IF(A146="N/A"," ",(VLOOKUP(MONTH($A146),Inputs!$A$14:$B$25,2))/1000)</f>
        <v> </v>
      </c>
      <c r="E146" s="276" t="str">
        <f aca="false">IF($A146="N/A"," ",C146*D146)</f>
        <v> </v>
      </c>
      <c r="F146" s="277" t="str">
        <f aca="false">IF(A146="N/A"," ",Inputs!$F$6)</f>
        <v> </v>
      </c>
      <c r="G146" s="277" t="str">
        <f aca="false">IF(A146="N/A"," ",Inputs!$F$9/IF(AND('Pricing Inputs'!$AQ$3&gt;=4,'Pricing Inputs'!$AQ$3&lt;=6),16,IF(AND('Pricing Inputs'!$AQ$3&gt;=7,'Pricing Inputs'!$AQ$3&lt;=9),8,24))/(BA146/BW146))</f>
        <v> </v>
      </c>
      <c r="H146" s="278" t="str">
        <f aca="false">IF(A146="N/A"," ",(C146*D146)+F146+G146)</f>
        <v> </v>
      </c>
      <c r="I146" s="279" t="str">
        <f aca="false">VLOOKUP(A146,ScaledPrice,(IF(AND('Pricing Inputs'!$AQ$3&gt;=1,'Pricing Inputs'!$AQ$3&lt;=6),2,4)))</f>
        <v> </v>
      </c>
      <c r="J146" s="279" t="str">
        <f aca="false">IF(A146="N/A"," ",IF(AND('Pricing Inputs'!$AQ$3&gt;=1,'Pricing Inputs'!$AQ$3&lt;=6),I146,(VLOOKUP(A146,ScaledPrice,2))*(2-(VLOOKUP(A146,ScaledPrice,3)))))</f>
        <v> </v>
      </c>
      <c r="K146" s="279" t="str">
        <f aca="false">IF(A146="N/A"," ",IF(OR('Pricing Inputs'!$AQ$3=2,'Pricing Inputs'!$AQ$3=3,'Pricing Inputs'!$AQ$3=5,'Pricing Inputs'!$AQ$3=6,'Pricing Inputs'!$AQ$3=8,'Pricing Inputs'!$AQ$3=9),VLOOKUP(A146,ScaledPrice,IF(AND('Pricing Inputs'!$AQ$3&gt;=2,'Pricing Inputs'!$AQ$3&lt;=6),5,6)),0))</f>
        <v> </v>
      </c>
      <c r="L146" s="279" t="str">
        <f aca="false">IF(A146="N/A"," ",IF(OR('Pricing Inputs'!$AQ$3=2,'Pricing Inputs'!$AQ$3=3,'Pricing Inputs'!$AQ$3=5,'Pricing Inputs'!$AQ$3=6,'Pricing Inputs'!$AQ$3=8,'Pricing Inputs'!$AQ$3=9),IF(AND('Pricing Inputs'!$AQ$3&gt;=2,'Pricing Inputs'!$AQ$3&lt;=6),K146,(VLOOKUP(A146,ScaledPrice,5))*(2-(VLOOKUP(A146,ScaledPrice,3)))),0))</f>
        <v> </v>
      </c>
      <c r="M146" s="279" t="str">
        <f aca="false">IF(A146="N/A"," ",IF(OR('Pricing Inputs'!$AQ$3=3,'Pricing Inputs'!$AQ$3=6,'Pricing Inputs'!$AQ$3=9),(VLOOKUP(A146,ScaledPrice,IF(AND('Pricing Inputs'!$AQ$3&gt;=3,'Pricing Inputs'!$AQ$3&lt;=6),7,8))),0))</f>
        <v> </v>
      </c>
      <c r="N146" s="279" t="str">
        <f aca="false">IF(A146="N/A"," ",IF(OR('Pricing Inputs'!$AQ$3=3,'Pricing Inputs'!$AQ$3=6,'Pricing Inputs'!$AQ$3=9),IF(AND('Pricing Inputs'!$AQ$3&gt;=3,'Pricing Inputs'!$AQ$3&lt;=6),M146,(VLOOKUP(A146,ScaledPrice,7))*(2-(VLOOKUP(A146,ScaledPrice,3)))),0))</f>
        <v> </v>
      </c>
      <c r="O146" s="279" t="str">
        <f aca="false">IF(A146="N/A"," ",IF(AND('Pricing Inputs'!$AQ$3&gt;=1,'Pricing Inputs'!$AQ$3&lt;=3),VLOOKUP(A146,ScaledPrice,9),0))</f>
        <v> </v>
      </c>
      <c r="P146" s="280" t="str">
        <f aca="false">IF($A146="N/A"," ",IF('Pricing Inputs'!$AN$8=2,(I146-H146),IF('Pricing Inputs'!$AN$3=2,IF((I146-$H146)&gt;0,I146-$H146,0),(xSPRDOPT(I146,$E146,$BU146,0,$BP146,$BS146,$BT146,($A146-Inputs!$D$1)+15,1,0)))))</f>
        <v> </v>
      </c>
      <c r="Q146" s="280" t="str">
        <f aca="false">IF($A146="N/A"," ",IF('Pricing Inputs'!$AN$8=2,(J146-$H146),IF('Pricing Inputs'!$AN$3=2,IF((J146-$H146)&gt;0,J146-$H146,0),(xSPRDOPT(J146,$E146,$BU146,0,$BP146,$BS146,$BT146,($A146-Inputs!$D$1)+15,1,0)))))</f>
        <v> </v>
      </c>
      <c r="R146" s="280" t="str">
        <f aca="false">IF($A146="N/A"," ",IF('Pricing Inputs'!$AN$8=2,(K146-$H146),IF('Pricing Inputs'!$AN$3=2,IF((K146-$H146)&gt;0,K146-$H146,0),(xSPRDOPT(K146,$E146,$BU146,0,$BP146,$BS146,$BT146,($A146-Inputs!$D$1)+15,1,0)))))</f>
        <v> </v>
      </c>
      <c r="S146" s="280" t="str">
        <f aca="false">IF($A146="N/A"," ",IF('Pricing Inputs'!$AN$8=2,(L146-$H146),IF('Pricing Inputs'!$AN$3=2,IF((L146-$H146)&gt;0,L146-$H146,0),(xSPRDOPT(L146,$E146,$BU146,0,$BP146,$BS146,$BT146,($A146-Inputs!$D$1)+15,1,0)))))</f>
        <v> </v>
      </c>
      <c r="T146" s="280" t="str">
        <f aca="false">IF($A146="N/A"," ",IF('Pricing Inputs'!$AN$8=2,(M146-$H146),IF('Pricing Inputs'!$AN$3=2,IF((M146-$H146)&gt;0,M146-$H146,0),(xSPRDOPT(M146,$E146,$BU146,0,$BP146,$BS146,$BT146,($A146-Inputs!$D$1)+15,1,0)))))</f>
        <v> </v>
      </c>
      <c r="U146" s="280" t="str">
        <f aca="false">IF($A146="N/A"," ",IF('Pricing Inputs'!$AN$8=2,(N146-$H146),IF('Pricing Inputs'!$AN$3=2,IF((N146-$H146)&gt;0,N146-$H146,0),(xSPRDOPT(N146,$E146,$BU146,0,$BP146,$BS146,$BT146,($A146-Inputs!$D$1)+15,1,0)))))</f>
        <v> </v>
      </c>
      <c r="V146" s="281" t="str">
        <f aca="false">IF($A146="N/A"," ",(IF('Pricing Inputs'!$AN$8=2,(O146-$H146),IF((O146-$H146)&lt;=0,0,(O146-$H146)))))</f>
        <v> </v>
      </c>
      <c r="W146" s="282" t="str">
        <f aca="false">IF($A146="N/A"," ",IF(0&lt;&gt;P146,IF('Pricing Inputs'!$AN$3=2,8*VLOOKUP($A146,NumberofDaysTable,2),(xSPRDOPT(I146,$E146,$BU146,0,$BP146,$BS146,$BT146,$A146-Inputs!$D$1,1,1))*(8*VLOOKUP($A146,NumberofDaysTable,2))),0))</f>
        <v> </v>
      </c>
      <c r="X146" s="282" t="str">
        <f aca="false">IF($A146="N/A"," ",IF(Q146&lt;&gt;0,IF('Pricing Inputs'!$AN$3=2,8*VLOOKUP($A146,NumberofDaysTable,2),(xSPRDOPT(J146,$E146,$BU146,0,$BP146,$BS146,$BT146,$A146-Inputs!$D$1,1,1))*(8*VLOOKUP($A146,NumberofDaysTable,2))),0))</f>
        <v> </v>
      </c>
      <c r="Y146" s="282" t="str">
        <f aca="false">IF($A146="N/A"," ",IF(R146&lt;&gt;0,IF('Pricing Inputs'!$AN$3=2,8*VLOOKUP($A146,NumberofDaysTable,3),(xSPRDOPT(K146,$E146,$BU146,0,$BP146,$BS146,$BT146,$A146-Inputs!$D$1,1,1))*(8*VLOOKUP($A146,NumberofDaysTable,3))),0))</f>
        <v> </v>
      </c>
      <c r="Z146" s="282" t="str">
        <f aca="false">IF($A146="N/A"," ",IF(S146&lt;&gt;0,IF('Pricing Inputs'!$AN$3=2,8*VLOOKUP($A146,NumberofDaysTable,3),(xSPRDOPT(L146,$E146,$BU146,0,$BP146,$BS146,$BT146,$A146-Inputs!$D$1,1,1))*(8*VLOOKUP($A146,NumberofDaysTable,3))),0))</f>
        <v> </v>
      </c>
      <c r="AA146" s="282" t="str">
        <f aca="false">IF($A146="N/A"," ",IF(T146&lt;&gt;0,IF('Pricing Inputs'!$AN$3=2,8*VLOOKUP($A146,NumberofDaysTable,4),(xSPRDOPT(M146,$E146,$BU146,0,$BP146,$BS146,$BT146,$A146-Inputs!$D$1,1,1))*(8*VLOOKUP($A146,NumberofDaysTable,4))),0))</f>
        <v> </v>
      </c>
      <c r="AB146" s="282" t="str">
        <f aca="false">IF($A146="N/A"," ",IF(U146&lt;&gt;0,IF('Pricing Inputs'!$AN$3=2,8*VLOOKUP($A146,NumberofDaysTable,4),(xSPRDOPT(N146,$E146,$BU146,0,$BP146,$BS146,$BT146,$A146-Inputs!$D$1,1,1))*(8*VLOOKUP($A146,NumberofDaysTable,4))),0))</f>
        <v> </v>
      </c>
      <c r="AC146" s="282" t="str">
        <f aca="false">IF($A146="N/A"," ",(IF(V146&lt;&gt;0,(8*VLOOKUP($A146,NumberofDaysTable,6)),0)))</f>
        <v> </v>
      </c>
      <c r="AD146" s="298" t="str">
        <f aca="false">IF($A146="N/A"," ",RANK(P146,$P$136:$V$147))</f>
        <v> </v>
      </c>
      <c r="AE146" s="299" t="str">
        <f aca="false">IF($A146="N/A"," ",RANK(Q146,$P$136:$V$147))</f>
        <v> </v>
      </c>
      <c r="AF146" s="299" t="str">
        <f aca="false">IF($A146="N/A"," ",RANK(R146,$P$136:$V$147))</f>
        <v> </v>
      </c>
      <c r="AG146" s="299" t="str">
        <f aca="false">IF($A146="N/A"," ",RANK(S146,$P$136:$V$147))</f>
        <v> </v>
      </c>
      <c r="AH146" s="299" t="str">
        <f aca="false">IF($A146="N/A"," ",RANK(T146,$P$136:$V$147))</f>
        <v> </v>
      </c>
      <c r="AI146" s="299" t="str">
        <f aca="false">IF($A146="N/A"," ",RANK(U146,$P$136:$V$147))</f>
        <v> </v>
      </c>
      <c r="AJ146" s="300" t="str">
        <f aca="false">IF($A146="N/A"," ",RANK(V146,$P$136:$V$147))</f>
        <v> </v>
      </c>
      <c r="AK146" s="286" t="str">
        <f aca="false">IF($A146="N/A"," ",IF(AD146&lt;=$AJ$2,W146,0))</f>
        <v> </v>
      </c>
      <c r="AL146" s="301" t="str">
        <f aca="false">IF($A146="N/A"," ",IF(AE146&lt;=$AJ$2,X146,0))</f>
        <v> </v>
      </c>
      <c r="AM146" s="301" t="str">
        <f aca="false">IF($A146="N/A"," ",IF(AF146&lt;=$AJ$2,Y146,0))</f>
        <v> </v>
      </c>
      <c r="AN146" s="301" t="str">
        <f aca="false">IF($A146="N/A"," ",IF(AG146&lt;=$AJ$2,Z146,0))</f>
        <v> </v>
      </c>
      <c r="AO146" s="301" t="str">
        <f aca="false">IF($A146="N/A"," ",IF(AH146&lt;=$AJ$2,AA146,0))</f>
        <v> </v>
      </c>
      <c r="AP146" s="301" t="str">
        <f aca="false">IF($A146="N/A"," ",IF(AI146&lt;=$AJ$2,AB146,0))</f>
        <v> </v>
      </c>
      <c r="AQ146" s="301" t="str">
        <f aca="false">IF($A146="N/A"," ",IF(AJ146&lt;=$AJ$2,AC146,0))</f>
        <v> </v>
      </c>
      <c r="AR146" s="300" t="n">
        <f aca="false">SUM(AK136:AQ147)</f>
        <v>0</v>
      </c>
      <c r="AS146" s="288" t="str">
        <f aca="false">IF($A146="N/A"," ",IF(AND(AD146=$AJ$2+1,AK146=0),MIN($AR$147,W146),0))</f>
        <v> </v>
      </c>
      <c r="AT146" s="302" t="str">
        <f aca="false">IF($A146="N/A"," ",IF(AND(AE146=$AJ$2+1,AL146=0),MIN($AR$147,X146),0))</f>
        <v> </v>
      </c>
      <c r="AU146" s="302" t="str">
        <f aca="false">IF($A146="N/A"," ",IF(AND(AF146=$AJ$2+1,AM146=0),MIN($AR$147,Y146),0))</f>
        <v> </v>
      </c>
      <c r="AV146" s="302" t="str">
        <f aca="false">IF($A146="N/A"," ",IF(AND(AG146=$AJ$2+1,AN146=0),MIN($AR$147,Z146),0))</f>
        <v> </v>
      </c>
      <c r="AW146" s="302" t="str">
        <f aca="false">IF($A146="N/A"," ",IF(AND(AH146=$AJ$2+1,AO146=0),MIN($AR$147,AA146),0))</f>
        <v> </v>
      </c>
      <c r="AX146" s="302" t="str">
        <f aca="false">IF($A146="N/A"," ",IF(AND(AI146=$AJ$2+1,AP146=0),MIN($AR$147,AB146),0))</f>
        <v> </v>
      </c>
      <c r="AY146" s="302" t="str">
        <f aca="false">IF($A146="N/A"," ",IF(AND(AJ146=$AJ$2+1,AQ146=0),MIN($AR$147,AC146),0))</f>
        <v> </v>
      </c>
      <c r="AZ146" s="300" t="n">
        <f aca="false">SUM(AS136:AY147)</f>
        <v>0</v>
      </c>
      <c r="BA146" s="291" t="str">
        <f aca="false">IF($A146="N/A"," ",(IF(MONTH(A146)&gt;=4,IF(MONTH(A146)&lt;=10,Inputs!$F$13,Inputs!$F$14),Inputs!$F$14))*$BW146)</f>
        <v> </v>
      </c>
      <c r="BB146" s="292" t="str">
        <f aca="false">IF($A146="N/A"," ",(IF(AK146&gt;0,($BA146*(8*(VLOOKUP($A146,NumberofDaysTable,2)))*P146),0)+IF(AS146&gt;0,($BA146*((AS146))*P146),0)))</f>
        <v> </v>
      </c>
      <c r="BC146" s="292" t="str">
        <f aca="false">IF($A146="N/A"," ",(IF(AL146&gt;0,($BA146*(8*(VLOOKUP($A146,NumberofDaysTable,2)))*Q146),0)+IF(AT146&gt;0,($BA146*((AT146))*Q146),0)))</f>
        <v> </v>
      </c>
      <c r="BD146" s="292" t="str">
        <f aca="false">IF($A146="N/A"," ",(IF(AM146&gt;0,($BA146*(8*(VLOOKUP($A146,NumberofDaysTable,3)))*R146),0)+IF(AU146&gt;0,($BA146*((AU146))*R146),0)))</f>
        <v> </v>
      </c>
      <c r="BE146" s="292" t="str">
        <f aca="false">IF($A146="N/A"," ",(IF(AN146&gt;0,($BA146*(8*(VLOOKUP($A146,NumberofDaysTable,3)))*S146),0)+IF(AV146&gt;0,($BA146*((AV146))*S146),0)))</f>
        <v> </v>
      </c>
      <c r="BF146" s="292" t="str">
        <f aca="false">IF($A146="N/A"," ",(IF(AO146&gt;0,($BA146*(8*(VLOOKUP($A146,NumberofDaysTable,4)+VLOOKUP($A146,NumberofDaysTable,5)))*T146),0)+IF(AW146&gt;0,($BA146*((AW146))*T146),0)))</f>
        <v> </v>
      </c>
      <c r="BG146" s="292" t="str">
        <f aca="false">IF($A146="N/A"," ",(IF(AP146&gt;0,($BA146*(8*(VLOOKUP($A146,NumberofDaysTable,4)+VLOOKUP($A146,NumberofDaysTable,5)))*U146),0)+IF(AX146&gt;0,($BA146*((AX146))*U146),0)))</f>
        <v> </v>
      </c>
      <c r="BH146" s="292" t="str">
        <f aca="false">IF($A146="N/A"," ",($BA146*AQ146*V146))</f>
        <v> </v>
      </c>
      <c r="BI146" s="292" t="str">
        <f aca="false">IF($A146="N/A"," ",SUM(BB146:BH146))</f>
        <v> </v>
      </c>
      <c r="BJ146" s="293" t="str">
        <f aca="false">IF($A146="N/A"," ",(H146*(SUM(AK146:AQ146)+SUM(AS146:AY146))*BA146))</f>
        <v> </v>
      </c>
      <c r="BK146" s="293" t="str">
        <f aca="false">IF($A146="N/A"," ",((C146*D146)*(SUM($AK146:$AQ146)+SUM($AS146:$AY146))*$BA146))</f>
        <v> </v>
      </c>
      <c r="BL146" s="293" t="str">
        <f aca="false">IF($A146="N/A"," ",(F146*(SUM($AK146:$AQ146)+SUM($AS146:$AY146))*$BA146))</f>
        <v> </v>
      </c>
      <c r="BM146" s="293" t="str">
        <f aca="false">IF($A146="N/A"," ",(G146*(SUM($AK146:$AQ146)+SUM($AS146:$AY146))*$BA146))</f>
        <v> </v>
      </c>
      <c r="BN146" s="294" t="str">
        <f aca="false">IF(A146="N/A"," ",(VLOOKUP(A146,PowerVolTable,(IF('Pricing Inputs'!$AT$3=2,7,IF('Pricing Inputs'!$AT$3=1,6,8))),FALSE())))</f>
        <v> </v>
      </c>
      <c r="BO146" s="294" t="str">
        <f aca="false">IF(A146="N/A"," ",(VLOOKUP(A146,IntraPowerVol,(IF('Pricing Inputs'!$AT$3=2,3,IF('Pricing Inputs'!$AT$3=1,2,4))),FALSE())*VLOOKUP(MONTH($A146),Inputs!$A$28:$B$39,2)))</f>
        <v> </v>
      </c>
      <c r="BP146" s="295" t="str">
        <f aca="false">IF($A146="N/A"," ",(IF(DateToday&gt;$A146,$BO146,((($BN146^2)*((($A146-1)-DateToday)/((EOMONTH($A146,0)+1)-DateToday-15)))+((($BO146)^2)*((15)/((EOMONTH($A146,0)+1)-DateToday-15))))^0.5)))</f>
        <v> </v>
      </c>
      <c r="BQ146" s="294" t="str">
        <f aca="false">IF($A146="N/A"," ",(VLOOKUP($A146,GasVolTable,(IF('Pricing Inputs'!$AT$3=2,6,IF('Pricing Inputs'!$AT$3=1,7,5))),FALSE())))</f>
        <v> </v>
      </c>
      <c r="BR146" s="294" t="str">
        <f aca="false">IF($A146="N/A"," ",(VLOOKUP($A146,OmicronVol,(IF('Pricing Inputs'!$AT$3=2,3,IF('Pricing Inputs'!$AT$3=1,4,2))),FALSE())))</f>
        <v> </v>
      </c>
      <c r="BS146" s="295" t="str">
        <f aca="false">IF($A146="N/A"," ",IF('Pricing Inputs'!$AN$3=1,(IF(DateToday&gt;$A146,$BR146,((($BQ146^2)*((($A146-1)-DateToday)/((EOMONTH($A146,0)+1)-DateToday-15)))+((($BR146)^2)*((15)/((EOMONTH($A146,0)+1)-DateToday-15))))^0.5)),0.0001))</f>
        <v> </v>
      </c>
      <c r="BT146" s="294" t="str">
        <f aca="false">IF($A146="N/A"," ",IF('Pricing Inputs'!$AN$3=1,(VLOOKUP($A146,CorrelationTable,2,FALSE())),0))</f>
        <v> </v>
      </c>
      <c r="BU146" s="296" t="str">
        <f aca="false">IF($A146="N/A"," ",F146+G146+(D146*(VLOOKUP($A146,'Gas Curves'!$B$17:$P$310,14,FALSE()))))</f>
        <v> </v>
      </c>
      <c r="BV146" s="294" t="str">
        <f aca="false">IF($A146="N/A"," ",IF('Pricing Inputs'!$AW$3=1,0,(VLOOKUP($A146,InterestRatesTable,2))))</f>
        <v> </v>
      </c>
      <c r="BW146" s="297" t="str">
        <f aca="false">IF($A146="N/A"," ",(1+BV146/2)^(-2*((EOMONTH(A146,0)+20)-DateToday)/365.25))</f>
        <v> </v>
      </c>
    </row>
    <row r="147" customFormat="false" ht="12.75" hidden="false" customHeight="false" outlineLevel="0" collapsed="false">
      <c r="A147" s="272" t="str">
        <f aca="false">IF(A146="N/A","N/A",IF(EDATE(A146,1)&gt;Inputs!$K$3,"N/A",EDATE(A146,1)))</f>
        <v>N/A</v>
      </c>
      <c r="B147" s="273" t="str">
        <f aca="false">IF(A147="N/A"," ",YEAR(A147))</f>
        <v> </v>
      </c>
      <c r="C147" s="274" t="str">
        <f aca="false">IF(A147="N/A"," ",VLOOKUP(A147,ScaledPrice,10))</f>
        <v> </v>
      </c>
      <c r="D147" s="275" t="str">
        <f aca="false">IF(A147="N/A"," ",(VLOOKUP(MONTH($A147),Inputs!$A$14:$B$25,2))/1000)</f>
        <v> </v>
      </c>
      <c r="E147" s="276" t="str">
        <f aca="false">IF($A147="N/A"," ",C147*D147)</f>
        <v> </v>
      </c>
      <c r="F147" s="277" t="str">
        <f aca="false">IF(A147="N/A"," ",Inputs!$F$6)</f>
        <v> </v>
      </c>
      <c r="G147" s="277" t="str">
        <f aca="false">IF(A147="N/A"," ",Inputs!$F$9/IF(AND('Pricing Inputs'!$AQ$3&gt;=4,'Pricing Inputs'!$AQ$3&lt;=6),16,IF(AND('Pricing Inputs'!$AQ$3&gt;=7,'Pricing Inputs'!$AQ$3&lt;=9),8,24))/(BA147/BW147))</f>
        <v> </v>
      </c>
      <c r="H147" s="278" t="str">
        <f aca="false">IF(A147="N/A"," ",(C147*D147)+F147+G147)</f>
        <v> </v>
      </c>
      <c r="I147" s="279" t="str">
        <f aca="false">VLOOKUP(A147,ScaledPrice,(IF(AND('Pricing Inputs'!$AQ$3&gt;=1,'Pricing Inputs'!$AQ$3&lt;=6),2,4)))</f>
        <v> </v>
      </c>
      <c r="J147" s="279" t="str">
        <f aca="false">IF(A147="N/A"," ",IF(AND('Pricing Inputs'!$AQ$3&gt;=1,'Pricing Inputs'!$AQ$3&lt;=6),I147,(VLOOKUP(A147,ScaledPrice,2))*(2-(VLOOKUP(A147,ScaledPrice,3)))))</f>
        <v> </v>
      </c>
      <c r="K147" s="279" t="str">
        <f aca="false">IF(A147="N/A"," ",IF(OR('Pricing Inputs'!$AQ$3=2,'Pricing Inputs'!$AQ$3=3,'Pricing Inputs'!$AQ$3=5,'Pricing Inputs'!$AQ$3=6,'Pricing Inputs'!$AQ$3=8,'Pricing Inputs'!$AQ$3=9),VLOOKUP(A147,ScaledPrice,IF(AND('Pricing Inputs'!$AQ$3&gt;=2,'Pricing Inputs'!$AQ$3&lt;=6),5,6)),0))</f>
        <v> </v>
      </c>
      <c r="L147" s="279" t="str">
        <f aca="false">IF(A147="N/A"," ",IF(OR('Pricing Inputs'!$AQ$3=2,'Pricing Inputs'!$AQ$3=3,'Pricing Inputs'!$AQ$3=5,'Pricing Inputs'!$AQ$3=6,'Pricing Inputs'!$AQ$3=8,'Pricing Inputs'!$AQ$3=9),IF(AND('Pricing Inputs'!$AQ$3&gt;=2,'Pricing Inputs'!$AQ$3&lt;=6),K147,(VLOOKUP(A147,ScaledPrice,5))*(2-(VLOOKUP(A147,ScaledPrice,3)))),0))</f>
        <v> </v>
      </c>
      <c r="M147" s="279" t="str">
        <f aca="false">IF(A147="N/A"," ",IF(OR('Pricing Inputs'!$AQ$3=3,'Pricing Inputs'!$AQ$3=6,'Pricing Inputs'!$AQ$3=9),(VLOOKUP(A147,ScaledPrice,IF(AND('Pricing Inputs'!$AQ$3&gt;=3,'Pricing Inputs'!$AQ$3&lt;=6),7,8))),0))</f>
        <v> </v>
      </c>
      <c r="N147" s="279" t="str">
        <f aca="false">IF(A147="N/A"," ",IF(OR('Pricing Inputs'!$AQ$3=3,'Pricing Inputs'!$AQ$3=6,'Pricing Inputs'!$AQ$3=9),IF(AND('Pricing Inputs'!$AQ$3&gt;=3,'Pricing Inputs'!$AQ$3&lt;=6),M147,(VLOOKUP(A147,ScaledPrice,7))*(2-(VLOOKUP(A147,ScaledPrice,3)))),0))</f>
        <v> </v>
      </c>
      <c r="O147" s="279" t="str">
        <f aca="false">IF(A147="N/A"," ",IF(AND('Pricing Inputs'!$AQ$3&gt;=1,'Pricing Inputs'!$AQ$3&lt;=3),VLOOKUP(A147,ScaledPrice,9),0))</f>
        <v> </v>
      </c>
      <c r="P147" s="280" t="str">
        <f aca="false">IF($A147="N/A"," ",IF('Pricing Inputs'!$AN$8=2,(I147-H147),IF('Pricing Inputs'!$AN$3=2,IF((I147-$H147)&gt;0,I147-$H147,0),(xSPRDOPT(I147,$E147,$BU147,0,$BP147,$BS147,$BT147,($A147-Inputs!$D$1)+15,1,0)))))</f>
        <v> </v>
      </c>
      <c r="Q147" s="280" t="str">
        <f aca="false">IF($A147="N/A"," ",IF('Pricing Inputs'!$AN$8=2,(J147-$H147),IF('Pricing Inputs'!$AN$3=2,IF((J147-$H147)&gt;0,J147-$H147,0),(xSPRDOPT(J147,$E147,$BU147,0,$BP147,$BS147,$BT147,($A147-Inputs!$D$1)+15,1,0)))))</f>
        <v> </v>
      </c>
      <c r="R147" s="280" t="str">
        <f aca="false">IF($A147="N/A"," ",IF('Pricing Inputs'!$AN$8=2,(K147-$H147),IF('Pricing Inputs'!$AN$3=2,IF((K147-$H147)&gt;0,K147-$H147,0),(xSPRDOPT(K147,$E147,$BU147,0,$BP147,$BS147,$BT147,($A147-Inputs!$D$1)+15,1,0)))))</f>
        <v> </v>
      </c>
      <c r="S147" s="280" t="str">
        <f aca="false">IF($A147="N/A"," ",IF('Pricing Inputs'!$AN$8=2,(L147-$H147),IF('Pricing Inputs'!$AN$3=2,IF((L147-$H147)&gt;0,L147-$H147,0),(xSPRDOPT(L147,$E147,$BU147,0,$BP147,$BS147,$BT147,($A147-Inputs!$D$1)+15,1,0)))))</f>
        <v> </v>
      </c>
      <c r="T147" s="280" t="str">
        <f aca="false">IF($A147="N/A"," ",IF('Pricing Inputs'!$AN$8=2,(M147-$H147),IF('Pricing Inputs'!$AN$3=2,IF((M147-$H147)&gt;0,M147-$H147,0),(xSPRDOPT(M147,$E147,$BU147,0,$BP147,$BS147,$BT147,($A147-Inputs!$D$1)+15,1,0)))))</f>
        <v> </v>
      </c>
      <c r="U147" s="280" t="str">
        <f aca="false">IF($A147="N/A"," ",IF('Pricing Inputs'!$AN$8=2,(N147-$H147),IF('Pricing Inputs'!$AN$3=2,IF((N147-$H147)&gt;0,N147-$H147,0),(xSPRDOPT(N147,$E147,$BU147,0,$BP147,$BS147,$BT147,($A147-Inputs!$D$1)+15,1,0)))))</f>
        <v> </v>
      </c>
      <c r="V147" s="281" t="str">
        <f aca="false">IF($A147="N/A"," ",(IF('Pricing Inputs'!$AN$8=2,(O147-$H147),IF((O147-$H147)&lt;=0,0,(O147-$H147)))))</f>
        <v> </v>
      </c>
      <c r="W147" s="282" t="str">
        <f aca="false">IF($A147="N/A"," ",IF(0&lt;&gt;P147,IF('Pricing Inputs'!$AN$3=2,8*VLOOKUP($A147,NumberofDaysTable,2),(xSPRDOPT(I147,$E147,$BU147,0,$BP147,$BS147,$BT147,$A147-Inputs!$D$1,1,1))*(8*VLOOKUP($A147,NumberofDaysTable,2))),0))</f>
        <v> </v>
      </c>
      <c r="X147" s="282" t="str">
        <f aca="false">IF($A147="N/A"," ",IF(Q147&lt;&gt;0,IF('Pricing Inputs'!$AN$3=2,8*VLOOKUP($A147,NumberofDaysTable,2),(xSPRDOPT(J147,$E147,$BU147,0,$BP147,$BS147,$BT147,$A147-Inputs!$D$1,1,1))*(8*VLOOKUP($A147,NumberofDaysTable,2))),0))</f>
        <v> </v>
      </c>
      <c r="Y147" s="282" t="str">
        <f aca="false">IF($A147="N/A"," ",IF(R147&lt;&gt;0,IF('Pricing Inputs'!$AN$3=2,8*VLOOKUP($A147,NumberofDaysTable,3),(xSPRDOPT(K147,$E147,$BU147,0,$BP147,$BS147,$BT147,$A147-Inputs!$D$1,1,1))*(8*VLOOKUP($A147,NumberofDaysTable,3))),0))</f>
        <v> </v>
      </c>
      <c r="Z147" s="282" t="str">
        <f aca="false">IF($A147="N/A"," ",IF(S147&lt;&gt;0,IF('Pricing Inputs'!$AN$3=2,8*VLOOKUP($A147,NumberofDaysTable,3),(xSPRDOPT(L147,$E147,$BU147,0,$BP147,$BS147,$BT147,$A147-Inputs!$D$1,1,1))*(8*VLOOKUP($A147,NumberofDaysTable,3))),0))</f>
        <v> </v>
      </c>
      <c r="AA147" s="282" t="str">
        <f aca="false">IF($A147="N/A"," ",IF(T147&lt;&gt;0,IF('Pricing Inputs'!$AN$3=2,8*VLOOKUP($A147,NumberofDaysTable,4),(xSPRDOPT(M147,$E147,$BU147,0,$BP147,$BS147,$BT147,$A147-Inputs!$D$1,1,1))*(8*VLOOKUP($A147,NumberofDaysTable,4))),0))</f>
        <v> </v>
      </c>
      <c r="AB147" s="282" t="str">
        <f aca="false">IF($A147="N/A"," ",IF(U147&lt;&gt;0,IF('Pricing Inputs'!$AN$3=2,8*VLOOKUP($A147,NumberofDaysTable,4),(xSPRDOPT(N147,$E147,$BU147,0,$BP147,$BS147,$BT147,$A147-Inputs!$D$1,1,1))*(8*VLOOKUP($A147,NumberofDaysTable,4))),0))</f>
        <v> </v>
      </c>
      <c r="AC147" s="282" t="str">
        <f aca="false">IF($A147="N/A"," ",(IF(V147&lt;&gt;0,(8*VLOOKUP($A147,NumberofDaysTable,6)),0)))</f>
        <v> </v>
      </c>
      <c r="AD147" s="305" t="str">
        <f aca="false">IF($A147="N/A"," ",RANK(P147,$P$136:$V$147))</f>
        <v> </v>
      </c>
      <c r="AE147" s="306" t="str">
        <f aca="false">IF($A147="N/A"," ",RANK(Q147,$P$136:$V$147))</f>
        <v> </v>
      </c>
      <c r="AF147" s="306" t="str">
        <f aca="false">IF($A147="N/A"," ",RANK(R147,$P$136:$V$147))</f>
        <v> </v>
      </c>
      <c r="AG147" s="306" t="str">
        <f aca="false">IF($A147="N/A"," ",RANK(S147,$P$136:$V$147))</f>
        <v> </v>
      </c>
      <c r="AH147" s="306" t="str">
        <f aca="false">IF($A147="N/A"," ",RANK(T147,$P$136:$V$147))</f>
        <v> </v>
      </c>
      <c r="AI147" s="306" t="str">
        <f aca="false">IF($A147="N/A"," ",RANK(U147,$P$136:$V$147))</f>
        <v> </v>
      </c>
      <c r="AJ147" s="307" t="str">
        <f aca="false">IF($A147="N/A"," ",RANK(V147,$P$136:$V$147))</f>
        <v> </v>
      </c>
      <c r="AK147" s="308" t="str">
        <f aca="false">IF($A147="N/A"," ",IF(AD147&lt;=$AJ$2,W147,0))</f>
        <v> </v>
      </c>
      <c r="AL147" s="309" t="str">
        <f aca="false">IF($A147="N/A"," ",IF(AE147&lt;=$AJ$2,X147,0))</f>
        <v> </v>
      </c>
      <c r="AM147" s="309" t="str">
        <f aca="false">IF($A147="N/A"," ",IF(AF147&lt;=$AJ$2,Y147,0))</f>
        <v> </v>
      </c>
      <c r="AN147" s="309" t="str">
        <f aca="false">IF($A147="N/A"," ",IF(AG147&lt;=$AJ$2,Z147,0))</f>
        <v> </v>
      </c>
      <c r="AO147" s="309" t="str">
        <f aca="false">IF($A147="N/A"," ",IF(AH147&lt;=$AJ$2,AA147,0))</f>
        <v> </v>
      </c>
      <c r="AP147" s="309" t="str">
        <f aca="false">IF($A147="N/A"," ",IF(AI147&lt;=$AJ$2,AB147,0))</f>
        <v> </v>
      </c>
      <c r="AQ147" s="309" t="str">
        <f aca="false">IF($A147="N/A"," ",IF(AJ147&lt;=$AJ$2,AC147,0))</f>
        <v> </v>
      </c>
      <c r="AR147" s="307" t="n">
        <f aca="false">IF(($AP$2-AR146)&gt;=0,$AP$2-AR146,0)</f>
        <v>1400</v>
      </c>
      <c r="AS147" s="310" t="str">
        <f aca="false">IF($A147="N/A"," ",IF(AND(AD147=$AJ$2+1,AK147=0),MIN($AR$147,W147),0))</f>
        <v> </v>
      </c>
      <c r="AT147" s="311" t="str">
        <f aca="false">IF($A147="N/A"," ",IF(AND(AE147=$AJ$2+1,AL147=0),MIN($AR$147,X147),0))</f>
        <v> </v>
      </c>
      <c r="AU147" s="311" t="str">
        <f aca="false">IF($A147="N/A"," ",IF(AND(AF147=$AJ$2+1,AM147=0),MIN($AR$147,Y147),0))</f>
        <v> </v>
      </c>
      <c r="AV147" s="311" t="str">
        <f aca="false">IF($A147="N/A"," ",IF(AND(AG147=$AJ$2+1,AN147=0),MIN($AR$147,Z147),0))</f>
        <v> </v>
      </c>
      <c r="AW147" s="311" t="str">
        <f aca="false">IF($A147="N/A"," ",IF(AND(AH147=$AJ$2+1,AO147=0),MIN($AR$147,AA147),0))</f>
        <v> </v>
      </c>
      <c r="AX147" s="311" t="str">
        <f aca="false">IF($A147="N/A"," ",IF(AND(AI147=$AJ$2+1,AP147=0),MIN($AR$147,AB147),0))</f>
        <v> </v>
      </c>
      <c r="AY147" s="311" t="str">
        <f aca="false">IF($A147="N/A"," ",IF(AND(AJ147=$AJ$2+1,AQ147=0),MIN($AR$147,AC147),0))</f>
        <v> </v>
      </c>
      <c r="AZ147" s="312" t="n">
        <f aca="false">AR146+AZ146</f>
        <v>0</v>
      </c>
      <c r="BA147" s="291" t="str">
        <f aca="false">IF($A147="N/A"," ",(IF(MONTH(A147)&gt;=4,IF(MONTH(A147)&lt;=10,Inputs!$F$13,Inputs!$F$14),Inputs!$F$14))*$BW147)</f>
        <v> </v>
      </c>
      <c r="BB147" s="292" t="str">
        <f aca="false">IF($A147="N/A"," ",(IF(AK147&gt;0,($BA147*(8*(VLOOKUP($A147,NumberofDaysTable,2)))*P147),0)+IF(AS147&gt;0,($BA147*((AS147))*P147),0)))</f>
        <v> </v>
      </c>
      <c r="BC147" s="292" t="str">
        <f aca="false">IF($A147="N/A"," ",(IF(AL147&gt;0,($BA147*(8*(VLOOKUP($A147,NumberofDaysTable,2)))*Q147),0)+IF(AT147&gt;0,($BA147*((AT147))*Q147),0)))</f>
        <v> </v>
      </c>
      <c r="BD147" s="292" t="str">
        <f aca="false">IF($A147="N/A"," ",(IF(AM147&gt;0,($BA147*(8*(VLOOKUP($A147,NumberofDaysTable,3)))*R147),0)+IF(AU147&gt;0,($BA147*((AU147))*R147),0)))</f>
        <v> </v>
      </c>
      <c r="BE147" s="292" t="str">
        <f aca="false">IF($A147="N/A"," ",(IF(AN147&gt;0,($BA147*(8*(VLOOKUP($A147,NumberofDaysTable,3)))*S147),0)+IF(AV147&gt;0,($BA147*((AV147))*S147),0)))</f>
        <v> </v>
      </c>
      <c r="BF147" s="292" t="str">
        <f aca="false">IF($A147="N/A"," ",(IF(AO147&gt;0,($BA147*(8*(VLOOKUP($A147,NumberofDaysTable,4)+VLOOKUP($A147,NumberofDaysTable,5)))*T147),0)+IF(AW147&gt;0,($BA147*((AW147))*T147),0)))</f>
        <v> </v>
      </c>
      <c r="BG147" s="292" t="str">
        <f aca="false">IF($A147="N/A"," ",(IF(AP147&gt;0,($BA147*(8*(VLOOKUP($A147,NumberofDaysTable,4)+VLOOKUP($A147,NumberofDaysTable,5)))*U147),0)+IF(AX147&gt;0,($BA147*((AX147))*U147),0)))</f>
        <v> </v>
      </c>
      <c r="BH147" s="292" t="str">
        <f aca="false">IF($A147="N/A"," ",($BA147*AQ147*V147))</f>
        <v> </v>
      </c>
      <c r="BI147" s="292" t="str">
        <f aca="false">IF($A147="N/A"," ",SUM(BB147:BH147))</f>
        <v> </v>
      </c>
      <c r="BJ147" s="293" t="str">
        <f aca="false">IF($A147="N/A"," ",(H147*(SUM(AK147:AQ147)+SUM(AS147:AY147))*BA147))</f>
        <v> </v>
      </c>
      <c r="BK147" s="293" t="str">
        <f aca="false">IF($A147="N/A"," ",((C147*D147)*(SUM($AK147:$AQ147)+SUM($AS147:$AY147))*$BA147))</f>
        <v> </v>
      </c>
      <c r="BL147" s="293" t="str">
        <f aca="false">IF($A147="N/A"," ",(F147*(SUM($AK147:$AQ147)+SUM($AS147:$AY147))*$BA147))</f>
        <v> </v>
      </c>
      <c r="BM147" s="293" t="str">
        <f aca="false">IF($A147="N/A"," ",(G147*(SUM($AK147:$AQ147)+SUM($AS147:$AY147))*$BA147))</f>
        <v> </v>
      </c>
      <c r="BN147" s="294" t="str">
        <f aca="false">IF(A147="N/A"," ",(VLOOKUP(A147,PowerVolTable,(IF('Pricing Inputs'!$AT$3=2,7,IF('Pricing Inputs'!$AT$3=1,6,8))),FALSE())))</f>
        <v> </v>
      </c>
      <c r="BO147" s="294" t="str">
        <f aca="false">IF(A147="N/A"," ",(VLOOKUP(A147,IntraPowerVol,(IF('Pricing Inputs'!$AT$3=2,3,IF('Pricing Inputs'!$AT$3=1,2,4))),FALSE())*VLOOKUP(MONTH($A147),Inputs!$A$28:$B$39,2)))</f>
        <v> </v>
      </c>
      <c r="BP147" s="295" t="str">
        <f aca="false">IF($A147="N/A"," ",(IF(DateToday&gt;$A147,$BO147,((($BN147^2)*((($A147-1)-DateToday)/((EOMONTH($A147,0)+1)-DateToday-15)))+((($BO147)^2)*((15)/((EOMONTH($A147,0)+1)-DateToday-15))))^0.5)))</f>
        <v> </v>
      </c>
      <c r="BQ147" s="294" t="str">
        <f aca="false">IF($A147="N/A"," ",(VLOOKUP($A147,GasVolTable,(IF('Pricing Inputs'!$AT$3=2,6,IF('Pricing Inputs'!$AT$3=1,7,5))),FALSE())))</f>
        <v> </v>
      </c>
      <c r="BR147" s="294" t="str">
        <f aca="false">IF($A147="N/A"," ",(VLOOKUP($A147,OmicronVol,(IF('Pricing Inputs'!$AT$3=2,3,IF('Pricing Inputs'!$AT$3=1,4,2))),FALSE())))</f>
        <v> </v>
      </c>
      <c r="BS147" s="295" t="str">
        <f aca="false">IF($A147="N/A"," ",IF('Pricing Inputs'!$AN$3=1,(IF(DateToday&gt;$A147,$BR147,((($BQ147^2)*((($A147-1)-DateToday)/((EOMONTH($A147,0)+1)-DateToday-15)))+((($BR147)^2)*((15)/((EOMONTH($A147,0)+1)-DateToday-15))))^0.5)),0.0001))</f>
        <v> </v>
      </c>
      <c r="BT147" s="294" t="str">
        <f aca="false">IF($A147="N/A"," ",IF('Pricing Inputs'!$AN$3=1,(VLOOKUP($A147,CorrelationTable,2,FALSE())),0))</f>
        <v> </v>
      </c>
      <c r="BU147" s="296" t="str">
        <f aca="false">IF($A147="N/A"," ",F147+G147+(D147*(VLOOKUP($A147,'Gas Curves'!$B$17:$P$310,14,FALSE()))))</f>
        <v> </v>
      </c>
      <c r="BV147" s="294" t="str">
        <f aca="false">IF($A147="N/A"," ",IF('Pricing Inputs'!$AW$3=1,0,(VLOOKUP($A147,InterestRatesTable,2))))</f>
        <v> </v>
      </c>
      <c r="BW147" s="297" t="str">
        <f aca="false">IF($A147="N/A"," ",(1+BV147/2)^(-2*((EOMONTH(A147,0)+20)-DateToday)/365.25))</f>
        <v> </v>
      </c>
    </row>
    <row r="148" customFormat="false" ht="12.75" hidden="false" customHeight="false" outlineLevel="0" collapsed="false">
      <c r="A148" s="272" t="str">
        <f aca="false">IF(A147="N/A","N/A",IF(EDATE(A147,1)&gt;Inputs!$K$3,"N/A",EDATE(A147,1)))</f>
        <v>N/A</v>
      </c>
      <c r="B148" s="273" t="str">
        <f aca="false">IF(A148="N/A"," ",YEAR(A148))</f>
        <v> </v>
      </c>
      <c r="C148" s="274" t="str">
        <f aca="false">IF(A148="N/A"," ",VLOOKUP(A148,ScaledPrice,10))</f>
        <v> </v>
      </c>
      <c r="D148" s="275" t="str">
        <f aca="false">IF(A148="N/A"," ",(VLOOKUP(MONTH($A148),Inputs!$A$14:$B$25,2))/1000)</f>
        <v> </v>
      </c>
      <c r="E148" s="276" t="str">
        <f aca="false">IF($A148="N/A"," ",C148*D148)</f>
        <v> </v>
      </c>
      <c r="F148" s="277" t="str">
        <f aca="false">IF(A148="N/A"," ",Inputs!$F$6)</f>
        <v> </v>
      </c>
      <c r="G148" s="277" t="str">
        <f aca="false">IF(A148="N/A"," ",Inputs!$F$9/IF(AND('Pricing Inputs'!$AQ$3&gt;=4,'Pricing Inputs'!$AQ$3&lt;=6),16,IF(AND('Pricing Inputs'!$AQ$3&gt;=7,'Pricing Inputs'!$AQ$3&lt;=9),8,24))/(BA148/BW148))</f>
        <v> </v>
      </c>
      <c r="H148" s="278" t="str">
        <f aca="false">IF(A148="N/A"," ",(C148*D148)+F148+G148)</f>
        <v> </v>
      </c>
      <c r="I148" s="279" t="str">
        <f aca="false">VLOOKUP(A148,ScaledPrice,(IF(AND('Pricing Inputs'!$AQ$3&gt;=1,'Pricing Inputs'!$AQ$3&lt;=6),2,4)))</f>
        <v> </v>
      </c>
      <c r="J148" s="279" t="str">
        <f aca="false">IF(A148="N/A"," ",IF(AND('Pricing Inputs'!$AQ$3&gt;=1,'Pricing Inputs'!$AQ$3&lt;=6),I148,(VLOOKUP(A148,ScaledPrice,2))*(2-(VLOOKUP(A148,ScaledPrice,3)))))</f>
        <v> </v>
      </c>
      <c r="K148" s="279" t="str">
        <f aca="false">IF(A148="N/A"," ",IF(OR('Pricing Inputs'!$AQ$3=2,'Pricing Inputs'!$AQ$3=3,'Pricing Inputs'!$AQ$3=5,'Pricing Inputs'!$AQ$3=6,'Pricing Inputs'!$AQ$3=8,'Pricing Inputs'!$AQ$3=9),VLOOKUP(A148,ScaledPrice,IF(AND('Pricing Inputs'!$AQ$3&gt;=2,'Pricing Inputs'!$AQ$3&lt;=6),5,6)),0))</f>
        <v> </v>
      </c>
      <c r="L148" s="279" t="str">
        <f aca="false">IF(A148="N/A"," ",IF(OR('Pricing Inputs'!$AQ$3=2,'Pricing Inputs'!$AQ$3=3,'Pricing Inputs'!$AQ$3=5,'Pricing Inputs'!$AQ$3=6,'Pricing Inputs'!$AQ$3=8,'Pricing Inputs'!$AQ$3=9),IF(AND('Pricing Inputs'!$AQ$3&gt;=2,'Pricing Inputs'!$AQ$3&lt;=6),K148,(VLOOKUP(A148,ScaledPrice,5))*(2-(VLOOKUP(A148,ScaledPrice,3)))),0))</f>
        <v> </v>
      </c>
      <c r="M148" s="279" t="str">
        <f aca="false">IF(A148="N/A"," ",IF(OR('Pricing Inputs'!$AQ$3=3,'Pricing Inputs'!$AQ$3=6,'Pricing Inputs'!$AQ$3=9),(VLOOKUP(A148,ScaledPrice,IF(AND('Pricing Inputs'!$AQ$3&gt;=3,'Pricing Inputs'!$AQ$3&lt;=6),7,8))),0))</f>
        <v> </v>
      </c>
      <c r="N148" s="279" t="str">
        <f aca="false">IF(A148="N/A"," ",IF(OR('Pricing Inputs'!$AQ$3=3,'Pricing Inputs'!$AQ$3=6,'Pricing Inputs'!$AQ$3=9),IF(AND('Pricing Inputs'!$AQ$3&gt;=3,'Pricing Inputs'!$AQ$3&lt;=6),M148,(VLOOKUP(A148,ScaledPrice,7))*(2-(VLOOKUP(A148,ScaledPrice,3)))),0))</f>
        <v> </v>
      </c>
      <c r="O148" s="279" t="str">
        <f aca="false">IF(A148="N/A"," ",IF(AND('Pricing Inputs'!$AQ$3&gt;=1,'Pricing Inputs'!$AQ$3&lt;=3),VLOOKUP(A148,ScaledPrice,9),0))</f>
        <v> </v>
      </c>
      <c r="P148" s="280" t="str">
        <f aca="false">IF($A148="N/A"," ",IF('Pricing Inputs'!$AN$8=2,(I148-H148),IF('Pricing Inputs'!$AN$3=2,IF((I148-$H148)&gt;0,I148-$H148,0),(xSPRDOPT(I148,$E148,$BU148,0,$BP148,$BS148,$BT148,($A148-Inputs!$D$1)+15,1,0)))))</f>
        <v> </v>
      </c>
      <c r="Q148" s="280" t="str">
        <f aca="false">IF($A148="N/A"," ",IF('Pricing Inputs'!$AN$8=2,(J148-$H148),IF('Pricing Inputs'!$AN$3=2,IF((J148-$H148)&gt;0,J148-$H148,0),(xSPRDOPT(J148,$E148,$BU148,0,$BP148,$BS148,$BT148,($A148-Inputs!$D$1)+15,1,0)))))</f>
        <v> </v>
      </c>
      <c r="R148" s="280" t="str">
        <f aca="false">IF($A148="N/A"," ",IF('Pricing Inputs'!$AN$8=2,(K148-$H148),IF('Pricing Inputs'!$AN$3=2,IF((K148-$H148)&gt;0,K148-$H148,0),(xSPRDOPT(K148,$E148,$BU148,0,$BP148,$BS148,$BT148,($A148-Inputs!$D$1)+15,1,0)))))</f>
        <v> </v>
      </c>
      <c r="S148" s="280" t="str">
        <f aca="false">IF($A148="N/A"," ",IF('Pricing Inputs'!$AN$8=2,(L148-$H148),IF('Pricing Inputs'!$AN$3=2,IF((L148-$H148)&gt;0,L148-$H148,0),(xSPRDOPT(L148,$E148,$BU148,0,$BP148,$BS148,$BT148,($A148-Inputs!$D$1)+15,1,0)))))</f>
        <v> </v>
      </c>
      <c r="T148" s="280" t="str">
        <f aca="false">IF($A148="N/A"," ",IF('Pricing Inputs'!$AN$8=2,(M148-$H148),IF('Pricing Inputs'!$AN$3=2,IF((M148-$H148)&gt;0,M148-$H148,0),(xSPRDOPT(M148,$E148,$BU148,0,$BP148,$BS148,$BT148,($A148-Inputs!$D$1)+15,1,0)))))</f>
        <v> </v>
      </c>
      <c r="U148" s="280" t="str">
        <f aca="false">IF($A148="N/A"," ",IF('Pricing Inputs'!$AN$8=2,(N148-$H148),IF('Pricing Inputs'!$AN$3=2,IF((N148-$H148)&gt;0,N148-$H148,0),(xSPRDOPT(N148,$E148,$BU148,0,$BP148,$BS148,$BT148,($A148-Inputs!$D$1)+15,1,0)))))</f>
        <v> </v>
      </c>
      <c r="V148" s="281" t="str">
        <f aca="false">IF($A148="N/A"," ",(IF('Pricing Inputs'!$AN$8=2,(O148-$H148),IF((O148-$H148)&lt;=0,0,(O148-$H148)))))</f>
        <v> </v>
      </c>
      <c r="W148" s="282" t="str">
        <f aca="false">IF($A148="N/A"," ",IF(0&lt;&gt;P148,IF('Pricing Inputs'!$AN$3=2,8*VLOOKUP($A148,NumberofDaysTable,2),(xSPRDOPT(I148,$E148,$BU148,0,$BP148,$BS148,$BT148,$A148-Inputs!$D$1,1,1))*(8*VLOOKUP($A148,NumberofDaysTable,2))),0))</f>
        <v> </v>
      </c>
      <c r="X148" s="282" t="str">
        <f aca="false">IF($A148="N/A"," ",IF(Q148&lt;&gt;0,IF('Pricing Inputs'!$AN$3=2,8*VLOOKUP($A148,NumberofDaysTable,2),(xSPRDOPT(J148,$E148,$BU148,0,$BP148,$BS148,$BT148,$A148-Inputs!$D$1,1,1))*(8*VLOOKUP($A148,NumberofDaysTable,2))),0))</f>
        <v> </v>
      </c>
      <c r="Y148" s="282" t="str">
        <f aca="false">IF($A148="N/A"," ",IF(R148&lt;&gt;0,IF('Pricing Inputs'!$AN$3=2,8*VLOOKUP($A148,NumberofDaysTable,3),(xSPRDOPT(K148,$E148,$BU148,0,$BP148,$BS148,$BT148,$A148-Inputs!$D$1,1,1))*(8*VLOOKUP($A148,NumberofDaysTable,3))),0))</f>
        <v> </v>
      </c>
      <c r="Z148" s="282" t="str">
        <f aca="false">IF($A148="N/A"," ",IF(S148&lt;&gt;0,IF('Pricing Inputs'!$AN$3=2,8*VLOOKUP($A148,NumberofDaysTable,3),(xSPRDOPT(L148,$E148,$BU148,0,$BP148,$BS148,$BT148,$A148-Inputs!$D$1,1,1))*(8*VLOOKUP($A148,NumberofDaysTable,3))),0))</f>
        <v> </v>
      </c>
      <c r="AA148" s="282" t="str">
        <f aca="false">IF($A148="N/A"," ",IF(T148&lt;&gt;0,IF('Pricing Inputs'!$AN$3=2,8*VLOOKUP($A148,NumberofDaysTable,4),(xSPRDOPT(M148,$E148,$BU148,0,$BP148,$BS148,$BT148,$A148-Inputs!$D$1,1,1))*(8*VLOOKUP($A148,NumberofDaysTable,4))),0))</f>
        <v> </v>
      </c>
      <c r="AB148" s="282" t="str">
        <f aca="false">IF($A148="N/A"," ",IF(U148&lt;&gt;0,IF('Pricing Inputs'!$AN$3=2,8*VLOOKUP($A148,NumberofDaysTable,4),(xSPRDOPT(N148,$E148,$BU148,0,$BP148,$BS148,$BT148,$A148-Inputs!$D$1,1,1))*(8*VLOOKUP($A148,NumberofDaysTable,4))),0))</f>
        <v> </v>
      </c>
      <c r="AC148" s="282" t="str">
        <f aca="false">IF($A148="N/A"," ",(IF(V148&lt;&gt;0,(8*VLOOKUP($A148,NumberofDaysTable,6)),0)))</f>
        <v> </v>
      </c>
      <c r="AD148" s="283" t="str">
        <f aca="false">IF($A148="N/A"," ",RANK(P148,$P$148:$V$159))</f>
        <v> </v>
      </c>
      <c r="AE148" s="284" t="str">
        <f aca="false">IF($A148="N/A"," ",RANK(Q148,$P$148:$V$159))</f>
        <v> </v>
      </c>
      <c r="AF148" s="284" t="str">
        <f aca="false">IF($A148="N/A"," ",RANK(R148,$P$148:$V$159))</f>
        <v> </v>
      </c>
      <c r="AG148" s="284" t="str">
        <f aca="false">IF($A148="N/A"," ",RANK(S148,$P$148:$V$159))</f>
        <v> </v>
      </c>
      <c r="AH148" s="284" t="str">
        <f aca="false">IF($A148="N/A"," ",RANK(T148,$P$148:$V$159))</f>
        <v> </v>
      </c>
      <c r="AI148" s="284" t="str">
        <f aca="false">IF($A148="N/A"," ",RANK(U148,$P$148:$V$159))</f>
        <v> </v>
      </c>
      <c r="AJ148" s="285" t="str">
        <f aca="false">IF($A148="N/A"," ",RANK(V148,$P$148:$V$159))</f>
        <v> </v>
      </c>
      <c r="AK148" s="313" t="str">
        <f aca="false">IF($A148="N/A"," ",IF(AD148&lt;=$AJ$2,W148,0))</f>
        <v> </v>
      </c>
      <c r="AL148" s="287" t="str">
        <f aca="false">IF($A148="N/A"," ",IF(AE148&lt;=$AJ$2,X148,0))</f>
        <v> </v>
      </c>
      <c r="AM148" s="287" t="str">
        <f aca="false">IF($A148="N/A"," ",IF(AF148&lt;=$AJ$2,Y148,0))</f>
        <v> </v>
      </c>
      <c r="AN148" s="287" t="str">
        <f aca="false">IF($A148="N/A"," ",IF(AG148&lt;=$AJ$2,Z148,0))</f>
        <v> </v>
      </c>
      <c r="AO148" s="287" t="str">
        <f aca="false">IF($A148="N/A"," ",IF(AH148&lt;=$AJ$2,AA148,0))</f>
        <v> </v>
      </c>
      <c r="AP148" s="287" t="str">
        <f aca="false">IF($A148="N/A"," ",IF(AI148&lt;=$AJ$2,AB148,0))</f>
        <v> </v>
      </c>
      <c r="AQ148" s="287" t="str">
        <f aca="false">IF($A148="N/A"," ",IF(AJ148&lt;=$AJ$2,AC148,0))</f>
        <v> </v>
      </c>
      <c r="AR148" s="285"/>
      <c r="AS148" s="314" t="str">
        <f aca="false">IF($A148="N/A"," ",IF(AND(AD148=$AJ$2+1,AK148=0),MIN($AR$159,W148),0))</f>
        <v> </v>
      </c>
      <c r="AT148" s="289" t="str">
        <f aca="false">IF($A148="N/A"," ",IF(AND(AE148=$AJ$2+1,AL148=0),MIN($AR$159,X148),0))</f>
        <v> </v>
      </c>
      <c r="AU148" s="289" t="str">
        <f aca="false">IF($A148="N/A"," ",IF(AND(AF148=$AJ$2+1,AM148=0),MIN($AR$159,Y148),0))</f>
        <v> </v>
      </c>
      <c r="AV148" s="289" t="str">
        <f aca="false">IF($A148="N/A"," ",IF(AND(AG148=$AJ$2+1,AN148=0),MIN($AR$159,Z148),0))</f>
        <v> </v>
      </c>
      <c r="AW148" s="289" t="str">
        <f aca="false">IF($A148="N/A"," ",IF(AND(AH148=$AJ$2+1,AO148=0),MIN($AR$159,AA148),0))</f>
        <v> </v>
      </c>
      <c r="AX148" s="289" t="str">
        <f aca="false">IF($A148="N/A"," ",IF(AND(AI148=$AJ$2+1,AP148=0),MIN($AR$159,AB148),0))</f>
        <v> </v>
      </c>
      <c r="AY148" s="289" t="str">
        <f aca="false">IF($A148="N/A"," ",IF(AND(AJ148=$AJ$2+1,AQ148=0),MIN($AR$159,AC148),0))</f>
        <v> </v>
      </c>
      <c r="AZ148" s="285"/>
      <c r="BA148" s="291" t="str">
        <f aca="false">IF($A148="N/A"," ",(IF(MONTH(A148)&gt;=4,IF(MONTH(A148)&lt;=10,Inputs!$F$13,Inputs!$F$14),Inputs!$F$14))*$BW148)</f>
        <v> </v>
      </c>
      <c r="BB148" s="292" t="str">
        <f aca="false">IF($A148="N/A"," ",(IF(AK148&gt;0,($BA148*(8*(VLOOKUP($A148,NumberofDaysTable,2)))*P148),0)+IF(AS148&gt;0,($BA148*((AS148))*P148),0)))</f>
        <v> </v>
      </c>
      <c r="BC148" s="292" t="str">
        <f aca="false">IF($A148="N/A"," ",(IF(AL148&gt;0,($BA148*(8*(VLOOKUP($A148,NumberofDaysTable,2)))*Q148),0)+IF(AT148&gt;0,($BA148*((AT148))*Q148),0)))</f>
        <v> </v>
      </c>
      <c r="BD148" s="292" t="str">
        <f aca="false">IF($A148="N/A"," ",(IF(AM148&gt;0,($BA148*(8*(VLOOKUP($A148,NumberofDaysTable,3)))*R148),0)+IF(AU148&gt;0,($BA148*((AU148))*R148),0)))</f>
        <v> </v>
      </c>
      <c r="BE148" s="292" t="str">
        <f aca="false">IF($A148="N/A"," ",(IF(AN148&gt;0,($BA148*(8*(VLOOKUP($A148,NumberofDaysTable,3)))*S148),0)+IF(AV148&gt;0,($BA148*((AV148))*S148),0)))</f>
        <v> </v>
      </c>
      <c r="BF148" s="292" t="str">
        <f aca="false">IF($A148="N/A"," ",(IF(AO148&gt;0,($BA148*(8*(VLOOKUP($A148,NumberofDaysTable,4)+VLOOKUP($A148,NumberofDaysTable,5)))*T148),0)+IF(AW148&gt;0,($BA148*((AW148))*T148),0)))</f>
        <v> </v>
      </c>
      <c r="BG148" s="292" t="str">
        <f aca="false">IF($A148="N/A"," ",(IF(AP148&gt;0,($BA148*(8*(VLOOKUP($A148,NumberofDaysTable,4)+VLOOKUP($A148,NumberofDaysTable,5)))*U148),0)+IF(AX148&gt;0,($BA148*((AX148))*U148),0)))</f>
        <v> </v>
      </c>
      <c r="BH148" s="292" t="str">
        <f aca="false">IF($A148="N/A"," ",($BA148*AQ148*V148))</f>
        <v> </v>
      </c>
      <c r="BI148" s="292" t="str">
        <f aca="false">IF($A148="N/A"," ",SUM(BB148:BH148))</f>
        <v> </v>
      </c>
      <c r="BJ148" s="293" t="str">
        <f aca="false">IF($A148="N/A"," ",(H148*(SUM(AK148:AQ148)+SUM(AS148:AY148))*BA148))</f>
        <v> </v>
      </c>
      <c r="BK148" s="293" t="str">
        <f aca="false">IF($A148="N/A"," ",((C148*D148)*(SUM($AK148:$AQ148)+SUM($AS148:$AY148))*$BA148))</f>
        <v> </v>
      </c>
      <c r="BL148" s="293" t="str">
        <f aca="false">IF($A148="N/A"," ",(F148*(SUM($AK148:$AQ148)+SUM($AS148:$AY148))*$BA148))</f>
        <v> </v>
      </c>
      <c r="BM148" s="293" t="str">
        <f aca="false">IF($A148="N/A"," ",(G148*(SUM($AK148:$AQ148)+SUM($AS148:$AY148))*$BA148))</f>
        <v> </v>
      </c>
      <c r="BN148" s="294" t="str">
        <f aca="false">IF(A148="N/A"," ",(VLOOKUP(A148,PowerVolTable,(IF('Pricing Inputs'!$AT$3=2,7,IF('Pricing Inputs'!$AT$3=1,6,8))),FALSE())))</f>
        <v> </v>
      </c>
      <c r="BO148" s="294" t="str">
        <f aca="false">IF(A148="N/A"," ",(VLOOKUP(A148,IntraPowerVol,(IF('Pricing Inputs'!$AT$3=2,3,IF('Pricing Inputs'!$AT$3=1,2,4))),FALSE())*VLOOKUP(MONTH($A148),Inputs!$A$28:$B$39,2)))</f>
        <v> </v>
      </c>
      <c r="BP148" s="295" t="str">
        <f aca="false">IF($A148="N/A"," ",(IF(DateToday&gt;$A148,$BO148,((($BN148^2)*((($A148-1)-DateToday)/((EOMONTH($A148,0)+1)-DateToday-15)))+((($BO148)^2)*((15)/((EOMONTH($A148,0)+1)-DateToday-15))))^0.5)))</f>
        <v> </v>
      </c>
      <c r="BQ148" s="294" t="str">
        <f aca="false">IF($A148="N/A"," ",(VLOOKUP($A148,GasVolTable,(IF('Pricing Inputs'!$AT$3=2,6,IF('Pricing Inputs'!$AT$3=1,7,5))),FALSE())))</f>
        <v> </v>
      </c>
      <c r="BR148" s="294" t="str">
        <f aca="false">IF($A148="N/A"," ",(VLOOKUP($A148,OmicronVol,(IF('Pricing Inputs'!$AT$3=2,3,IF('Pricing Inputs'!$AT$3=1,4,2))),FALSE())))</f>
        <v> </v>
      </c>
      <c r="BS148" s="295" t="str">
        <f aca="false">IF($A148="N/A"," ",IF('Pricing Inputs'!$AN$3=1,(IF(DateToday&gt;$A148,$BR148,((($BQ148^2)*((($A148-1)-DateToday)/((EOMONTH($A148,0)+1)-DateToday-15)))+((($BR148)^2)*((15)/((EOMONTH($A148,0)+1)-DateToday-15))))^0.5)),0.0001))</f>
        <v> </v>
      </c>
      <c r="BT148" s="294" t="str">
        <f aca="false">IF($A148="N/A"," ",IF('Pricing Inputs'!$AN$3=1,(VLOOKUP($A148,CorrelationTable,2,FALSE())),0))</f>
        <v> </v>
      </c>
      <c r="BU148" s="296" t="str">
        <f aca="false">IF($A148="N/A"," ",F148+G148+(D148*(VLOOKUP($A148,'Gas Curves'!$B$17:$P$310,14,FALSE()))))</f>
        <v> </v>
      </c>
      <c r="BV148" s="294" t="str">
        <f aca="false">IF($A148="N/A"," ",IF('Pricing Inputs'!$AW$3=1,0,(VLOOKUP($A148,InterestRatesTable,2))))</f>
        <v> </v>
      </c>
      <c r="BW148" s="297" t="str">
        <f aca="false">IF($A148="N/A"," ",(1+BV148/2)^(-2*((EOMONTH(A148,0)+20)-DateToday)/365.25))</f>
        <v> </v>
      </c>
    </row>
    <row r="149" customFormat="false" ht="12.75" hidden="false" customHeight="false" outlineLevel="0" collapsed="false">
      <c r="A149" s="272" t="str">
        <f aca="false">IF(A148="N/A","N/A",IF(EDATE(A148,1)&gt;Inputs!$K$3,"N/A",EDATE(A148,1)))</f>
        <v>N/A</v>
      </c>
      <c r="B149" s="273" t="str">
        <f aca="false">IF(A149="N/A"," ",YEAR(A149))</f>
        <v> </v>
      </c>
      <c r="C149" s="274" t="str">
        <f aca="false">IF(A149="N/A"," ",VLOOKUP(A149,ScaledPrice,10))</f>
        <v> </v>
      </c>
      <c r="D149" s="275" t="str">
        <f aca="false">IF(A149="N/A"," ",(VLOOKUP(MONTH($A149),Inputs!$A$14:$B$25,2))/1000)</f>
        <v> </v>
      </c>
      <c r="E149" s="276" t="str">
        <f aca="false">IF($A149="N/A"," ",C149*D149)</f>
        <v> </v>
      </c>
      <c r="F149" s="277" t="str">
        <f aca="false">IF(A149="N/A"," ",Inputs!$F$6)</f>
        <v> </v>
      </c>
      <c r="G149" s="277" t="str">
        <f aca="false">IF(A149="N/A"," ",Inputs!$F$9/IF(AND('Pricing Inputs'!$AQ$3&gt;=4,'Pricing Inputs'!$AQ$3&lt;=6),16,IF(AND('Pricing Inputs'!$AQ$3&gt;=7,'Pricing Inputs'!$AQ$3&lt;=9),8,24))/(BA149/BW149))</f>
        <v> </v>
      </c>
      <c r="H149" s="278" t="str">
        <f aca="false">IF(A149="N/A"," ",(C149*D149)+F149+G149)</f>
        <v> </v>
      </c>
      <c r="I149" s="279" t="str">
        <f aca="false">VLOOKUP(A149,ScaledPrice,(IF(AND('Pricing Inputs'!$AQ$3&gt;=1,'Pricing Inputs'!$AQ$3&lt;=6),2,4)))</f>
        <v> </v>
      </c>
      <c r="J149" s="279" t="str">
        <f aca="false">IF(A149="N/A"," ",IF(AND('Pricing Inputs'!$AQ$3&gt;=1,'Pricing Inputs'!$AQ$3&lt;=6),I149,(VLOOKUP(A149,ScaledPrice,2))*(2-(VLOOKUP(A149,ScaledPrice,3)))))</f>
        <v> </v>
      </c>
      <c r="K149" s="279" t="str">
        <f aca="false">IF(A149="N/A"," ",IF(OR('Pricing Inputs'!$AQ$3=2,'Pricing Inputs'!$AQ$3=3,'Pricing Inputs'!$AQ$3=5,'Pricing Inputs'!$AQ$3=6,'Pricing Inputs'!$AQ$3=8,'Pricing Inputs'!$AQ$3=9),VLOOKUP(A149,ScaledPrice,IF(AND('Pricing Inputs'!$AQ$3&gt;=2,'Pricing Inputs'!$AQ$3&lt;=6),5,6)),0))</f>
        <v> </v>
      </c>
      <c r="L149" s="279" t="str">
        <f aca="false">IF(A149="N/A"," ",IF(OR('Pricing Inputs'!$AQ$3=2,'Pricing Inputs'!$AQ$3=3,'Pricing Inputs'!$AQ$3=5,'Pricing Inputs'!$AQ$3=6,'Pricing Inputs'!$AQ$3=8,'Pricing Inputs'!$AQ$3=9),IF(AND('Pricing Inputs'!$AQ$3&gt;=2,'Pricing Inputs'!$AQ$3&lt;=6),K149,(VLOOKUP(A149,ScaledPrice,5))*(2-(VLOOKUP(A149,ScaledPrice,3)))),0))</f>
        <v> </v>
      </c>
      <c r="M149" s="279" t="str">
        <f aca="false">IF(A149="N/A"," ",IF(OR('Pricing Inputs'!$AQ$3=3,'Pricing Inputs'!$AQ$3=6,'Pricing Inputs'!$AQ$3=9),(VLOOKUP(A149,ScaledPrice,IF(AND('Pricing Inputs'!$AQ$3&gt;=3,'Pricing Inputs'!$AQ$3&lt;=6),7,8))),0))</f>
        <v> </v>
      </c>
      <c r="N149" s="279" t="str">
        <f aca="false">IF(A149="N/A"," ",IF(OR('Pricing Inputs'!$AQ$3=3,'Pricing Inputs'!$AQ$3=6,'Pricing Inputs'!$AQ$3=9),IF(AND('Pricing Inputs'!$AQ$3&gt;=3,'Pricing Inputs'!$AQ$3&lt;=6),M149,(VLOOKUP(A149,ScaledPrice,7))*(2-(VLOOKUP(A149,ScaledPrice,3)))),0))</f>
        <v> </v>
      </c>
      <c r="O149" s="279" t="str">
        <f aca="false">IF(A149="N/A"," ",IF(AND('Pricing Inputs'!$AQ$3&gt;=1,'Pricing Inputs'!$AQ$3&lt;=3),VLOOKUP(A149,ScaledPrice,9),0))</f>
        <v> </v>
      </c>
      <c r="P149" s="280" t="str">
        <f aca="false">IF($A149="N/A"," ",IF('Pricing Inputs'!$AN$8=2,(I149-H149),IF('Pricing Inputs'!$AN$3=2,IF((I149-$H149)&gt;0,I149-$H149,0),(xSPRDOPT(I149,$E149,$BU149,0,$BP149,$BS149,$BT149,($A149-Inputs!$D$1)+15,1,0)))))</f>
        <v> </v>
      </c>
      <c r="Q149" s="280" t="str">
        <f aca="false">IF($A149="N/A"," ",IF('Pricing Inputs'!$AN$8=2,(J149-$H149),IF('Pricing Inputs'!$AN$3=2,IF((J149-$H149)&gt;0,J149-$H149,0),(xSPRDOPT(J149,$E149,$BU149,0,$BP149,$BS149,$BT149,($A149-Inputs!$D$1)+15,1,0)))))</f>
        <v> </v>
      </c>
      <c r="R149" s="280" t="str">
        <f aca="false">IF($A149="N/A"," ",IF('Pricing Inputs'!$AN$8=2,(K149-$H149),IF('Pricing Inputs'!$AN$3=2,IF((K149-$H149)&gt;0,K149-$H149,0),(xSPRDOPT(K149,$E149,$BU149,0,$BP149,$BS149,$BT149,($A149-Inputs!$D$1)+15,1,0)))))</f>
        <v> </v>
      </c>
      <c r="S149" s="280" t="str">
        <f aca="false">IF($A149="N/A"," ",IF('Pricing Inputs'!$AN$8=2,(L149-$H149),IF('Pricing Inputs'!$AN$3=2,IF((L149-$H149)&gt;0,L149-$H149,0),(xSPRDOPT(L149,$E149,$BU149,0,$BP149,$BS149,$BT149,($A149-Inputs!$D$1)+15,1,0)))))</f>
        <v> </v>
      </c>
      <c r="T149" s="280" t="str">
        <f aca="false">IF($A149="N/A"," ",IF('Pricing Inputs'!$AN$8=2,(M149-$H149),IF('Pricing Inputs'!$AN$3=2,IF((M149-$H149)&gt;0,M149-$H149,0),(xSPRDOPT(M149,$E149,$BU149,0,$BP149,$BS149,$BT149,($A149-Inputs!$D$1)+15,1,0)))))</f>
        <v> </v>
      </c>
      <c r="U149" s="280" t="str">
        <f aca="false">IF($A149="N/A"," ",IF('Pricing Inputs'!$AN$8=2,(N149-$H149),IF('Pricing Inputs'!$AN$3=2,IF((N149-$H149)&gt;0,N149-$H149,0),(xSPRDOPT(N149,$E149,$BU149,0,$BP149,$BS149,$BT149,($A149-Inputs!$D$1)+15,1,0)))))</f>
        <v> </v>
      </c>
      <c r="V149" s="281" t="str">
        <f aca="false">IF($A149="N/A"," ",(IF('Pricing Inputs'!$AN$8=2,(O149-$H149),IF((O149-$H149)&lt;=0,0,(O149-$H149)))))</f>
        <v> </v>
      </c>
      <c r="W149" s="282" t="str">
        <f aca="false">IF($A149="N/A"," ",IF(0&lt;&gt;P149,IF('Pricing Inputs'!$AN$3=2,8*VLOOKUP($A149,NumberofDaysTable,2),(xSPRDOPT(I149,$E149,$BU149,0,$BP149,$BS149,$BT149,$A149-Inputs!$D$1,1,1))*(8*VLOOKUP($A149,NumberofDaysTable,2))),0))</f>
        <v> </v>
      </c>
      <c r="X149" s="282" t="str">
        <f aca="false">IF($A149="N/A"," ",IF(Q149&lt;&gt;0,IF('Pricing Inputs'!$AN$3=2,8*VLOOKUP($A149,NumberofDaysTable,2),(xSPRDOPT(J149,$E149,$BU149,0,$BP149,$BS149,$BT149,$A149-Inputs!$D$1,1,1))*(8*VLOOKUP($A149,NumberofDaysTable,2))),0))</f>
        <v> </v>
      </c>
      <c r="Y149" s="282" t="str">
        <f aca="false">IF($A149="N/A"," ",IF(R149&lt;&gt;0,IF('Pricing Inputs'!$AN$3=2,8*VLOOKUP($A149,NumberofDaysTable,3),(xSPRDOPT(K149,$E149,$BU149,0,$BP149,$BS149,$BT149,$A149-Inputs!$D$1,1,1))*(8*VLOOKUP($A149,NumberofDaysTable,3))),0))</f>
        <v> </v>
      </c>
      <c r="Z149" s="282" t="str">
        <f aca="false">IF($A149="N/A"," ",IF(S149&lt;&gt;0,IF('Pricing Inputs'!$AN$3=2,8*VLOOKUP($A149,NumberofDaysTable,3),(xSPRDOPT(L149,$E149,$BU149,0,$BP149,$BS149,$BT149,$A149-Inputs!$D$1,1,1))*(8*VLOOKUP($A149,NumberofDaysTable,3))),0))</f>
        <v> </v>
      </c>
      <c r="AA149" s="282" t="str">
        <f aca="false">IF($A149="N/A"," ",IF(T149&lt;&gt;0,IF('Pricing Inputs'!$AN$3=2,8*VLOOKUP($A149,NumberofDaysTable,4),(xSPRDOPT(M149,$E149,$BU149,0,$BP149,$BS149,$BT149,$A149-Inputs!$D$1,1,1))*(8*VLOOKUP($A149,NumberofDaysTable,4))),0))</f>
        <v> </v>
      </c>
      <c r="AB149" s="282" t="str">
        <f aca="false">IF($A149="N/A"," ",IF(U149&lt;&gt;0,IF('Pricing Inputs'!$AN$3=2,8*VLOOKUP($A149,NumberofDaysTable,4),(xSPRDOPT(N149,$E149,$BU149,0,$BP149,$BS149,$BT149,$A149-Inputs!$D$1,1,1))*(8*VLOOKUP($A149,NumberofDaysTable,4))),0))</f>
        <v> </v>
      </c>
      <c r="AC149" s="282" t="str">
        <f aca="false">IF($A149="N/A"," ",(IF(V149&lt;&gt;0,(8*VLOOKUP($A149,NumberofDaysTable,6)),0)))</f>
        <v> </v>
      </c>
      <c r="AD149" s="298" t="str">
        <f aca="false">IF($A149="N/A"," ",RANK(P149,$P$148:$V$159))</f>
        <v> </v>
      </c>
      <c r="AE149" s="299" t="str">
        <f aca="false">IF($A149="N/A"," ",RANK(Q149,$P$148:$V$159))</f>
        <v> </v>
      </c>
      <c r="AF149" s="299" t="str">
        <f aca="false">IF($A149="N/A"," ",RANK(R149,$P$148:$V$159))</f>
        <v> </v>
      </c>
      <c r="AG149" s="299" t="str">
        <f aca="false">IF($A149="N/A"," ",RANK(S149,$P$148:$V$159))</f>
        <v> </v>
      </c>
      <c r="AH149" s="299" t="str">
        <f aca="false">IF($A149="N/A"," ",RANK(T149,$P$148:$V$159))</f>
        <v> </v>
      </c>
      <c r="AI149" s="299" t="str">
        <f aca="false">IF($A149="N/A"," ",RANK(U149,$P$148:$V$159))</f>
        <v> </v>
      </c>
      <c r="AJ149" s="300" t="str">
        <f aca="false">IF($A149="N/A"," ",RANK(V149,$P$148:$V$159))</f>
        <v> </v>
      </c>
      <c r="AK149" s="286" t="str">
        <f aca="false">IF($A149="N/A"," ",IF(AD149&lt;=$AJ$2,W149,0))</f>
        <v> </v>
      </c>
      <c r="AL149" s="301" t="str">
        <f aca="false">IF($A149="N/A"," ",IF(AE149&lt;=$AJ$2,X149,0))</f>
        <v> </v>
      </c>
      <c r="AM149" s="301" t="str">
        <f aca="false">IF($A149="N/A"," ",IF(AF149&lt;=$AJ$2,Y149,0))</f>
        <v> </v>
      </c>
      <c r="AN149" s="301" t="str">
        <f aca="false">IF($A149="N/A"," ",IF(AG149&lt;=$AJ$2,Z149,0))</f>
        <v> </v>
      </c>
      <c r="AO149" s="301" t="str">
        <f aca="false">IF($A149="N/A"," ",IF(AH149&lt;=$AJ$2,AA149,0))</f>
        <v> </v>
      </c>
      <c r="AP149" s="301" t="str">
        <f aca="false">IF($A149="N/A"," ",IF(AI149&lt;=$AJ$2,AB149,0))</f>
        <v> </v>
      </c>
      <c r="AQ149" s="301" t="str">
        <f aca="false">IF($A149="N/A"," ",IF(AJ149&lt;=$AJ$2,AC149,0))</f>
        <v> </v>
      </c>
      <c r="AR149" s="300"/>
      <c r="AS149" s="288" t="str">
        <f aca="false">IF($A149="N/A"," ",IF(AND(AD149=$AJ$2+1,AK149=0),MIN($AR$159,W149),0))</f>
        <v> </v>
      </c>
      <c r="AT149" s="302" t="str">
        <f aca="false">IF($A149="N/A"," ",IF(AND(AE149=$AJ$2+1,AL149=0),MIN($AR$159,X149),0))</f>
        <v> </v>
      </c>
      <c r="AU149" s="302" t="str">
        <f aca="false">IF($A149="N/A"," ",IF(AND(AF149=$AJ$2+1,AM149=0),MIN($AR$159,Y149),0))</f>
        <v> </v>
      </c>
      <c r="AV149" s="302" t="str">
        <f aca="false">IF($A149="N/A"," ",IF(AND(AG149=$AJ$2+1,AN149=0),MIN($AR$159,Z149),0))</f>
        <v> </v>
      </c>
      <c r="AW149" s="302" t="str">
        <f aca="false">IF($A149="N/A"," ",IF(AND(AH149=$AJ$2+1,AO149=0),MIN($AR$159,AA149),0))</f>
        <v> </v>
      </c>
      <c r="AX149" s="302" t="str">
        <f aca="false">IF($A149="N/A"," ",IF(AND(AI149=$AJ$2+1,AP149=0),MIN($AR$159,AB149),0))</f>
        <v> </v>
      </c>
      <c r="AY149" s="302" t="str">
        <f aca="false">IF($A149="N/A"," ",IF(AND(AJ149=$AJ$2+1,AQ149=0),MIN($AR$159,AC149),0))</f>
        <v> </v>
      </c>
      <c r="AZ149" s="300"/>
      <c r="BA149" s="291" t="str">
        <f aca="false">IF($A149="N/A"," ",(IF(MONTH(A149)&gt;=4,IF(MONTH(A149)&lt;=10,Inputs!$F$13,Inputs!$F$14),Inputs!$F$14))*$BW149)</f>
        <v> </v>
      </c>
      <c r="BB149" s="292" t="str">
        <f aca="false">IF($A149="N/A"," ",(IF(AK149&gt;0,($BA149*(8*(VLOOKUP($A149,NumberofDaysTable,2)))*P149),0)+IF(AS149&gt;0,($BA149*((AS149))*P149),0)))</f>
        <v> </v>
      </c>
      <c r="BC149" s="292" t="str">
        <f aca="false">IF($A149="N/A"," ",(IF(AL149&gt;0,($BA149*(8*(VLOOKUP($A149,NumberofDaysTable,2)))*Q149),0)+IF(AT149&gt;0,($BA149*((AT149))*Q149),0)))</f>
        <v> </v>
      </c>
      <c r="BD149" s="292" t="str">
        <f aca="false">IF($A149="N/A"," ",(IF(AM149&gt;0,($BA149*(8*(VLOOKUP($A149,NumberofDaysTable,3)))*R149),0)+IF(AU149&gt;0,($BA149*((AU149))*R149),0)))</f>
        <v> </v>
      </c>
      <c r="BE149" s="292" t="str">
        <f aca="false">IF($A149="N/A"," ",(IF(AN149&gt;0,($BA149*(8*(VLOOKUP($A149,NumberofDaysTable,3)))*S149),0)+IF(AV149&gt;0,($BA149*((AV149))*S149),0)))</f>
        <v> </v>
      </c>
      <c r="BF149" s="292" t="str">
        <f aca="false">IF($A149="N/A"," ",(IF(AO149&gt;0,($BA149*(8*(VLOOKUP($A149,NumberofDaysTable,4)+VLOOKUP($A149,NumberofDaysTable,5)))*T149),0)+IF(AW149&gt;0,($BA149*((AW149))*T149),0)))</f>
        <v> </v>
      </c>
      <c r="BG149" s="292" t="str">
        <f aca="false">IF($A149="N/A"," ",(IF(AP149&gt;0,($BA149*(8*(VLOOKUP($A149,NumberofDaysTable,4)+VLOOKUP($A149,NumberofDaysTable,5)))*U149),0)+IF(AX149&gt;0,($BA149*((AX149))*U149),0)))</f>
        <v> </v>
      </c>
      <c r="BH149" s="292" t="str">
        <f aca="false">IF($A149="N/A"," ",($BA149*AQ149*V149))</f>
        <v> </v>
      </c>
      <c r="BI149" s="292" t="str">
        <f aca="false">IF($A149="N/A"," ",SUM(BB149:BH149))</f>
        <v> </v>
      </c>
      <c r="BJ149" s="293" t="str">
        <f aca="false">IF($A149="N/A"," ",(H149*(SUM(AK149:AQ149)+SUM(AS149:AY149))*BA149))</f>
        <v> </v>
      </c>
      <c r="BK149" s="293" t="str">
        <f aca="false">IF($A149="N/A"," ",((C149*D149)*(SUM($AK149:$AQ149)+SUM($AS149:$AY149))*$BA149))</f>
        <v> </v>
      </c>
      <c r="BL149" s="293" t="str">
        <f aca="false">IF($A149="N/A"," ",(F149*(SUM($AK149:$AQ149)+SUM($AS149:$AY149))*$BA149))</f>
        <v> </v>
      </c>
      <c r="BM149" s="293" t="str">
        <f aca="false">IF($A149="N/A"," ",(G149*(SUM($AK149:$AQ149)+SUM($AS149:$AY149))*$BA149))</f>
        <v> </v>
      </c>
      <c r="BN149" s="294" t="str">
        <f aca="false">IF(A149="N/A"," ",(VLOOKUP(A149,PowerVolTable,(IF('Pricing Inputs'!$AT$3=2,7,IF('Pricing Inputs'!$AT$3=1,6,8))),FALSE())))</f>
        <v> </v>
      </c>
      <c r="BO149" s="294" t="str">
        <f aca="false">IF(A149="N/A"," ",(VLOOKUP(A149,IntraPowerVol,(IF('Pricing Inputs'!$AT$3=2,3,IF('Pricing Inputs'!$AT$3=1,2,4))),FALSE())*VLOOKUP(MONTH($A149),Inputs!$A$28:$B$39,2)))</f>
        <v> </v>
      </c>
      <c r="BP149" s="295" t="str">
        <f aca="false">IF($A149="N/A"," ",(IF(DateToday&gt;$A149,$BO149,((($BN149^2)*((($A149-1)-DateToday)/((EOMONTH($A149,0)+1)-DateToday-15)))+((($BO149)^2)*((15)/((EOMONTH($A149,0)+1)-DateToday-15))))^0.5)))</f>
        <v> </v>
      </c>
      <c r="BQ149" s="294" t="str">
        <f aca="false">IF($A149="N/A"," ",(VLOOKUP($A149,GasVolTable,(IF('Pricing Inputs'!$AT$3=2,6,IF('Pricing Inputs'!$AT$3=1,7,5))),FALSE())))</f>
        <v> </v>
      </c>
      <c r="BR149" s="294" t="str">
        <f aca="false">IF($A149="N/A"," ",(VLOOKUP($A149,OmicronVol,(IF('Pricing Inputs'!$AT$3=2,3,IF('Pricing Inputs'!$AT$3=1,4,2))),FALSE())))</f>
        <v> </v>
      </c>
      <c r="BS149" s="295" t="str">
        <f aca="false">IF($A149="N/A"," ",IF('Pricing Inputs'!$AN$3=1,(IF(DateToday&gt;$A149,$BR149,((($BQ149^2)*((($A149-1)-DateToday)/((EOMONTH($A149,0)+1)-DateToday-15)))+((($BR149)^2)*((15)/((EOMONTH($A149,0)+1)-DateToday-15))))^0.5)),0.0001))</f>
        <v> </v>
      </c>
      <c r="BT149" s="294" t="str">
        <f aca="false">IF($A149="N/A"," ",IF('Pricing Inputs'!$AN$3=1,(VLOOKUP($A149,CorrelationTable,2,FALSE())),0))</f>
        <v> </v>
      </c>
      <c r="BU149" s="296" t="str">
        <f aca="false">IF($A149="N/A"," ",F149+G149+(D149*(VLOOKUP($A149,'Gas Curves'!$B$17:$P$310,14,FALSE()))))</f>
        <v> </v>
      </c>
      <c r="BV149" s="294" t="str">
        <f aca="false">IF($A149="N/A"," ",IF('Pricing Inputs'!$AW$3=1,0,(VLOOKUP($A149,InterestRatesTable,2))))</f>
        <v> </v>
      </c>
      <c r="BW149" s="297" t="str">
        <f aca="false">IF($A149="N/A"," ",(1+BV149/2)^(-2*((EOMONTH(A149,0)+20)-DateToday)/365.25))</f>
        <v> </v>
      </c>
    </row>
    <row r="150" customFormat="false" ht="12.75" hidden="false" customHeight="false" outlineLevel="0" collapsed="false">
      <c r="A150" s="272" t="str">
        <f aca="false">IF(A149="N/A","N/A",IF(EDATE(A149,1)&gt;Inputs!$K$3,"N/A",EDATE(A149,1)))</f>
        <v>N/A</v>
      </c>
      <c r="B150" s="273" t="str">
        <f aca="false">IF(A150="N/A"," ",YEAR(A150))</f>
        <v> </v>
      </c>
      <c r="C150" s="274" t="str">
        <f aca="false">IF(A150="N/A"," ",VLOOKUP(A150,ScaledPrice,10))</f>
        <v> </v>
      </c>
      <c r="D150" s="275" t="str">
        <f aca="false">IF(A150="N/A"," ",(VLOOKUP(MONTH($A150),Inputs!$A$14:$B$25,2))/1000)</f>
        <v> </v>
      </c>
      <c r="E150" s="276" t="str">
        <f aca="false">IF($A150="N/A"," ",C150*D150)</f>
        <v> </v>
      </c>
      <c r="F150" s="277" t="str">
        <f aca="false">IF(A150="N/A"," ",Inputs!$F$6)</f>
        <v> </v>
      </c>
      <c r="G150" s="277" t="str">
        <f aca="false">IF(A150="N/A"," ",Inputs!$F$9/IF(AND('Pricing Inputs'!$AQ$3&gt;=4,'Pricing Inputs'!$AQ$3&lt;=6),16,IF(AND('Pricing Inputs'!$AQ$3&gt;=7,'Pricing Inputs'!$AQ$3&lt;=9),8,24))/(BA150/BW150))</f>
        <v> </v>
      </c>
      <c r="H150" s="278" t="str">
        <f aca="false">IF(A150="N/A"," ",(C150*D150)+F150+G150)</f>
        <v> </v>
      </c>
      <c r="I150" s="279" t="str">
        <f aca="false">VLOOKUP(A150,ScaledPrice,(IF(AND('Pricing Inputs'!$AQ$3&gt;=1,'Pricing Inputs'!$AQ$3&lt;=6),2,4)))</f>
        <v> </v>
      </c>
      <c r="J150" s="279" t="str">
        <f aca="false">IF(A150="N/A"," ",IF(AND('Pricing Inputs'!$AQ$3&gt;=1,'Pricing Inputs'!$AQ$3&lt;=6),I150,(VLOOKUP(A150,ScaledPrice,2))*(2-(VLOOKUP(A150,ScaledPrice,3)))))</f>
        <v> </v>
      </c>
      <c r="K150" s="279" t="str">
        <f aca="false">IF(A150="N/A"," ",IF(OR('Pricing Inputs'!$AQ$3=2,'Pricing Inputs'!$AQ$3=3,'Pricing Inputs'!$AQ$3=5,'Pricing Inputs'!$AQ$3=6,'Pricing Inputs'!$AQ$3=8,'Pricing Inputs'!$AQ$3=9),VLOOKUP(A150,ScaledPrice,IF(AND('Pricing Inputs'!$AQ$3&gt;=2,'Pricing Inputs'!$AQ$3&lt;=6),5,6)),0))</f>
        <v> </v>
      </c>
      <c r="L150" s="279" t="str">
        <f aca="false">IF(A150="N/A"," ",IF(OR('Pricing Inputs'!$AQ$3=2,'Pricing Inputs'!$AQ$3=3,'Pricing Inputs'!$AQ$3=5,'Pricing Inputs'!$AQ$3=6,'Pricing Inputs'!$AQ$3=8,'Pricing Inputs'!$AQ$3=9),IF(AND('Pricing Inputs'!$AQ$3&gt;=2,'Pricing Inputs'!$AQ$3&lt;=6),K150,(VLOOKUP(A150,ScaledPrice,5))*(2-(VLOOKUP(A150,ScaledPrice,3)))),0))</f>
        <v> </v>
      </c>
      <c r="M150" s="279" t="str">
        <f aca="false">IF(A150="N/A"," ",IF(OR('Pricing Inputs'!$AQ$3=3,'Pricing Inputs'!$AQ$3=6,'Pricing Inputs'!$AQ$3=9),(VLOOKUP(A150,ScaledPrice,IF(AND('Pricing Inputs'!$AQ$3&gt;=3,'Pricing Inputs'!$AQ$3&lt;=6),7,8))),0))</f>
        <v> </v>
      </c>
      <c r="N150" s="279" t="str">
        <f aca="false">IF(A150="N/A"," ",IF(OR('Pricing Inputs'!$AQ$3=3,'Pricing Inputs'!$AQ$3=6,'Pricing Inputs'!$AQ$3=9),IF(AND('Pricing Inputs'!$AQ$3&gt;=3,'Pricing Inputs'!$AQ$3&lt;=6),M150,(VLOOKUP(A150,ScaledPrice,7))*(2-(VLOOKUP(A150,ScaledPrice,3)))),0))</f>
        <v> </v>
      </c>
      <c r="O150" s="279" t="str">
        <f aca="false">IF(A150="N/A"," ",IF(AND('Pricing Inputs'!$AQ$3&gt;=1,'Pricing Inputs'!$AQ$3&lt;=3),VLOOKUP(A150,ScaledPrice,9),0))</f>
        <v> </v>
      </c>
      <c r="P150" s="280" t="str">
        <f aca="false">IF($A150="N/A"," ",IF('Pricing Inputs'!$AN$8=2,(I150-H150),IF('Pricing Inputs'!$AN$3=2,IF((I150-$H150)&gt;0,I150-$H150,0),(xSPRDOPT(I150,$E150,$BU150,0,$BP150,$BS150,$BT150,($A150-Inputs!$D$1)+15,1,0)))))</f>
        <v> </v>
      </c>
      <c r="Q150" s="280" t="str">
        <f aca="false">IF($A150="N/A"," ",IF('Pricing Inputs'!$AN$8=2,(J150-$H150),IF('Pricing Inputs'!$AN$3=2,IF((J150-$H150)&gt;0,J150-$H150,0),(xSPRDOPT(J150,$E150,$BU150,0,$BP150,$BS150,$BT150,($A150-Inputs!$D$1)+15,1,0)))))</f>
        <v> </v>
      </c>
      <c r="R150" s="280" t="str">
        <f aca="false">IF($A150="N/A"," ",IF('Pricing Inputs'!$AN$8=2,(K150-$H150),IF('Pricing Inputs'!$AN$3=2,IF((K150-$H150)&gt;0,K150-$H150,0),(xSPRDOPT(K150,$E150,$BU150,0,$BP150,$BS150,$BT150,($A150-Inputs!$D$1)+15,1,0)))))</f>
        <v> </v>
      </c>
      <c r="S150" s="280" t="str">
        <f aca="false">IF($A150="N/A"," ",IF('Pricing Inputs'!$AN$8=2,(L150-$H150),IF('Pricing Inputs'!$AN$3=2,IF((L150-$H150)&gt;0,L150-$H150,0),(xSPRDOPT(L150,$E150,$BU150,0,$BP150,$BS150,$BT150,($A150-Inputs!$D$1)+15,1,0)))))</f>
        <v> </v>
      </c>
      <c r="T150" s="280" t="str">
        <f aca="false">IF($A150="N/A"," ",IF('Pricing Inputs'!$AN$8=2,(M150-$H150),IF('Pricing Inputs'!$AN$3=2,IF((M150-$H150)&gt;0,M150-$H150,0),(xSPRDOPT(M150,$E150,$BU150,0,$BP150,$BS150,$BT150,($A150-Inputs!$D$1)+15,1,0)))))</f>
        <v> </v>
      </c>
      <c r="U150" s="280" t="str">
        <f aca="false">IF($A150="N/A"," ",IF('Pricing Inputs'!$AN$8=2,(N150-$H150),IF('Pricing Inputs'!$AN$3=2,IF((N150-$H150)&gt;0,N150-$H150,0),(xSPRDOPT(N150,$E150,$BU150,0,$BP150,$BS150,$BT150,($A150-Inputs!$D$1)+15,1,0)))))</f>
        <v> </v>
      </c>
      <c r="V150" s="281" t="str">
        <f aca="false">IF($A150="N/A"," ",(IF('Pricing Inputs'!$AN$8=2,(O150-$H150),IF((O150-$H150)&lt;=0,0,(O150-$H150)))))</f>
        <v> </v>
      </c>
      <c r="W150" s="282" t="str">
        <f aca="false">IF($A150="N/A"," ",IF(0&lt;&gt;P150,IF('Pricing Inputs'!$AN$3=2,8*VLOOKUP($A150,NumberofDaysTable,2),(xSPRDOPT(I150,$E150,$BU150,0,$BP150,$BS150,$BT150,$A150-Inputs!$D$1,1,1))*(8*VLOOKUP($A150,NumberofDaysTable,2))),0))</f>
        <v> </v>
      </c>
      <c r="X150" s="282" t="str">
        <f aca="false">IF($A150="N/A"," ",IF(Q150&lt;&gt;0,IF('Pricing Inputs'!$AN$3=2,8*VLOOKUP($A150,NumberofDaysTable,2),(xSPRDOPT(J150,$E150,$BU150,0,$BP150,$BS150,$BT150,$A150-Inputs!$D$1,1,1))*(8*VLOOKUP($A150,NumberofDaysTable,2))),0))</f>
        <v> </v>
      </c>
      <c r="Y150" s="282" t="str">
        <f aca="false">IF($A150="N/A"," ",IF(R150&lt;&gt;0,IF('Pricing Inputs'!$AN$3=2,8*VLOOKUP($A150,NumberofDaysTable,3),(xSPRDOPT(K150,$E150,$BU150,0,$BP150,$BS150,$BT150,$A150-Inputs!$D$1,1,1))*(8*VLOOKUP($A150,NumberofDaysTable,3))),0))</f>
        <v> </v>
      </c>
      <c r="Z150" s="282" t="str">
        <f aca="false">IF($A150="N/A"," ",IF(S150&lt;&gt;0,IF('Pricing Inputs'!$AN$3=2,8*VLOOKUP($A150,NumberofDaysTable,3),(xSPRDOPT(L150,$E150,$BU150,0,$BP150,$BS150,$BT150,$A150-Inputs!$D$1,1,1))*(8*VLOOKUP($A150,NumberofDaysTable,3))),0))</f>
        <v> </v>
      </c>
      <c r="AA150" s="282" t="str">
        <f aca="false">IF($A150="N/A"," ",IF(T150&lt;&gt;0,IF('Pricing Inputs'!$AN$3=2,8*VLOOKUP($A150,NumberofDaysTable,4),(xSPRDOPT(M150,$E150,$BU150,0,$BP150,$BS150,$BT150,$A150-Inputs!$D$1,1,1))*(8*VLOOKUP($A150,NumberofDaysTable,4))),0))</f>
        <v> </v>
      </c>
      <c r="AB150" s="282" t="str">
        <f aca="false">IF($A150="N/A"," ",IF(U150&lt;&gt;0,IF('Pricing Inputs'!$AN$3=2,8*VLOOKUP($A150,NumberofDaysTable,4),(xSPRDOPT(N150,$E150,$BU150,0,$BP150,$BS150,$BT150,$A150-Inputs!$D$1,1,1))*(8*VLOOKUP($A150,NumberofDaysTable,4))),0))</f>
        <v> </v>
      </c>
      <c r="AC150" s="282" t="str">
        <f aca="false">IF($A150="N/A"," ",(IF(V150&lt;&gt;0,(8*VLOOKUP($A150,NumberofDaysTable,6)),0)))</f>
        <v> </v>
      </c>
      <c r="AD150" s="298" t="str">
        <f aca="false">IF($A150="N/A"," ",RANK(P150,$P$148:$V$159))</f>
        <v> </v>
      </c>
      <c r="AE150" s="299" t="str">
        <f aca="false">IF($A150="N/A"," ",RANK(Q150,$P$148:$V$159))</f>
        <v> </v>
      </c>
      <c r="AF150" s="299" t="str">
        <f aca="false">IF($A150="N/A"," ",RANK(R150,$P$148:$V$159))</f>
        <v> </v>
      </c>
      <c r="AG150" s="299" t="str">
        <f aca="false">IF($A150="N/A"," ",RANK(S150,$P$148:$V$159))</f>
        <v> </v>
      </c>
      <c r="AH150" s="299" t="str">
        <f aca="false">IF($A150="N/A"," ",RANK(T150,$P$148:$V$159))</f>
        <v> </v>
      </c>
      <c r="AI150" s="299" t="str">
        <f aca="false">IF($A150="N/A"," ",RANK(U150,$P$148:$V$159))</f>
        <v> </v>
      </c>
      <c r="AJ150" s="300" t="str">
        <f aca="false">IF($A150="N/A"," ",RANK(V150,$P$148:$V$159))</f>
        <v> </v>
      </c>
      <c r="AK150" s="286" t="str">
        <f aca="false">IF($A150="N/A"," ",IF(AD150&lt;=$AJ$2,W150,0))</f>
        <v> </v>
      </c>
      <c r="AL150" s="301" t="str">
        <f aca="false">IF($A150="N/A"," ",IF(AE150&lt;=$AJ$2,X150,0))</f>
        <v> </v>
      </c>
      <c r="AM150" s="301" t="str">
        <f aca="false">IF($A150="N/A"," ",IF(AF150&lt;=$AJ$2,Y150,0))</f>
        <v> </v>
      </c>
      <c r="AN150" s="301" t="str">
        <f aca="false">IF($A150="N/A"," ",IF(AG150&lt;=$AJ$2,Z150,0))</f>
        <v> </v>
      </c>
      <c r="AO150" s="301" t="str">
        <f aca="false">IF($A150="N/A"," ",IF(AH150&lt;=$AJ$2,AA150,0))</f>
        <v> </v>
      </c>
      <c r="AP150" s="301" t="str">
        <f aca="false">IF($A150="N/A"," ",IF(AI150&lt;=$AJ$2,AB150,0))</f>
        <v> </v>
      </c>
      <c r="AQ150" s="301" t="str">
        <f aca="false">IF($A150="N/A"," ",IF(AJ150&lt;=$AJ$2,AC150,0))</f>
        <v> </v>
      </c>
      <c r="AR150" s="300"/>
      <c r="AS150" s="288" t="str">
        <f aca="false">IF($A150="N/A"," ",IF(AND(AD150=$AJ$2+1,AK150=0),MIN($AR$159,W150),0))</f>
        <v> </v>
      </c>
      <c r="AT150" s="302" t="str">
        <f aca="false">IF($A150="N/A"," ",IF(AND(AE150=$AJ$2+1,AL150=0),MIN($AR$159,X150),0))</f>
        <v> </v>
      </c>
      <c r="AU150" s="302" t="str">
        <f aca="false">IF($A150="N/A"," ",IF(AND(AF150=$AJ$2+1,AM150=0),MIN($AR$159,Y150),0))</f>
        <v> </v>
      </c>
      <c r="AV150" s="302" t="str">
        <f aca="false">IF($A150="N/A"," ",IF(AND(AG150=$AJ$2+1,AN150=0),MIN($AR$159,Z150),0))</f>
        <v> </v>
      </c>
      <c r="AW150" s="302" t="str">
        <f aca="false">IF($A150="N/A"," ",IF(AND(AH150=$AJ$2+1,AO150=0),MIN($AR$159,AA150),0))</f>
        <v> </v>
      </c>
      <c r="AX150" s="302" t="str">
        <f aca="false">IF($A150="N/A"," ",IF(AND(AI150=$AJ$2+1,AP150=0),MIN($AR$159,AB150),0))</f>
        <v> </v>
      </c>
      <c r="AY150" s="302" t="str">
        <f aca="false">IF($A150="N/A"," ",IF(AND(AJ150=$AJ$2+1,AQ150=0),MIN($AR$159,AC150),0))</f>
        <v> </v>
      </c>
      <c r="AZ150" s="300"/>
      <c r="BA150" s="291" t="str">
        <f aca="false">IF($A150="N/A"," ",(IF(MONTH(A150)&gt;=4,IF(MONTH(A150)&lt;=10,Inputs!$F$13,Inputs!$F$14),Inputs!$F$14))*$BW150)</f>
        <v> </v>
      </c>
      <c r="BB150" s="292" t="str">
        <f aca="false">IF($A150="N/A"," ",(IF(AK150&gt;0,($BA150*(8*(VLOOKUP($A150,NumberofDaysTable,2)))*P150),0)+IF(AS150&gt;0,($BA150*((AS150))*P150),0)))</f>
        <v> </v>
      </c>
      <c r="BC150" s="292" t="str">
        <f aca="false">IF($A150="N/A"," ",(IF(AL150&gt;0,($BA150*(8*(VLOOKUP($A150,NumberofDaysTable,2)))*Q150),0)+IF(AT150&gt;0,($BA150*((AT150))*Q150),0)))</f>
        <v> </v>
      </c>
      <c r="BD150" s="292" t="str">
        <f aca="false">IF($A150="N/A"," ",(IF(AM150&gt;0,($BA150*(8*(VLOOKUP($A150,NumberofDaysTable,3)))*R150),0)+IF(AU150&gt;0,($BA150*((AU150))*R150),0)))</f>
        <v> </v>
      </c>
      <c r="BE150" s="292" t="str">
        <f aca="false">IF($A150="N/A"," ",(IF(AN150&gt;0,($BA150*(8*(VLOOKUP($A150,NumberofDaysTable,3)))*S150),0)+IF(AV150&gt;0,($BA150*((AV150))*S150),0)))</f>
        <v> </v>
      </c>
      <c r="BF150" s="292" t="str">
        <f aca="false">IF($A150="N/A"," ",(IF(AO150&gt;0,($BA150*(8*(VLOOKUP($A150,NumberofDaysTable,4)+VLOOKUP($A150,NumberofDaysTable,5)))*T150),0)+IF(AW150&gt;0,($BA150*((AW150))*T150),0)))</f>
        <v> </v>
      </c>
      <c r="BG150" s="292" t="str">
        <f aca="false">IF($A150="N/A"," ",(IF(AP150&gt;0,($BA150*(8*(VLOOKUP($A150,NumberofDaysTable,4)+VLOOKUP($A150,NumberofDaysTable,5)))*U150),0)+IF(AX150&gt;0,($BA150*((AX150))*U150),0)))</f>
        <v> </v>
      </c>
      <c r="BH150" s="292" t="str">
        <f aca="false">IF($A150="N/A"," ",($BA150*AQ150*V150))</f>
        <v> </v>
      </c>
      <c r="BI150" s="292" t="str">
        <f aca="false">IF($A150="N/A"," ",SUM(BB150:BH150))</f>
        <v> </v>
      </c>
      <c r="BJ150" s="293" t="str">
        <f aca="false">IF($A150="N/A"," ",(H150*(SUM(AK150:AQ150)+SUM(AS150:AY150))*BA150))</f>
        <v> </v>
      </c>
      <c r="BK150" s="293" t="str">
        <f aca="false">IF($A150="N/A"," ",((C150*D150)*(SUM($AK150:$AQ150)+SUM($AS150:$AY150))*$BA150))</f>
        <v> </v>
      </c>
      <c r="BL150" s="293" t="str">
        <f aca="false">IF($A150="N/A"," ",(F150*(SUM($AK150:$AQ150)+SUM($AS150:$AY150))*$BA150))</f>
        <v> </v>
      </c>
      <c r="BM150" s="293" t="str">
        <f aca="false">IF($A150="N/A"," ",(G150*(SUM($AK150:$AQ150)+SUM($AS150:$AY150))*$BA150))</f>
        <v> </v>
      </c>
      <c r="BN150" s="294" t="str">
        <f aca="false">IF(A150="N/A"," ",(VLOOKUP(A150,PowerVolTable,(IF('Pricing Inputs'!$AT$3=2,7,IF('Pricing Inputs'!$AT$3=1,6,8))),FALSE())))</f>
        <v> </v>
      </c>
      <c r="BO150" s="294" t="str">
        <f aca="false">IF(A150="N/A"," ",(VLOOKUP(A150,IntraPowerVol,(IF('Pricing Inputs'!$AT$3=2,3,IF('Pricing Inputs'!$AT$3=1,2,4))),FALSE())*VLOOKUP(MONTH($A150),Inputs!$A$28:$B$39,2)))</f>
        <v> </v>
      </c>
      <c r="BP150" s="295" t="str">
        <f aca="false">IF($A150="N/A"," ",(IF(DateToday&gt;$A150,$BO150,((($BN150^2)*((($A150-1)-DateToday)/((EOMONTH($A150,0)+1)-DateToday-15)))+((($BO150)^2)*((15)/((EOMONTH($A150,0)+1)-DateToday-15))))^0.5)))</f>
        <v> </v>
      </c>
      <c r="BQ150" s="294" t="str">
        <f aca="false">IF($A150="N/A"," ",(VLOOKUP($A150,GasVolTable,(IF('Pricing Inputs'!$AT$3=2,6,IF('Pricing Inputs'!$AT$3=1,7,5))),FALSE())))</f>
        <v> </v>
      </c>
      <c r="BR150" s="294" t="str">
        <f aca="false">IF($A150="N/A"," ",(VLOOKUP($A150,OmicronVol,(IF('Pricing Inputs'!$AT$3=2,3,IF('Pricing Inputs'!$AT$3=1,4,2))),FALSE())))</f>
        <v> </v>
      </c>
      <c r="BS150" s="295" t="str">
        <f aca="false">IF($A150="N/A"," ",IF('Pricing Inputs'!$AN$3=1,(IF(DateToday&gt;$A150,$BR150,((($BQ150^2)*((($A150-1)-DateToday)/((EOMONTH($A150,0)+1)-DateToday-15)))+((($BR150)^2)*((15)/((EOMONTH($A150,0)+1)-DateToday-15))))^0.5)),0.0001))</f>
        <v> </v>
      </c>
      <c r="BT150" s="294" t="str">
        <f aca="false">IF($A150="N/A"," ",IF('Pricing Inputs'!$AN$3=1,(VLOOKUP($A150,CorrelationTable,2,FALSE())),0))</f>
        <v> </v>
      </c>
      <c r="BU150" s="296" t="str">
        <f aca="false">IF($A150="N/A"," ",F150+G150+(D150*(VLOOKUP($A150,'Gas Curves'!$B$17:$P$310,14,FALSE()))))</f>
        <v> </v>
      </c>
      <c r="BV150" s="294" t="str">
        <f aca="false">IF($A150="N/A"," ",IF('Pricing Inputs'!$AW$3=1,0,(VLOOKUP($A150,InterestRatesTable,2))))</f>
        <v> </v>
      </c>
      <c r="BW150" s="297" t="str">
        <f aca="false">IF($A150="N/A"," ",(1+BV150/2)^(-2*((EOMONTH(A150,0)+20)-DateToday)/365.25))</f>
        <v> </v>
      </c>
    </row>
    <row r="151" customFormat="false" ht="12.75" hidden="false" customHeight="false" outlineLevel="0" collapsed="false">
      <c r="A151" s="272" t="str">
        <f aca="false">IF(A150="N/A","N/A",IF(EDATE(A150,1)&gt;Inputs!$K$3,"N/A",EDATE(A150,1)))</f>
        <v>N/A</v>
      </c>
      <c r="B151" s="273" t="str">
        <f aca="false">IF(A151="N/A"," ",YEAR(A151))</f>
        <v> </v>
      </c>
      <c r="C151" s="274" t="str">
        <f aca="false">IF(A151="N/A"," ",VLOOKUP(A151,ScaledPrice,10))</f>
        <v> </v>
      </c>
      <c r="D151" s="275" t="str">
        <f aca="false">IF(A151="N/A"," ",(VLOOKUP(MONTH($A151),Inputs!$A$14:$B$25,2))/1000)</f>
        <v> </v>
      </c>
      <c r="E151" s="276" t="str">
        <f aca="false">IF($A151="N/A"," ",C151*D151)</f>
        <v> </v>
      </c>
      <c r="F151" s="277" t="str">
        <f aca="false">IF(A151="N/A"," ",Inputs!$F$6)</f>
        <v> </v>
      </c>
      <c r="G151" s="277" t="str">
        <f aca="false">IF(A151="N/A"," ",Inputs!$F$9/IF(AND('Pricing Inputs'!$AQ$3&gt;=4,'Pricing Inputs'!$AQ$3&lt;=6),16,IF(AND('Pricing Inputs'!$AQ$3&gt;=7,'Pricing Inputs'!$AQ$3&lt;=9),8,24))/(BA151/BW151))</f>
        <v> </v>
      </c>
      <c r="H151" s="278" t="str">
        <f aca="false">IF(A151="N/A"," ",(C151*D151)+F151+G151)</f>
        <v> </v>
      </c>
      <c r="I151" s="279" t="str">
        <f aca="false">VLOOKUP(A151,ScaledPrice,(IF(AND('Pricing Inputs'!$AQ$3&gt;=1,'Pricing Inputs'!$AQ$3&lt;=6),2,4)))</f>
        <v> </v>
      </c>
      <c r="J151" s="279" t="str">
        <f aca="false">IF(A151="N/A"," ",IF(AND('Pricing Inputs'!$AQ$3&gt;=1,'Pricing Inputs'!$AQ$3&lt;=6),I151,(VLOOKUP(A151,ScaledPrice,2))*(2-(VLOOKUP(A151,ScaledPrice,3)))))</f>
        <v> </v>
      </c>
      <c r="K151" s="279" t="str">
        <f aca="false">IF(A151="N/A"," ",IF(OR('Pricing Inputs'!$AQ$3=2,'Pricing Inputs'!$AQ$3=3,'Pricing Inputs'!$AQ$3=5,'Pricing Inputs'!$AQ$3=6,'Pricing Inputs'!$AQ$3=8,'Pricing Inputs'!$AQ$3=9),VLOOKUP(A151,ScaledPrice,IF(AND('Pricing Inputs'!$AQ$3&gt;=2,'Pricing Inputs'!$AQ$3&lt;=6),5,6)),0))</f>
        <v> </v>
      </c>
      <c r="L151" s="279" t="str">
        <f aca="false">IF(A151="N/A"," ",IF(OR('Pricing Inputs'!$AQ$3=2,'Pricing Inputs'!$AQ$3=3,'Pricing Inputs'!$AQ$3=5,'Pricing Inputs'!$AQ$3=6,'Pricing Inputs'!$AQ$3=8,'Pricing Inputs'!$AQ$3=9),IF(AND('Pricing Inputs'!$AQ$3&gt;=2,'Pricing Inputs'!$AQ$3&lt;=6),K151,(VLOOKUP(A151,ScaledPrice,5))*(2-(VLOOKUP(A151,ScaledPrice,3)))),0))</f>
        <v> </v>
      </c>
      <c r="M151" s="279" t="str">
        <f aca="false">IF(A151="N/A"," ",IF(OR('Pricing Inputs'!$AQ$3=3,'Pricing Inputs'!$AQ$3=6,'Pricing Inputs'!$AQ$3=9),(VLOOKUP(A151,ScaledPrice,IF(AND('Pricing Inputs'!$AQ$3&gt;=3,'Pricing Inputs'!$AQ$3&lt;=6),7,8))),0))</f>
        <v> </v>
      </c>
      <c r="N151" s="279" t="str">
        <f aca="false">IF(A151="N/A"," ",IF(OR('Pricing Inputs'!$AQ$3=3,'Pricing Inputs'!$AQ$3=6,'Pricing Inputs'!$AQ$3=9),IF(AND('Pricing Inputs'!$AQ$3&gt;=3,'Pricing Inputs'!$AQ$3&lt;=6),M151,(VLOOKUP(A151,ScaledPrice,7))*(2-(VLOOKUP(A151,ScaledPrice,3)))),0))</f>
        <v> </v>
      </c>
      <c r="O151" s="279" t="str">
        <f aca="false">IF(A151="N/A"," ",IF(AND('Pricing Inputs'!$AQ$3&gt;=1,'Pricing Inputs'!$AQ$3&lt;=3),VLOOKUP(A151,ScaledPrice,9),0))</f>
        <v> </v>
      </c>
      <c r="P151" s="280" t="str">
        <f aca="false">IF($A151="N/A"," ",IF('Pricing Inputs'!$AN$8=2,(I151-H151),IF('Pricing Inputs'!$AN$3=2,IF((I151-$H151)&gt;0,I151-$H151,0),(xSPRDOPT(I151,$E151,$BU151,0,$BP151,$BS151,$BT151,($A151-Inputs!$D$1)+15,1,0)))))</f>
        <v> </v>
      </c>
      <c r="Q151" s="280" t="str">
        <f aca="false">IF($A151="N/A"," ",IF('Pricing Inputs'!$AN$8=2,(J151-$H151),IF('Pricing Inputs'!$AN$3=2,IF((J151-$H151)&gt;0,J151-$H151,0),(xSPRDOPT(J151,$E151,$BU151,0,$BP151,$BS151,$BT151,($A151-Inputs!$D$1)+15,1,0)))))</f>
        <v> </v>
      </c>
      <c r="R151" s="280" t="str">
        <f aca="false">IF($A151="N/A"," ",IF('Pricing Inputs'!$AN$8=2,(K151-$H151),IF('Pricing Inputs'!$AN$3=2,IF((K151-$H151)&gt;0,K151-$H151,0),(xSPRDOPT(K151,$E151,$BU151,0,$BP151,$BS151,$BT151,($A151-Inputs!$D$1)+15,1,0)))))</f>
        <v> </v>
      </c>
      <c r="S151" s="280" t="str">
        <f aca="false">IF($A151="N/A"," ",IF('Pricing Inputs'!$AN$8=2,(L151-$H151),IF('Pricing Inputs'!$AN$3=2,IF((L151-$H151)&gt;0,L151-$H151,0),(xSPRDOPT(L151,$E151,$BU151,0,$BP151,$BS151,$BT151,($A151-Inputs!$D$1)+15,1,0)))))</f>
        <v> </v>
      </c>
      <c r="T151" s="280" t="str">
        <f aca="false">IF($A151="N/A"," ",IF('Pricing Inputs'!$AN$8=2,(M151-$H151),IF('Pricing Inputs'!$AN$3=2,IF((M151-$H151)&gt;0,M151-$H151,0),(xSPRDOPT(M151,$E151,$BU151,0,$BP151,$BS151,$BT151,($A151-Inputs!$D$1)+15,1,0)))))</f>
        <v> </v>
      </c>
      <c r="U151" s="280" t="str">
        <f aca="false">IF($A151="N/A"," ",IF('Pricing Inputs'!$AN$8=2,(N151-$H151),IF('Pricing Inputs'!$AN$3=2,IF((N151-$H151)&gt;0,N151-$H151,0),(xSPRDOPT(N151,$E151,$BU151,0,$BP151,$BS151,$BT151,($A151-Inputs!$D$1)+15,1,0)))))</f>
        <v> </v>
      </c>
      <c r="V151" s="281" t="str">
        <f aca="false">IF($A151="N/A"," ",(IF('Pricing Inputs'!$AN$8=2,(O151-$H151),IF((O151-$H151)&lt;=0,0,(O151-$H151)))))</f>
        <v> </v>
      </c>
      <c r="W151" s="282" t="str">
        <f aca="false">IF($A151="N/A"," ",IF(0&lt;&gt;P151,IF('Pricing Inputs'!$AN$3=2,8*VLOOKUP($A151,NumberofDaysTable,2),(xSPRDOPT(I151,$E151,$BU151,0,$BP151,$BS151,$BT151,$A151-Inputs!$D$1,1,1))*(8*VLOOKUP($A151,NumberofDaysTable,2))),0))</f>
        <v> </v>
      </c>
      <c r="X151" s="282" t="str">
        <f aca="false">IF($A151="N/A"," ",IF(Q151&lt;&gt;0,IF('Pricing Inputs'!$AN$3=2,8*VLOOKUP($A151,NumberofDaysTable,2),(xSPRDOPT(J151,$E151,$BU151,0,$BP151,$BS151,$BT151,$A151-Inputs!$D$1,1,1))*(8*VLOOKUP($A151,NumberofDaysTable,2))),0))</f>
        <v> </v>
      </c>
      <c r="Y151" s="282" t="str">
        <f aca="false">IF($A151="N/A"," ",IF(R151&lt;&gt;0,IF('Pricing Inputs'!$AN$3=2,8*VLOOKUP($A151,NumberofDaysTable,3),(xSPRDOPT(K151,$E151,$BU151,0,$BP151,$BS151,$BT151,$A151-Inputs!$D$1,1,1))*(8*VLOOKUP($A151,NumberofDaysTable,3))),0))</f>
        <v> </v>
      </c>
      <c r="Z151" s="282" t="str">
        <f aca="false">IF($A151="N/A"," ",IF(S151&lt;&gt;0,IF('Pricing Inputs'!$AN$3=2,8*VLOOKUP($A151,NumberofDaysTable,3),(xSPRDOPT(L151,$E151,$BU151,0,$BP151,$BS151,$BT151,$A151-Inputs!$D$1,1,1))*(8*VLOOKUP($A151,NumberofDaysTable,3))),0))</f>
        <v> </v>
      </c>
      <c r="AA151" s="282" t="str">
        <f aca="false">IF($A151="N/A"," ",IF(T151&lt;&gt;0,IF('Pricing Inputs'!$AN$3=2,8*VLOOKUP($A151,NumberofDaysTable,4),(xSPRDOPT(M151,$E151,$BU151,0,$BP151,$BS151,$BT151,$A151-Inputs!$D$1,1,1))*(8*VLOOKUP($A151,NumberofDaysTable,4))),0))</f>
        <v> </v>
      </c>
      <c r="AB151" s="282" t="str">
        <f aca="false">IF($A151="N/A"," ",IF(U151&lt;&gt;0,IF('Pricing Inputs'!$AN$3=2,8*VLOOKUP($A151,NumberofDaysTable,4),(xSPRDOPT(N151,$E151,$BU151,0,$BP151,$BS151,$BT151,$A151-Inputs!$D$1,1,1))*(8*VLOOKUP($A151,NumberofDaysTable,4))),0))</f>
        <v> </v>
      </c>
      <c r="AC151" s="282" t="str">
        <f aca="false">IF($A151="N/A"," ",(IF(V151&lt;&gt;0,(8*VLOOKUP($A151,NumberofDaysTable,6)),0)))</f>
        <v> </v>
      </c>
      <c r="AD151" s="298" t="str">
        <f aca="false">IF($A151="N/A"," ",RANK(P151,$P$148:$V$159))</f>
        <v> </v>
      </c>
      <c r="AE151" s="299" t="str">
        <f aca="false">IF($A151="N/A"," ",RANK(Q151,$P$148:$V$159))</f>
        <v> </v>
      </c>
      <c r="AF151" s="299" t="str">
        <f aca="false">IF($A151="N/A"," ",RANK(R151,$P$148:$V$159))</f>
        <v> </v>
      </c>
      <c r="AG151" s="299" t="str">
        <f aca="false">IF($A151="N/A"," ",RANK(S151,$P$148:$V$159))</f>
        <v> </v>
      </c>
      <c r="AH151" s="299" t="str">
        <f aca="false">IF($A151="N/A"," ",RANK(T151,$P$148:$V$159))</f>
        <v> </v>
      </c>
      <c r="AI151" s="299" t="str">
        <f aca="false">IF($A151="N/A"," ",RANK(U151,$P$148:$V$159))</f>
        <v> </v>
      </c>
      <c r="AJ151" s="300" t="str">
        <f aca="false">IF($A151="N/A"," ",RANK(V151,$P$148:$V$159))</f>
        <v> </v>
      </c>
      <c r="AK151" s="286" t="str">
        <f aca="false">IF($A151="N/A"," ",IF(AD151&lt;=$AJ$2,W151,0))</f>
        <v> </v>
      </c>
      <c r="AL151" s="301" t="str">
        <f aca="false">IF($A151="N/A"," ",IF(AE151&lt;=$AJ$2,X151,0))</f>
        <v> </v>
      </c>
      <c r="AM151" s="301" t="str">
        <f aca="false">IF($A151="N/A"," ",IF(AF151&lt;=$AJ$2,Y151,0))</f>
        <v> </v>
      </c>
      <c r="AN151" s="301" t="str">
        <f aca="false">IF($A151="N/A"," ",IF(AG151&lt;=$AJ$2,Z151,0))</f>
        <v> </v>
      </c>
      <c r="AO151" s="301" t="str">
        <f aca="false">IF($A151="N/A"," ",IF(AH151&lt;=$AJ$2,AA151,0))</f>
        <v> </v>
      </c>
      <c r="AP151" s="301" t="str">
        <f aca="false">IF($A151="N/A"," ",IF(AI151&lt;=$AJ$2,AB151,0))</f>
        <v> </v>
      </c>
      <c r="AQ151" s="301" t="str">
        <f aca="false">IF($A151="N/A"," ",IF(AJ151&lt;=$AJ$2,AC151,0))</f>
        <v> </v>
      </c>
      <c r="AR151" s="300"/>
      <c r="AS151" s="288" t="str">
        <f aca="false">IF($A151="N/A"," ",IF(AND(AD151=$AJ$2+1,AK151=0),MIN($AR$159,W151),0))</f>
        <v> </v>
      </c>
      <c r="AT151" s="302" t="str">
        <f aca="false">IF($A151="N/A"," ",IF(AND(AE151=$AJ$2+1,AL151=0),MIN($AR$159,X151),0))</f>
        <v> </v>
      </c>
      <c r="AU151" s="302" t="str">
        <f aca="false">IF($A151="N/A"," ",IF(AND(AF151=$AJ$2+1,AM151=0),MIN($AR$159,Y151),0))</f>
        <v> </v>
      </c>
      <c r="AV151" s="302" t="str">
        <f aca="false">IF($A151="N/A"," ",IF(AND(AG151=$AJ$2+1,AN151=0),MIN($AR$159,Z151),0))</f>
        <v> </v>
      </c>
      <c r="AW151" s="302" t="str">
        <f aca="false">IF($A151="N/A"," ",IF(AND(AH151=$AJ$2+1,AO151=0),MIN($AR$159,AA151),0))</f>
        <v> </v>
      </c>
      <c r="AX151" s="302" t="str">
        <f aca="false">IF($A151="N/A"," ",IF(AND(AI151=$AJ$2+1,AP151=0),MIN($AR$159,AB151),0))</f>
        <v> </v>
      </c>
      <c r="AY151" s="302" t="str">
        <f aca="false">IF($A151="N/A"," ",IF(AND(AJ151=$AJ$2+1,AQ151=0),MIN($AR$159,AC151),0))</f>
        <v> </v>
      </c>
      <c r="AZ151" s="300"/>
      <c r="BA151" s="291" t="str">
        <f aca="false">IF($A151="N/A"," ",(IF(MONTH(A151)&gt;=4,IF(MONTH(A151)&lt;=10,Inputs!$F$13,Inputs!$F$14),Inputs!$F$14))*$BW151)</f>
        <v> </v>
      </c>
      <c r="BB151" s="292" t="str">
        <f aca="false">IF($A151="N/A"," ",(IF(AK151&gt;0,($BA151*(8*(VLOOKUP($A151,NumberofDaysTable,2)))*P151),0)+IF(AS151&gt;0,($BA151*((AS151))*P151),0)))</f>
        <v> </v>
      </c>
      <c r="BC151" s="292" t="str">
        <f aca="false">IF($A151="N/A"," ",(IF(AL151&gt;0,($BA151*(8*(VLOOKUP($A151,NumberofDaysTable,2)))*Q151),0)+IF(AT151&gt;0,($BA151*((AT151))*Q151),0)))</f>
        <v> </v>
      </c>
      <c r="BD151" s="292" t="str">
        <f aca="false">IF($A151="N/A"," ",(IF(AM151&gt;0,($BA151*(8*(VLOOKUP($A151,NumberofDaysTable,3)))*R151),0)+IF(AU151&gt;0,($BA151*((AU151))*R151),0)))</f>
        <v> </v>
      </c>
      <c r="BE151" s="292" t="str">
        <f aca="false">IF($A151="N/A"," ",(IF(AN151&gt;0,($BA151*(8*(VLOOKUP($A151,NumberofDaysTable,3)))*S151),0)+IF(AV151&gt;0,($BA151*((AV151))*S151),0)))</f>
        <v> </v>
      </c>
      <c r="BF151" s="292" t="str">
        <f aca="false">IF($A151="N/A"," ",(IF(AO151&gt;0,($BA151*(8*(VLOOKUP($A151,NumberofDaysTable,4)+VLOOKUP($A151,NumberofDaysTable,5)))*T151),0)+IF(AW151&gt;0,($BA151*((AW151))*T151),0)))</f>
        <v> </v>
      </c>
      <c r="BG151" s="292" t="str">
        <f aca="false">IF($A151="N/A"," ",(IF(AP151&gt;0,($BA151*(8*(VLOOKUP($A151,NumberofDaysTable,4)+VLOOKUP($A151,NumberofDaysTable,5)))*U151),0)+IF(AX151&gt;0,($BA151*((AX151))*U151),0)))</f>
        <v> </v>
      </c>
      <c r="BH151" s="292" t="str">
        <f aca="false">IF($A151="N/A"," ",($BA151*AQ151*V151))</f>
        <v> </v>
      </c>
      <c r="BI151" s="292" t="str">
        <f aca="false">IF($A151="N/A"," ",SUM(BB151:BH151))</f>
        <v> </v>
      </c>
      <c r="BJ151" s="293" t="str">
        <f aca="false">IF($A151="N/A"," ",(H151*(SUM(AK151:AQ151)+SUM(AS151:AY151))*BA151))</f>
        <v> </v>
      </c>
      <c r="BK151" s="293" t="str">
        <f aca="false">IF($A151="N/A"," ",((C151*D151)*(SUM($AK151:$AQ151)+SUM($AS151:$AY151))*$BA151))</f>
        <v> </v>
      </c>
      <c r="BL151" s="293" t="str">
        <f aca="false">IF($A151="N/A"," ",(F151*(SUM($AK151:$AQ151)+SUM($AS151:$AY151))*$BA151))</f>
        <v> </v>
      </c>
      <c r="BM151" s="293" t="str">
        <f aca="false">IF($A151="N/A"," ",(G151*(SUM($AK151:$AQ151)+SUM($AS151:$AY151))*$BA151))</f>
        <v> </v>
      </c>
      <c r="BN151" s="294" t="str">
        <f aca="false">IF(A151="N/A"," ",(VLOOKUP(A151,PowerVolTable,(IF('Pricing Inputs'!$AT$3=2,7,IF('Pricing Inputs'!$AT$3=1,6,8))),FALSE())))</f>
        <v> </v>
      </c>
      <c r="BO151" s="294" t="str">
        <f aca="false">IF(A151="N/A"," ",(VLOOKUP(A151,IntraPowerVol,(IF('Pricing Inputs'!$AT$3=2,3,IF('Pricing Inputs'!$AT$3=1,2,4))),FALSE())*VLOOKUP(MONTH($A151),Inputs!$A$28:$B$39,2)))</f>
        <v> </v>
      </c>
      <c r="BP151" s="295" t="str">
        <f aca="false">IF($A151="N/A"," ",(IF(DateToday&gt;$A151,$BO151,((($BN151^2)*((($A151-1)-DateToday)/((EOMONTH($A151,0)+1)-DateToday-15)))+((($BO151)^2)*((15)/((EOMONTH($A151,0)+1)-DateToday-15))))^0.5)))</f>
        <v> </v>
      </c>
      <c r="BQ151" s="294" t="str">
        <f aca="false">IF($A151="N/A"," ",(VLOOKUP($A151,GasVolTable,(IF('Pricing Inputs'!$AT$3=2,6,IF('Pricing Inputs'!$AT$3=1,7,5))),FALSE())))</f>
        <v> </v>
      </c>
      <c r="BR151" s="294" t="str">
        <f aca="false">IF($A151="N/A"," ",(VLOOKUP($A151,OmicronVol,(IF('Pricing Inputs'!$AT$3=2,3,IF('Pricing Inputs'!$AT$3=1,4,2))),FALSE())))</f>
        <v> </v>
      </c>
      <c r="BS151" s="295" t="str">
        <f aca="false">IF($A151="N/A"," ",IF('Pricing Inputs'!$AN$3=1,(IF(DateToday&gt;$A151,$BR151,((($BQ151^2)*((($A151-1)-DateToday)/((EOMONTH($A151,0)+1)-DateToday-15)))+((($BR151)^2)*((15)/((EOMONTH($A151,0)+1)-DateToday-15))))^0.5)),0.0001))</f>
        <v> </v>
      </c>
      <c r="BT151" s="294" t="str">
        <f aca="false">IF($A151="N/A"," ",IF('Pricing Inputs'!$AN$3=1,(VLOOKUP($A151,CorrelationTable,2,FALSE())),0))</f>
        <v> </v>
      </c>
      <c r="BU151" s="296" t="str">
        <f aca="false">IF($A151="N/A"," ",F151+G151+(D151*(VLOOKUP($A151,'Gas Curves'!$B$17:$P$310,14,FALSE()))))</f>
        <v> </v>
      </c>
      <c r="BV151" s="294" t="str">
        <f aca="false">IF($A151="N/A"," ",IF('Pricing Inputs'!$AW$3=1,0,(VLOOKUP($A151,InterestRatesTable,2))))</f>
        <v> </v>
      </c>
      <c r="BW151" s="297" t="str">
        <f aca="false">IF($A151="N/A"," ",(1+BV151/2)^(-2*((EOMONTH(A151,0)+20)-DateToday)/365.25))</f>
        <v> </v>
      </c>
    </row>
    <row r="152" customFormat="false" ht="12.75" hidden="false" customHeight="false" outlineLevel="0" collapsed="false">
      <c r="A152" s="272" t="str">
        <f aca="false">IF(A151="N/A","N/A",IF(EDATE(A151,1)&gt;Inputs!$K$3,"N/A",EDATE(A151,1)))</f>
        <v>N/A</v>
      </c>
      <c r="B152" s="273" t="str">
        <f aca="false">IF(A152="N/A"," ",YEAR(A152))</f>
        <v> </v>
      </c>
      <c r="C152" s="274" t="str">
        <f aca="false">IF(A152="N/A"," ",VLOOKUP(A152,ScaledPrice,10))</f>
        <v> </v>
      </c>
      <c r="D152" s="275" t="str">
        <f aca="false">IF(A152="N/A"," ",(VLOOKUP(MONTH($A152),Inputs!$A$14:$B$25,2))/1000)</f>
        <v> </v>
      </c>
      <c r="E152" s="276" t="str">
        <f aca="false">IF($A152="N/A"," ",C152*D152)</f>
        <v> </v>
      </c>
      <c r="F152" s="277" t="str">
        <f aca="false">IF(A152="N/A"," ",Inputs!$F$6)</f>
        <v> </v>
      </c>
      <c r="G152" s="277" t="str">
        <f aca="false">IF(A152="N/A"," ",Inputs!$F$9/IF(AND('Pricing Inputs'!$AQ$3&gt;=4,'Pricing Inputs'!$AQ$3&lt;=6),16,IF(AND('Pricing Inputs'!$AQ$3&gt;=7,'Pricing Inputs'!$AQ$3&lt;=9),8,24))/(BA152/BW152))</f>
        <v> </v>
      </c>
      <c r="H152" s="278" t="str">
        <f aca="false">IF(A152="N/A"," ",(C152*D152)+F152+G152)</f>
        <v> </v>
      </c>
      <c r="I152" s="279" t="str">
        <f aca="false">VLOOKUP(A152,ScaledPrice,(IF(AND('Pricing Inputs'!$AQ$3&gt;=1,'Pricing Inputs'!$AQ$3&lt;=6),2,4)))</f>
        <v> </v>
      </c>
      <c r="J152" s="279" t="str">
        <f aca="false">IF(A152="N/A"," ",IF(AND('Pricing Inputs'!$AQ$3&gt;=1,'Pricing Inputs'!$AQ$3&lt;=6),I152,(VLOOKUP(A152,ScaledPrice,2))*(2-(VLOOKUP(A152,ScaledPrice,3)))))</f>
        <v> </v>
      </c>
      <c r="K152" s="279" t="str">
        <f aca="false">IF(A152="N/A"," ",IF(OR('Pricing Inputs'!$AQ$3=2,'Pricing Inputs'!$AQ$3=3,'Pricing Inputs'!$AQ$3=5,'Pricing Inputs'!$AQ$3=6,'Pricing Inputs'!$AQ$3=8,'Pricing Inputs'!$AQ$3=9),VLOOKUP(A152,ScaledPrice,IF(AND('Pricing Inputs'!$AQ$3&gt;=2,'Pricing Inputs'!$AQ$3&lt;=6),5,6)),0))</f>
        <v> </v>
      </c>
      <c r="L152" s="279" t="str">
        <f aca="false">IF(A152="N/A"," ",IF(OR('Pricing Inputs'!$AQ$3=2,'Pricing Inputs'!$AQ$3=3,'Pricing Inputs'!$AQ$3=5,'Pricing Inputs'!$AQ$3=6,'Pricing Inputs'!$AQ$3=8,'Pricing Inputs'!$AQ$3=9),IF(AND('Pricing Inputs'!$AQ$3&gt;=2,'Pricing Inputs'!$AQ$3&lt;=6),K152,(VLOOKUP(A152,ScaledPrice,5))*(2-(VLOOKUP(A152,ScaledPrice,3)))),0))</f>
        <v> </v>
      </c>
      <c r="M152" s="279" t="str">
        <f aca="false">IF(A152="N/A"," ",IF(OR('Pricing Inputs'!$AQ$3=3,'Pricing Inputs'!$AQ$3=6,'Pricing Inputs'!$AQ$3=9),(VLOOKUP(A152,ScaledPrice,IF(AND('Pricing Inputs'!$AQ$3&gt;=3,'Pricing Inputs'!$AQ$3&lt;=6),7,8))),0))</f>
        <v> </v>
      </c>
      <c r="N152" s="279" t="str">
        <f aca="false">IF(A152="N/A"," ",IF(OR('Pricing Inputs'!$AQ$3=3,'Pricing Inputs'!$AQ$3=6,'Pricing Inputs'!$AQ$3=9),IF(AND('Pricing Inputs'!$AQ$3&gt;=3,'Pricing Inputs'!$AQ$3&lt;=6),M152,(VLOOKUP(A152,ScaledPrice,7))*(2-(VLOOKUP(A152,ScaledPrice,3)))),0))</f>
        <v> </v>
      </c>
      <c r="O152" s="279" t="str">
        <f aca="false">IF(A152="N/A"," ",IF(AND('Pricing Inputs'!$AQ$3&gt;=1,'Pricing Inputs'!$AQ$3&lt;=3),VLOOKUP(A152,ScaledPrice,9),0))</f>
        <v> </v>
      </c>
      <c r="P152" s="280" t="str">
        <f aca="false">IF($A152="N/A"," ",IF('Pricing Inputs'!$AN$8=2,(I152-H152),IF('Pricing Inputs'!$AN$3=2,IF((I152-$H152)&gt;0,I152-$H152,0),(xSPRDOPT(I152,$E152,$BU152,0,$BP152,$BS152,$BT152,($A152-Inputs!$D$1)+15,1,0)))))</f>
        <v> </v>
      </c>
      <c r="Q152" s="280" t="str">
        <f aca="false">IF($A152="N/A"," ",IF('Pricing Inputs'!$AN$8=2,(J152-$H152),IF('Pricing Inputs'!$AN$3=2,IF((J152-$H152)&gt;0,J152-$H152,0),(xSPRDOPT(J152,$E152,$BU152,0,$BP152,$BS152,$BT152,($A152-Inputs!$D$1)+15,1,0)))))</f>
        <v> </v>
      </c>
      <c r="R152" s="280" t="str">
        <f aca="false">IF($A152="N/A"," ",IF('Pricing Inputs'!$AN$8=2,(K152-$H152),IF('Pricing Inputs'!$AN$3=2,IF((K152-$H152)&gt;0,K152-$H152,0),(xSPRDOPT(K152,$E152,$BU152,0,$BP152,$BS152,$BT152,($A152-Inputs!$D$1)+15,1,0)))))</f>
        <v> </v>
      </c>
      <c r="S152" s="280" t="str">
        <f aca="false">IF($A152="N/A"," ",IF('Pricing Inputs'!$AN$8=2,(L152-$H152),IF('Pricing Inputs'!$AN$3=2,IF((L152-$H152)&gt;0,L152-$H152,0),(xSPRDOPT(L152,$E152,$BU152,0,$BP152,$BS152,$BT152,($A152-Inputs!$D$1)+15,1,0)))))</f>
        <v> </v>
      </c>
      <c r="T152" s="280" t="str">
        <f aca="false">IF($A152="N/A"," ",IF('Pricing Inputs'!$AN$8=2,(M152-$H152),IF('Pricing Inputs'!$AN$3=2,IF((M152-$H152)&gt;0,M152-$H152,0),(xSPRDOPT(M152,$E152,$BU152,0,$BP152,$BS152,$BT152,($A152-Inputs!$D$1)+15,1,0)))))</f>
        <v> </v>
      </c>
      <c r="U152" s="280" t="str">
        <f aca="false">IF($A152="N/A"," ",IF('Pricing Inputs'!$AN$8=2,(N152-$H152),IF('Pricing Inputs'!$AN$3=2,IF((N152-$H152)&gt;0,N152-$H152,0),(xSPRDOPT(N152,$E152,$BU152,0,$BP152,$BS152,$BT152,($A152-Inputs!$D$1)+15,1,0)))))</f>
        <v> </v>
      </c>
      <c r="V152" s="281" t="str">
        <f aca="false">IF($A152="N/A"," ",(IF('Pricing Inputs'!$AN$8=2,(O152-$H152),IF((O152-$H152)&lt;=0,0,(O152-$H152)))))</f>
        <v> </v>
      </c>
      <c r="W152" s="282" t="str">
        <f aca="false">IF($A152="N/A"," ",IF(0&lt;&gt;P152,IF('Pricing Inputs'!$AN$3=2,8*VLOOKUP($A152,NumberofDaysTable,2),(xSPRDOPT(I152,$E152,$BU152,0,$BP152,$BS152,$BT152,$A152-Inputs!$D$1,1,1))*(8*VLOOKUP($A152,NumberofDaysTable,2))),0))</f>
        <v> </v>
      </c>
      <c r="X152" s="282" t="str">
        <f aca="false">IF($A152="N/A"," ",IF(Q152&lt;&gt;0,IF('Pricing Inputs'!$AN$3=2,8*VLOOKUP($A152,NumberofDaysTable,2),(xSPRDOPT(J152,$E152,$BU152,0,$BP152,$BS152,$BT152,$A152-Inputs!$D$1,1,1))*(8*VLOOKUP($A152,NumberofDaysTable,2))),0))</f>
        <v> </v>
      </c>
      <c r="Y152" s="282" t="str">
        <f aca="false">IF($A152="N/A"," ",IF(R152&lt;&gt;0,IF('Pricing Inputs'!$AN$3=2,8*VLOOKUP($A152,NumberofDaysTable,3),(xSPRDOPT(K152,$E152,$BU152,0,$BP152,$BS152,$BT152,$A152-Inputs!$D$1,1,1))*(8*VLOOKUP($A152,NumberofDaysTable,3))),0))</f>
        <v> </v>
      </c>
      <c r="Z152" s="282" t="str">
        <f aca="false">IF($A152="N/A"," ",IF(S152&lt;&gt;0,IF('Pricing Inputs'!$AN$3=2,8*VLOOKUP($A152,NumberofDaysTable,3),(xSPRDOPT(L152,$E152,$BU152,0,$BP152,$BS152,$BT152,$A152-Inputs!$D$1,1,1))*(8*VLOOKUP($A152,NumberofDaysTable,3))),0))</f>
        <v> </v>
      </c>
      <c r="AA152" s="282" t="str">
        <f aca="false">IF($A152="N/A"," ",IF(T152&lt;&gt;0,IF('Pricing Inputs'!$AN$3=2,8*VLOOKUP($A152,NumberofDaysTable,4),(xSPRDOPT(M152,$E152,$BU152,0,$BP152,$BS152,$BT152,$A152-Inputs!$D$1,1,1))*(8*VLOOKUP($A152,NumberofDaysTable,4))),0))</f>
        <v> </v>
      </c>
      <c r="AB152" s="282" t="str">
        <f aca="false">IF($A152="N/A"," ",IF(U152&lt;&gt;0,IF('Pricing Inputs'!$AN$3=2,8*VLOOKUP($A152,NumberofDaysTable,4),(xSPRDOPT(N152,$E152,$BU152,0,$BP152,$BS152,$BT152,$A152-Inputs!$D$1,1,1))*(8*VLOOKUP($A152,NumberofDaysTable,4))),0))</f>
        <v> </v>
      </c>
      <c r="AC152" s="282" t="str">
        <f aca="false">IF($A152="N/A"," ",(IF(V152&lt;&gt;0,(8*VLOOKUP($A152,NumberofDaysTable,6)),0)))</f>
        <v> </v>
      </c>
      <c r="AD152" s="298" t="str">
        <f aca="false">IF($A152="N/A"," ",RANK(P152,$P$148:$V$159))</f>
        <v> </v>
      </c>
      <c r="AE152" s="299" t="str">
        <f aca="false">IF($A152="N/A"," ",RANK(Q152,$P$148:$V$159))</f>
        <v> </v>
      </c>
      <c r="AF152" s="299" t="str">
        <f aca="false">IF($A152="N/A"," ",RANK(R152,$P$148:$V$159))</f>
        <v> </v>
      </c>
      <c r="AG152" s="299" t="str">
        <f aca="false">IF($A152="N/A"," ",RANK(S152,$P$148:$V$159))</f>
        <v> </v>
      </c>
      <c r="AH152" s="299" t="str">
        <f aca="false">IF($A152="N/A"," ",RANK(T152,$P$148:$V$159))</f>
        <v> </v>
      </c>
      <c r="AI152" s="299" t="str">
        <f aca="false">IF($A152="N/A"," ",RANK(U152,$P$148:$V$159))</f>
        <v> </v>
      </c>
      <c r="AJ152" s="300" t="str">
        <f aca="false">IF($A152="N/A"," ",RANK(V152,$P$148:$V$159))</f>
        <v> </v>
      </c>
      <c r="AK152" s="286" t="str">
        <f aca="false">IF($A152="N/A"," ",IF(AD152&lt;=$AJ$2,W152,0))</f>
        <v> </v>
      </c>
      <c r="AL152" s="301" t="str">
        <f aca="false">IF($A152="N/A"," ",IF(AE152&lt;=$AJ$2,X152,0))</f>
        <v> </v>
      </c>
      <c r="AM152" s="301" t="str">
        <f aca="false">IF($A152="N/A"," ",IF(AF152&lt;=$AJ$2,Y152,0))</f>
        <v> </v>
      </c>
      <c r="AN152" s="301" t="str">
        <f aca="false">IF($A152="N/A"," ",IF(AG152&lt;=$AJ$2,Z152,0))</f>
        <v> </v>
      </c>
      <c r="AO152" s="301" t="str">
        <f aca="false">IF($A152="N/A"," ",IF(AH152&lt;=$AJ$2,AA152,0))</f>
        <v> </v>
      </c>
      <c r="AP152" s="301" t="str">
        <f aca="false">IF($A152="N/A"," ",IF(AI152&lt;=$AJ$2,AB152,0))</f>
        <v> </v>
      </c>
      <c r="AQ152" s="301" t="str">
        <f aca="false">IF($A152="N/A"," ",IF(AJ152&lt;=$AJ$2,AC152,0))</f>
        <v> </v>
      </c>
      <c r="AR152" s="300"/>
      <c r="AS152" s="288" t="str">
        <f aca="false">IF($A152="N/A"," ",IF(AND(AD152=$AJ$2+1,AK152=0),MIN($AR$159,W152),0))</f>
        <v> </v>
      </c>
      <c r="AT152" s="302" t="str">
        <f aca="false">IF($A152="N/A"," ",IF(AND(AE152=$AJ$2+1,AL152=0),MIN($AR$159,X152),0))</f>
        <v> </v>
      </c>
      <c r="AU152" s="302" t="str">
        <f aca="false">IF($A152="N/A"," ",IF(AND(AF152=$AJ$2+1,AM152=0),MIN($AR$159,Y152),0))</f>
        <v> </v>
      </c>
      <c r="AV152" s="302" t="str">
        <f aca="false">IF($A152="N/A"," ",IF(AND(AG152=$AJ$2+1,AN152=0),MIN($AR$159,Z152),0))</f>
        <v> </v>
      </c>
      <c r="AW152" s="302" t="str">
        <f aca="false">IF($A152="N/A"," ",IF(AND(AH152=$AJ$2+1,AO152=0),MIN($AR$159,AA152),0))</f>
        <v> </v>
      </c>
      <c r="AX152" s="302" t="str">
        <f aca="false">IF($A152="N/A"," ",IF(AND(AI152=$AJ$2+1,AP152=0),MIN($AR$159,AB152),0))</f>
        <v> </v>
      </c>
      <c r="AY152" s="302" t="str">
        <f aca="false">IF($A152="N/A"," ",IF(AND(AJ152=$AJ$2+1,AQ152=0),MIN($AR$159,AC152),0))</f>
        <v> </v>
      </c>
      <c r="AZ152" s="300"/>
      <c r="BA152" s="291" t="str">
        <f aca="false">IF($A152="N/A"," ",(IF(MONTH(A152)&gt;=4,IF(MONTH(A152)&lt;=10,Inputs!$F$13,Inputs!$F$14),Inputs!$F$14))*$BW152)</f>
        <v> </v>
      </c>
      <c r="BB152" s="292" t="str">
        <f aca="false">IF($A152="N/A"," ",(IF(AK152&gt;0,($BA152*(8*(VLOOKUP($A152,NumberofDaysTable,2)))*P152),0)+IF(AS152&gt;0,($BA152*((AS152))*P152),0)))</f>
        <v> </v>
      </c>
      <c r="BC152" s="292" t="str">
        <f aca="false">IF($A152="N/A"," ",(IF(AL152&gt;0,($BA152*(8*(VLOOKUP($A152,NumberofDaysTable,2)))*Q152),0)+IF(AT152&gt;0,($BA152*((AT152))*Q152),0)))</f>
        <v> </v>
      </c>
      <c r="BD152" s="292" t="str">
        <f aca="false">IF($A152="N/A"," ",(IF(AM152&gt;0,($BA152*(8*(VLOOKUP($A152,NumberofDaysTable,3)))*R152),0)+IF(AU152&gt;0,($BA152*((AU152))*R152),0)))</f>
        <v> </v>
      </c>
      <c r="BE152" s="292" t="str">
        <f aca="false">IF($A152="N/A"," ",(IF(AN152&gt;0,($BA152*(8*(VLOOKUP($A152,NumberofDaysTable,3)))*S152),0)+IF(AV152&gt;0,($BA152*((AV152))*S152),0)))</f>
        <v> </v>
      </c>
      <c r="BF152" s="292" t="str">
        <f aca="false">IF($A152="N/A"," ",(IF(AO152&gt;0,($BA152*(8*(VLOOKUP($A152,NumberofDaysTable,4)+VLOOKUP($A152,NumberofDaysTable,5)))*T152),0)+IF(AW152&gt;0,($BA152*((AW152))*T152),0)))</f>
        <v> </v>
      </c>
      <c r="BG152" s="292" t="str">
        <f aca="false">IF($A152="N/A"," ",(IF(AP152&gt;0,($BA152*(8*(VLOOKUP($A152,NumberofDaysTable,4)+VLOOKUP($A152,NumberofDaysTable,5)))*U152),0)+IF(AX152&gt;0,($BA152*((AX152))*U152),0)))</f>
        <v> </v>
      </c>
      <c r="BH152" s="292" t="str">
        <f aca="false">IF($A152="N/A"," ",($BA152*AQ152*V152))</f>
        <v> </v>
      </c>
      <c r="BI152" s="292" t="str">
        <f aca="false">IF($A152="N/A"," ",SUM(BB152:BH152))</f>
        <v> </v>
      </c>
      <c r="BJ152" s="293" t="str">
        <f aca="false">IF($A152="N/A"," ",(H152*(SUM(AK152:AQ152)+SUM(AS152:AY152))*BA152))</f>
        <v> </v>
      </c>
      <c r="BK152" s="293" t="str">
        <f aca="false">IF($A152="N/A"," ",((C152*D152)*(SUM($AK152:$AQ152)+SUM($AS152:$AY152))*$BA152))</f>
        <v> </v>
      </c>
      <c r="BL152" s="293" t="str">
        <f aca="false">IF($A152="N/A"," ",(F152*(SUM($AK152:$AQ152)+SUM($AS152:$AY152))*$BA152))</f>
        <v> </v>
      </c>
      <c r="BM152" s="293" t="str">
        <f aca="false">IF($A152="N/A"," ",(G152*(SUM($AK152:$AQ152)+SUM($AS152:$AY152))*$BA152))</f>
        <v> </v>
      </c>
      <c r="BN152" s="294" t="str">
        <f aca="false">IF(A152="N/A"," ",(VLOOKUP(A152,PowerVolTable,(IF('Pricing Inputs'!$AT$3=2,7,IF('Pricing Inputs'!$AT$3=1,6,8))),FALSE())))</f>
        <v> </v>
      </c>
      <c r="BO152" s="294" t="str">
        <f aca="false">IF(A152="N/A"," ",(VLOOKUP(A152,IntraPowerVol,(IF('Pricing Inputs'!$AT$3=2,3,IF('Pricing Inputs'!$AT$3=1,2,4))),FALSE())*VLOOKUP(MONTH($A152),Inputs!$A$28:$B$39,2)))</f>
        <v> </v>
      </c>
      <c r="BP152" s="295" t="str">
        <f aca="false">IF($A152="N/A"," ",(IF(DateToday&gt;$A152,$BO152,((($BN152^2)*((($A152-1)-DateToday)/((EOMONTH($A152,0)+1)-DateToday-15)))+((($BO152)^2)*((15)/((EOMONTH($A152,0)+1)-DateToday-15))))^0.5)))</f>
        <v> </v>
      </c>
      <c r="BQ152" s="294" t="str">
        <f aca="false">IF($A152="N/A"," ",(VLOOKUP($A152,GasVolTable,(IF('Pricing Inputs'!$AT$3=2,6,IF('Pricing Inputs'!$AT$3=1,7,5))),FALSE())))</f>
        <v> </v>
      </c>
      <c r="BR152" s="294" t="str">
        <f aca="false">IF($A152="N/A"," ",(VLOOKUP($A152,OmicronVol,(IF('Pricing Inputs'!$AT$3=2,3,IF('Pricing Inputs'!$AT$3=1,4,2))),FALSE())))</f>
        <v> </v>
      </c>
      <c r="BS152" s="295" t="str">
        <f aca="false">IF($A152="N/A"," ",IF('Pricing Inputs'!$AN$3=1,(IF(DateToday&gt;$A152,$BR152,((($BQ152^2)*((($A152-1)-DateToday)/((EOMONTH($A152,0)+1)-DateToday-15)))+((($BR152)^2)*((15)/((EOMONTH($A152,0)+1)-DateToday-15))))^0.5)),0.0001))</f>
        <v> </v>
      </c>
      <c r="BT152" s="294" t="str">
        <f aca="false">IF($A152="N/A"," ",IF('Pricing Inputs'!$AN$3=1,(VLOOKUP($A152,CorrelationTable,2,FALSE())),0))</f>
        <v> </v>
      </c>
      <c r="BU152" s="296" t="str">
        <f aca="false">IF($A152="N/A"," ",F152+G152+(D152*(VLOOKUP($A152,'Gas Curves'!$B$17:$P$310,14,FALSE()))))</f>
        <v> </v>
      </c>
      <c r="BV152" s="294" t="str">
        <f aca="false">IF($A152="N/A"," ",IF('Pricing Inputs'!$AW$3=1,0,(VLOOKUP($A152,InterestRatesTable,2))))</f>
        <v> </v>
      </c>
      <c r="BW152" s="297" t="str">
        <f aca="false">IF($A152="N/A"," ",(1+BV152/2)^(-2*((EOMONTH(A152,0)+20)-DateToday)/365.25))</f>
        <v> </v>
      </c>
    </row>
    <row r="153" customFormat="false" ht="12.75" hidden="false" customHeight="false" outlineLevel="0" collapsed="false">
      <c r="A153" s="272" t="str">
        <f aca="false">IF(A152="N/A","N/A",IF(EDATE(A152,1)&gt;Inputs!$K$3,"N/A",EDATE(A152,1)))</f>
        <v>N/A</v>
      </c>
      <c r="B153" s="273" t="str">
        <f aca="false">IF(A153="N/A"," ",YEAR(A153))</f>
        <v> </v>
      </c>
      <c r="C153" s="274" t="str">
        <f aca="false">IF(A153="N/A"," ",VLOOKUP(A153,ScaledPrice,10))</f>
        <v> </v>
      </c>
      <c r="D153" s="275" t="str">
        <f aca="false">IF(A153="N/A"," ",(VLOOKUP(MONTH($A153),Inputs!$A$14:$B$25,2))/1000)</f>
        <v> </v>
      </c>
      <c r="E153" s="276" t="str">
        <f aca="false">IF($A153="N/A"," ",C153*D153)</f>
        <v> </v>
      </c>
      <c r="F153" s="277" t="str">
        <f aca="false">IF(A153="N/A"," ",Inputs!$F$6)</f>
        <v> </v>
      </c>
      <c r="G153" s="277" t="str">
        <f aca="false">IF(A153="N/A"," ",Inputs!$F$9/IF(AND('Pricing Inputs'!$AQ$3&gt;=4,'Pricing Inputs'!$AQ$3&lt;=6),16,IF(AND('Pricing Inputs'!$AQ$3&gt;=7,'Pricing Inputs'!$AQ$3&lt;=9),8,24))/(BA153/BW153))</f>
        <v> </v>
      </c>
      <c r="H153" s="278" t="str">
        <f aca="false">IF(A153="N/A"," ",(C153*D153)+F153+G153)</f>
        <v> </v>
      </c>
      <c r="I153" s="279" t="str">
        <f aca="false">VLOOKUP(A153,ScaledPrice,(IF(AND('Pricing Inputs'!$AQ$3&gt;=1,'Pricing Inputs'!$AQ$3&lt;=6),2,4)))</f>
        <v> </v>
      </c>
      <c r="J153" s="279" t="str">
        <f aca="false">IF(A153="N/A"," ",IF(AND('Pricing Inputs'!$AQ$3&gt;=1,'Pricing Inputs'!$AQ$3&lt;=6),I153,(VLOOKUP(A153,ScaledPrice,2))*(2-(VLOOKUP(A153,ScaledPrice,3)))))</f>
        <v> </v>
      </c>
      <c r="K153" s="279" t="str">
        <f aca="false">IF(A153="N/A"," ",IF(OR('Pricing Inputs'!$AQ$3=2,'Pricing Inputs'!$AQ$3=3,'Pricing Inputs'!$AQ$3=5,'Pricing Inputs'!$AQ$3=6,'Pricing Inputs'!$AQ$3=8,'Pricing Inputs'!$AQ$3=9),VLOOKUP(A153,ScaledPrice,IF(AND('Pricing Inputs'!$AQ$3&gt;=2,'Pricing Inputs'!$AQ$3&lt;=6),5,6)),0))</f>
        <v> </v>
      </c>
      <c r="L153" s="279" t="str">
        <f aca="false">IF(A153="N/A"," ",IF(OR('Pricing Inputs'!$AQ$3=2,'Pricing Inputs'!$AQ$3=3,'Pricing Inputs'!$AQ$3=5,'Pricing Inputs'!$AQ$3=6,'Pricing Inputs'!$AQ$3=8,'Pricing Inputs'!$AQ$3=9),IF(AND('Pricing Inputs'!$AQ$3&gt;=2,'Pricing Inputs'!$AQ$3&lt;=6),K153,(VLOOKUP(A153,ScaledPrice,5))*(2-(VLOOKUP(A153,ScaledPrice,3)))),0))</f>
        <v> </v>
      </c>
      <c r="M153" s="279" t="str">
        <f aca="false">IF(A153="N/A"," ",IF(OR('Pricing Inputs'!$AQ$3=3,'Pricing Inputs'!$AQ$3=6,'Pricing Inputs'!$AQ$3=9),(VLOOKUP(A153,ScaledPrice,IF(AND('Pricing Inputs'!$AQ$3&gt;=3,'Pricing Inputs'!$AQ$3&lt;=6),7,8))),0))</f>
        <v> </v>
      </c>
      <c r="N153" s="279" t="str">
        <f aca="false">IF(A153="N/A"," ",IF(OR('Pricing Inputs'!$AQ$3=3,'Pricing Inputs'!$AQ$3=6,'Pricing Inputs'!$AQ$3=9),IF(AND('Pricing Inputs'!$AQ$3&gt;=3,'Pricing Inputs'!$AQ$3&lt;=6),M153,(VLOOKUP(A153,ScaledPrice,7))*(2-(VLOOKUP(A153,ScaledPrice,3)))),0))</f>
        <v> </v>
      </c>
      <c r="O153" s="279" t="str">
        <f aca="false">IF(A153="N/A"," ",IF(AND('Pricing Inputs'!$AQ$3&gt;=1,'Pricing Inputs'!$AQ$3&lt;=3),VLOOKUP(A153,ScaledPrice,9),0))</f>
        <v> </v>
      </c>
      <c r="P153" s="280" t="str">
        <f aca="false">IF($A153="N/A"," ",IF('Pricing Inputs'!$AN$8=2,(I153-H153),IF('Pricing Inputs'!$AN$3=2,IF((I153-$H153)&gt;0,I153-$H153,0),(xSPRDOPT(I153,$E153,$BU153,0,$BP153,$BS153,$BT153,($A153-Inputs!$D$1)+15,1,0)))))</f>
        <v> </v>
      </c>
      <c r="Q153" s="280" t="str">
        <f aca="false">IF($A153="N/A"," ",IF('Pricing Inputs'!$AN$8=2,(J153-$H153),IF('Pricing Inputs'!$AN$3=2,IF((J153-$H153)&gt;0,J153-$H153,0),(xSPRDOPT(J153,$E153,$BU153,0,$BP153,$BS153,$BT153,($A153-Inputs!$D$1)+15,1,0)))))</f>
        <v> </v>
      </c>
      <c r="R153" s="280" t="str">
        <f aca="false">IF($A153="N/A"," ",IF('Pricing Inputs'!$AN$8=2,(K153-$H153),IF('Pricing Inputs'!$AN$3=2,IF((K153-$H153)&gt;0,K153-$H153,0),(xSPRDOPT(K153,$E153,$BU153,0,$BP153,$BS153,$BT153,($A153-Inputs!$D$1)+15,1,0)))))</f>
        <v> </v>
      </c>
      <c r="S153" s="280" t="str">
        <f aca="false">IF($A153="N/A"," ",IF('Pricing Inputs'!$AN$8=2,(L153-$H153),IF('Pricing Inputs'!$AN$3=2,IF((L153-$H153)&gt;0,L153-$H153,0),(xSPRDOPT(L153,$E153,$BU153,0,$BP153,$BS153,$BT153,($A153-Inputs!$D$1)+15,1,0)))))</f>
        <v> </v>
      </c>
      <c r="T153" s="280" t="str">
        <f aca="false">IF($A153="N/A"," ",IF('Pricing Inputs'!$AN$8=2,(M153-$H153),IF('Pricing Inputs'!$AN$3=2,IF((M153-$H153)&gt;0,M153-$H153,0),(xSPRDOPT(M153,$E153,$BU153,0,$BP153,$BS153,$BT153,($A153-Inputs!$D$1)+15,1,0)))))</f>
        <v> </v>
      </c>
      <c r="U153" s="280" t="str">
        <f aca="false">IF($A153="N/A"," ",IF('Pricing Inputs'!$AN$8=2,(N153-$H153),IF('Pricing Inputs'!$AN$3=2,IF((N153-$H153)&gt;0,N153-$H153,0),(xSPRDOPT(N153,$E153,$BU153,0,$BP153,$BS153,$BT153,($A153-Inputs!$D$1)+15,1,0)))))</f>
        <v> </v>
      </c>
      <c r="V153" s="281" t="str">
        <f aca="false">IF($A153="N/A"," ",(IF('Pricing Inputs'!$AN$8=2,(O153-$H153),IF((O153-$H153)&lt;=0,0,(O153-$H153)))))</f>
        <v> </v>
      </c>
      <c r="W153" s="282" t="str">
        <f aca="false">IF($A153="N/A"," ",IF(0&lt;&gt;P153,IF('Pricing Inputs'!$AN$3=2,8*VLOOKUP($A153,NumberofDaysTable,2),(xSPRDOPT(I153,$E153,$BU153,0,$BP153,$BS153,$BT153,$A153-Inputs!$D$1,1,1))*(8*VLOOKUP($A153,NumberofDaysTable,2))),0))</f>
        <v> </v>
      </c>
      <c r="X153" s="282" t="str">
        <f aca="false">IF($A153="N/A"," ",IF(Q153&lt;&gt;0,IF('Pricing Inputs'!$AN$3=2,8*VLOOKUP($A153,NumberofDaysTable,2),(xSPRDOPT(J153,$E153,$BU153,0,$BP153,$BS153,$BT153,$A153-Inputs!$D$1,1,1))*(8*VLOOKUP($A153,NumberofDaysTable,2))),0))</f>
        <v> </v>
      </c>
      <c r="Y153" s="282" t="str">
        <f aca="false">IF($A153="N/A"," ",IF(R153&lt;&gt;0,IF('Pricing Inputs'!$AN$3=2,8*VLOOKUP($A153,NumberofDaysTable,3),(xSPRDOPT(K153,$E153,$BU153,0,$BP153,$BS153,$BT153,$A153-Inputs!$D$1,1,1))*(8*VLOOKUP($A153,NumberofDaysTable,3))),0))</f>
        <v> </v>
      </c>
      <c r="Z153" s="282" t="str">
        <f aca="false">IF($A153="N/A"," ",IF(S153&lt;&gt;0,IF('Pricing Inputs'!$AN$3=2,8*VLOOKUP($A153,NumberofDaysTable,3),(xSPRDOPT(L153,$E153,$BU153,0,$BP153,$BS153,$BT153,$A153-Inputs!$D$1,1,1))*(8*VLOOKUP($A153,NumberofDaysTable,3))),0))</f>
        <v> </v>
      </c>
      <c r="AA153" s="282" t="str">
        <f aca="false">IF($A153="N/A"," ",IF(T153&lt;&gt;0,IF('Pricing Inputs'!$AN$3=2,8*VLOOKUP($A153,NumberofDaysTable,4),(xSPRDOPT(M153,$E153,$BU153,0,$BP153,$BS153,$BT153,$A153-Inputs!$D$1,1,1))*(8*VLOOKUP($A153,NumberofDaysTable,4))),0))</f>
        <v> </v>
      </c>
      <c r="AB153" s="282" t="str">
        <f aca="false">IF($A153="N/A"," ",IF(U153&lt;&gt;0,IF('Pricing Inputs'!$AN$3=2,8*VLOOKUP($A153,NumberofDaysTable,4),(xSPRDOPT(N153,$E153,$BU153,0,$BP153,$BS153,$BT153,$A153-Inputs!$D$1,1,1))*(8*VLOOKUP($A153,NumberofDaysTable,4))),0))</f>
        <v> </v>
      </c>
      <c r="AC153" s="282" t="str">
        <f aca="false">IF($A153="N/A"," ",(IF(V153&lt;&gt;0,(8*VLOOKUP($A153,NumberofDaysTable,6)),0)))</f>
        <v> </v>
      </c>
      <c r="AD153" s="298" t="str">
        <f aca="false">IF($A153="N/A"," ",RANK(P153,$P$148:$V$159))</f>
        <v> </v>
      </c>
      <c r="AE153" s="299" t="str">
        <f aca="false">IF($A153="N/A"," ",RANK(Q153,$P$148:$V$159))</f>
        <v> </v>
      </c>
      <c r="AF153" s="299" t="str">
        <f aca="false">IF($A153="N/A"," ",RANK(R153,$P$148:$V$159))</f>
        <v> </v>
      </c>
      <c r="AG153" s="299" t="str">
        <f aca="false">IF($A153="N/A"," ",RANK(S153,$P$148:$V$159))</f>
        <v> </v>
      </c>
      <c r="AH153" s="299" t="str">
        <f aca="false">IF($A153="N/A"," ",RANK(T153,$P$148:$V$159))</f>
        <v> </v>
      </c>
      <c r="AI153" s="299" t="str">
        <f aca="false">IF($A153="N/A"," ",RANK(U153,$P$148:$V$159))</f>
        <v> </v>
      </c>
      <c r="AJ153" s="300" t="str">
        <f aca="false">IF($A153="N/A"," ",RANK(V153,$P$148:$V$159))</f>
        <v> </v>
      </c>
      <c r="AK153" s="286" t="str">
        <f aca="false">IF($A153="N/A"," ",IF(AD153&lt;=$AJ$2,W153,0))</f>
        <v> </v>
      </c>
      <c r="AL153" s="301" t="str">
        <f aca="false">IF($A153="N/A"," ",IF(AE153&lt;=$AJ$2,X153,0))</f>
        <v> </v>
      </c>
      <c r="AM153" s="301" t="str">
        <f aca="false">IF($A153="N/A"," ",IF(AF153&lt;=$AJ$2,Y153,0))</f>
        <v> </v>
      </c>
      <c r="AN153" s="301" t="str">
        <f aca="false">IF($A153="N/A"," ",IF(AG153&lt;=$AJ$2,Z153,0))</f>
        <v> </v>
      </c>
      <c r="AO153" s="301" t="str">
        <f aca="false">IF($A153="N/A"," ",IF(AH153&lt;=$AJ$2,AA153,0))</f>
        <v> </v>
      </c>
      <c r="AP153" s="301" t="str">
        <f aca="false">IF($A153="N/A"," ",IF(AI153&lt;=$AJ$2,AB153,0))</f>
        <v> </v>
      </c>
      <c r="AQ153" s="301" t="str">
        <f aca="false">IF($A153="N/A"," ",IF(AJ153&lt;=$AJ$2,AC153,0))</f>
        <v> </v>
      </c>
      <c r="AR153" s="300"/>
      <c r="AS153" s="288" t="str">
        <f aca="false">IF($A153="N/A"," ",IF(AND(AD153=$AJ$2+1,AK153=0),MIN($AR$159,W153),0))</f>
        <v> </v>
      </c>
      <c r="AT153" s="302" t="str">
        <f aca="false">IF($A153="N/A"," ",IF(AND(AE153=$AJ$2+1,AL153=0),MIN($AR$159,X153),0))</f>
        <v> </v>
      </c>
      <c r="AU153" s="302" t="str">
        <f aca="false">IF($A153="N/A"," ",IF(AND(AF153=$AJ$2+1,AM153=0),MIN($AR$159,Y153),0))</f>
        <v> </v>
      </c>
      <c r="AV153" s="302" t="str">
        <f aca="false">IF($A153="N/A"," ",IF(AND(AG153=$AJ$2+1,AN153=0),MIN($AR$159,Z153),0))</f>
        <v> </v>
      </c>
      <c r="AW153" s="302" t="str">
        <f aca="false">IF($A153="N/A"," ",IF(AND(AH153=$AJ$2+1,AO153=0),MIN($AR$159,AA153),0))</f>
        <v> </v>
      </c>
      <c r="AX153" s="302" t="str">
        <f aca="false">IF($A153="N/A"," ",IF(AND(AI153=$AJ$2+1,AP153=0),MIN($AR$159,AB153),0))</f>
        <v> </v>
      </c>
      <c r="AY153" s="302" t="str">
        <f aca="false">IF($A153="N/A"," ",IF(AND(AJ153=$AJ$2+1,AQ153=0),MIN($AR$159,AC153),0))</f>
        <v> </v>
      </c>
      <c r="AZ153" s="300"/>
      <c r="BA153" s="291" t="str">
        <f aca="false">IF($A153="N/A"," ",(IF(MONTH(A153)&gt;=4,IF(MONTH(A153)&lt;=10,Inputs!$F$13,Inputs!$F$14),Inputs!$F$14))*$BW153)</f>
        <v> </v>
      </c>
      <c r="BB153" s="292" t="str">
        <f aca="false">IF($A153="N/A"," ",(IF(AK153&gt;0,($BA153*(8*(VLOOKUP($A153,NumberofDaysTable,2)))*P153),0)+IF(AS153&gt;0,($BA153*((AS153))*P153),0)))</f>
        <v> </v>
      </c>
      <c r="BC153" s="292" t="str">
        <f aca="false">IF($A153="N/A"," ",(IF(AL153&gt;0,($BA153*(8*(VLOOKUP($A153,NumberofDaysTable,2)))*Q153),0)+IF(AT153&gt;0,($BA153*((AT153))*Q153),0)))</f>
        <v> </v>
      </c>
      <c r="BD153" s="292" t="str">
        <f aca="false">IF($A153="N/A"," ",(IF(AM153&gt;0,($BA153*(8*(VLOOKUP($A153,NumberofDaysTable,3)))*R153),0)+IF(AU153&gt;0,($BA153*((AU153))*R153),0)))</f>
        <v> </v>
      </c>
      <c r="BE153" s="292" t="str">
        <f aca="false">IF($A153="N/A"," ",(IF(AN153&gt;0,($BA153*(8*(VLOOKUP($A153,NumberofDaysTable,3)))*S153),0)+IF(AV153&gt;0,($BA153*((AV153))*S153),0)))</f>
        <v> </v>
      </c>
      <c r="BF153" s="292" t="str">
        <f aca="false">IF($A153="N/A"," ",(IF(AO153&gt;0,($BA153*(8*(VLOOKUP($A153,NumberofDaysTable,4)+VLOOKUP($A153,NumberofDaysTable,5)))*T153),0)+IF(AW153&gt;0,($BA153*((AW153))*T153),0)))</f>
        <v> </v>
      </c>
      <c r="BG153" s="292" t="str">
        <f aca="false">IF($A153="N/A"," ",(IF(AP153&gt;0,($BA153*(8*(VLOOKUP($A153,NumberofDaysTable,4)+VLOOKUP($A153,NumberofDaysTable,5)))*U153),0)+IF(AX153&gt;0,($BA153*((AX153))*U153),0)))</f>
        <v> </v>
      </c>
      <c r="BH153" s="292" t="str">
        <f aca="false">IF($A153="N/A"," ",($BA153*AQ153*V153))</f>
        <v> </v>
      </c>
      <c r="BI153" s="292" t="str">
        <f aca="false">IF($A153="N/A"," ",SUM(BB153:BH153))</f>
        <v> </v>
      </c>
      <c r="BJ153" s="293" t="str">
        <f aca="false">IF($A153="N/A"," ",(H153*(SUM(AK153:AQ153)+SUM(AS153:AY153))*BA153))</f>
        <v> </v>
      </c>
      <c r="BK153" s="293" t="str">
        <f aca="false">IF($A153="N/A"," ",((C153*D153)*(SUM($AK153:$AQ153)+SUM($AS153:$AY153))*$BA153))</f>
        <v> </v>
      </c>
      <c r="BL153" s="293" t="str">
        <f aca="false">IF($A153="N/A"," ",(F153*(SUM($AK153:$AQ153)+SUM($AS153:$AY153))*$BA153))</f>
        <v> </v>
      </c>
      <c r="BM153" s="293" t="str">
        <f aca="false">IF($A153="N/A"," ",(G153*(SUM($AK153:$AQ153)+SUM($AS153:$AY153))*$BA153))</f>
        <v> </v>
      </c>
      <c r="BN153" s="294" t="str">
        <f aca="false">IF(A153="N/A"," ",(VLOOKUP(A153,PowerVolTable,(IF('Pricing Inputs'!$AT$3=2,7,IF('Pricing Inputs'!$AT$3=1,6,8))),FALSE())))</f>
        <v> </v>
      </c>
      <c r="BO153" s="294" t="str">
        <f aca="false">IF(A153="N/A"," ",(VLOOKUP(A153,IntraPowerVol,(IF('Pricing Inputs'!$AT$3=2,3,IF('Pricing Inputs'!$AT$3=1,2,4))),FALSE())*VLOOKUP(MONTH($A153),Inputs!$A$28:$B$39,2)))</f>
        <v> </v>
      </c>
      <c r="BP153" s="295" t="str">
        <f aca="false">IF($A153="N/A"," ",(IF(DateToday&gt;$A153,$BO153,((($BN153^2)*((($A153-1)-DateToday)/((EOMONTH($A153,0)+1)-DateToday-15)))+((($BO153)^2)*((15)/((EOMONTH($A153,0)+1)-DateToday-15))))^0.5)))</f>
        <v> </v>
      </c>
      <c r="BQ153" s="294" t="str">
        <f aca="false">IF($A153="N/A"," ",(VLOOKUP($A153,GasVolTable,(IF('Pricing Inputs'!$AT$3=2,6,IF('Pricing Inputs'!$AT$3=1,7,5))),FALSE())))</f>
        <v> </v>
      </c>
      <c r="BR153" s="294" t="str">
        <f aca="false">IF($A153="N/A"," ",(VLOOKUP($A153,OmicronVol,(IF('Pricing Inputs'!$AT$3=2,3,IF('Pricing Inputs'!$AT$3=1,4,2))),FALSE())))</f>
        <v> </v>
      </c>
      <c r="BS153" s="295" t="str">
        <f aca="false">IF($A153="N/A"," ",IF('Pricing Inputs'!$AN$3=1,(IF(DateToday&gt;$A153,$BR153,((($BQ153^2)*((($A153-1)-DateToday)/((EOMONTH($A153,0)+1)-DateToday-15)))+((($BR153)^2)*((15)/((EOMONTH($A153,0)+1)-DateToday-15))))^0.5)),0.0001))</f>
        <v> </v>
      </c>
      <c r="BT153" s="294" t="str">
        <f aca="false">IF($A153="N/A"," ",IF('Pricing Inputs'!$AN$3=1,(VLOOKUP($A153,CorrelationTable,2,FALSE())),0))</f>
        <v> </v>
      </c>
      <c r="BU153" s="296" t="str">
        <f aca="false">IF($A153="N/A"," ",F153+G153+(D153*(VLOOKUP($A153,'Gas Curves'!$B$17:$P$310,14,FALSE()))))</f>
        <v> </v>
      </c>
      <c r="BV153" s="294" t="str">
        <f aca="false">IF($A153="N/A"," ",IF('Pricing Inputs'!$AW$3=1,0,(VLOOKUP($A153,InterestRatesTable,2))))</f>
        <v> </v>
      </c>
      <c r="BW153" s="297" t="str">
        <f aca="false">IF($A153="N/A"," ",(1+BV153/2)^(-2*((EOMONTH(A153,0)+20)-DateToday)/365.25))</f>
        <v> </v>
      </c>
    </row>
    <row r="154" customFormat="false" ht="12.75" hidden="false" customHeight="false" outlineLevel="0" collapsed="false">
      <c r="A154" s="272" t="str">
        <f aca="false">IF(A153="N/A","N/A",IF(EDATE(A153,1)&gt;Inputs!$K$3,"N/A",EDATE(A153,1)))</f>
        <v>N/A</v>
      </c>
      <c r="B154" s="273" t="str">
        <f aca="false">IF(A154="N/A"," ",YEAR(A154))</f>
        <v> </v>
      </c>
      <c r="C154" s="274" t="str">
        <f aca="false">IF(A154="N/A"," ",VLOOKUP(A154,ScaledPrice,10))</f>
        <v> </v>
      </c>
      <c r="D154" s="275" t="str">
        <f aca="false">IF(A154="N/A"," ",(VLOOKUP(MONTH($A154),Inputs!$A$14:$B$25,2))/1000)</f>
        <v> </v>
      </c>
      <c r="E154" s="276" t="str">
        <f aca="false">IF($A154="N/A"," ",C154*D154)</f>
        <v> </v>
      </c>
      <c r="F154" s="277" t="str">
        <f aca="false">IF(A154="N/A"," ",Inputs!$F$6)</f>
        <v> </v>
      </c>
      <c r="G154" s="277" t="str">
        <f aca="false">IF(A154="N/A"," ",Inputs!$F$9/IF(AND('Pricing Inputs'!$AQ$3&gt;=4,'Pricing Inputs'!$AQ$3&lt;=6),16,IF(AND('Pricing Inputs'!$AQ$3&gt;=7,'Pricing Inputs'!$AQ$3&lt;=9),8,24))/(BA154/BW154))</f>
        <v> </v>
      </c>
      <c r="H154" s="278" t="str">
        <f aca="false">IF(A154="N/A"," ",(C154*D154)+F154+G154)</f>
        <v> </v>
      </c>
      <c r="I154" s="279" t="str">
        <f aca="false">VLOOKUP(A154,ScaledPrice,(IF(AND('Pricing Inputs'!$AQ$3&gt;=1,'Pricing Inputs'!$AQ$3&lt;=6),2,4)))</f>
        <v> </v>
      </c>
      <c r="J154" s="279" t="str">
        <f aca="false">IF(A154="N/A"," ",IF(AND('Pricing Inputs'!$AQ$3&gt;=1,'Pricing Inputs'!$AQ$3&lt;=6),I154,(VLOOKUP(A154,ScaledPrice,2))*(2-(VLOOKUP(A154,ScaledPrice,3)))))</f>
        <v> </v>
      </c>
      <c r="K154" s="279" t="str">
        <f aca="false">IF(A154="N/A"," ",IF(OR('Pricing Inputs'!$AQ$3=2,'Pricing Inputs'!$AQ$3=3,'Pricing Inputs'!$AQ$3=5,'Pricing Inputs'!$AQ$3=6,'Pricing Inputs'!$AQ$3=8,'Pricing Inputs'!$AQ$3=9),VLOOKUP(A154,ScaledPrice,IF(AND('Pricing Inputs'!$AQ$3&gt;=2,'Pricing Inputs'!$AQ$3&lt;=6),5,6)),0))</f>
        <v> </v>
      </c>
      <c r="L154" s="279" t="str">
        <f aca="false">IF(A154="N/A"," ",IF(OR('Pricing Inputs'!$AQ$3=2,'Pricing Inputs'!$AQ$3=3,'Pricing Inputs'!$AQ$3=5,'Pricing Inputs'!$AQ$3=6,'Pricing Inputs'!$AQ$3=8,'Pricing Inputs'!$AQ$3=9),IF(AND('Pricing Inputs'!$AQ$3&gt;=2,'Pricing Inputs'!$AQ$3&lt;=6),K154,(VLOOKUP(A154,ScaledPrice,5))*(2-(VLOOKUP(A154,ScaledPrice,3)))),0))</f>
        <v> </v>
      </c>
      <c r="M154" s="279" t="str">
        <f aca="false">IF(A154="N/A"," ",IF(OR('Pricing Inputs'!$AQ$3=3,'Pricing Inputs'!$AQ$3=6,'Pricing Inputs'!$AQ$3=9),(VLOOKUP(A154,ScaledPrice,IF(AND('Pricing Inputs'!$AQ$3&gt;=3,'Pricing Inputs'!$AQ$3&lt;=6),7,8))),0))</f>
        <v> </v>
      </c>
      <c r="N154" s="279" t="str">
        <f aca="false">IF(A154="N/A"," ",IF(OR('Pricing Inputs'!$AQ$3=3,'Pricing Inputs'!$AQ$3=6,'Pricing Inputs'!$AQ$3=9),IF(AND('Pricing Inputs'!$AQ$3&gt;=3,'Pricing Inputs'!$AQ$3&lt;=6),M154,(VLOOKUP(A154,ScaledPrice,7))*(2-(VLOOKUP(A154,ScaledPrice,3)))),0))</f>
        <v> </v>
      </c>
      <c r="O154" s="279" t="str">
        <f aca="false">IF(A154="N/A"," ",IF(AND('Pricing Inputs'!$AQ$3&gt;=1,'Pricing Inputs'!$AQ$3&lt;=3),VLOOKUP(A154,ScaledPrice,9),0))</f>
        <v> </v>
      </c>
      <c r="P154" s="280" t="str">
        <f aca="false">IF($A154="N/A"," ",IF('Pricing Inputs'!$AN$8=2,(I154-H154),IF('Pricing Inputs'!$AN$3=2,IF((I154-$H154)&gt;0,I154-$H154,0),(xSPRDOPT(I154,$E154,$BU154,0,$BP154,$BS154,$BT154,($A154-Inputs!$D$1)+15,1,0)))))</f>
        <v> </v>
      </c>
      <c r="Q154" s="280" t="str">
        <f aca="false">IF($A154="N/A"," ",IF('Pricing Inputs'!$AN$8=2,(J154-$H154),IF('Pricing Inputs'!$AN$3=2,IF((J154-$H154)&gt;0,J154-$H154,0),(xSPRDOPT(J154,$E154,$BU154,0,$BP154,$BS154,$BT154,($A154-Inputs!$D$1)+15,1,0)))))</f>
        <v> </v>
      </c>
      <c r="R154" s="280" t="str">
        <f aca="false">IF($A154="N/A"," ",IF('Pricing Inputs'!$AN$8=2,(K154-$H154),IF('Pricing Inputs'!$AN$3=2,IF((K154-$H154)&gt;0,K154-$H154,0),(xSPRDOPT(K154,$E154,$BU154,0,$BP154,$BS154,$BT154,($A154-Inputs!$D$1)+15,1,0)))))</f>
        <v> </v>
      </c>
      <c r="S154" s="280" t="str">
        <f aca="false">IF($A154="N/A"," ",IF('Pricing Inputs'!$AN$8=2,(L154-$H154),IF('Pricing Inputs'!$AN$3=2,IF((L154-$H154)&gt;0,L154-$H154,0),(xSPRDOPT(L154,$E154,$BU154,0,$BP154,$BS154,$BT154,($A154-Inputs!$D$1)+15,1,0)))))</f>
        <v> </v>
      </c>
      <c r="T154" s="280" t="str">
        <f aca="false">IF($A154="N/A"," ",IF('Pricing Inputs'!$AN$8=2,(M154-$H154),IF('Pricing Inputs'!$AN$3=2,IF((M154-$H154)&gt;0,M154-$H154,0),(xSPRDOPT(M154,$E154,$BU154,0,$BP154,$BS154,$BT154,($A154-Inputs!$D$1)+15,1,0)))))</f>
        <v> </v>
      </c>
      <c r="U154" s="280" t="str">
        <f aca="false">IF($A154="N/A"," ",IF('Pricing Inputs'!$AN$8=2,(N154-$H154),IF('Pricing Inputs'!$AN$3=2,IF((N154-$H154)&gt;0,N154-$H154,0),(xSPRDOPT(N154,$E154,$BU154,0,$BP154,$BS154,$BT154,($A154-Inputs!$D$1)+15,1,0)))))</f>
        <v> </v>
      </c>
      <c r="V154" s="281" t="str">
        <f aca="false">IF($A154="N/A"," ",(IF('Pricing Inputs'!$AN$8=2,(O154-$H154),IF((O154-$H154)&lt;=0,0,(O154-$H154)))))</f>
        <v> </v>
      </c>
      <c r="W154" s="282" t="str">
        <f aca="false">IF($A154="N/A"," ",IF(0&lt;&gt;P154,IF('Pricing Inputs'!$AN$3=2,8*VLOOKUP($A154,NumberofDaysTable,2),(xSPRDOPT(I154,$E154,$BU154,0,$BP154,$BS154,$BT154,$A154-Inputs!$D$1,1,1))*(8*VLOOKUP($A154,NumberofDaysTable,2))),0))</f>
        <v> </v>
      </c>
      <c r="X154" s="282" t="str">
        <f aca="false">IF($A154="N/A"," ",IF(Q154&lt;&gt;0,IF('Pricing Inputs'!$AN$3=2,8*VLOOKUP($A154,NumberofDaysTable,2),(xSPRDOPT(J154,$E154,$BU154,0,$BP154,$BS154,$BT154,$A154-Inputs!$D$1,1,1))*(8*VLOOKUP($A154,NumberofDaysTable,2))),0))</f>
        <v> </v>
      </c>
      <c r="Y154" s="282" t="str">
        <f aca="false">IF($A154="N/A"," ",IF(R154&lt;&gt;0,IF('Pricing Inputs'!$AN$3=2,8*VLOOKUP($A154,NumberofDaysTable,3),(xSPRDOPT(K154,$E154,$BU154,0,$BP154,$BS154,$BT154,$A154-Inputs!$D$1,1,1))*(8*VLOOKUP($A154,NumberofDaysTable,3))),0))</f>
        <v> </v>
      </c>
      <c r="Z154" s="282" t="str">
        <f aca="false">IF($A154="N/A"," ",IF(S154&lt;&gt;0,IF('Pricing Inputs'!$AN$3=2,8*VLOOKUP($A154,NumberofDaysTable,3),(xSPRDOPT(L154,$E154,$BU154,0,$BP154,$BS154,$BT154,$A154-Inputs!$D$1,1,1))*(8*VLOOKUP($A154,NumberofDaysTable,3))),0))</f>
        <v> </v>
      </c>
      <c r="AA154" s="282" t="str">
        <f aca="false">IF($A154="N/A"," ",IF(T154&lt;&gt;0,IF('Pricing Inputs'!$AN$3=2,8*VLOOKUP($A154,NumberofDaysTable,4),(xSPRDOPT(M154,$E154,$BU154,0,$BP154,$BS154,$BT154,$A154-Inputs!$D$1,1,1))*(8*VLOOKUP($A154,NumberofDaysTable,4))),0))</f>
        <v> </v>
      </c>
      <c r="AB154" s="282" t="str">
        <f aca="false">IF($A154="N/A"," ",IF(U154&lt;&gt;0,IF('Pricing Inputs'!$AN$3=2,8*VLOOKUP($A154,NumberofDaysTable,4),(xSPRDOPT(N154,$E154,$BU154,0,$BP154,$BS154,$BT154,$A154-Inputs!$D$1,1,1))*(8*VLOOKUP($A154,NumberofDaysTable,4))),0))</f>
        <v> </v>
      </c>
      <c r="AC154" s="282" t="str">
        <f aca="false">IF($A154="N/A"," ",(IF(V154&lt;&gt;0,(8*VLOOKUP($A154,NumberofDaysTable,6)),0)))</f>
        <v> </v>
      </c>
      <c r="AD154" s="298" t="str">
        <f aca="false">IF($A154="N/A"," ",RANK(P154,$P$148:$V$159))</f>
        <v> </v>
      </c>
      <c r="AE154" s="299" t="str">
        <f aca="false">IF($A154="N/A"," ",RANK(Q154,$P$148:$V$159))</f>
        <v> </v>
      </c>
      <c r="AF154" s="299" t="str">
        <f aca="false">IF($A154="N/A"," ",RANK(R154,$P$148:$V$159))</f>
        <v> </v>
      </c>
      <c r="AG154" s="299" t="str">
        <f aca="false">IF($A154="N/A"," ",RANK(S154,$P$148:$V$159))</f>
        <v> </v>
      </c>
      <c r="AH154" s="299" t="str">
        <f aca="false">IF($A154="N/A"," ",RANK(T154,$P$148:$V$159))</f>
        <v> </v>
      </c>
      <c r="AI154" s="299" t="str">
        <f aca="false">IF($A154="N/A"," ",RANK(U154,$P$148:$V$159))</f>
        <v> </v>
      </c>
      <c r="AJ154" s="300" t="str">
        <f aca="false">IF($A154="N/A"," ",RANK(V154,$P$148:$V$159))</f>
        <v> </v>
      </c>
      <c r="AK154" s="286" t="str">
        <f aca="false">IF($A154="N/A"," ",IF(AD154&lt;=$AJ$2,W154,0))</f>
        <v> </v>
      </c>
      <c r="AL154" s="301" t="str">
        <f aca="false">IF($A154="N/A"," ",IF(AE154&lt;=$AJ$2,X154,0))</f>
        <v> </v>
      </c>
      <c r="AM154" s="301" t="str">
        <f aca="false">IF($A154="N/A"," ",IF(AF154&lt;=$AJ$2,Y154,0))</f>
        <v> </v>
      </c>
      <c r="AN154" s="301" t="str">
        <f aca="false">IF($A154="N/A"," ",IF(AG154&lt;=$AJ$2,Z154,0))</f>
        <v> </v>
      </c>
      <c r="AO154" s="301" t="str">
        <f aca="false">IF($A154="N/A"," ",IF(AH154&lt;=$AJ$2,AA154,0))</f>
        <v> </v>
      </c>
      <c r="AP154" s="301" t="str">
        <f aca="false">IF($A154="N/A"," ",IF(AI154&lt;=$AJ$2,AB154,0))</f>
        <v> </v>
      </c>
      <c r="AQ154" s="301" t="str">
        <f aca="false">IF($A154="N/A"," ",IF(AJ154&lt;=$AJ$2,AC154,0))</f>
        <v> </v>
      </c>
      <c r="AR154" s="300"/>
      <c r="AS154" s="288" t="str">
        <f aca="false">IF($A154="N/A"," ",IF(AND(AD154=$AJ$2+1,AK154=0),MIN($AR$159,W154),0))</f>
        <v> </v>
      </c>
      <c r="AT154" s="302" t="str">
        <f aca="false">IF($A154="N/A"," ",IF(AND(AE154=$AJ$2+1,AL154=0),MIN($AR$159,X154),0))</f>
        <v> </v>
      </c>
      <c r="AU154" s="302" t="str">
        <f aca="false">IF($A154="N/A"," ",IF(AND(AF154=$AJ$2+1,AM154=0),MIN($AR$159,Y154),0))</f>
        <v> </v>
      </c>
      <c r="AV154" s="302" t="str">
        <f aca="false">IF($A154="N/A"," ",IF(AND(AG154=$AJ$2+1,AN154=0),MIN($AR$159,Z154),0))</f>
        <v> </v>
      </c>
      <c r="AW154" s="302" t="str">
        <f aca="false">IF($A154="N/A"," ",IF(AND(AH154=$AJ$2+1,AO154=0),MIN($AR$159,AA154),0))</f>
        <v> </v>
      </c>
      <c r="AX154" s="302" t="str">
        <f aca="false">IF($A154="N/A"," ",IF(AND(AI154=$AJ$2+1,AP154=0),MIN($AR$159,AB154),0))</f>
        <v> </v>
      </c>
      <c r="AY154" s="302" t="str">
        <f aca="false">IF($A154="N/A"," ",IF(AND(AJ154=$AJ$2+1,AQ154=0),MIN($AR$159,AC154),0))</f>
        <v> </v>
      </c>
      <c r="AZ154" s="300"/>
      <c r="BA154" s="291" t="str">
        <f aca="false">IF($A154="N/A"," ",(IF(MONTH(A154)&gt;=4,IF(MONTH(A154)&lt;=10,Inputs!$F$13,Inputs!$F$14),Inputs!$F$14))*$BW154)</f>
        <v> </v>
      </c>
      <c r="BB154" s="292" t="str">
        <f aca="false">IF($A154="N/A"," ",(IF(AK154&gt;0,($BA154*(8*(VLOOKUP($A154,NumberofDaysTable,2)))*P154),0)+IF(AS154&gt;0,($BA154*((AS154))*P154),0)))</f>
        <v> </v>
      </c>
      <c r="BC154" s="292" t="str">
        <f aca="false">IF($A154="N/A"," ",(IF(AL154&gt;0,($BA154*(8*(VLOOKUP($A154,NumberofDaysTable,2)))*Q154),0)+IF(AT154&gt;0,($BA154*((AT154))*Q154),0)))</f>
        <v> </v>
      </c>
      <c r="BD154" s="292" t="str">
        <f aca="false">IF($A154="N/A"," ",(IF(AM154&gt;0,($BA154*(8*(VLOOKUP($A154,NumberofDaysTable,3)))*R154),0)+IF(AU154&gt;0,($BA154*((AU154))*R154),0)))</f>
        <v> </v>
      </c>
      <c r="BE154" s="292" t="str">
        <f aca="false">IF($A154="N/A"," ",(IF(AN154&gt;0,($BA154*(8*(VLOOKUP($A154,NumberofDaysTable,3)))*S154),0)+IF(AV154&gt;0,($BA154*((AV154))*S154),0)))</f>
        <v> </v>
      </c>
      <c r="BF154" s="292" t="str">
        <f aca="false">IF($A154="N/A"," ",(IF(AO154&gt;0,($BA154*(8*(VLOOKUP($A154,NumberofDaysTable,4)+VLOOKUP($A154,NumberofDaysTable,5)))*T154),0)+IF(AW154&gt;0,($BA154*((AW154))*T154),0)))</f>
        <v> </v>
      </c>
      <c r="BG154" s="292" t="str">
        <f aca="false">IF($A154="N/A"," ",(IF(AP154&gt;0,($BA154*(8*(VLOOKUP($A154,NumberofDaysTable,4)+VLOOKUP($A154,NumberofDaysTable,5)))*U154),0)+IF(AX154&gt;0,($BA154*((AX154))*U154),0)))</f>
        <v> </v>
      </c>
      <c r="BH154" s="292" t="str">
        <f aca="false">IF($A154="N/A"," ",($BA154*AQ154*V154))</f>
        <v> </v>
      </c>
      <c r="BI154" s="292" t="str">
        <f aca="false">IF($A154="N/A"," ",SUM(BB154:BH154))</f>
        <v> </v>
      </c>
      <c r="BJ154" s="293" t="str">
        <f aca="false">IF($A154="N/A"," ",(H154*(SUM(AK154:AQ154)+SUM(AS154:AY154))*BA154))</f>
        <v> </v>
      </c>
      <c r="BK154" s="293" t="str">
        <f aca="false">IF($A154="N/A"," ",((C154*D154)*(SUM($AK154:$AQ154)+SUM($AS154:$AY154))*$BA154))</f>
        <v> </v>
      </c>
      <c r="BL154" s="293" t="str">
        <f aca="false">IF($A154="N/A"," ",(F154*(SUM($AK154:$AQ154)+SUM($AS154:$AY154))*$BA154))</f>
        <v> </v>
      </c>
      <c r="BM154" s="293" t="str">
        <f aca="false">IF($A154="N/A"," ",(G154*(SUM($AK154:$AQ154)+SUM($AS154:$AY154))*$BA154))</f>
        <v> </v>
      </c>
      <c r="BN154" s="294" t="str">
        <f aca="false">IF(A154="N/A"," ",(VLOOKUP(A154,PowerVolTable,(IF('Pricing Inputs'!$AT$3=2,7,IF('Pricing Inputs'!$AT$3=1,6,8))),FALSE())))</f>
        <v> </v>
      </c>
      <c r="BO154" s="294" t="str">
        <f aca="false">IF(A154="N/A"," ",(VLOOKUP(A154,IntraPowerVol,(IF('Pricing Inputs'!$AT$3=2,3,IF('Pricing Inputs'!$AT$3=1,2,4))),FALSE())*VLOOKUP(MONTH($A154),Inputs!$A$28:$B$39,2)))</f>
        <v> </v>
      </c>
      <c r="BP154" s="295" t="str">
        <f aca="false">IF($A154="N/A"," ",(IF(DateToday&gt;$A154,$BO154,((($BN154^2)*((($A154-1)-DateToday)/((EOMONTH($A154,0)+1)-DateToday-15)))+((($BO154)^2)*((15)/((EOMONTH($A154,0)+1)-DateToday-15))))^0.5)))</f>
        <v> </v>
      </c>
      <c r="BQ154" s="294" t="str">
        <f aca="false">IF($A154="N/A"," ",(VLOOKUP($A154,GasVolTable,(IF('Pricing Inputs'!$AT$3=2,6,IF('Pricing Inputs'!$AT$3=1,7,5))),FALSE())))</f>
        <v> </v>
      </c>
      <c r="BR154" s="294" t="str">
        <f aca="false">IF($A154="N/A"," ",(VLOOKUP($A154,OmicronVol,(IF('Pricing Inputs'!$AT$3=2,3,IF('Pricing Inputs'!$AT$3=1,4,2))),FALSE())))</f>
        <v> </v>
      </c>
      <c r="BS154" s="295" t="str">
        <f aca="false">IF($A154="N/A"," ",IF('Pricing Inputs'!$AN$3=1,(IF(DateToday&gt;$A154,$BR154,((($BQ154^2)*((($A154-1)-DateToday)/((EOMONTH($A154,0)+1)-DateToday-15)))+((($BR154)^2)*((15)/((EOMONTH($A154,0)+1)-DateToday-15))))^0.5)),0.0001))</f>
        <v> </v>
      </c>
      <c r="BT154" s="294" t="str">
        <f aca="false">IF($A154="N/A"," ",IF('Pricing Inputs'!$AN$3=1,(VLOOKUP($A154,CorrelationTable,2,FALSE())),0))</f>
        <v> </v>
      </c>
      <c r="BU154" s="296" t="str">
        <f aca="false">IF($A154="N/A"," ",F154+G154+(D154*(VLOOKUP($A154,'Gas Curves'!$B$17:$P$310,14,FALSE()))))</f>
        <v> </v>
      </c>
      <c r="BV154" s="294" t="str">
        <f aca="false">IF($A154="N/A"," ",IF('Pricing Inputs'!$AW$3=1,0,(VLOOKUP($A154,InterestRatesTable,2))))</f>
        <v> </v>
      </c>
      <c r="BW154" s="297" t="str">
        <f aca="false">IF($A154="N/A"," ",(1+BV154/2)^(-2*((EOMONTH(A154,0)+20)-DateToday)/365.25))</f>
        <v> </v>
      </c>
    </row>
    <row r="155" customFormat="false" ht="12.75" hidden="false" customHeight="false" outlineLevel="0" collapsed="false">
      <c r="A155" s="272" t="str">
        <f aca="false">IF(A154="N/A","N/A",IF(EDATE(A154,1)&gt;Inputs!$K$3,"N/A",EDATE(A154,1)))</f>
        <v>N/A</v>
      </c>
      <c r="B155" s="273" t="str">
        <f aca="false">IF(A155="N/A"," ",YEAR(A155))</f>
        <v> </v>
      </c>
      <c r="C155" s="274" t="str">
        <f aca="false">IF(A155="N/A"," ",VLOOKUP(A155,ScaledPrice,10))</f>
        <v> </v>
      </c>
      <c r="D155" s="275" t="str">
        <f aca="false">IF(A155="N/A"," ",(VLOOKUP(MONTH($A155),Inputs!$A$14:$B$25,2))/1000)</f>
        <v> </v>
      </c>
      <c r="E155" s="276" t="str">
        <f aca="false">IF($A155="N/A"," ",C155*D155)</f>
        <v> </v>
      </c>
      <c r="F155" s="277" t="str">
        <f aca="false">IF(A155="N/A"," ",Inputs!$F$6)</f>
        <v> </v>
      </c>
      <c r="G155" s="277" t="str">
        <f aca="false">IF(A155="N/A"," ",Inputs!$F$9/IF(AND('Pricing Inputs'!$AQ$3&gt;=4,'Pricing Inputs'!$AQ$3&lt;=6),16,IF(AND('Pricing Inputs'!$AQ$3&gt;=7,'Pricing Inputs'!$AQ$3&lt;=9),8,24))/(BA155/BW155))</f>
        <v> </v>
      </c>
      <c r="H155" s="278" t="str">
        <f aca="false">IF(A155="N/A"," ",(C155*D155)+F155+G155)</f>
        <v> </v>
      </c>
      <c r="I155" s="279" t="str">
        <f aca="false">VLOOKUP(A155,ScaledPrice,(IF(AND('Pricing Inputs'!$AQ$3&gt;=1,'Pricing Inputs'!$AQ$3&lt;=6),2,4)))</f>
        <v> </v>
      </c>
      <c r="J155" s="279" t="str">
        <f aca="false">IF(A155="N/A"," ",IF(AND('Pricing Inputs'!$AQ$3&gt;=1,'Pricing Inputs'!$AQ$3&lt;=6),I155,(VLOOKUP(A155,ScaledPrice,2))*(2-(VLOOKUP(A155,ScaledPrice,3)))))</f>
        <v> </v>
      </c>
      <c r="K155" s="279" t="str">
        <f aca="false">IF(A155="N/A"," ",IF(OR('Pricing Inputs'!$AQ$3=2,'Pricing Inputs'!$AQ$3=3,'Pricing Inputs'!$AQ$3=5,'Pricing Inputs'!$AQ$3=6,'Pricing Inputs'!$AQ$3=8,'Pricing Inputs'!$AQ$3=9),VLOOKUP(A155,ScaledPrice,IF(AND('Pricing Inputs'!$AQ$3&gt;=2,'Pricing Inputs'!$AQ$3&lt;=6),5,6)),0))</f>
        <v> </v>
      </c>
      <c r="L155" s="279" t="str">
        <f aca="false">IF(A155="N/A"," ",IF(OR('Pricing Inputs'!$AQ$3=2,'Pricing Inputs'!$AQ$3=3,'Pricing Inputs'!$AQ$3=5,'Pricing Inputs'!$AQ$3=6,'Pricing Inputs'!$AQ$3=8,'Pricing Inputs'!$AQ$3=9),IF(AND('Pricing Inputs'!$AQ$3&gt;=2,'Pricing Inputs'!$AQ$3&lt;=6),K155,(VLOOKUP(A155,ScaledPrice,5))*(2-(VLOOKUP(A155,ScaledPrice,3)))),0))</f>
        <v> </v>
      </c>
      <c r="M155" s="279" t="str">
        <f aca="false">IF(A155="N/A"," ",IF(OR('Pricing Inputs'!$AQ$3=3,'Pricing Inputs'!$AQ$3=6,'Pricing Inputs'!$AQ$3=9),(VLOOKUP(A155,ScaledPrice,IF(AND('Pricing Inputs'!$AQ$3&gt;=3,'Pricing Inputs'!$AQ$3&lt;=6),7,8))),0))</f>
        <v> </v>
      </c>
      <c r="N155" s="279" t="str">
        <f aca="false">IF(A155="N/A"," ",IF(OR('Pricing Inputs'!$AQ$3=3,'Pricing Inputs'!$AQ$3=6,'Pricing Inputs'!$AQ$3=9),IF(AND('Pricing Inputs'!$AQ$3&gt;=3,'Pricing Inputs'!$AQ$3&lt;=6),M155,(VLOOKUP(A155,ScaledPrice,7))*(2-(VLOOKUP(A155,ScaledPrice,3)))),0))</f>
        <v> </v>
      </c>
      <c r="O155" s="279" t="str">
        <f aca="false">IF(A155="N/A"," ",IF(AND('Pricing Inputs'!$AQ$3&gt;=1,'Pricing Inputs'!$AQ$3&lt;=3),VLOOKUP(A155,ScaledPrice,9),0))</f>
        <v> </v>
      </c>
      <c r="P155" s="280" t="str">
        <f aca="false">IF($A155="N/A"," ",IF('Pricing Inputs'!$AN$8=2,(I155-H155),IF('Pricing Inputs'!$AN$3=2,IF((I155-$H155)&gt;0,I155-$H155,0),(xSPRDOPT(I155,$E155,$BU155,0,$BP155,$BS155,$BT155,($A155-Inputs!$D$1)+15,1,0)))))</f>
        <v> </v>
      </c>
      <c r="Q155" s="280" t="str">
        <f aca="false">IF($A155="N/A"," ",IF('Pricing Inputs'!$AN$8=2,(J155-$H155),IF('Pricing Inputs'!$AN$3=2,IF((J155-$H155)&gt;0,J155-$H155,0),(xSPRDOPT(J155,$E155,$BU155,0,$BP155,$BS155,$BT155,($A155-Inputs!$D$1)+15,1,0)))))</f>
        <v> </v>
      </c>
      <c r="R155" s="280" t="str">
        <f aca="false">IF($A155="N/A"," ",IF('Pricing Inputs'!$AN$8=2,(K155-$H155),IF('Pricing Inputs'!$AN$3=2,IF((K155-$H155)&gt;0,K155-$H155,0),(xSPRDOPT(K155,$E155,$BU155,0,$BP155,$BS155,$BT155,($A155-Inputs!$D$1)+15,1,0)))))</f>
        <v> </v>
      </c>
      <c r="S155" s="280" t="str">
        <f aca="false">IF($A155="N/A"," ",IF('Pricing Inputs'!$AN$8=2,(L155-$H155),IF('Pricing Inputs'!$AN$3=2,IF((L155-$H155)&gt;0,L155-$H155,0),(xSPRDOPT(L155,$E155,$BU155,0,$BP155,$BS155,$BT155,($A155-Inputs!$D$1)+15,1,0)))))</f>
        <v> </v>
      </c>
      <c r="T155" s="280" t="str">
        <f aca="false">IF($A155="N/A"," ",IF('Pricing Inputs'!$AN$8=2,(M155-$H155),IF('Pricing Inputs'!$AN$3=2,IF((M155-$H155)&gt;0,M155-$H155,0),(xSPRDOPT(M155,$E155,$BU155,0,$BP155,$BS155,$BT155,($A155-Inputs!$D$1)+15,1,0)))))</f>
        <v> </v>
      </c>
      <c r="U155" s="280" t="str">
        <f aca="false">IF($A155="N/A"," ",IF('Pricing Inputs'!$AN$8=2,(N155-$H155),IF('Pricing Inputs'!$AN$3=2,IF((N155-$H155)&gt;0,N155-$H155,0),(xSPRDOPT(N155,$E155,$BU155,0,$BP155,$BS155,$BT155,($A155-Inputs!$D$1)+15,1,0)))))</f>
        <v> </v>
      </c>
      <c r="V155" s="281" t="str">
        <f aca="false">IF($A155="N/A"," ",(IF('Pricing Inputs'!$AN$8=2,(O155-$H155),IF((O155-$H155)&lt;=0,0,(O155-$H155)))))</f>
        <v> </v>
      </c>
      <c r="W155" s="282" t="str">
        <f aca="false">IF($A155="N/A"," ",IF(0&lt;&gt;P155,IF('Pricing Inputs'!$AN$3=2,8*VLOOKUP($A155,NumberofDaysTable,2),(xSPRDOPT(I155,$E155,$BU155,0,$BP155,$BS155,$BT155,$A155-Inputs!$D$1,1,1))*(8*VLOOKUP($A155,NumberofDaysTable,2))),0))</f>
        <v> </v>
      </c>
      <c r="X155" s="282" t="str">
        <f aca="false">IF($A155="N/A"," ",IF(Q155&lt;&gt;0,IF('Pricing Inputs'!$AN$3=2,8*VLOOKUP($A155,NumberofDaysTable,2),(xSPRDOPT(J155,$E155,$BU155,0,$BP155,$BS155,$BT155,$A155-Inputs!$D$1,1,1))*(8*VLOOKUP($A155,NumberofDaysTable,2))),0))</f>
        <v> </v>
      </c>
      <c r="Y155" s="282" t="str">
        <f aca="false">IF($A155="N/A"," ",IF(R155&lt;&gt;0,IF('Pricing Inputs'!$AN$3=2,8*VLOOKUP($A155,NumberofDaysTable,3),(xSPRDOPT(K155,$E155,$BU155,0,$BP155,$BS155,$BT155,$A155-Inputs!$D$1,1,1))*(8*VLOOKUP($A155,NumberofDaysTable,3))),0))</f>
        <v> </v>
      </c>
      <c r="Z155" s="282" t="str">
        <f aca="false">IF($A155="N/A"," ",IF(S155&lt;&gt;0,IF('Pricing Inputs'!$AN$3=2,8*VLOOKUP($A155,NumberofDaysTable,3),(xSPRDOPT(L155,$E155,$BU155,0,$BP155,$BS155,$BT155,$A155-Inputs!$D$1,1,1))*(8*VLOOKUP($A155,NumberofDaysTable,3))),0))</f>
        <v> </v>
      </c>
      <c r="AA155" s="282" t="str">
        <f aca="false">IF($A155="N/A"," ",IF(T155&lt;&gt;0,IF('Pricing Inputs'!$AN$3=2,8*VLOOKUP($A155,NumberofDaysTable,4),(xSPRDOPT(M155,$E155,$BU155,0,$BP155,$BS155,$BT155,$A155-Inputs!$D$1,1,1))*(8*VLOOKUP($A155,NumberofDaysTable,4))),0))</f>
        <v> </v>
      </c>
      <c r="AB155" s="282" t="str">
        <f aca="false">IF($A155="N/A"," ",IF(U155&lt;&gt;0,IF('Pricing Inputs'!$AN$3=2,8*VLOOKUP($A155,NumberofDaysTable,4),(xSPRDOPT(N155,$E155,$BU155,0,$BP155,$BS155,$BT155,$A155-Inputs!$D$1,1,1))*(8*VLOOKUP($A155,NumberofDaysTable,4))),0))</f>
        <v> </v>
      </c>
      <c r="AC155" s="282" t="str">
        <f aca="false">IF($A155="N/A"," ",(IF(V155&lt;&gt;0,(8*VLOOKUP($A155,NumberofDaysTable,6)),0)))</f>
        <v> </v>
      </c>
      <c r="AD155" s="298" t="str">
        <f aca="false">IF($A155="N/A"," ",RANK(P155,$P$148:$V$159))</f>
        <v> </v>
      </c>
      <c r="AE155" s="299" t="str">
        <f aca="false">IF($A155="N/A"," ",RANK(Q155,$P$148:$V$159))</f>
        <v> </v>
      </c>
      <c r="AF155" s="299" t="str">
        <f aca="false">IF($A155="N/A"," ",RANK(R155,$P$148:$V$159))</f>
        <v> </v>
      </c>
      <c r="AG155" s="299" t="str">
        <f aca="false">IF($A155="N/A"," ",RANK(S155,$P$148:$V$159))</f>
        <v> </v>
      </c>
      <c r="AH155" s="299" t="str">
        <f aca="false">IF($A155="N/A"," ",RANK(T155,$P$148:$V$159))</f>
        <v> </v>
      </c>
      <c r="AI155" s="299" t="str">
        <f aca="false">IF($A155="N/A"," ",RANK(U155,$P$148:$V$159))</f>
        <v> </v>
      </c>
      <c r="AJ155" s="300" t="str">
        <f aca="false">IF($A155="N/A"," ",RANK(V155,$P$148:$V$159))</f>
        <v> </v>
      </c>
      <c r="AK155" s="286" t="str">
        <f aca="false">IF($A155="N/A"," ",IF(AD155&lt;=$AJ$2,W155,0))</f>
        <v> </v>
      </c>
      <c r="AL155" s="301" t="str">
        <f aca="false">IF($A155="N/A"," ",IF(AE155&lt;=$AJ$2,X155,0))</f>
        <v> </v>
      </c>
      <c r="AM155" s="301" t="str">
        <f aca="false">IF($A155="N/A"," ",IF(AF155&lt;=$AJ$2,Y155,0))</f>
        <v> </v>
      </c>
      <c r="AN155" s="301" t="str">
        <f aca="false">IF($A155="N/A"," ",IF(AG155&lt;=$AJ$2,Z155,0))</f>
        <v> </v>
      </c>
      <c r="AO155" s="301" t="str">
        <f aca="false">IF($A155="N/A"," ",IF(AH155&lt;=$AJ$2,AA155,0))</f>
        <v> </v>
      </c>
      <c r="AP155" s="301" t="str">
        <f aca="false">IF($A155="N/A"," ",IF(AI155&lt;=$AJ$2,AB155,0))</f>
        <v> </v>
      </c>
      <c r="AQ155" s="301" t="str">
        <f aca="false">IF($A155="N/A"," ",IF(AJ155&lt;=$AJ$2,AC155,0))</f>
        <v> </v>
      </c>
      <c r="AR155" s="300"/>
      <c r="AS155" s="288" t="str">
        <f aca="false">IF($A155="N/A"," ",IF(AND(AD155=$AJ$2+1,AK155=0),MIN($AR$159,W155),0))</f>
        <v> </v>
      </c>
      <c r="AT155" s="302" t="str">
        <f aca="false">IF($A155="N/A"," ",IF(AND(AE155=$AJ$2+1,AL155=0),MIN($AR$159,X155),0))</f>
        <v> </v>
      </c>
      <c r="AU155" s="302" t="str">
        <f aca="false">IF($A155="N/A"," ",IF(AND(AF155=$AJ$2+1,AM155=0),MIN($AR$159,Y155),0))</f>
        <v> </v>
      </c>
      <c r="AV155" s="302" t="str">
        <f aca="false">IF($A155="N/A"," ",IF(AND(AG155=$AJ$2+1,AN155=0),MIN($AR$159,Z155),0))</f>
        <v> </v>
      </c>
      <c r="AW155" s="302" t="str">
        <f aca="false">IF($A155="N/A"," ",IF(AND(AH155=$AJ$2+1,AO155=0),MIN($AR$159,AA155),0))</f>
        <v> </v>
      </c>
      <c r="AX155" s="302" t="str">
        <f aca="false">IF($A155="N/A"," ",IF(AND(AI155=$AJ$2+1,AP155=0),MIN($AR$159,AB155),0))</f>
        <v> </v>
      </c>
      <c r="AY155" s="302" t="str">
        <f aca="false">IF($A155="N/A"," ",IF(AND(AJ155=$AJ$2+1,AQ155=0),MIN($AR$159,AC155),0))</f>
        <v> </v>
      </c>
      <c r="AZ155" s="300"/>
      <c r="BA155" s="291" t="str">
        <f aca="false">IF($A155="N/A"," ",(IF(MONTH(A155)&gt;=4,IF(MONTH(A155)&lt;=10,Inputs!$F$13,Inputs!$F$14),Inputs!$F$14))*$BW155)</f>
        <v> </v>
      </c>
      <c r="BB155" s="292" t="str">
        <f aca="false">IF($A155="N/A"," ",(IF(AK155&gt;0,($BA155*(8*(VLOOKUP($A155,NumberofDaysTable,2)))*P155),0)+IF(AS155&gt;0,($BA155*((AS155))*P155),0)))</f>
        <v> </v>
      </c>
      <c r="BC155" s="292" t="str">
        <f aca="false">IF($A155="N/A"," ",(IF(AL155&gt;0,($BA155*(8*(VLOOKUP($A155,NumberofDaysTable,2)))*Q155),0)+IF(AT155&gt;0,($BA155*((AT155))*Q155),0)))</f>
        <v> </v>
      </c>
      <c r="BD155" s="292" t="str">
        <f aca="false">IF($A155="N/A"," ",(IF(AM155&gt;0,($BA155*(8*(VLOOKUP($A155,NumberofDaysTable,3)))*R155),0)+IF(AU155&gt;0,($BA155*((AU155))*R155),0)))</f>
        <v> </v>
      </c>
      <c r="BE155" s="292" t="str">
        <f aca="false">IF($A155="N/A"," ",(IF(AN155&gt;0,($BA155*(8*(VLOOKUP($A155,NumberofDaysTable,3)))*S155),0)+IF(AV155&gt;0,($BA155*((AV155))*S155),0)))</f>
        <v> </v>
      </c>
      <c r="BF155" s="292" t="str">
        <f aca="false">IF($A155="N/A"," ",(IF(AO155&gt;0,($BA155*(8*(VLOOKUP($A155,NumberofDaysTable,4)+VLOOKUP($A155,NumberofDaysTable,5)))*T155),0)+IF(AW155&gt;0,($BA155*((AW155))*T155),0)))</f>
        <v> </v>
      </c>
      <c r="BG155" s="292" t="str">
        <f aca="false">IF($A155="N/A"," ",(IF(AP155&gt;0,($BA155*(8*(VLOOKUP($A155,NumberofDaysTable,4)+VLOOKUP($A155,NumberofDaysTable,5)))*U155),0)+IF(AX155&gt;0,($BA155*((AX155))*U155),0)))</f>
        <v> </v>
      </c>
      <c r="BH155" s="292" t="str">
        <f aca="false">IF($A155="N/A"," ",($BA155*AQ155*V155))</f>
        <v> </v>
      </c>
      <c r="BI155" s="292" t="str">
        <f aca="false">IF($A155="N/A"," ",SUM(BB155:BH155))</f>
        <v> </v>
      </c>
      <c r="BJ155" s="293" t="str">
        <f aca="false">IF($A155="N/A"," ",(H155*(SUM(AK155:AQ155)+SUM(AS155:AY155))*BA155))</f>
        <v> </v>
      </c>
      <c r="BK155" s="293" t="str">
        <f aca="false">IF($A155="N/A"," ",((C155*D155)*(SUM($AK155:$AQ155)+SUM($AS155:$AY155))*$BA155))</f>
        <v> </v>
      </c>
      <c r="BL155" s="293" t="str">
        <f aca="false">IF($A155="N/A"," ",(F155*(SUM($AK155:$AQ155)+SUM($AS155:$AY155))*$BA155))</f>
        <v> </v>
      </c>
      <c r="BM155" s="293" t="str">
        <f aca="false">IF($A155="N/A"," ",(G155*(SUM($AK155:$AQ155)+SUM($AS155:$AY155))*$BA155))</f>
        <v> </v>
      </c>
      <c r="BN155" s="294" t="str">
        <f aca="false">IF(A155="N/A"," ",(VLOOKUP(A155,PowerVolTable,(IF('Pricing Inputs'!$AT$3=2,7,IF('Pricing Inputs'!$AT$3=1,6,8))),FALSE())))</f>
        <v> </v>
      </c>
      <c r="BO155" s="294" t="str">
        <f aca="false">IF(A155="N/A"," ",(VLOOKUP(A155,IntraPowerVol,(IF('Pricing Inputs'!$AT$3=2,3,IF('Pricing Inputs'!$AT$3=1,2,4))),FALSE())*VLOOKUP(MONTH($A155),Inputs!$A$28:$B$39,2)))</f>
        <v> </v>
      </c>
      <c r="BP155" s="295" t="str">
        <f aca="false">IF($A155="N/A"," ",(IF(DateToday&gt;$A155,$BO155,((($BN155^2)*((($A155-1)-DateToday)/((EOMONTH($A155,0)+1)-DateToday-15)))+((($BO155)^2)*((15)/((EOMONTH($A155,0)+1)-DateToday-15))))^0.5)))</f>
        <v> </v>
      </c>
      <c r="BQ155" s="294" t="str">
        <f aca="false">IF($A155="N/A"," ",(VLOOKUP($A155,GasVolTable,(IF('Pricing Inputs'!$AT$3=2,6,IF('Pricing Inputs'!$AT$3=1,7,5))),FALSE())))</f>
        <v> </v>
      </c>
      <c r="BR155" s="294" t="str">
        <f aca="false">IF($A155="N/A"," ",(VLOOKUP($A155,OmicronVol,(IF('Pricing Inputs'!$AT$3=2,3,IF('Pricing Inputs'!$AT$3=1,4,2))),FALSE())))</f>
        <v> </v>
      </c>
      <c r="BS155" s="295" t="str">
        <f aca="false">IF($A155="N/A"," ",IF('Pricing Inputs'!$AN$3=1,(IF(DateToday&gt;$A155,$BR155,((($BQ155^2)*((($A155-1)-DateToday)/((EOMONTH($A155,0)+1)-DateToday-15)))+((($BR155)^2)*((15)/((EOMONTH($A155,0)+1)-DateToday-15))))^0.5)),0.0001))</f>
        <v> </v>
      </c>
      <c r="BT155" s="294" t="str">
        <f aca="false">IF($A155="N/A"," ",IF('Pricing Inputs'!$AN$3=1,(VLOOKUP($A155,CorrelationTable,2,FALSE())),0))</f>
        <v> </v>
      </c>
      <c r="BU155" s="296" t="str">
        <f aca="false">IF($A155="N/A"," ",F155+G155+(D155*(VLOOKUP($A155,'Gas Curves'!$B$17:$P$310,14,FALSE()))))</f>
        <v> </v>
      </c>
      <c r="BV155" s="294" t="str">
        <f aca="false">IF($A155="N/A"," ",IF('Pricing Inputs'!$AW$3=1,0,(VLOOKUP($A155,InterestRatesTable,2))))</f>
        <v> </v>
      </c>
      <c r="BW155" s="297" t="str">
        <f aca="false">IF($A155="N/A"," ",(1+BV155/2)^(-2*((EOMONTH(A155,0)+20)-DateToday)/365.25))</f>
        <v> </v>
      </c>
    </row>
    <row r="156" customFormat="false" ht="12.75" hidden="false" customHeight="false" outlineLevel="0" collapsed="false">
      <c r="A156" s="272" t="str">
        <f aca="false">IF(A155="N/A","N/A",IF(EDATE(A155,1)&gt;Inputs!$K$3,"N/A",EDATE(A155,1)))</f>
        <v>N/A</v>
      </c>
      <c r="B156" s="273" t="str">
        <f aca="false">IF(A156="N/A"," ",YEAR(A156))</f>
        <v> </v>
      </c>
      <c r="C156" s="274" t="str">
        <f aca="false">IF(A156="N/A"," ",VLOOKUP(A156,ScaledPrice,10))</f>
        <v> </v>
      </c>
      <c r="D156" s="275" t="str">
        <f aca="false">IF(A156="N/A"," ",(VLOOKUP(MONTH($A156),Inputs!$A$14:$B$25,2))/1000)</f>
        <v> </v>
      </c>
      <c r="E156" s="276" t="str">
        <f aca="false">IF($A156="N/A"," ",C156*D156)</f>
        <v> </v>
      </c>
      <c r="F156" s="277" t="str">
        <f aca="false">IF(A156="N/A"," ",Inputs!$F$6)</f>
        <v> </v>
      </c>
      <c r="G156" s="277" t="str">
        <f aca="false">IF(A156="N/A"," ",Inputs!$F$9/IF(AND('Pricing Inputs'!$AQ$3&gt;=4,'Pricing Inputs'!$AQ$3&lt;=6),16,IF(AND('Pricing Inputs'!$AQ$3&gt;=7,'Pricing Inputs'!$AQ$3&lt;=9),8,24))/(BA156/BW156))</f>
        <v> </v>
      </c>
      <c r="H156" s="278" t="str">
        <f aca="false">IF(A156="N/A"," ",(C156*D156)+F156+G156)</f>
        <v> </v>
      </c>
      <c r="I156" s="279" t="str">
        <f aca="false">VLOOKUP(A156,ScaledPrice,(IF(AND('Pricing Inputs'!$AQ$3&gt;=1,'Pricing Inputs'!$AQ$3&lt;=6),2,4)))</f>
        <v> </v>
      </c>
      <c r="J156" s="279" t="str">
        <f aca="false">IF(A156="N/A"," ",IF(AND('Pricing Inputs'!$AQ$3&gt;=1,'Pricing Inputs'!$AQ$3&lt;=6),I156,(VLOOKUP(A156,ScaledPrice,2))*(2-(VLOOKUP(A156,ScaledPrice,3)))))</f>
        <v> </v>
      </c>
      <c r="K156" s="279" t="str">
        <f aca="false">IF(A156="N/A"," ",IF(OR('Pricing Inputs'!$AQ$3=2,'Pricing Inputs'!$AQ$3=3,'Pricing Inputs'!$AQ$3=5,'Pricing Inputs'!$AQ$3=6,'Pricing Inputs'!$AQ$3=8,'Pricing Inputs'!$AQ$3=9),VLOOKUP(A156,ScaledPrice,IF(AND('Pricing Inputs'!$AQ$3&gt;=2,'Pricing Inputs'!$AQ$3&lt;=6),5,6)),0))</f>
        <v> </v>
      </c>
      <c r="L156" s="279" t="str">
        <f aca="false">IF(A156="N/A"," ",IF(OR('Pricing Inputs'!$AQ$3=2,'Pricing Inputs'!$AQ$3=3,'Pricing Inputs'!$AQ$3=5,'Pricing Inputs'!$AQ$3=6,'Pricing Inputs'!$AQ$3=8,'Pricing Inputs'!$AQ$3=9),IF(AND('Pricing Inputs'!$AQ$3&gt;=2,'Pricing Inputs'!$AQ$3&lt;=6),K156,(VLOOKUP(A156,ScaledPrice,5))*(2-(VLOOKUP(A156,ScaledPrice,3)))),0))</f>
        <v> </v>
      </c>
      <c r="M156" s="279" t="str">
        <f aca="false">IF(A156="N/A"," ",IF(OR('Pricing Inputs'!$AQ$3=3,'Pricing Inputs'!$AQ$3=6,'Pricing Inputs'!$AQ$3=9),(VLOOKUP(A156,ScaledPrice,IF(AND('Pricing Inputs'!$AQ$3&gt;=3,'Pricing Inputs'!$AQ$3&lt;=6),7,8))),0))</f>
        <v> </v>
      </c>
      <c r="N156" s="279" t="str">
        <f aca="false">IF(A156="N/A"," ",IF(OR('Pricing Inputs'!$AQ$3=3,'Pricing Inputs'!$AQ$3=6,'Pricing Inputs'!$AQ$3=9),IF(AND('Pricing Inputs'!$AQ$3&gt;=3,'Pricing Inputs'!$AQ$3&lt;=6),M156,(VLOOKUP(A156,ScaledPrice,7))*(2-(VLOOKUP(A156,ScaledPrice,3)))),0))</f>
        <v> </v>
      </c>
      <c r="O156" s="279" t="str">
        <f aca="false">IF(A156="N/A"," ",IF(AND('Pricing Inputs'!$AQ$3&gt;=1,'Pricing Inputs'!$AQ$3&lt;=3),VLOOKUP(A156,ScaledPrice,9),0))</f>
        <v> </v>
      </c>
      <c r="P156" s="280" t="str">
        <f aca="false">IF($A156="N/A"," ",IF('Pricing Inputs'!$AN$8=2,(I156-H156),IF('Pricing Inputs'!$AN$3=2,IF((I156-$H156)&gt;0,I156-$H156,0),(xSPRDOPT(I156,$E156,$BU156,0,$BP156,$BS156,$BT156,($A156-Inputs!$D$1)+15,1,0)))))</f>
        <v> </v>
      </c>
      <c r="Q156" s="280" t="str">
        <f aca="false">IF($A156="N/A"," ",IF('Pricing Inputs'!$AN$8=2,(J156-$H156),IF('Pricing Inputs'!$AN$3=2,IF((J156-$H156)&gt;0,J156-$H156,0),(xSPRDOPT(J156,$E156,$BU156,0,$BP156,$BS156,$BT156,($A156-Inputs!$D$1)+15,1,0)))))</f>
        <v> </v>
      </c>
      <c r="R156" s="280" t="str">
        <f aca="false">IF($A156="N/A"," ",IF('Pricing Inputs'!$AN$8=2,(K156-$H156),IF('Pricing Inputs'!$AN$3=2,IF((K156-$H156)&gt;0,K156-$H156,0),(xSPRDOPT(K156,$E156,$BU156,0,$BP156,$BS156,$BT156,($A156-Inputs!$D$1)+15,1,0)))))</f>
        <v> </v>
      </c>
      <c r="S156" s="280" t="str">
        <f aca="false">IF($A156="N/A"," ",IF('Pricing Inputs'!$AN$8=2,(L156-$H156),IF('Pricing Inputs'!$AN$3=2,IF((L156-$H156)&gt;0,L156-$H156,0),(xSPRDOPT(L156,$E156,$BU156,0,$BP156,$BS156,$BT156,($A156-Inputs!$D$1)+15,1,0)))))</f>
        <v> </v>
      </c>
      <c r="T156" s="280" t="str">
        <f aca="false">IF($A156="N/A"," ",IF('Pricing Inputs'!$AN$8=2,(M156-$H156),IF('Pricing Inputs'!$AN$3=2,IF((M156-$H156)&gt;0,M156-$H156,0),(xSPRDOPT(M156,$E156,$BU156,0,$BP156,$BS156,$BT156,($A156-Inputs!$D$1)+15,1,0)))))</f>
        <v> </v>
      </c>
      <c r="U156" s="280" t="str">
        <f aca="false">IF($A156="N/A"," ",IF('Pricing Inputs'!$AN$8=2,(N156-$H156),IF('Pricing Inputs'!$AN$3=2,IF((N156-$H156)&gt;0,N156-$H156,0),(xSPRDOPT(N156,$E156,$BU156,0,$BP156,$BS156,$BT156,($A156-Inputs!$D$1)+15,1,0)))))</f>
        <v> </v>
      </c>
      <c r="V156" s="281" t="str">
        <f aca="false">IF($A156="N/A"," ",(IF('Pricing Inputs'!$AN$8=2,(O156-$H156),IF((O156-$H156)&lt;=0,0,(O156-$H156)))))</f>
        <v> </v>
      </c>
      <c r="W156" s="282" t="str">
        <f aca="false">IF($A156="N/A"," ",IF(0&lt;&gt;P156,IF('Pricing Inputs'!$AN$3=2,8*VLOOKUP($A156,NumberofDaysTable,2),(xSPRDOPT(I156,$E156,$BU156,0,$BP156,$BS156,$BT156,$A156-Inputs!$D$1,1,1))*(8*VLOOKUP($A156,NumberofDaysTable,2))),0))</f>
        <v> </v>
      </c>
      <c r="X156" s="282" t="str">
        <f aca="false">IF($A156="N/A"," ",IF(Q156&lt;&gt;0,IF('Pricing Inputs'!$AN$3=2,8*VLOOKUP($A156,NumberofDaysTable,2),(xSPRDOPT(J156,$E156,$BU156,0,$BP156,$BS156,$BT156,$A156-Inputs!$D$1,1,1))*(8*VLOOKUP($A156,NumberofDaysTable,2))),0))</f>
        <v> </v>
      </c>
      <c r="Y156" s="282" t="str">
        <f aca="false">IF($A156="N/A"," ",IF(R156&lt;&gt;0,IF('Pricing Inputs'!$AN$3=2,8*VLOOKUP($A156,NumberofDaysTable,3),(xSPRDOPT(K156,$E156,$BU156,0,$BP156,$BS156,$BT156,$A156-Inputs!$D$1,1,1))*(8*VLOOKUP($A156,NumberofDaysTable,3))),0))</f>
        <v> </v>
      </c>
      <c r="Z156" s="282" t="str">
        <f aca="false">IF($A156="N/A"," ",IF(S156&lt;&gt;0,IF('Pricing Inputs'!$AN$3=2,8*VLOOKUP($A156,NumberofDaysTable,3),(xSPRDOPT(L156,$E156,$BU156,0,$BP156,$BS156,$BT156,$A156-Inputs!$D$1,1,1))*(8*VLOOKUP($A156,NumberofDaysTable,3))),0))</f>
        <v> </v>
      </c>
      <c r="AA156" s="282" t="str">
        <f aca="false">IF($A156="N/A"," ",IF(T156&lt;&gt;0,IF('Pricing Inputs'!$AN$3=2,8*VLOOKUP($A156,NumberofDaysTable,4),(xSPRDOPT(M156,$E156,$BU156,0,$BP156,$BS156,$BT156,$A156-Inputs!$D$1,1,1))*(8*VLOOKUP($A156,NumberofDaysTable,4))),0))</f>
        <v> </v>
      </c>
      <c r="AB156" s="282" t="str">
        <f aca="false">IF($A156="N/A"," ",IF(U156&lt;&gt;0,IF('Pricing Inputs'!$AN$3=2,8*VLOOKUP($A156,NumberofDaysTable,4),(xSPRDOPT(N156,$E156,$BU156,0,$BP156,$BS156,$BT156,$A156-Inputs!$D$1,1,1))*(8*VLOOKUP($A156,NumberofDaysTable,4))),0))</f>
        <v> </v>
      </c>
      <c r="AC156" s="282" t="str">
        <f aca="false">IF($A156="N/A"," ",(IF(V156&lt;&gt;0,(8*VLOOKUP($A156,NumberofDaysTable,6)),0)))</f>
        <v> </v>
      </c>
      <c r="AD156" s="298" t="str">
        <f aca="false">IF($A156="N/A"," ",RANK(P156,$P$148:$V$159))</f>
        <v> </v>
      </c>
      <c r="AE156" s="299" t="str">
        <f aca="false">IF($A156="N/A"," ",RANK(Q156,$P$148:$V$159))</f>
        <v> </v>
      </c>
      <c r="AF156" s="299" t="str">
        <f aca="false">IF($A156="N/A"," ",RANK(R156,$P$148:$V$159))</f>
        <v> </v>
      </c>
      <c r="AG156" s="299" t="str">
        <f aca="false">IF($A156="N/A"," ",RANK(S156,$P$148:$V$159))</f>
        <v> </v>
      </c>
      <c r="AH156" s="299" t="str">
        <f aca="false">IF($A156="N/A"," ",RANK(T156,$P$148:$V$159))</f>
        <v> </v>
      </c>
      <c r="AI156" s="299" t="str">
        <f aca="false">IF($A156="N/A"," ",RANK(U156,$P$148:$V$159))</f>
        <v> </v>
      </c>
      <c r="AJ156" s="300" t="str">
        <f aca="false">IF($A156="N/A"," ",RANK(V156,$P$148:$V$159))</f>
        <v> </v>
      </c>
      <c r="AK156" s="286" t="str">
        <f aca="false">IF($A156="N/A"," ",IF(AD156&lt;=$AJ$2,W156,0))</f>
        <v> </v>
      </c>
      <c r="AL156" s="301" t="str">
        <f aca="false">IF($A156="N/A"," ",IF(AE156&lt;=$AJ$2,X156,0))</f>
        <v> </v>
      </c>
      <c r="AM156" s="301" t="str">
        <f aca="false">IF($A156="N/A"," ",IF(AF156&lt;=$AJ$2,Y156,0))</f>
        <v> </v>
      </c>
      <c r="AN156" s="301" t="str">
        <f aca="false">IF($A156="N/A"," ",IF(AG156&lt;=$AJ$2,Z156,0))</f>
        <v> </v>
      </c>
      <c r="AO156" s="301" t="str">
        <f aca="false">IF($A156="N/A"," ",IF(AH156&lt;=$AJ$2,AA156,0))</f>
        <v> </v>
      </c>
      <c r="AP156" s="301" t="str">
        <f aca="false">IF($A156="N/A"," ",IF(AI156&lt;=$AJ$2,AB156,0))</f>
        <v> </v>
      </c>
      <c r="AQ156" s="301" t="str">
        <f aca="false">IF($A156="N/A"," ",IF(AJ156&lt;=$AJ$2,AC156,0))</f>
        <v> </v>
      </c>
      <c r="AR156" s="300"/>
      <c r="AS156" s="288" t="str">
        <f aca="false">IF($A156="N/A"," ",IF(AND(AD156=$AJ$2+1,AK156=0),MIN($AR$159,W156),0))</f>
        <v> </v>
      </c>
      <c r="AT156" s="302" t="str">
        <f aca="false">IF($A156="N/A"," ",IF(AND(AE156=$AJ$2+1,AL156=0),MIN($AR$159,X156),0))</f>
        <v> </v>
      </c>
      <c r="AU156" s="302" t="str">
        <f aca="false">IF($A156="N/A"," ",IF(AND(AF156=$AJ$2+1,AM156=0),MIN($AR$159,Y156),0))</f>
        <v> </v>
      </c>
      <c r="AV156" s="302" t="str">
        <f aca="false">IF($A156="N/A"," ",IF(AND(AG156=$AJ$2+1,AN156=0),MIN($AR$159,Z156),0))</f>
        <v> </v>
      </c>
      <c r="AW156" s="302" t="str">
        <f aca="false">IF($A156="N/A"," ",IF(AND(AH156=$AJ$2+1,AO156=0),MIN($AR$159,AA156),0))</f>
        <v> </v>
      </c>
      <c r="AX156" s="302" t="str">
        <f aca="false">IF($A156="N/A"," ",IF(AND(AI156=$AJ$2+1,AP156=0),MIN($AR$159,AB156),0))</f>
        <v> </v>
      </c>
      <c r="AY156" s="302" t="str">
        <f aca="false">IF($A156="N/A"," ",IF(AND(AJ156=$AJ$2+1,AQ156=0),MIN($AR$159,AC156),0))</f>
        <v> </v>
      </c>
      <c r="AZ156" s="300"/>
      <c r="BA156" s="291" t="str">
        <f aca="false">IF($A156="N/A"," ",(IF(MONTH(A156)&gt;=4,IF(MONTH(A156)&lt;=10,Inputs!$F$13,Inputs!$F$14),Inputs!$F$14))*$BW156)</f>
        <v> </v>
      </c>
      <c r="BB156" s="292" t="str">
        <f aca="false">IF($A156="N/A"," ",(IF(AK156&gt;0,($BA156*(8*(VLOOKUP($A156,NumberofDaysTable,2)))*P156),0)+IF(AS156&gt;0,($BA156*((AS156))*P156),0)))</f>
        <v> </v>
      </c>
      <c r="BC156" s="292" t="str">
        <f aca="false">IF($A156="N/A"," ",(IF(AL156&gt;0,($BA156*(8*(VLOOKUP($A156,NumberofDaysTable,2)))*Q156),0)+IF(AT156&gt;0,($BA156*((AT156))*Q156),0)))</f>
        <v> </v>
      </c>
      <c r="BD156" s="292" t="str">
        <f aca="false">IF($A156="N/A"," ",(IF(AM156&gt;0,($BA156*(8*(VLOOKUP($A156,NumberofDaysTable,3)))*R156),0)+IF(AU156&gt;0,($BA156*((AU156))*R156),0)))</f>
        <v> </v>
      </c>
      <c r="BE156" s="292" t="str">
        <f aca="false">IF($A156="N/A"," ",(IF(AN156&gt;0,($BA156*(8*(VLOOKUP($A156,NumberofDaysTable,3)))*S156),0)+IF(AV156&gt;0,($BA156*((AV156))*S156),0)))</f>
        <v> </v>
      </c>
      <c r="BF156" s="292" t="str">
        <f aca="false">IF($A156="N/A"," ",(IF(AO156&gt;0,($BA156*(8*(VLOOKUP($A156,NumberofDaysTable,4)+VLOOKUP($A156,NumberofDaysTable,5)))*T156),0)+IF(AW156&gt;0,($BA156*((AW156))*T156),0)))</f>
        <v> </v>
      </c>
      <c r="BG156" s="292" t="str">
        <f aca="false">IF($A156="N/A"," ",(IF(AP156&gt;0,($BA156*(8*(VLOOKUP($A156,NumberofDaysTable,4)+VLOOKUP($A156,NumberofDaysTable,5)))*U156),0)+IF(AX156&gt;0,($BA156*((AX156))*U156),0)))</f>
        <v> </v>
      </c>
      <c r="BH156" s="292" t="str">
        <f aca="false">IF($A156="N/A"," ",($BA156*AQ156*V156))</f>
        <v> </v>
      </c>
      <c r="BI156" s="292" t="str">
        <f aca="false">IF($A156="N/A"," ",SUM(BB156:BH156))</f>
        <v> </v>
      </c>
      <c r="BJ156" s="293" t="str">
        <f aca="false">IF($A156="N/A"," ",(H156*(SUM(AK156:AQ156)+SUM(AS156:AY156))*BA156))</f>
        <v> </v>
      </c>
      <c r="BK156" s="293" t="str">
        <f aca="false">IF($A156="N/A"," ",((C156*D156)*(SUM($AK156:$AQ156)+SUM($AS156:$AY156))*$BA156))</f>
        <v> </v>
      </c>
      <c r="BL156" s="293" t="str">
        <f aca="false">IF($A156="N/A"," ",(F156*(SUM($AK156:$AQ156)+SUM($AS156:$AY156))*$BA156))</f>
        <v> </v>
      </c>
      <c r="BM156" s="293" t="str">
        <f aca="false">IF($A156="N/A"," ",(G156*(SUM($AK156:$AQ156)+SUM($AS156:$AY156))*$BA156))</f>
        <v> </v>
      </c>
      <c r="BN156" s="294" t="str">
        <f aca="false">IF(A156="N/A"," ",(VLOOKUP(A156,PowerVolTable,(IF('Pricing Inputs'!$AT$3=2,7,IF('Pricing Inputs'!$AT$3=1,6,8))),FALSE())))</f>
        <v> </v>
      </c>
      <c r="BO156" s="294" t="str">
        <f aca="false">IF(A156="N/A"," ",(VLOOKUP(A156,IntraPowerVol,(IF('Pricing Inputs'!$AT$3=2,3,IF('Pricing Inputs'!$AT$3=1,2,4))),FALSE())*VLOOKUP(MONTH($A156),Inputs!$A$28:$B$39,2)))</f>
        <v> </v>
      </c>
      <c r="BP156" s="295" t="str">
        <f aca="false">IF($A156="N/A"," ",(IF(DateToday&gt;$A156,$BO156,((($BN156^2)*((($A156-1)-DateToday)/((EOMONTH($A156,0)+1)-DateToday-15)))+((($BO156)^2)*((15)/((EOMONTH($A156,0)+1)-DateToday-15))))^0.5)))</f>
        <v> </v>
      </c>
      <c r="BQ156" s="294" t="str">
        <f aca="false">IF($A156="N/A"," ",(VLOOKUP($A156,GasVolTable,(IF('Pricing Inputs'!$AT$3=2,6,IF('Pricing Inputs'!$AT$3=1,7,5))),FALSE())))</f>
        <v> </v>
      </c>
      <c r="BR156" s="294" t="str">
        <f aca="false">IF($A156="N/A"," ",(VLOOKUP($A156,OmicronVol,(IF('Pricing Inputs'!$AT$3=2,3,IF('Pricing Inputs'!$AT$3=1,4,2))),FALSE())))</f>
        <v> </v>
      </c>
      <c r="BS156" s="295" t="str">
        <f aca="false">IF($A156="N/A"," ",IF('Pricing Inputs'!$AN$3=1,(IF(DateToday&gt;$A156,$BR156,((($BQ156^2)*((($A156-1)-DateToday)/((EOMONTH($A156,0)+1)-DateToday-15)))+((($BR156)^2)*((15)/((EOMONTH($A156,0)+1)-DateToday-15))))^0.5)),0.0001))</f>
        <v> </v>
      </c>
      <c r="BT156" s="294" t="str">
        <f aca="false">IF($A156="N/A"," ",IF('Pricing Inputs'!$AN$3=1,(VLOOKUP($A156,CorrelationTable,2,FALSE())),0))</f>
        <v> </v>
      </c>
      <c r="BU156" s="296" t="str">
        <f aca="false">IF($A156="N/A"," ",F156+G156+(D156*(VLOOKUP($A156,'Gas Curves'!$B$17:$P$310,14,FALSE()))))</f>
        <v> </v>
      </c>
      <c r="BV156" s="294" t="str">
        <f aca="false">IF($A156="N/A"," ",IF('Pricing Inputs'!$AW$3=1,0,(VLOOKUP($A156,InterestRatesTable,2))))</f>
        <v> </v>
      </c>
      <c r="BW156" s="297" t="str">
        <f aca="false">IF($A156="N/A"," ",(1+BV156/2)^(-2*((EOMONTH(A156,0)+20)-DateToday)/365.25))</f>
        <v> </v>
      </c>
    </row>
    <row r="157" customFormat="false" ht="12.75" hidden="false" customHeight="false" outlineLevel="0" collapsed="false">
      <c r="A157" s="272" t="str">
        <f aca="false">IF(A156="N/A","N/A",IF(EDATE(A156,1)&gt;Inputs!$K$3,"N/A",EDATE(A156,1)))</f>
        <v>N/A</v>
      </c>
      <c r="B157" s="273" t="str">
        <f aca="false">IF(A157="N/A"," ",YEAR(A157))</f>
        <v> </v>
      </c>
      <c r="C157" s="274" t="str">
        <f aca="false">IF(A157="N/A"," ",VLOOKUP(A157,ScaledPrice,10))</f>
        <v> </v>
      </c>
      <c r="D157" s="275" t="str">
        <f aca="false">IF(A157="N/A"," ",(VLOOKUP(MONTH($A157),Inputs!$A$14:$B$25,2))/1000)</f>
        <v> </v>
      </c>
      <c r="E157" s="276" t="str">
        <f aca="false">IF($A157="N/A"," ",C157*D157)</f>
        <v> </v>
      </c>
      <c r="F157" s="277" t="str">
        <f aca="false">IF(A157="N/A"," ",Inputs!$F$6)</f>
        <v> </v>
      </c>
      <c r="G157" s="277" t="str">
        <f aca="false">IF(A157="N/A"," ",Inputs!$F$9/IF(AND('Pricing Inputs'!$AQ$3&gt;=4,'Pricing Inputs'!$AQ$3&lt;=6),16,IF(AND('Pricing Inputs'!$AQ$3&gt;=7,'Pricing Inputs'!$AQ$3&lt;=9),8,24))/(BA157/BW157))</f>
        <v> </v>
      </c>
      <c r="H157" s="278" t="str">
        <f aca="false">IF(A157="N/A"," ",(C157*D157)+F157+G157)</f>
        <v> </v>
      </c>
      <c r="I157" s="279" t="str">
        <f aca="false">VLOOKUP(A157,ScaledPrice,(IF(AND('Pricing Inputs'!$AQ$3&gt;=1,'Pricing Inputs'!$AQ$3&lt;=6),2,4)))</f>
        <v> </v>
      </c>
      <c r="J157" s="279" t="str">
        <f aca="false">IF(A157="N/A"," ",IF(AND('Pricing Inputs'!$AQ$3&gt;=1,'Pricing Inputs'!$AQ$3&lt;=6),I157,(VLOOKUP(A157,ScaledPrice,2))*(2-(VLOOKUP(A157,ScaledPrice,3)))))</f>
        <v> </v>
      </c>
      <c r="K157" s="279" t="str">
        <f aca="false">IF(A157="N/A"," ",IF(OR('Pricing Inputs'!$AQ$3=2,'Pricing Inputs'!$AQ$3=3,'Pricing Inputs'!$AQ$3=5,'Pricing Inputs'!$AQ$3=6,'Pricing Inputs'!$AQ$3=8,'Pricing Inputs'!$AQ$3=9),VLOOKUP(A157,ScaledPrice,IF(AND('Pricing Inputs'!$AQ$3&gt;=2,'Pricing Inputs'!$AQ$3&lt;=6),5,6)),0))</f>
        <v> </v>
      </c>
      <c r="L157" s="279" t="str">
        <f aca="false">IF(A157="N/A"," ",IF(OR('Pricing Inputs'!$AQ$3=2,'Pricing Inputs'!$AQ$3=3,'Pricing Inputs'!$AQ$3=5,'Pricing Inputs'!$AQ$3=6,'Pricing Inputs'!$AQ$3=8,'Pricing Inputs'!$AQ$3=9),IF(AND('Pricing Inputs'!$AQ$3&gt;=2,'Pricing Inputs'!$AQ$3&lt;=6),K157,(VLOOKUP(A157,ScaledPrice,5))*(2-(VLOOKUP(A157,ScaledPrice,3)))),0))</f>
        <v> </v>
      </c>
      <c r="M157" s="279" t="str">
        <f aca="false">IF(A157="N/A"," ",IF(OR('Pricing Inputs'!$AQ$3=3,'Pricing Inputs'!$AQ$3=6,'Pricing Inputs'!$AQ$3=9),(VLOOKUP(A157,ScaledPrice,IF(AND('Pricing Inputs'!$AQ$3&gt;=3,'Pricing Inputs'!$AQ$3&lt;=6),7,8))),0))</f>
        <v> </v>
      </c>
      <c r="N157" s="279" t="str">
        <f aca="false">IF(A157="N/A"," ",IF(OR('Pricing Inputs'!$AQ$3=3,'Pricing Inputs'!$AQ$3=6,'Pricing Inputs'!$AQ$3=9),IF(AND('Pricing Inputs'!$AQ$3&gt;=3,'Pricing Inputs'!$AQ$3&lt;=6),M157,(VLOOKUP(A157,ScaledPrice,7))*(2-(VLOOKUP(A157,ScaledPrice,3)))),0))</f>
        <v> </v>
      </c>
      <c r="O157" s="279" t="str">
        <f aca="false">IF(A157="N/A"," ",IF(AND('Pricing Inputs'!$AQ$3&gt;=1,'Pricing Inputs'!$AQ$3&lt;=3),VLOOKUP(A157,ScaledPrice,9),0))</f>
        <v> </v>
      </c>
      <c r="P157" s="280" t="str">
        <f aca="false">IF($A157="N/A"," ",IF('Pricing Inputs'!$AN$8=2,(I157-H157),IF('Pricing Inputs'!$AN$3=2,IF((I157-$H157)&gt;0,I157-$H157,0),(xSPRDOPT(I157,$E157,$BU157,0,$BP157,$BS157,$BT157,($A157-Inputs!$D$1)+15,1,0)))))</f>
        <v> </v>
      </c>
      <c r="Q157" s="280" t="str">
        <f aca="false">IF($A157="N/A"," ",IF('Pricing Inputs'!$AN$8=2,(J157-$H157),IF('Pricing Inputs'!$AN$3=2,IF((J157-$H157)&gt;0,J157-$H157,0),(xSPRDOPT(J157,$E157,$BU157,0,$BP157,$BS157,$BT157,($A157-Inputs!$D$1)+15,1,0)))))</f>
        <v> </v>
      </c>
      <c r="R157" s="280" t="str">
        <f aca="false">IF($A157="N/A"," ",IF('Pricing Inputs'!$AN$8=2,(K157-$H157),IF('Pricing Inputs'!$AN$3=2,IF((K157-$H157)&gt;0,K157-$H157,0),(xSPRDOPT(K157,$E157,$BU157,0,$BP157,$BS157,$BT157,($A157-Inputs!$D$1)+15,1,0)))))</f>
        <v> </v>
      </c>
      <c r="S157" s="280" t="str">
        <f aca="false">IF($A157="N/A"," ",IF('Pricing Inputs'!$AN$8=2,(L157-$H157),IF('Pricing Inputs'!$AN$3=2,IF((L157-$H157)&gt;0,L157-$H157,0),(xSPRDOPT(L157,$E157,$BU157,0,$BP157,$BS157,$BT157,($A157-Inputs!$D$1)+15,1,0)))))</f>
        <v> </v>
      </c>
      <c r="T157" s="280" t="str">
        <f aca="false">IF($A157="N/A"," ",IF('Pricing Inputs'!$AN$8=2,(M157-$H157),IF('Pricing Inputs'!$AN$3=2,IF((M157-$H157)&gt;0,M157-$H157,0),(xSPRDOPT(M157,$E157,$BU157,0,$BP157,$BS157,$BT157,($A157-Inputs!$D$1)+15,1,0)))))</f>
        <v> </v>
      </c>
      <c r="U157" s="280" t="str">
        <f aca="false">IF($A157="N/A"," ",IF('Pricing Inputs'!$AN$8=2,(N157-$H157),IF('Pricing Inputs'!$AN$3=2,IF((N157-$H157)&gt;0,N157-$H157,0),(xSPRDOPT(N157,$E157,$BU157,0,$BP157,$BS157,$BT157,($A157-Inputs!$D$1)+15,1,0)))))</f>
        <v> </v>
      </c>
      <c r="V157" s="281" t="str">
        <f aca="false">IF($A157="N/A"," ",(IF('Pricing Inputs'!$AN$8=2,(O157-$H157),IF((O157-$H157)&lt;=0,0,(O157-$H157)))))</f>
        <v> </v>
      </c>
      <c r="W157" s="282" t="str">
        <f aca="false">IF($A157="N/A"," ",IF(0&lt;&gt;P157,IF('Pricing Inputs'!$AN$3=2,8*VLOOKUP($A157,NumberofDaysTable,2),(xSPRDOPT(I157,$E157,$BU157,0,$BP157,$BS157,$BT157,$A157-Inputs!$D$1,1,1))*(8*VLOOKUP($A157,NumberofDaysTable,2))),0))</f>
        <v> </v>
      </c>
      <c r="X157" s="282" t="str">
        <f aca="false">IF($A157="N/A"," ",IF(Q157&lt;&gt;0,IF('Pricing Inputs'!$AN$3=2,8*VLOOKUP($A157,NumberofDaysTable,2),(xSPRDOPT(J157,$E157,$BU157,0,$BP157,$BS157,$BT157,$A157-Inputs!$D$1,1,1))*(8*VLOOKUP($A157,NumberofDaysTable,2))),0))</f>
        <v> </v>
      </c>
      <c r="Y157" s="282" t="str">
        <f aca="false">IF($A157="N/A"," ",IF(R157&lt;&gt;0,IF('Pricing Inputs'!$AN$3=2,8*VLOOKUP($A157,NumberofDaysTable,3),(xSPRDOPT(K157,$E157,$BU157,0,$BP157,$BS157,$BT157,$A157-Inputs!$D$1,1,1))*(8*VLOOKUP($A157,NumberofDaysTable,3))),0))</f>
        <v> </v>
      </c>
      <c r="Z157" s="282" t="str">
        <f aca="false">IF($A157="N/A"," ",IF(S157&lt;&gt;0,IF('Pricing Inputs'!$AN$3=2,8*VLOOKUP($A157,NumberofDaysTable,3),(xSPRDOPT(L157,$E157,$BU157,0,$BP157,$BS157,$BT157,$A157-Inputs!$D$1,1,1))*(8*VLOOKUP($A157,NumberofDaysTable,3))),0))</f>
        <v> </v>
      </c>
      <c r="AA157" s="282" t="str">
        <f aca="false">IF($A157="N/A"," ",IF(T157&lt;&gt;0,IF('Pricing Inputs'!$AN$3=2,8*VLOOKUP($A157,NumberofDaysTable,4),(xSPRDOPT(M157,$E157,$BU157,0,$BP157,$BS157,$BT157,$A157-Inputs!$D$1,1,1))*(8*VLOOKUP($A157,NumberofDaysTable,4))),0))</f>
        <v> </v>
      </c>
      <c r="AB157" s="282" t="str">
        <f aca="false">IF($A157="N/A"," ",IF(U157&lt;&gt;0,IF('Pricing Inputs'!$AN$3=2,8*VLOOKUP($A157,NumberofDaysTable,4),(xSPRDOPT(N157,$E157,$BU157,0,$BP157,$BS157,$BT157,$A157-Inputs!$D$1,1,1))*(8*VLOOKUP($A157,NumberofDaysTable,4))),0))</f>
        <v> </v>
      </c>
      <c r="AC157" s="282" t="str">
        <f aca="false">IF($A157="N/A"," ",(IF(V157&lt;&gt;0,(8*VLOOKUP($A157,NumberofDaysTable,6)),0)))</f>
        <v> </v>
      </c>
      <c r="AD157" s="298" t="str">
        <f aca="false">IF($A157="N/A"," ",RANK(P157,$P$148:$V$159))</f>
        <v> </v>
      </c>
      <c r="AE157" s="299" t="str">
        <f aca="false">IF($A157="N/A"," ",RANK(Q157,$P$148:$V$159))</f>
        <v> </v>
      </c>
      <c r="AF157" s="299" t="str">
        <f aca="false">IF($A157="N/A"," ",RANK(R157,$P$148:$V$159))</f>
        <v> </v>
      </c>
      <c r="AG157" s="299" t="str">
        <f aca="false">IF($A157="N/A"," ",RANK(S157,$P$148:$V$159))</f>
        <v> </v>
      </c>
      <c r="AH157" s="299" t="str">
        <f aca="false">IF($A157="N/A"," ",RANK(T157,$P$148:$V$159))</f>
        <v> </v>
      </c>
      <c r="AI157" s="299" t="str">
        <f aca="false">IF($A157="N/A"," ",RANK(U157,$P$148:$V$159))</f>
        <v> </v>
      </c>
      <c r="AJ157" s="300" t="str">
        <f aca="false">IF($A157="N/A"," ",RANK(V157,$P$148:$V$159))</f>
        <v> </v>
      </c>
      <c r="AK157" s="286" t="str">
        <f aca="false">IF($A157="N/A"," ",IF(AD157&lt;=$AJ$2,W157,0))</f>
        <v> </v>
      </c>
      <c r="AL157" s="301" t="str">
        <f aca="false">IF($A157="N/A"," ",IF(AE157&lt;=$AJ$2,X157,0))</f>
        <v> </v>
      </c>
      <c r="AM157" s="301" t="str">
        <f aca="false">IF($A157="N/A"," ",IF(AF157&lt;=$AJ$2,Y157,0))</f>
        <v> </v>
      </c>
      <c r="AN157" s="301" t="str">
        <f aca="false">IF($A157="N/A"," ",IF(AG157&lt;=$AJ$2,Z157,0))</f>
        <v> </v>
      </c>
      <c r="AO157" s="301" t="str">
        <f aca="false">IF($A157="N/A"," ",IF(AH157&lt;=$AJ$2,AA157,0))</f>
        <v> </v>
      </c>
      <c r="AP157" s="301" t="str">
        <f aca="false">IF($A157="N/A"," ",IF(AI157&lt;=$AJ$2,AB157,0))</f>
        <v> </v>
      </c>
      <c r="AQ157" s="301" t="str">
        <f aca="false">IF($A157="N/A"," ",IF(AJ157&lt;=$AJ$2,AC157,0))</f>
        <v> </v>
      </c>
      <c r="AR157" s="304" t="s">
        <v>1301</v>
      </c>
      <c r="AS157" s="288" t="str">
        <f aca="false">IF($A157="N/A"," ",IF(AND(AD157=$AJ$2+1,AK157=0),MIN($AR$159,W157),0))</f>
        <v> </v>
      </c>
      <c r="AT157" s="302" t="str">
        <f aca="false">IF($A157="N/A"," ",IF(AND(AE157=$AJ$2+1,AL157=0),MIN($AR$159,X157),0))</f>
        <v> </v>
      </c>
      <c r="AU157" s="302" t="str">
        <f aca="false">IF($A157="N/A"," ",IF(AND(AF157=$AJ$2+1,AM157=0),MIN($AR$159,Y157),0))</f>
        <v> </v>
      </c>
      <c r="AV157" s="302" t="str">
        <f aca="false">IF($A157="N/A"," ",IF(AND(AG157=$AJ$2+1,AN157=0),MIN($AR$159,Z157),0))</f>
        <v> </v>
      </c>
      <c r="AW157" s="302" t="str">
        <f aca="false">IF($A157="N/A"," ",IF(AND(AH157=$AJ$2+1,AO157=0),MIN($AR$159,AA157),0))</f>
        <v> </v>
      </c>
      <c r="AX157" s="302" t="str">
        <f aca="false">IF($A157="N/A"," ",IF(AND(AI157=$AJ$2+1,AP157=0),MIN($AR$159,AB157),0))</f>
        <v> </v>
      </c>
      <c r="AY157" s="302" t="str">
        <f aca="false">IF($A157="N/A"," ",IF(AND(AJ157=$AJ$2+1,AQ157=0),MIN($AR$159,AC157),0))</f>
        <v> </v>
      </c>
      <c r="AZ157" s="303" t="s">
        <v>1328</v>
      </c>
      <c r="BA157" s="291" t="str">
        <f aca="false">IF($A157="N/A"," ",(IF(MONTH(A157)&gt;=4,IF(MONTH(A157)&lt;=10,Inputs!$F$13,Inputs!$F$14),Inputs!$F$14))*$BW157)</f>
        <v> </v>
      </c>
      <c r="BB157" s="292" t="str">
        <f aca="false">IF($A157="N/A"," ",(IF(AK157&gt;0,($BA157*(8*(VLOOKUP($A157,NumberofDaysTable,2)))*P157),0)+IF(AS157&gt;0,($BA157*((AS157))*P157),0)))</f>
        <v> </v>
      </c>
      <c r="BC157" s="292" t="str">
        <f aca="false">IF($A157="N/A"," ",(IF(AL157&gt;0,($BA157*(8*(VLOOKUP($A157,NumberofDaysTable,2)))*Q157),0)+IF(AT157&gt;0,($BA157*((AT157))*Q157),0)))</f>
        <v> </v>
      </c>
      <c r="BD157" s="292" t="str">
        <f aca="false">IF($A157="N/A"," ",(IF(AM157&gt;0,($BA157*(8*(VLOOKUP($A157,NumberofDaysTable,3)))*R157),0)+IF(AU157&gt;0,($BA157*((AU157))*R157),0)))</f>
        <v> </v>
      </c>
      <c r="BE157" s="292" t="str">
        <f aca="false">IF($A157="N/A"," ",(IF(AN157&gt;0,($BA157*(8*(VLOOKUP($A157,NumberofDaysTable,3)))*S157),0)+IF(AV157&gt;0,($BA157*((AV157))*S157),0)))</f>
        <v> </v>
      </c>
      <c r="BF157" s="292" t="str">
        <f aca="false">IF($A157="N/A"," ",(IF(AO157&gt;0,($BA157*(8*(VLOOKUP($A157,NumberofDaysTable,4)+VLOOKUP($A157,NumberofDaysTable,5)))*T157),0)+IF(AW157&gt;0,($BA157*((AW157))*T157),0)))</f>
        <v> </v>
      </c>
      <c r="BG157" s="292" t="str">
        <f aca="false">IF($A157="N/A"," ",(IF(AP157&gt;0,($BA157*(8*(VLOOKUP($A157,NumberofDaysTable,4)+VLOOKUP($A157,NumberofDaysTable,5)))*U157),0)+IF(AX157&gt;0,($BA157*((AX157))*U157),0)))</f>
        <v> </v>
      </c>
      <c r="BH157" s="292" t="str">
        <f aca="false">IF($A157="N/A"," ",($BA157*AQ157*V157))</f>
        <v> </v>
      </c>
      <c r="BI157" s="292" t="str">
        <f aca="false">IF($A157="N/A"," ",SUM(BB157:BH157))</f>
        <v> </v>
      </c>
      <c r="BJ157" s="293" t="str">
        <f aca="false">IF($A157="N/A"," ",(H157*(SUM(AK157:AQ157)+SUM(AS157:AY157))*BA157))</f>
        <v> </v>
      </c>
      <c r="BK157" s="293" t="str">
        <f aca="false">IF($A157="N/A"," ",((C157*D157)*(SUM($AK157:$AQ157)+SUM($AS157:$AY157))*$BA157))</f>
        <v> </v>
      </c>
      <c r="BL157" s="293" t="str">
        <f aca="false">IF($A157="N/A"," ",(F157*(SUM($AK157:$AQ157)+SUM($AS157:$AY157))*$BA157))</f>
        <v> </v>
      </c>
      <c r="BM157" s="293" t="str">
        <f aca="false">IF($A157="N/A"," ",(G157*(SUM($AK157:$AQ157)+SUM($AS157:$AY157))*$BA157))</f>
        <v> </v>
      </c>
      <c r="BN157" s="294" t="str">
        <f aca="false">IF(A157="N/A"," ",(VLOOKUP(A157,PowerVolTable,(IF('Pricing Inputs'!$AT$3=2,7,IF('Pricing Inputs'!$AT$3=1,6,8))),FALSE())))</f>
        <v> </v>
      </c>
      <c r="BO157" s="294" t="str">
        <f aca="false">IF(A157="N/A"," ",(VLOOKUP(A157,IntraPowerVol,(IF('Pricing Inputs'!$AT$3=2,3,IF('Pricing Inputs'!$AT$3=1,2,4))),FALSE())*VLOOKUP(MONTH($A157),Inputs!$A$28:$B$39,2)))</f>
        <v> </v>
      </c>
      <c r="BP157" s="295" t="str">
        <f aca="false">IF($A157="N/A"," ",(IF(DateToday&gt;$A157,$BO157,((($BN157^2)*((($A157-1)-DateToday)/((EOMONTH($A157,0)+1)-DateToday-15)))+((($BO157)^2)*((15)/((EOMONTH($A157,0)+1)-DateToday-15))))^0.5)))</f>
        <v> </v>
      </c>
      <c r="BQ157" s="294" t="str">
        <f aca="false">IF($A157="N/A"," ",(VLOOKUP($A157,GasVolTable,(IF('Pricing Inputs'!$AT$3=2,6,IF('Pricing Inputs'!$AT$3=1,7,5))),FALSE())))</f>
        <v> </v>
      </c>
      <c r="BR157" s="294" t="str">
        <f aca="false">IF($A157="N/A"," ",(VLOOKUP($A157,OmicronVol,(IF('Pricing Inputs'!$AT$3=2,3,IF('Pricing Inputs'!$AT$3=1,4,2))),FALSE())))</f>
        <v> </v>
      </c>
      <c r="BS157" s="295" t="str">
        <f aca="false">IF($A157="N/A"," ",IF('Pricing Inputs'!$AN$3=1,(IF(DateToday&gt;$A157,$BR157,((($BQ157^2)*((($A157-1)-DateToday)/((EOMONTH($A157,0)+1)-DateToday-15)))+((($BR157)^2)*((15)/((EOMONTH($A157,0)+1)-DateToday-15))))^0.5)),0.0001))</f>
        <v> </v>
      </c>
      <c r="BT157" s="294" t="str">
        <f aca="false">IF($A157="N/A"," ",IF('Pricing Inputs'!$AN$3=1,(VLOOKUP($A157,CorrelationTable,2,FALSE())),0))</f>
        <v> </v>
      </c>
      <c r="BU157" s="296" t="str">
        <f aca="false">IF($A157="N/A"," ",F157+G157+(D157*(VLOOKUP($A157,'Gas Curves'!$B$17:$P$310,14,FALSE()))))</f>
        <v> </v>
      </c>
      <c r="BV157" s="294" t="str">
        <f aca="false">IF($A157="N/A"," ",IF('Pricing Inputs'!$AW$3=1,0,(VLOOKUP($A157,InterestRatesTable,2))))</f>
        <v> </v>
      </c>
      <c r="BW157" s="297" t="str">
        <f aca="false">IF($A157="N/A"," ",(1+BV157/2)^(-2*((EOMONTH(A157,0)+20)-DateToday)/365.25))</f>
        <v> </v>
      </c>
    </row>
    <row r="158" customFormat="false" ht="12.75" hidden="false" customHeight="false" outlineLevel="0" collapsed="false">
      <c r="A158" s="272" t="str">
        <f aca="false">IF(A157="N/A","N/A",IF(EDATE(A157,1)&gt;Inputs!$K$3,"N/A",EDATE(A157,1)))</f>
        <v>N/A</v>
      </c>
      <c r="B158" s="273" t="str">
        <f aca="false">IF(A158="N/A"," ",YEAR(A158))</f>
        <v> </v>
      </c>
      <c r="C158" s="274" t="str">
        <f aca="false">IF(A158="N/A"," ",VLOOKUP(A158,ScaledPrice,10))</f>
        <v> </v>
      </c>
      <c r="D158" s="275" t="str">
        <f aca="false">IF(A158="N/A"," ",(VLOOKUP(MONTH($A158),Inputs!$A$14:$B$25,2))/1000)</f>
        <v> </v>
      </c>
      <c r="E158" s="276" t="str">
        <f aca="false">IF($A158="N/A"," ",C158*D158)</f>
        <v> </v>
      </c>
      <c r="F158" s="277" t="str">
        <f aca="false">IF(A158="N/A"," ",Inputs!$F$6)</f>
        <v> </v>
      </c>
      <c r="G158" s="277" t="str">
        <f aca="false">IF(A158="N/A"," ",Inputs!$F$9/IF(AND('Pricing Inputs'!$AQ$3&gt;=4,'Pricing Inputs'!$AQ$3&lt;=6),16,IF(AND('Pricing Inputs'!$AQ$3&gt;=7,'Pricing Inputs'!$AQ$3&lt;=9),8,24))/(BA158/BW158))</f>
        <v> </v>
      </c>
      <c r="H158" s="278" t="str">
        <f aca="false">IF(A158="N/A"," ",(C158*D158)+F158+G158)</f>
        <v> </v>
      </c>
      <c r="I158" s="279" t="str">
        <f aca="false">VLOOKUP(A158,ScaledPrice,(IF(AND('Pricing Inputs'!$AQ$3&gt;=1,'Pricing Inputs'!$AQ$3&lt;=6),2,4)))</f>
        <v> </v>
      </c>
      <c r="J158" s="279" t="str">
        <f aca="false">IF(A158="N/A"," ",IF(AND('Pricing Inputs'!$AQ$3&gt;=1,'Pricing Inputs'!$AQ$3&lt;=6),I158,(VLOOKUP(A158,ScaledPrice,2))*(2-(VLOOKUP(A158,ScaledPrice,3)))))</f>
        <v> </v>
      </c>
      <c r="K158" s="279" t="str">
        <f aca="false">IF(A158="N/A"," ",IF(OR('Pricing Inputs'!$AQ$3=2,'Pricing Inputs'!$AQ$3=3,'Pricing Inputs'!$AQ$3=5,'Pricing Inputs'!$AQ$3=6,'Pricing Inputs'!$AQ$3=8,'Pricing Inputs'!$AQ$3=9),VLOOKUP(A158,ScaledPrice,IF(AND('Pricing Inputs'!$AQ$3&gt;=2,'Pricing Inputs'!$AQ$3&lt;=6),5,6)),0))</f>
        <v> </v>
      </c>
      <c r="L158" s="279" t="str">
        <f aca="false">IF(A158="N/A"," ",IF(OR('Pricing Inputs'!$AQ$3=2,'Pricing Inputs'!$AQ$3=3,'Pricing Inputs'!$AQ$3=5,'Pricing Inputs'!$AQ$3=6,'Pricing Inputs'!$AQ$3=8,'Pricing Inputs'!$AQ$3=9),IF(AND('Pricing Inputs'!$AQ$3&gt;=2,'Pricing Inputs'!$AQ$3&lt;=6),K158,(VLOOKUP(A158,ScaledPrice,5))*(2-(VLOOKUP(A158,ScaledPrice,3)))),0))</f>
        <v> </v>
      </c>
      <c r="M158" s="279" t="str">
        <f aca="false">IF(A158="N/A"," ",IF(OR('Pricing Inputs'!$AQ$3=3,'Pricing Inputs'!$AQ$3=6,'Pricing Inputs'!$AQ$3=9),(VLOOKUP(A158,ScaledPrice,IF(AND('Pricing Inputs'!$AQ$3&gt;=3,'Pricing Inputs'!$AQ$3&lt;=6),7,8))),0))</f>
        <v> </v>
      </c>
      <c r="N158" s="279" t="str">
        <f aca="false">IF(A158="N/A"," ",IF(OR('Pricing Inputs'!$AQ$3=3,'Pricing Inputs'!$AQ$3=6,'Pricing Inputs'!$AQ$3=9),IF(AND('Pricing Inputs'!$AQ$3&gt;=3,'Pricing Inputs'!$AQ$3&lt;=6),M158,(VLOOKUP(A158,ScaledPrice,7))*(2-(VLOOKUP(A158,ScaledPrice,3)))),0))</f>
        <v> </v>
      </c>
      <c r="O158" s="279" t="str">
        <f aca="false">IF(A158="N/A"," ",IF(AND('Pricing Inputs'!$AQ$3&gt;=1,'Pricing Inputs'!$AQ$3&lt;=3),VLOOKUP(A158,ScaledPrice,9),0))</f>
        <v> </v>
      </c>
      <c r="P158" s="280" t="str">
        <f aca="false">IF($A158="N/A"," ",IF('Pricing Inputs'!$AN$8=2,(I158-H158),IF('Pricing Inputs'!$AN$3=2,IF((I158-$H158)&gt;0,I158-$H158,0),(xSPRDOPT(I158,$E158,$BU158,0,$BP158,$BS158,$BT158,($A158-Inputs!$D$1)+15,1,0)))))</f>
        <v> </v>
      </c>
      <c r="Q158" s="280" t="str">
        <f aca="false">IF($A158="N/A"," ",IF('Pricing Inputs'!$AN$8=2,(J158-$H158),IF('Pricing Inputs'!$AN$3=2,IF((J158-$H158)&gt;0,J158-$H158,0),(xSPRDOPT(J158,$E158,$BU158,0,$BP158,$BS158,$BT158,($A158-Inputs!$D$1)+15,1,0)))))</f>
        <v> </v>
      </c>
      <c r="R158" s="280" t="str">
        <f aca="false">IF($A158="N/A"," ",IF('Pricing Inputs'!$AN$8=2,(K158-$H158),IF('Pricing Inputs'!$AN$3=2,IF((K158-$H158)&gt;0,K158-$H158,0),(xSPRDOPT(K158,$E158,$BU158,0,$BP158,$BS158,$BT158,($A158-Inputs!$D$1)+15,1,0)))))</f>
        <v> </v>
      </c>
      <c r="S158" s="280" t="str">
        <f aca="false">IF($A158="N/A"," ",IF('Pricing Inputs'!$AN$8=2,(L158-$H158),IF('Pricing Inputs'!$AN$3=2,IF((L158-$H158)&gt;0,L158-$H158,0),(xSPRDOPT(L158,$E158,$BU158,0,$BP158,$BS158,$BT158,($A158-Inputs!$D$1)+15,1,0)))))</f>
        <v> </v>
      </c>
      <c r="T158" s="280" t="str">
        <f aca="false">IF($A158="N/A"," ",IF('Pricing Inputs'!$AN$8=2,(M158-$H158),IF('Pricing Inputs'!$AN$3=2,IF((M158-$H158)&gt;0,M158-$H158,0),(xSPRDOPT(M158,$E158,$BU158,0,$BP158,$BS158,$BT158,($A158-Inputs!$D$1)+15,1,0)))))</f>
        <v> </v>
      </c>
      <c r="U158" s="280" t="str">
        <f aca="false">IF($A158="N/A"," ",IF('Pricing Inputs'!$AN$8=2,(N158-$H158),IF('Pricing Inputs'!$AN$3=2,IF((N158-$H158)&gt;0,N158-$H158,0),(xSPRDOPT(N158,$E158,$BU158,0,$BP158,$BS158,$BT158,($A158-Inputs!$D$1)+15,1,0)))))</f>
        <v> </v>
      </c>
      <c r="V158" s="281" t="str">
        <f aca="false">IF($A158="N/A"," ",(IF('Pricing Inputs'!$AN$8=2,(O158-$H158),IF((O158-$H158)&lt;=0,0,(O158-$H158)))))</f>
        <v> </v>
      </c>
      <c r="W158" s="282" t="str">
        <f aca="false">IF($A158="N/A"," ",IF(0&lt;&gt;P158,IF('Pricing Inputs'!$AN$3=2,8*VLOOKUP($A158,NumberofDaysTable,2),(xSPRDOPT(I158,$E158,$BU158,0,$BP158,$BS158,$BT158,$A158-Inputs!$D$1,1,1))*(8*VLOOKUP($A158,NumberofDaysTable,2))),0))</f>
        <v> </v>
      </c>
      <c r="X158" s="282" t="str">
        <f aca="false">IF($A158="N/A"," ",IF(Q158&lt;&gt;0,IF('Pricing Inputs'!$AN$3=2,8*VLOOKUP($A158,NumberofDaysTable,2),(xSPRDOPT(J158,$E158,$BU158,0,$BP158,$BS158,$BT158,$A158-Inputs!$D$1,1,1))*(8*VLOOKUP($A158,NumberofDaysTable,2))),0))</f>
        <v> </v>
      </c>
      <c r="Y158" s="282" t="str">
        <f aca="false">IF($A158="N/A"," ",IF(R158&lt;&gt;0,IF('Pricing Inputs'!$AN$3=2,8*VLOOKUP($A158,NumberofDaysTable,3),(xSPRDOPT(K158,$E158,$BU158,0,$BP158,$BS158,$BT158,$A158-Inputs!$D$1,1,1))*(8*VLOOKUP($A158,NumberofDaysTable,3))),0))</f>
        <v> </v>
      </c>
      <c r="Z158" s="282" t="str">
        <f aca="false">IF($A158="N/A"," ",IF(S158&lt;&gt;0,IF('Pricing Inputs'!$AN$3=2,8*VLOOKUP($A158,NumberofDaysTable,3),(xSPRDOPT(L158,$E158,$BU158,0,$BP158,$BS158,$BT158,$A158-Inputs!$D$1,1,1))*(8*VLOOKUP($A158,NumberofDaysTable,3))),0))</f>
        <v> </v>
      </c>
      <c r="AA158" s="282" t="str">
        <f aca="false">IF($A158="N/A"," ",IF(T158&lt;&gt;0,IF('Pricing Inputs'!$AN$3=2,8*VLOOKUP($A158,NumberofDaysTable,4),(xSPRDOPT(M158,$E158,$BU158,0,$BP158,$BS158,$BT158,$A158-Inputs!$D$1,1,1))*(8*VLOOKUP($A158,NumberofDaysTable,4))),0))</f>
        <v> </v>
      </c>
      <c r="AB158" s="282" t="str">
        <f aca="false">IF($A158="N/A"," ",IF(U158&lt;&gt;0,IF('Pricing Inputs'!$AN$3=2,8*VLOOKUP($A158,NumberofDaysTable,4),(xSPRDOPT(N158,$E158,$BU158,0,$BP158,$BS158,$BT158,$A158-Inputs!$D$1,1,1))*(8*VLOOKUP($A158,NumberofDaysTable,4))),0))</f>
        <v> </v>
      </c>
      <c r="AC158" s="282" t="str">
        <f aca="false">IF($A158="N/A"," ",(IF(V158&lt;&gt;0,(8*VLOOKUP($A158,NumberofDaysTable,6)),0)))</f>
        <v> </v>
      </c>
      <c r="AD158" s="298" t="str">
        <f aca="false">IF($A158="N/A"," ",RANK(P158,$P$148:$V$159))</f>
        <v> </v>
      </c>
      <c r="AE158" s="299" t="str">
        <f aca="false">IF($A158="N/A"," ",RANK(Q158,$P$148:$V$159))</f>
        <v> </v>
      </c>
      <c r="AF158" s="299" t="str">
        <f aca="false">IF($A158="N/A"," ",RANK(R158,$P$148:$V$159))</f>
        <v> </v>
      </c>
      <c r="AG158" s="299" t="str">
        <f aca="false">IF($A158="N/A"," ",RANK(S158,$P$148:$V$159))</f>
        <v> </v>
      </c>
      <c r="AH158" s="299" t="str">
        <f aca="false">IF($A158="N/A"," ",RANK(T158,$P$148:$V$159))</f>
        <v> </v>
      </c>
      <c r="AI158" s="299" t="str">
        <f aca="false">IF($A158="N/A"," ",RANK(U158,$P$148:$V$159))</f>
        <v> </v>
      </c>
      <c r="AJ158" s="300" t="str">
        <f aca="false">IF($A158="N/A"," ",RANK(V158,$P$148:$V$159))</f>
        <v> </v>
      </c>
      <c r="AK158" s="286" t="str">
        <f aca="false">IF($A158="N/A"," ",IF(AD158&lt;=$AJ$2,W158,0))</f>
        <v> </v>
      </c>
      <c r="AL158" s="301" t="str">
        <f aca="false">IF($A158="N/A"," ",IF(AE158&lt;=$AJ$2,X158,0))</f>
        <v> </v>
      </c>
      <c r="AM158" s="301" t="str">
        <f aca="false">IF($A158="N/A"," ",IF(AF158&lt;=$AJ$2,Y158,0))</f>
        <v> </v>
      </c>
      <c r="AN158" s="301" t="str">
        <f aca="false">IF($A158="N/A"," ",IF(AG158&lt;=$AJ$2,Z158,0))</f>
        <v> </v>
      </c>
      <c r="AO158" s="301" t="str">
        <f aca="false">IF($A158="N/A"," ",IF(AH158&lt;=$AJ$2,AA158,0))</f>
        <v> </v>
      </c>
      <c r="AP158" s="301" t="str">
        <f aca="false">IF($A158="N/A"," ",IF(AI158&lt;=$AJ$2,AB158,0))</f>
        <v> </v>
      </c>
      <c r="AQ158" s="301" t="str">
        <f aca="false">IF($A158="N/A"," ",IF(AJ158&lt;=$AJ$2,AC158,0))</f>
        <v> </v>
      </c>
      <c r="AR158" s="300" t="n">
        <f aca="false">SUM(AK148:AQ159)</f>
        <v>0</v>
      </c>
      <c r="AS158" s="288" t="str">
        <f aca="false">IF($A158="N/A"," ",IF(AND(AD158=$AJ$2+1,AK158=0),MIN($AR$159,W158),0))</f>
        <v> </v>
      </c>
      <c r="AT158" s="302" t="str">
        <f aca="false">IF($A158="N/A"," ",IF(AND(AE158=$AJ$2+1,AL158=0),MIN($AR$159,X158),0))</f>
        <v> </v>
      </c>
      <c r="AU158" s="302" t="str">
        <f aca="false">IF($A158="N/A"," ",IF(AND(AF158=$AJ$2+1,AM158=0),MIN($AR$159,Y158),0))</f>
        <v> </v>
      </c>
      <c r="AV158" s="302" t="str">
        <f aca="false">IF($A158="N/A"," ",IF(AND(AG158=$AJ$2+1,AN158=0),MIN($AR$159,Z158),0))</f>
        <v> </v>
      </c>
      <c r="AW158" s="302" t="str">
        <f aca="false">IF($A158="N/A"," ",IF(AND(AH158=$AJ$2+1,AO158=0),MIN($AR$159,AA158),0))</f>
        <v> </v>
      </c>
      <c r="AX158" s="302" t="str">
        <f aca="false">IF($A158="N/A"," ",IF(AND(AI158=$AJ$2+1,AP158=0),MIN($AR$159,AB158),0))</f>
        <v> </v>
      </c>
      <c r="AY158" s="302" t="str">
        <f aca="false">IF($A158="N/A"," ",IF(AND(AJ158=$AJ$2+1,AQ158=0),MIN($AR$159,AC158),0))</f>
        <v> </v>
      </c>
      <c r="AZ158" s="300" t="n">
        <f aca="false">SUM(AS148:AY159)</f>
        <v>0</v>
      </c>
      <c r="BA158" s="291" t="str">
        <f aca="false">IF($A158="N/A"," ",(IF(MONTH(A158)&gt;=4,IF(MONTH(A158)&lt;=10,Inputs!$F$13,Inputs!$F$14),Inputs!$F$14))*$BW158)</f>
        <v> </v>
      </c>
      <c r="BB158" s="292" t="str">
        <f aca="false">IF($A158="N/A"," ",(IF(AK158&gt;0,($BA158*(8*(VLOOKUP($A158,NumberofDaysTable,2)))*P158),0)+IF(AS158&gt;0,($BA158*((AS158))*P158),0)))</f>
        <v> </v>
      </c>
      <c r="BC158" s="292" t="str">
        <f aca="false">IF($A158="N/A"," ",(IF(AL158&gt;0,($BA158*(8*(VLOOKUP($A158,NumberofDaysTable,2)))*Q158),0)+IF(AT158&gt;0,($BA158*((AT158))*Q158),0)))</f>
        <v> </v>
      </c>
      <c r="BD158" s="292" t="str">
        <f aca="false">IF($A158="N/A"," ",(IF(AM158&gt;0,($BA158*(8*(VLOOKUP($A158,NumberofDaysTable,3)))*R158),0)+IF(AU158&gt;0,($BA158*((AU158))*R158),0)))</f>
        <v> </v>
      </c>
      <c r="BE158" s="292" t="str">
        <f aca="false">IF($A158="N/A"," ",(IF(AN158&gt;0,($BA158*(8*(VLOOKUP($A158,NumberofDaysTable,3)))*S158),0)+IF(AV158&gt;0,($BA158*((AV158))*S158),0)))</f>
        <v> </v>
      </c>
      <c r="BF158" s="292" t="str">
        <f aca="false">IF($A158="N/A"," ",(IF(AO158&gt;0,($BA158*(8*(VLOOKUP($A158,NumberofDaysTable,4)+VLOOKUP($A158,NumberofDaysTable,5)))*T158),0)+IF(AW158&gt;0,($BA158*((AW158))*T158),0)))</f>
        <v> </v>
      </c>
      <c r="BG158" s="292" t="str">
        <f aca="false">IF($A158="N/A"," ",(IF(AP158&gt;0,($BA158*(8*(VLOOKUP($A158,NumberofDaysTable,4)+VLOOKUP($A158,NumberofDaysTable,5)))*U158),0)+IF(AX158&gt;0,($BA158*((AX158))*U158),0)))</f>
        <v> </v>
      </c>
      <c r="BH158" s="292" t="str">
        <f aca="false">IF($A158="N/A"," ",($BA158*AQ158*V158))</f>
        <v> </v>
      </c>
      <c r="BI158" s="292" t="str">
        <f aca="false">IF($A158="N/A"," ",SUM(BB158:BH158))</f>
        <v> </v>
      </c>
      <c r="BJ158" s="293" t="str">
        <f aca="false">IF($A158="N/A"," ",(H158*(SUM(AK158:AQ158)+SUM(AS158:AY158))*BA158))</f>
        <v> </v>
      </c>
      <c r="BK158" s="293" t="str">
        <f aca="false">IF($A158="N/A"," ",((C158*D158)*(SUM($AK158:$AQ158)+SUM($AS158:$AY158))*$BA158))</f>
        <v> </v>
      </c>
      <c r="BL158" s="293" t="str">
        <f aca="false">IF($A158="N/A"," ",(F158*(SUM($AK158:$AQ158)+SUM($AS158:$AY158))*$BA158))</f>
        <v> </v>
      </c>
      <c r="BM158" s="293" t="str">
        <f aca="false">IF($A158="N/A"," ",(G158*(SUM($AK158:$AQ158)+SUM($AS158:$AY158))*$BA158))</f>
        <v> </v>
      </c>
      <c r="BN158" s="294" t="str">
        <f aca="false">IF(A158="N/A"," ",(VLOOKUP(A158,PowerVolTable,(IF('Pricing Inputs'!$AT$3=2,7,IF('Pricing Inputs'!$AT$3=1,6,8))),FALSE())))</f>
        <v> </v>
      </c>
      <c r="BO158" s="294" t="str">
        <f aca="false">IF(A158="N/A"," ",(VLOOKUP(A158,IntraPowerVol,(IF('Pricing Inputs'!$AT$3=2,3,IF('Pricing Inputs'!$AT$3=1,2,4))),FALSE())*VLOOKUP(MONTH($A158),Inputs!$A$28:$B$39,2)))</f>
        <v> </v>
      </c>
      <c r="BP158" s="295" t="str">
        <f aca="false">IF($A158="N/A"," ",(IF(DateToday&gt;$A158,$BO158,((($BN158^2)*((($A158-1)-DateToday)/((EOMONTH($A158,0)+1)-DateToday-15)))+((($BO158)^2)*((15)/((EOMONTH($A158,0)+1)-DateToday-15))))^0.5)))</f>
        <v> </v>
      </c>
      <c r="BQ158" s="294" t="str">
        <f aca="false">IF($A158="N/A"," ",(VLOOKUP($A158,GasVolTable,(IF('Pricing Inputs'!$AT$3=2,6,IF('Pricing Inputs'!$AT$3=1,7,5))),FALSE())))</f>
        <v> </v>
      </c>
      <c r="BR158" s="294" t="str">
        <f aca="false">IF($A158="N/A"," ",(VLOOKUP($A158,OmicronVol,(IF('Pricing Inputs'!$AT$3=2,3,IF('Pricing Inputs'!$AT$3=1,4,2))),FALSE())))</f>
        <v> </v>
      </c>
      <c r="BS158" s="295" t="str">
        <f aca="false">IF($A158="N/A"," ",IF('Pricing Inputs'!$AN$3=1,(IF(DateToday&gt;$A158,$BR158,((($BQ158^2)*((($A158-1)-DateToday)/((EOMONTH($A158,0)+1)-DateToday-15)))+((($BR158)^2)*((15)/((EOMONTH($A158,0)+1)-DateToday-15))))^0.5)),0.0001))</f>
        <v> </v>
      </c>
      <c r="BT158" s="294" t="str">
        <f aca="false">IF($A158="N/A"," ",IF('Pricing Inputs'!$AN$3=1,(VLOOKUP($A158,CorrelationTable,2,FALSE())),0))</f>
        <v> </v>
      </c>
      <c r="BU158" s="296" t="str">
        <f aca="false">IF($A158="N/A"," ",F158+G158+(D158*(VLOOKUP($A158,'Gas Curves'!$B$17:$P$310,14,FALSE()))))</f>
        <v> </v>
      </c>
      <c r="BV158" s="294" t="str">
        <f aca="false">IF($A158="N/A"," ",IF('Pricing Inputs'!$AW$3=1,0,(VLOOKUP($A158,InterestRatesTable,2))))</f>
        <v> </v>
      </c>
      <c r="BW158" s="297" t="str">
        <f aca="false">IF($A158="N/A"," ",(1+BV158/2)^(-2*((EOMONTH(A158,0)+20)-DateToday)/365.25))</f>
        <v> </v>
      </c>
    </row>
    <row r="159" customFormat="false" ht="12.75" hidden="false" customHeight="false" outlineLevel="0" collapsed="false">
      <c r="A159" s="272" t="str">
        <f aca="false">IF(A158="N/A","N/A",IF(EDATE(A158,1)&gt;Inputs!$K$3,"N/A",EDATE(A158,1)))</f>
        <v>N/A</v>
      </c>
      <c r="B159" s="273" t="str">
        <f aca="false">IF(A159="N/A"," ",YEAR(A159))</f>
        <v> </v>
      </c>
      <c r="C159" s="274" t="str">
        <f aca="false">IF(A159="N/A"," ",VLOOKUP(A159,ScaledPrice,10))</f>
        <v> </v>
      </c>
      <c r="D159" s="275" t="str">
        <f aca="false">IF(A159="N/A"," ",(VLOOKUP(MONTH($A159),Inputs!$A$14:$B$25,2))/1000)</f>
        <v> </v>
      </c>
      <c r="E159" s="276" t="str">
        <f aca="false">IF($A159="N/A"," ",C159*D159)</f>
        <v> </v>
      </c>
      <c r="F159" s="277" t="str">
        <f aca="false">IF(A159="N/A"," ",Inputs!$F$6)</f>
        <v> </v>
      </c>
      <c r="G159" s="277" t="str">
        <f aca="false">IF(A159="N/A"," ",Inputs!$F$9/IF(AND('Pricing Inputs'!$AQ$3&gt;=4,'Pricing Inputs'!$AQ$3&lt;=6),16,IF(AND('Pricing Inputs'!$AQ$3&gt;=7,'Pricing Inputs'!$AQ$3&lt;=9),8,24))/(BA159/BW159))</f>
        <v> </v>
      </c>
      <c r="H159" s="278" t="str">
        <f aca="false">IF(A159="N/A"," ",(C159*D159)+F159+G159)</f>
        <v> </v>
      </c>
      <c r="I159" s="279" t="str">
        <f aca="false">VLOOKUP(A159,ScaledPrice,(IF(AND('Pricing Inputs'!$AQ$3&gt;=1,'Pricing Inputs'!$AQ$3&lt;=6),2,4)))</f>
        <v> </v>
      </c>
      <c r="J159" s="279" t="str">
        <f aca="false">IF(A159="N/A"," ",IF(AND('Pricing Inputs'!$AQ$3&gt;=1,'Pricing Inputs'!$AQ$3&lt;=6),I159,(VLOOKUP(A159,ScaledPrice,2))*(2-(VLOOKUP(A159,ScaledPrice,3)))))</f>
        <v> </v>
      </c>
      <c r="K159" s="279" t="str">
        <f aca="false">IF(A159="N/A"," ",IF(OR('Pricing Inputs'!$AQ$3=2,'Pricing Inputs'!$AQ$3=3,'Pricing Inputs'!$AQ$3=5,'Pricing Inputs'!$AQ$3=6,'Pricing Inputs'!$AQ$3=8,'Pricing Inputs'!$AQ$3=9),VLOOKUP(A159,ScaledPrice,IF(AND('Pricing Inputs'!$AQ$3&gt;=2,'Pricing Inputs'!$AQ$3&lt;=6),5,6)),0))</f>
        <v> </v>
      </c>
      <c r="L159" s="279" t="str">
        <f aca="false">IF(A159="N/A"," ",IF(OR('Pricing Inputs'!$AQ$3=2,'Pricing Inputs'!$AQ$3=3,'Pricing Inputs'!$AQ$3=5,'Pricing Inputs'!$AQ$3=6,'Pricing Inputs'!$AQ$3=8,'Pricing Inputs'!$AQ$3=9),IF(AND('Pricing Inputs'!$AQ$3&gt;=2,'Pricing Inputs'!$AQ$3&lt;=6),K159,(VLOOKUP(A159,ScaledPrice,5))*(2-(VLOOKUP(A159,ScaledPrice,3)))),0))</f>
        <v> </v>
      </c>
      <c r="M159" s="279" t="str">
        <f aca="false">IF(A159="N/A"," ",IF(OR('Pricing Inputs'!$AQ$3=3,'Pricing Inputs'!$AQ$3=6,'Pricing Inputs'!$AQ$3=9),(VLOOKUP(A159,ScaledPrice,IF(AND('Pricing Inputs'!$AQ$3&gt;=3,'Pricing Inputs'!$AQ$3&lt;=6),7,8))),0))</f>
        <v> </v>
      </c>
      <c r="N159" s="279" t="str">
        <f aca="false">IF(A159="N/A"," ",IF(OR('Pricing Inputs'!$AQ$3=3,'Pricing Inputs'!$AQ$3=6,'Pricing Inputs'!$AQ$3=9),IF(AND('Pricing Inputs'!$AQ$3&gt;=3,'Pricing Inputs'!$AQ$3&lt;=6),M159,(VLOOKUP(A159,ScaledPrice,7))*(2-(VLOOKUP(A159,ScaledPrice,3)))),0))</f>
        <v> </v>
      </c>
      <c r="O159" s="279" t="str">
        <f aca="false">IF(A159="N/A"," ",IF(AND('Pricing Inputs'!$AQ$3&gt;=1,'Pricing Inputs'!$AQ$3&lt;=3),VLOOKUP(A159,ScaledPrice,9),0))</f>
        <v> </v>
      </c>
      <c r="P159" s="280" t="str">
        <f aca="false">IF($A159="N/A"," ",IF('Pricing Inputs'!$AN$8=2,(I159-H159),IF('Pricing Inputs'!$AN$3=2,IF((I159-$H159)&gt;0,I159-$H159,0),(xSPRDOPT(I159,$E159,$BU159,0,$BP159,$BS159,$BT159,($A159-Inputs!$D$1)+15,1,0)))))</f>
        <v> </v>
      </c>
      <c r="Q159" s="280" t="str">
        <f aca="false">IF($A159="N/A"," ",IF('Pricing Inputs'!$AN$8=2,(J159-$H159),IF('Pricing Inputs'!$AN$3=2,IF((J159-$H159)&gt;0,J159-$H159,0),(xSPRDOPT(J159,$E159,$BU159,0,$BP159,$BS159,$BT159,($A159-Inputs!$D$1)+15,1,0)))))</f>
        <v> </v>
      </c>
      <c r="R159" s="280" t="str">
        <f aca="false">IF($A159="N/A"," ",IF('Pricing Inputs'!$AN$8=2,(K159-$H159),IF('Pricing Inputs'!$AN$3=2,IF((K159-$H159)&gt;0,K159-$H159,0),(xSPRDOPT(K159,$E159,$BU159,0,$BP159,$BS159,$BT159,($A159-Inputs!$D$1)+15,1,0)))))</f>
        <v> </v>
      </c>
      <c r="S159" s="280" t="str">
        <f aca="false">IF($A159="N/A"," ",IF('Pricing Inputs'!$AN$8=2,(L159-$H159),IF('Pricing Inputs'!$AN$3=2,IF((L159-$H159)&gt;0,L159-$H159,0),(xSPRDOPT(L159,$E159,$BU159,0,$BP159,$BS159,$BT159,($A159-Inputs!$D$1)+15,1,0)))))</f>
        <v> </v>
      </c>
      <c r="T159" s="280" t="str">
        <f aca="false">IF($A159="N/A"," ",IF('Pricing Inputs'!$AN$8=2,(M159-$H159),IF('Pricing Inputs'!$AN$3=2,IF((M159-$H159)&gt;0,M159-$H159,0),(xSPRDOPT(M159,$E159,$BU159,0,$BP159,$BS159,$BT159,($A159-Inputs!$D$1)+15,1,0)))))</f>
        <v> </v>
      </c>
      <c r="U159" s="280" t="str">
        <f aca="false">IF($A159="N/A"," ",IF('Pricing Inputs'!$AN$8=2,(N159-$H159),IF('Pricing Inputs'!$AN$3=2,IF((N159-$H159)&gt;0,N159-$H159,0),(xSPRDOPT(N159,$E159,$BU159,0,$BP159,$BS159,$BT159,($A159-Inputs!$D$1)+15,1,0)))))</f>
        <v> </v>
      </c>
      <c r="V159" s="281" t="str">
        <f aca="false">IF($A159="N/A"," ",(IF('Pricing Inputs'!$AN$8=2,(O159-$H159),IF((O159-$H159)&lt;=0,0,(O159-$H159)))))</f>
        <v> </v>
      </c>
      <c r="W159" s="282" t="str">
        <f aca="false">IF($A159="N/A"," ",IF(0&lt;&gt;P159,IF('Pricing Inputs'!$AN$3=2,8*VLOOKUP($A159,NumberofDaysTable,2),(xSPRDOPT(I159,$E159,$BU159,0,$BP159,$BS159,$BT159,$A159-Inputs!$D$1,1,1))*(8*VLOOKUP($A159,NumberofDaysTable,2))),0))</f>
        <v> </v>
      </c>
      <c r="X159" s="282" t="str">
        <f aca="false">IF($A159="N/A"," ",IF(Q159&lt;&gt;0,IF('Pricing Inputs'!$AN$3=2,8*VLOOKUP($A159,NumberofDaysTable,2),(xSPRDOPT(J159,$E159,$BU159,0,$BP159,$BS159,$BT159,$A159-Inputs!$D$1,1,1))*(8*VLOOKUP($A159,NumberofDaysTable,2))),0))</f>
        <v> </v>
      </c>
      <c r="Y159" s="282" t="str">
        <f aca="false">IF($A159="N/A"," ",IF(R159&lt;&gt;0,IF('Pricing Inputs'!$AN$3=2,8*VLOOKUP($A159,NumberofDaysTable,3),(xSPRDOPT(K159,$E159,$BU159,0,$BP159,$BS159,$BT159,$A159-Inputs!$D$1,1,1))*(8*VLOOKUP($A159,NumberofDaysTable,3))),0))</f>
        <v> </v>
      </c>
      <c r="Z159" s="282" t="str">
        <f aca="false">IF($A159="N/A"," ",IF(S159&lt;&gt;0,IF('Pricing Inputs'!$AN$3=2,8*VLOOKUP($A159,NumberofDaysTable,3),(xSPRDOPT(L159,$E159,$BU159,0,$BP159,$BS159,$BT159,$A159-Inputs!$D$1,1,1))*(8*VLOOKUP($A159,NumberofDaysTable,3))),0))</f>
        <v> </v>
      </c>
      <c r="AA159" s="282" t="str">
        <f aca="false">IF($A159="N/A"," ",IF(T159&lt;&gt;0,IF('Pricing Inputs'!$AN$3=2,8*VLOOKUP($A159,NumberofDaysTable,4),(xSPRDOPT(M159,$E159,$BU159,0,$BP159,$BS159,$BT159,$A159-Inputs!$D$1,1,1))*(8*VLOOKUP($A159,NumberofDaysTable,4))),0))</f>
        <v> </v>
      </c>
      <c r="AB159" s="282" t="str">
        <f aca="false">IF($A159="N/A"," ",IF(U159&lt;&gt;0,IF('Pricing Inputs'!$AN$3=2,8*VLOOKUP($A159,NumberofDaysTable,4),(xSPRDOPT(N159,$E159,$BU159,0,$BP159,$BS159,$BT159,$A159-Inputs!$D$1,1,1))*(8*VLOOKUP($A159,NumberofDaysTable,4))),0))</f>
        <v> </v>
      </c>
      <c r="AC159" s="282" t="str">
        <f aca="false">IF($A159="N/A"," ",(IF(V159&lt;&gt;0,(8*VLOOKUP($A159,NumberofDaysTable,6)),0)))</f>
        <v> </v>
      </c>
      <c r="AD159" s="305" t="str">
        <f aca="false">IF($A159="N/A"," ",RANK(P159,$P$148:$V$159))</f>
        <v> </v>
      </c>
      <c r="AE159" s="306" t="str">
        <f aca="false">IF($A159="N/A"," ",RANK(Q159,$P$148:$V$159))</f>
        <v> </v>
      </c>
      <c r="AF159" s="306" t="str">
        <f aca="false">IF($A159="N/A"," ",RANK(R159,$P$148:$V$159))</f>
        <v> </v>
      </c>
      <c r="AG159" s="306" t="str">
        <f aca="false">IF($A159="N/A"," ",RANK(S159,$P$148:$V$159))</f>
        <v> </v>
      </c>
      <c r="AH159" s="306" t="str">
        <f aca="false">IF($A159="N/A"," ",RANK(T159,$P$148:$V$159))</f>
        <v> </v>
      </c>
      <c r="AI159" s="306" t="str">
        <f aca="false">IF($A159="N/A"," ",RANK(U159,$P$148:$V$159))</f>
        <v> </v>
      </c>
      <c r="AJ159" s="307" t="str">
        <f aca="false">IF($A159="N/A"," ",RANK(V159,$P$148:$V$159))</f>
        <v> </v>
      </c>
      <c r="AK159" s="308" t="str">
        <f aca="false">IF($A159="N/A"," ",IF(AD159&lt;=$AJ$2,W159,0))</f>
        <v> </v>
      </c>
      <c r="AL159" s="309" t="str">
        <f aca="false">IF($A159="N/A"," ",IF(AE159&lt;=$AJ$2,X159,0))</f>
        <v> </v>
      </c>
      <c r="AM159" s="309" t="str">
        <f aca="false">IF($A159="N/A"," ",IF(AF159&lt;=$AJ$2,Y159,0))</f>
        <v> </v>
      </c>
      <c r="AN159" s="309" t="str">
        <f aca="false">IF($A159="N/A"," ",IF(AG159&lt;=$AJ$2,Z159,0))</f>
        <v> </v>
      </c>
      <c r="AO159" s="309" t="str">
        <f aca="false">IF($A159="N/A"," ",IF(AH159&lt;=$AJ$2,AA159,0))</f>
        <v> </v>
      </c>
      <c r="AP159" s="309" t="str">
        <f aca="false">IF($A159="N/A"," ",IF(AI159&lt;=$AJ$2,AB159,0))</f>
        <v> </v>
      </c>
      <c r="AQ159" s="309" t="str">
        <f aca="false">IF($A159="N/A"," ",IF(AJ159&lt;=$AJ$2,AC159,0))</f>
        <v> </v>
      </c>
      <c r="AR159" s="307" t="n">
        <f aca="false">IF(($AP$2-AR158)&gt;=0,$AP$2-AR158,0)</f>
        <v>1400</v>
      </c>
      <c r="AS159" s="310" t="str">
        <f aca="false">IF($A159="N/A"," ",IF(AND(AD159=$AJ$2+1,AK159=0),MIN($AR$159,W159),0))</f>
        <v> </v>
      </c>
      <c r="AT159" s="311" t="str">
        <f aca="false">IF($A159="N/A"," ",IF(AND(AE159=$AJ$2+1,AL159=0),MIN($AR$159,X159),0))</f>
        <v> </v>
      </c>
      <c r="AU159" s="311" t="str">
        <f aca="false">IF($A159="N/A"," ",IF(AND(AF159=$AJ$2+1,AM159=0),MIN($AR$159,Y159),0))</f>
        <v> </v>
      </c>
      <c r="AV159" s="311" t="str">
        <f aca="false">IF($A159="N/A"," ",IF(AND(AG159=$AJ$2+1,AN159=0),MIN($AR$159,Z159),0))</f>
        <v> </v>
      </c>
      <c r="AW159" s="311" t="str">
        <f aca="false">IF($A159="N/A"," ",IF(AND(AH159=$AJ$2+1,AO159=0),MIN($AR$159,AA159),0))</f>
        <v> </v>
      </c>
      <c r="AX159" s="311" t="str">
        <f aca="false">IF($A159="N/A"," ",IF(AND(AI159=$AJ$2+1,AP159=0),MIN($AR$159,AB159),0))</f>
        <v> </v>
      </c>
      <c r="AY159" s="311" t="str">
        <f aca="false">IF($A159="N/A"," ",IF(AND(AJ159=$AJ$2+1,AQ159=0),MIN($AR$159,AC159),0))</f>
        <v> </v>
      </c>
      <c r="AZ159" s="312" t="n">
        <f aca="false">AR158+AZ158</f>
        <v>0</v>
      </c>
      <c r="BA159" s="291" t="str">
        <f aca="false">IF($A159="N/A"," ",(IF(MONTH(A159)&gt;=4,IF(MONTH(A159)&lt;=10,Inputs!$F$13,Inputs!$F$14),Inputs!$F$14))*$BW159)</f>
        <v> </v>
      </c>
      <c r="BB159" s="292" t="str">
        <f aca="false">IF($A159="N/A"," ",(IF(AK159&gt;0,($BA159*(8*(VLOOKUP($A159,NumberofDaysTable,2)))*P159),0)+IF(AS159&gt;0,($BA159*((AS159))*P159),0)))</f>
        <v> </v>
      </c>
      <c r="BC159" s="292" t="str">
        <f aca="false">IF($A159="N/A"," ",(IF(AL159&gt;0,($BA159*(8*(VLOOKUP($A159,NumberofDaysTable,2)))*Q159),0)+IF(AT159&gt;0,($BA159*((AT159))*Q159),0)))</f>
        <v> </v>
      </c>
      <c r="BD159" s="292" t="str">
        <f aca="false">IF($A159="N/A"," ",(IF(AM159&gt;0,($BA159*(8*(VLOOKUP($A159,NumberofDaysTable,3)))*R159),0)+IF(AU159&gt;0,($BA159*((AU159))*R159),0)))</f>
        <v> </v>
      </c>
      <c r="BE159" s="292" t="str">
        <f aca="false">IF($A159="N/A"," ",(IF(AN159&gt;0,($BA159*(8*(VLOOKUP($A159,NumberofDaysTable,3)))*S159),0)+IF(AV159&gt;0,($BA159*((AV159))*S159),0)))</f>
        <v> </v>
      </c>
      <c r="BF159" s="292" t="str">
        <f aca="false">IF($A159="N/A"," ",(IF(AO159&gt;0,($BA159*(8*(VLOOKUP($A159,NumberofDaysTable,4)+VLOOKUP($A159,NumberofDaysTable,5)))*T159),0)+IF(AW159&gt;0,($BA159*((AW159))*T159),0)))</f>
        <v> </v>
      </c>
      <c r="BG159" s="292" t="str">
        <f aca="false">IF($A159="N/A"," ",(IF(AP159&gt;0,($BA159*(8*(VLOOKUP($A159,NumberofDaysTable,4)+VLOOKUP($A159,NumberofDaysTable,5)))*U159),0)+IF(AX159&gt;0,($BA159*((AX159))*U159),0)))</f>
        <v> </v>
      </c>
      <c r="BH159" s="292" t="str">
        <f aca="false">IF($A159="N/A"," ",($BA159*AQ159*V159))</f>
        <v> </v>
      </c>
      <c r="BI159" s="292" t="str">
        <f aca="false">IF($A159="N/A"," ",SUM(BB159:BH159))</f>
        <v> </v>
      </c>
      <c r="BJ159" s="293" t="str">
        <f aca="false">IF($A159="N/A"," ",(H159*(SUM(AK159:AQ159)+SUM(AS159:AY159))*BA159))</f>
        <v> </v>
      </c>
      <c r="BK159" s="293" t="str">
        <f aca="false">IF($A159="N/A"," ",((C159*D159)*(SUM($AK159:$AQ159)+SUM($AS159:$AY159))*$BA159))</f>
        <v> </v>
      </c>
      <c r="BL159" s="293" t="str">
        <f aca="false">IF($A159="N/A"," ",(F159*(SUM($AK159:$AQ159)+SUM($AS159:$AY159))*$BA159))</f>
        <v> </v>
      </c>
      <c r="BM159" s="293" t="str">
        <f aca="false">IF($A159="N/A"," ",(G159*(SUM($AK159:$AQ159)+SUM($AS159:$AY159))*$BA159))</f>
        <v> </v>
      </c>
      <c r="BN159" s="294" t="str">
        <f aca="false">IF(A159="N/A"," ",(VLOOKUP(A159,PowerVolTable,(IF('Pricing Inputs'!$AT$3=2,7,IF('Pricing Inputs'!$AT$3=1,6,8))),FALSE())))</f>
        <v> </v>
      </c>
      <c r="BO159" s="294" t="str">
        <f aca="false">IF(A159="N/A"," ",(VLOOKUP(A159,IntraPowerVol,(IF('Pricing Inputs'!$AT$3=2,3,IF('Pricing Inputs'!$AT$3=1,2,4))),FALSE())*VLOOKUP(MONTH($A159),Inputs!$A$28:$B$39,2)))</f>
        <v> </v>
      </c>
      <c r="BP159" s="295" t="str">
        <f aca="false">IF($A159="N/A"," ",(IF(DateToday&gt;$A159,$BO159,((($BN159^2)*((($A159-1)-DateToday)/((EOMONTH($A159,0)+1)-DateToday-15)))+((($BO159)^2)*((15)/((EOMONTH($A159,0)+1)-DateToday-15))))^0.5)))</f>
        <v> </v>
      </c>
      <c r="BQ159" s="294" t="str">
        <f aca="false">IF($A159="N/A"," ",(VLOOKUP($A159,GasVolTable,(IF('Pricing Inputs'!$AT$3=2,6,IF('Pricing Inputs'!$AT$3=1,7,5))),FALSE())))</f>
        <v> </v>
      </c>
      <c r="BR159" s="294" t="str">
        <f aca="false">IF($A159="N/A"," ",(VLOOKUP($A159,OmicronVol,(IF('Pricing Inputs'!$AT$3=2,3,IF('Pricing Inputs'!$AT$3=1,4,2))),FALSE())))</f>
        <v> </v>
      </c>
      <c r="BS159" s="295" t="str">
        <f aca="false">IF($A159="N/A"," ",IF('Pricing Inputs'!$AN$3=1,(IF(DateToday&gt;$A159,$BR159,((($BQ159^2)*((($A159-1)-DateToday)/((EOMONTH($A159,0)+1)-DateToday-15)))+((($BR159)^2)*((15)/((EOMONTH($A159,0)+1)-DateToday-15))))^0.5)),0.0001))</f>
        <v> </v>
      </c>
      <c r="BT159" s="294" t="str">
        <f aca="false">IF($A159="N/A"," ",IF('Pricing Inputs'!$AN$3=1,(VLOOKUP($A159,CorrelationTable,2,FALSE())),0))</f>
        <v> </v>
      </c>
      <c r="BU159" s="296" t="str">
        <f aca="false">IF($A159="N/A"," ",F159+G159+(D159*(VLOOKUP($A159,'Gas Curves'!$B$17:$P$310,14,FALSE()))))</f>
        <v> </v>
      </c>
      <c r="BV159" s="294" t="str">
        <f aca="false">IF($A159="N/A"," ",IF('Pricing Inputs'!$AW$3=1,0,(VLOOKUP($A159,InterestRatesTable,2))))</f>
        <v> </v>
      </c>
      <c r="BW159" s="297" t="str">
        <f aca="false">IF($A159="N/A"," ",(1+BV159/2)^(-2*((EOMONTH(A159,0)+20)-DateToday)/365.25))</f>
        <v> </v>
      </c>
    </row>
    <row r="160" customFormat="false" ht="12.75" hidden="false" customHeight="false" outlineLevel="0" collapsed="false">
      <c r="A160" s="272" t="str">
        <f aca="false">IF(A159="N/A","N/A",IF(EDATE(A159,1)&gt;Inputs!$K$3,"N/A",EDATE(A159,1)))</f>
        <v>N/A</v>
      </c>
      <c r="B160" s="273" t="str">
        <f aca="false">IF(A160="N/A"," ",YEAR(A160))</f>
        <v> </v>
      </c>
      <c r="C160" s="274" t="str">
        <f aca="false">IF(A160="N/A"," ",VLOOKUP(A160,ScaledPrice,10))</f>
        <v> </v>
      </c>
      <c r="D160" s="275" t="str">
        <f aca="false">IF(A160="N/A"," ",(VLOOKUP(MONTH($A160),Inputs!$A$14:$B$25,2))/1000)</f>
        <v> </v>
      </c>
      <c r="E160" s="276" t="str">
        <f aca="false">IF($A160="N/A"," ",C160*D160)</f>
        <v> </v>
      </c>
      <c r="F160" s="277" t="str">
        <f aca="false">IF(A160="N/A"," ",Inputs!$F$6)</f>
        <v> </v>
      </c>
      <c r="G160" s="277" t="str">
        <f aca="false">IF(A160="N/A"," ",Inputs!$F$9/IF(AND('Pricing Inputs'!$AQ$3&gt;=4,'Pricing Inputs'!$AQ$3&lt;=6),16,IF(AND('Pricing Inputs'!$AQ$3&gt;=7,'Pricing Inputs'!$AQ$3&lt;=9),8,24))/(BA160/BW160))</f>
        <v> </v>
      </c>
      <c r="H160" s="278" t="str">
        <f aca="false">IF(A160="N/A"," ",(C160*D160)+F160+G160)</f>
        <v> </v>
      </c>
      <c r="I160" s="279" t="str">
        <f aca="false">VLOOKUP(A160,ScaledPrice,(IF(AND('Pricing Inputs'!$AQ$3&gt;=1,'Pricing Inputs'!$AQ$3&lt;=6),2,4)))</f>
        <v> </v>
      </c>
      <c r="J160" s="279" t="str">
        <f aca="false">IF(A160="N/A"," ",IF(AND('Pricing Inputs'!$AQ$3&gt;=1,'Pricing Inputs'!$AQ$3&lt;=6),I160,(VLOOKUP(A160,ScaledPrice,2))*(2-(VLOOKUP(A160,ScaledPrice,3)))))</f>
        <v> </v>
      </c>
      <c r="K160" s="279" t="str">
        <f aca="false">IF(A160="N/A"," ",IF(OR('Pricing Inputs'!$AQ$3=2,'Pricing Inputs'!$AQ$3=3,'Pricing Inputs'!$AQ$3=5,'Pricing Inputs'!$AQ$3=6,'Pricing Inputs'!$AQ$3=8,'Pricing Inputs'!$AQ$3=9),VLOOKUP(A160,ScaledPrice,IF(AND('Pricing Inputs'!$AQ$3&gt;=2,'Pricing Inputs'!$AQ$3&lt;=6),5,6)),0))</f>
        <v> </v>
      </c>
      <c r="L160" s="279" t="str">
        <f aca="false">IF(A160="N/A"," ",IF(OR('Pricing Inputs'!$AQ$3=2,'Pricing Inputs'!$AQ$3=3,'Pricing Inputs'!$AQ$3=5,'Pricing Inputs'!$AQ$3=6,'Pricing Inputs'!$AQ$3=8,'Pricing Inputs'!$AQ$3=9),IF(AND('Pricing Inputs'!$AQ$3&gt;=2,'Pricing Inputs'!$AQ$3&lt;=6),K160,(VLOOKUP(A160,ScaledPrice,5))*(2-(VLOOKUP(A160,ScaledPrice,3)))),0))</f>
        <v> </v>
      </c>
      <c r="M160" s="279" t="str">
        <f aca="false">IF(A160="N/A"," ",IF(OR('Pricing Inputs'!$AQ$3=3,'Pricing Inputs'!$AQ$3=6,'Pricing Inputs'!$AQ$3=9),(VLOOKUP(A160,ScaledPrice,IF(AND('Pricing Inputs'!$AQ$3&gt;=3,'Pricing Inputs'!$AQ$3&lt;=6),7,8))),0))</f>
        <v> </v>
      </c>
      <c r="N160" s="279" t="str">
        <f aca="false">IF(A160="N/A"," ",IF(OR('Pricing Inputs'!$AQ$3=3,'Pricing Inputs'!$AQ$3=6,'Pricing Inputs'!$AQ$3=9),IF(AND('Pricing Inputs'!$AQ$3&gt;=3,'Pricing Inputs'!$AQ$3&lt;=6),M160,(VLOOKUP(A160,ScaledPrice,7))*(2-(VLOOKUP(A160,ScaledPrice,3)))),0))</f>
        <v> </v>
      </c>
      <c r="O160" s="279" t="str">
        <f aca="false">IF(A160="N/A"," ",IF(AND('Pricing Inputs'!$AQ$3&gt;=1,'Pricing Inputs'!$AQ$3&lt;=3),VLOOKUP(A160,ScaledPrice,9),0))</f>
        <v> </v>
      </c>
      <c r="P160" s="280" t="str">
        <f aca="false">IF($A160="N/A"," ",IF('Pricing Inputs'!$AN$8=2,(I160-H160),IF('Pricing Inputs'!$AN$3=2,IF((I160-$H160)&gt;0,I160-$H160,0),(xSPRDOPT(I160,$E160,$BU160,0,$BP160,$BS160,$BT160,($A160-Inputs!$D$1)+15,1,0)))))</f>
        <v> </v>
      </c>
      <c r="Q160" s="280" t="str">
        <f aca="false">IF($A160="N/A"," ",IF('Pricing Inputs'!$AN$8=2,(J160-$H160),IF('Pricing Inputs'!$AN$3=2,IF((J160-$H160)&gt;0,J160-$H160,0),(xSPRDOPT(J160,$E160,$BU160,0,$BP160,$BS160,$BT160,($A160-Inputs!$D$1)+15,1,0)))))</f>
        <v> </v>
      </c>
      <c r="R160" s="280" t="str">
        <f aca="false">IF($A160="N/A"," ",IF('Pricing Inputs'!$AN$8=2,(K160-$H160),IF('Pricing Inputs'!$AN$3=2,IF((K160-$H160)&gt;0,K160-$H160,0),(xSPRDOPT(K160,$E160,$BU160,0,$BP160,$BS160,$BT160,($A160-Inputs!$D$1)+15,1,0)))))</f>
        <v> </v>
      </c>
      <c r="S160" s="280" t="str">
        <f aca="false">IF($A160="N/A"," ",IF('Pricing Inputs'!$AN$8=2,(L160-$H160),IF('Pricing Inputs'!$AN$3=2,IF((L160-$H160)&gt;0,L160-$H160,0),(xSPRDOPT(L160,$E160,$BU160,0,$BP160,$BS160,$BT160,($A160-Inputs!$D$1)+15,1,0)))))</f>
        <v> </v>
      </c>
      <c r="T160" s="280" t="str">
        <f aca="false">IF($A160="N/A"," ",IF('Pricing Inputs'!$AN$8=2,(M160-$H160),IF('Pricing Inputs'!$AN$3=2,IF((M160-$H160)&gt;0,M160-$H160,0),(xSPRDOPT(M160,$E160,$BU160,0,$BP160,$BS160,$BT160,($A160-Inputs!$D$1)+15,1,0)))))</f>
        <v> </v>
      </c>
      <c r="U160" s="280" t="str">
        <f aca="false">IF($A160="N/A"," ",IF('Pricing Inputs'!$AN$8=2,(N160-$H160),IF('Pricing Inputs'!$AN$3=2,IF((N160-$H160)&gt;0,N160-$H160,0),(xSPRDOPT(N160,$E160,$BU160,0,$BP160,$BS160,$BT160,($A160-Inputs!$D$1)+15,1,0)))))</f>
        <v> </v>
      </c>
      <c r="V160" s="281" t="str">
        <f aca="false">IF($A160="N/A"," ",(IF('Pricing Inputs'!$AN$8=2,(O160-$H160),IF((O160-$H160)&lt;=0,0,(O160-$H160)))))</f>
        <v> </v>
      </c>
      <c r="W160" s="282" t="str">
        <f aca="false">IF($A160="N/A"," ",IF(0&lt;&gt;P160,IF('Pricing Inputs'!$AN$3=2,8*VLOOKUP($A160,NumberofDaysTable,2),(xSPRDOPT(I160,$E160,$BU160,0,$BP160,$BS160,$BT160,$A160-Inputs!$D$1,1,1))*(8*VLOOKUP($A160,NumberofDaysTable,2))),0))</f>
        <v> </v>
      </c>
      <c r="X160" s="282" t="str">
        <f aca="false">IF($A160="N/A"," ",IF(Q160&lt;&gt;0,IF('Pricing Inputs'!$AN$3=2,8*VLOOKUP($A160,NumberofDaysTable,2),(xSPRDOPT(J160,$E160,$BU160,0,$BP160,$BS160,$BT160,$A160-Inputs!$D$1,1,1))*(8*VLOOKUP($A160,NumberofDaysTable,2))),0))</f>
        <v> </v>
      </c>
      <c r="Y160" s="282" t="str">
        <f aca="false">IF($A160="N/A"," ",IF(R160&lt;&gt;0,IF('Pricing Inputs'!$AN$3=2,8*VLOOKUP($A160,NumberofDaysTable,3),(xSPRDOPT(K160,$E160,$BU160,0,$BP160,$BS160,$BT160,$A160-Inputs!$D$1,1,1))*(8*VLOOKUP($A160,NumberofDaysTable,3))),0))</f>
        <v> </v>
      </c>
      <c r="Z160" s="282" t="str">
        <f aca="false">IF($A160="N/A"," ",IF(S160&lt;&gt;0,IF('Pricing Inputs'!$AN$3=2,8*VLOOKUP($A160,NumberofDaysTable,3),(xSPRDOPT(L160,$E160,$BU160,0,$BP160,$BS160,$BT160,$A160-Inputs!$D$1,1,1))*(8*VLOOKUP($A160,NumberofDaysTable,3))),0))</f>
        <v> </v>
      </c>
      <c r="AA160" s="282" t="str">
        <f aca="false">IF($A160="N/A"," ",IF(T160&lt;&gt;0,IF('Pricing Inputs'!$AN$3=2,8*VLOOKUP($A160,NumberofDaysTable,4),(xSPRDOPT(M160,$E160,$BU160,0,$BP160,$BS160,$BT160,$A160-Inputs!$D$1,1,1))*(8*VLOOKUP($A160,NumberofDaysTable,4))),0))</f>
        <v> </v>
      </c>
      <c r="AB160" s="282" t="str">
        <f aca="false">IF($A160="N/A"," ",IF(U160&lt;&gt;0,IF('Pricing Inputs'!$AN$3=2,8*VLOOKUP($A160,NumberofDaysTable,4),(xSPRDOPT(N160,$E160,$BU160,0,$BP160,$BS160,$BT160,$A160-Inputs!$D$1,1,1))*(8*VLOOKUP($A160,NumberofDaysTable,4))),0))</f>
        <v> </v>
      </c>
      <c r="AC160" s="282" t="str">
        <f aca="false">IF($A160="N/A"," ",(IF(V160&lt;&gt;0,(8*VLOOKUP($A160,NumberofDaysTable,6)),0)))</f>
        <v> </v>
      </c>
      <c r="AD160" s="283" t="str">
        <f aca="false">IF($A160="N/A"," ",RANK(P160,$P$160:$V$171))</f>
        <v> </v>
      </c>
      <c r="AE160" s="284" t="str">
        <f aca="false">IF($A160="N/A"," ",RANK(Q160,$P$160:$V$171))</f>
        <v> </v>
      </c>
      <c r="AF160" s="284" t="str">
        <f aca="false">IF($A160="N/A"," ",RANK(R160,$P$160:$V$171))</f>
        <v> </v>
      </c>
      <c r="AG160" s="284" t="str">
        <f aca="false">IF($A160="N/A"," ",RANK(S160,$P$160:$V$171))</f>
        <v> </v>
      </c>
      <c r="AH160" s="284" t="str">
        <f aca="false">IF($A160="N/A"," ",RANK(T160,$P$160:$V$171))</f>
        <v> </v>
      </c>
      <c r="AI160" s="284" t="str">
        <f aca="false">IF($A160="N/A"," ",RANK(U160,$P$160:$V$171))</f>
        <v> </v>
      </c>
      <c r="AJ160" s="285" t="str">
        <f aca="false">IF($A160="N/A"," ",RANK(V160,$P$160:$V$171))</f>
        <v> </v>
      </c>
      <c r="AK160" s="313" t="str">
        <f aca="false">IF($A160="N/A"," ",IF(AD160&lt;=$AJ$2,W160,0))</f>
        <v> </v>
      </c>
      <c r="AL160" s="287" t="str">
        <f aca="false">IF($A160="N/A"," ",IF(AE160&lt;=$AJ$2,X160,0))</f>
        <v> </v>
      </c>
      <c r="AM160" s="287" t="str">
        <f aca="false">IF($A160="N/A"," ",IF(AF160&lt;=$AJ$2,Y160,0))</f>
        <v> </v>
      </c>
      <c r="AN160" s="287" t="str">
        <f aca="false">IF($A160="N/A"," ",IF(AG160&lt;=$AJ$2,Z160,0))</f>
        <v> </v>
      </c>
      <c r="AO160" s="287" t="str">
        <f aca="false">IF($A160="N/A"," ",IF(AH160&lt;=$AJ$2,AA160,0))</f>
        <v> </v>
      </c>
      <c r="AP160" s="287" t="str">
        <f aca="false">IF($A160="N/A"," ",IF(AI160&lt;=$AJ$2,AB160,0))</f>
        <v> </v>
      </c>
      <c r="AQ160" s="287" t="str">
        <f aca="false">IF($A160="N/A"," ",IF(AJ160&lt;=$AJ$2,AC160,0))</f>
        <v> </v>
      </c>
      <c r="AR160" s="285"/>
      <c r="AS160" s="314" t="str">
        <f aca="false">IF($A160="N/A"," ",IF(AND(AD160=$AJ$2+1,AK160=0),MIN($AR$171,W160),0))</f>
        <v> </v>
      </c>
      <c r="AT160" s="289" t="str">
        <f aca="false">IF($A160="N/A"," ",IF(AND(AE160=$AJ$2+1,AL160=0),MIN($AR$171,X160),0))</f>
        <v> </v>
      </c>
      <c r="AU160" s="289" t="str">
        <f aca="false">IF($A160="N/A"," ",IF(AND(AF160=$AJ$2+1,AM160=0),MIN($AR$171,Y160),0))</f>
        <v> </v>
      </c>
      <c r="AV160" s="289" t="str">
        <f aca="false">IF($A160="N/A"," ",IF(AND(AG160=$AJ$2+1,AN160=0),MIN($AR$171,Z160),0))</f>
        <v> </v>
      </c>
      <c r="AW160" s="289" t="str">
        <f aca="false">IF($A160="N/A"," ",IF(AND(AH160=$AJ$2+1,AO160=0),MIN($AR$171,AA160),0))</f>
        <v> </v>
      </c>
      <c r="AX160" s="289" t="str">
        <f aca="false">IF($A160="N/A"," ",IF(AND(AI160=$AJ$2+1,AP160=0),MIN($AR$171,AB160),0))</f>
        <v> </v>
      </c>
      <c r="AY160" s="289" t="str">
        <f aca="false">IF($A160="N/A"," ",IF(AND(AJ160=$AJ$2+1,AQ160=0),MIN($AR$171,AC160),0))</f>
        <v> </v>
      </c>
      <c r="AZ160" s="285"/>
      <c r="BA160" s="291" t="str">
        <f aca="false">IF($A160="N/A"," ",(IF(MONTH(A160)&gt;=4,IF(MONTH(A160)&lt;=10,Inputs!$F$13,Inputs!$F$14),Inputs!$F$14))*$BW160)</f>
        <v> </v>
      </c>
      <c r="BB160" s="292" t="str">
        <f aca="false">IF($A160="N/A"," ",(IF(AK160&gt;0,($BA160*(8*(VLOOKUP($A160,NumberofDaysTable,2)))*P160),0)+IF(AS160&gt;0,($BA160*((AS160))*P160),0)))</f>
        <v> </v>
      </c>
      <c r="BC160" s="292" t="str">
        <f aca="false">IF($A160="N/A"," ",(IF(AL160&gt;0,($BA160*(8*(VLOOKUP($A160,NumberofDaysTable,2)))*Q160),0)+IF(AT160&gt;0,($BA160*((AT160))*Q160),0)))</f>
        <v> </v>
      </c>
      <c r="BD160" s="292" t="str">
        <f aca="false">IF($A160="N/A"," ",(IF(AM160&gt;0,($BA160*(8*(VLOOKUP($A160,NumberofDaysTable,3)))*R160),0)+IF(AU160&gt;0,($BA160*((AU160))*R160),0)))</f>
        <v> </v>
      </c>
      <c r="BE160" s="292" t="str">
        <f aca="false">IF($A160="N/A"," ",(IF(AN160&gt;0,($BA160*(8*(VLOOKUP($A160,NumberofDaysTable,3)))*S160),0)+IF(AV160&gt;0,($BA160*((AV160))*S160),0)))</f>
        <v> </v>
      </c>
      <c r="BF160" s="292" t="str">
        <f aca="false">IF($A160="N/A"," ",(IF(AO160&gt;0,($BA160*(8*(VLOOKUP($A160,NumberofDaysTable,4)+VLOOKUP($A160,NumberofDaysTable,5)))*T160),0)+IF(AW160&gt;0,($BA160*((AW160))*T160),0)))</f>
        <v> </v>
      </c>
      <c r="BG160" s="292" t="str">
        <f aca="false">IF($A160="N/A"," ",(IF(AP160&gt;0,($BA160*(8*(VLOOKUP($A160,NumberofDaysTable,4)+VLOOKUP($A160,NumberofDaysTable,5)))*U160),0)+IF(AX160&gt;0,($BA160*((AX160))*U160),0)))</f>
        <v> </v>
      </c>
      <c r="BH160" s="292" t="str">
        <f aca="false">IF($A160="N/A"," ",($BA160*AQ160*V160))</f>
        <v> </v>
      </c>
      <c r="BI160" s="292" t="str">
        <f aca="false">IF($A160="N/A"," ",SUM(BB160:BH160))</f>
        <v> </v>
      </c>
      <c r="BJ160" s="293" t="str">
        <f aca="false">IF($A160="N/A"," ",(H160*(SUM(AK160:AQ160)+SUM(AS160:AY160))*BA160))</f>
        <v> </v>
      </c>
      <c r="BK160" s="293" t="str">
        <f aca="false">IF($A160="N/A"," ",((C160*D160)*(SUM($AK160:$AQ160)+SUM($AS160:$AY160))*$BA160))</f>
        <v> </v>
      </c>
      <c r="BL160" s="293" t="str">
        <f aca="false">IF($A160="N/A"," ",(F160*(SUM($AK160:$AQ160)+SUM($AS160:$AY160))*$BA160))</f>
        <v> </v>
      </c>
      <c r="BM160" s="293" t="str">
        <f aca="false">IF($A160="N/A"," ",(G160*(SUM($AK160:$AQ160)+SUM($AS160:$AY160))*$BA160))</f>
        <v> </v>
      </c>
      <c r="BN160" s="294" t="str">
        <f aca="false">IF(A160="N/A"," ",(VLOOKUP(A160,PowerVolTable,(IF('Pricing Inputs'!$AT$3=2,7,IF('Pricing Inputs'!$AT$3=1,6,8))),FALSE())))</f>
        <v> </v>
      </c>
      <c r="BO160" s="294" t="str">
        <f aca="false">IF(A160="N/A"," ",(VLOOKUP(A160,IntraPowerVol,(IF('Pricing Inputs'!$AT$3=2,3,IF('Pricing Inputs'!$AT$3=1,2,4))),FALSE())*VLOOKUP(MONTH($A160),Inputs!$A$28:$B$39,2)))</f>
        <v> </v>
      </c>
      <c r="BP160" s="295" t="str">
        <f aca="false">IF($A160="N/A"," ",(IF(DateToday&gt;$A160,$BO160,((($BN160^2)*((($A160-1)-DateToday)/((EOMONTH($A160,0)+1)-DateToday-15)))+((($BO160)^2)*((15)/((EOMONTH($A160,0)+1)-DateToday-15))))^0.5)))</f>
        <v> </v>
      </c>
      <c r="BQ160" s="294" t="str">
        <f aca="false">IF($A160="N/A"," ",(VLOOKUP($A160,GasVolTable,(IF('Pricing Inputs'!$AT$3=2,6,IF('Pricing Inputs'!$AT$3=1,7,5))),FALSE())))</f>
        <v> </v>
      </c>
      <c r="BR160" s="294" t="str">
        <f aca="false">IF($A160="N/A"," ",(VLOOKUP($A160,OmicronVol,(IF('Pricing Inputs'!$AT$3=2,3,IF('Pricing Inputs'!$AT$3=1,4,2))),FALSE())))</f>
        <v> </v>
      </c>
      <c r="BS160" s="295" t="str">
        <f aca="false">IF($A160="N/A"," ",IF('Pricing Inputs'!$AN$3=1,(IF(DateToday&gt;$A160,$BR160,((($BQ160^2)*((($A160-1)-DateToday)/((EOMONTH($A160,0)+1)-DateToday-15)))+((($BR160)^2)*((15)/((EOMONTH($A160,0)+1)-DateToday-15))))^0.5)),0.0001))</f>
        <v> </v>
      </c>
      <c r="BT160" s="294" t="str">
        <f aca="false">IF($A160="N/A"," ",IF('Pricing Inputs'!$AN$3=1,(VLOOKUP($A160,CorrelationTable,2,FALSE())),0))</f>
        <v> </v>
      </c>
      <c r="BU160" s="296" t="str">
        <f aca="false">IF($A160="N/A"," ",F160+G160+(D160*(VLOOKUP($A160,'Gas Curves'!$B$17:$P$310,14,FALSE()))))</f>
        <v> </v>
      </c>
      <c r="BV160" s="294" t="str">
        <f aca="false">IF($A160="N/A"," ",IF('Pricing Inputs'!$AW$3=1,0,(VLOOKUP($A160,InterestRatesTable,2))))</f>
        <v> </v>
      </c>
      <c r="BW160" s="297" t="str">
        <f aca="false">IF($A160="N/A"," ",(1+BV160/2)^(-2*((EOMONTH(A160,0)+20)-DateToday)/365.25))</f>
        <v> </v>
      </c>
    </row>
    <row r="161" customFormat="false" ht="12.75" hidden="false" customHeight="false" outlineLevel="0" collapsed="false">
      <c r="A161" s="272" t="str">
        <f aca="false">IF(A160="N/A","N/A",IF(EDATE(A160,1)&gt;Inputs!$K$3,"N/A",EDATE(A160,1)))</f>
        <v>N/A</v>
      </c>
      <c r="B161" s="273" t="str">
        <f aca="false">IF(A161="N/A"," ",YEAR(A161))</f>
        <v> </v>
      </c>
      <c r="C161" s="274" t="str">
        <f aca="false">IF(A161="N/A"," ",VLOOKUP(A161,ScaledPrice,10))</f>
        <v> </v>
      </c>
      <c r="D161" s="275" t="str">
        <f aca="false">IF(A161="N/A"," ",(VLOOKUP(MONTH($A161),Inputs!$A$14:$B$25,2))/1000)</f>
        <v> </v>
      </c>
      <c r="E161" s="276" t="str">
        <f aca="false">IF($A161="N/A"," ",C161*D161)</f>
        <v> </v>
      </c>
      <c r="F161" s="277" t="str">
        <f aca="false">IF(A161="N/A"," ",Inputs!$F$6)</f>
        <v> </v>
      </c>
      <c r="G161" s="277" t="str">
        <f aca="false">IF(A161="N/A"," ",Inputs!$F$9/IF(AND('Pricing Inputs'!$AQ$3&gt;=4,'Pricing Inputs'!$AQ$3&lt;=6),16,IF(AND('Pricing Inputs'!$AQ$3&gt;=7,'Pricing Inputs'!$AQ$3&lt;=9),8,24))/(BA161/BW161))</f>
        <v> </v>
      </c>
      <c r="H161" s="278" t="str">
        <f aca="false">IF(A161="N/A"," ",(C161*D161)+F161+G161)</f>
        <v> </v>
      </c>
      <c r="I161" s="279" t="str">
        <f aca="false">VLOOKUP(A161,ScaledPrice,(IF(AND('Pricing Inputs'!$AQ$3&gt;=1,'Pricing Inputs'!$AQ$3&lt;=6),2,4)))</f>
        <v> </v>
      </c>
      <c r="J161" s="279" t="str">
        <f aca="false">IF(A161="N/A"," ",IF(AND('Pricing Inputs'!$AQ$3&gt;=1,'Pricing Inputs'!$AQ$3&lt;=6),I161,(VLOOKUP(A161,ScaledPrice,2))*(2-(VLOOKUP(A161,ScaledPrice,3)))))</f>
        <v> </v>
      </c>
      <c r="K161" s="279" t="str">
        <f aca="false">IF(A161="N/A"," ",IF(OR('Pricing Inputs'!$AQ$3=2,'Pricing Inputs'!$AQ$3=3,'Pricing Inputs'!$AQ$3=5,'Pricing Inputs'!$AQ$3=6,'Pricing Inputs'!$AQ$3=8,'Pricing Inputs'!$AQ$3=9),VLOOKUP(A161,ScaledPrice,IF(AND('Pricing Inputs'!$AQ$3&gt;=2,'Pricing Inputs'!$AQ$3&lt;=6),5,6)),0))</f>
        <v> </v>
      </c>
      <c r="L161" s="279" t="str">
        <f aca="false">IF(A161="N/A"," ",IF(OR('Pricing Inputs'!$AQ$3=2,'Pricing Inputs'!$AQ$3=3,'Pricing Inputs'!$AQ$3=5,'Pricing Inputs'!$AQ$3=6,'Pricing Inputs'!$AQ$3=8,'Pricing Inputs'!$AQ$3=9),IF(AND('Pricing Inputs'!$AQ$3&gt;=2,'Pricing Inputs'!$AQ$3&lt;=6),K161,(VLOOKUP(A161,ScaledPrice,5))*(2-(VLOOKUP(A161,ScaledPrice,3)))),0))</f>
        <v> </v>
      </c>
      <c r="M161" s="279" t="str">
        <f aca="false">IF(A161="N/A"," ",IF(OR('Pricing Inputs'!$AQ$3=3,'Pricing Inputs'!$AQ$3=6,'Pricing Inputs'!$AQ$3=9),(VLOOKUP(A161,ScaledPrice,IF(AND('Pricing Inputs'!$AQ$3&gt;=3,'Pricing Inputs'!$AQ$3&lt;=6),7,8))),0))</f>
        <v> </v>
      </c>
      <c r="N161" s="279" t="str">
        <f aca="false">IF(A161="N/A"," ",IF(OR('Pricing Inputs'!$AQ$3=3,'Pricing Inputs'!$AQ$3=6,'Pricing Inputs'!$AQ$3=9),IF(AND('Pricing Inputs'!$AQ$3&gt;=3,'Pricing Inputs'!$AQ$3&lt;=6),M161,(VLOOKUP(A161,ScaledPrice,7))*(2-(VLOOKUP(A161,ScaledPrice,3)))),0))</f>
        <v> </v>
      </c>
      <c r="O161" s="279" t="str">
        <f aca="false">IF(A161="N/A"," ",IF(AND('Pricing Inputs'!$AQ$3&gt;=1,'Pricing Inputs'!$AQ$3&lt;=3),VLOOKUP(A161,ScaledPrice,9),0))</f>
        <v> </v>
      </c>
      <c r="P161" s="280" t="str">
        <f aca="false">IF($A161="N/A"," ",IF('Pricing Inputs'!$AN$8=2,(I161-H161),IF('Pricing Inputs'!$AN$3=2,IF((I161-$H161)&gt;0,I161-$H161,0),(xSPRDOPT(I161,$E161,$BU161,0,$BP161,$BS161,$BT161,($A161-Inputs!$D$1)+15,1,0)))))</f>
        <v> </v>
      </c>
      <c r="Q161" s="280" t="str">
        <f aca="false">IF($A161="N/A"," ",IF('Pricing Inputs'!$AN$8=2,(J161-$H161),IF('Pricing Inputs'!$AN$3=2,IF((J161-$H161)&gt;0,J161-$H161,0),(xSPRDOPT(J161,$E161,$BU161,0,$BP161,$BS161,$BT161,($A161-Inputs!$D$1)+15,1,0)))))</f>
        <v> </v>
      </c>
      <c r="R161" s="280" t="str">
        <f aca="false">IF($A161="N/A"," ",IF('Pricing Inputs'!$AN$8=2,(K161-$H161),IF('Pricing Inputs'!$AN$3=2,IF((K161-$H161)&gt;0,K161-$H161,0),(xSPRDOPT(K161,$E161,$BU161,0,$BP161,$BS161,$BT161,($A161-Inputs!$D$1)+15,1,0)))))</f>
        <v> </v>
      </c>
      <c r="S161" s="280" t="str">
        <f aca="false">IF($A161="N/A"," ",IF('Pricing Inputs'!$AN$8=2,(L161-$H161),IF('Pricing Inputs'!$AN$3=2,IF((L161-$H161)&gt;0,L161-$H161,0),(xSPRDOPT(L161,$E161,$BU161,0,$BP161,$BS161,$BT161,($A161-Inputs!$D$1)+15,1,0)))))</f>
        <v> </v>
      </c>
      <c r="T161" s="280" t="str">
        <f aca="false">IF($A161="N/A"," ",IF('Pricing Inputs'!$AN$8=2,(M161-$H161),IF('Pricing Inputs'!$AN$3=2,IF((M161-$H161)&gt;0,M161-$H161,0),(xSPRDOPT(M161,$E161,$BU161,0,$BP161,$BS161,$BT161,($A161-Inputs!$D$1)+15,1,0)))))</f>
        <v> </v>
      </c>
      <c r="U161" s="280" t="str">
        <f aca="false">IF($A161="N/A"," ",IF('Pricing Inputs'!$AN$8=2,(N161-$H161),IF('Pricing Inputs'!$AN$3=2,IF((N161-$H161)&gt;0,N161-$H161,0),(xSPRDOPT(N161,$E161,$BU161,0,$BP161,$BS161,$BT161,($A161-Inputs!$D$1)+15,1,0)))))</f>
        <v> </v>
      </c>
      <c r="V161" s="281" t="str">
        <f aca="false">IF($A161="N/A"," ",(IF('Pricing Inputs'!$AN$8=2,(O161-$H161),IF((O161-$H161)&lt;=0,0,(O161-$H161)))))</f>
        <v> </v>
      </c>
      <c r="W161" s="282" t="str">
        <f aca="false">IF($A161="N/A"," ",IF(0&lt;&gt;P161,IF('Pricing Inputs'!$AN$3=2,8*VLOOKUP($A161,NumberofDaysTable,2),(xSPRDOPT(I161,$E161,$BU161,0,$BP161,$BS161,$BT161,$A161-Inputs!$D$1,1,1))*(8*VLOOKUP($A161,NumberofDaysTable,2))),0))</f>
        <v> </v>
      </c>
      <c r="X161" s="282" t="str">
        <f aca="false">IF($A161="N/A"," ",IF(Q161&lt;&gt;0,IF('Pricing Inputs'!$AN$3=2,8*VLOOKUP($A161,NumberofDaysTable,2),(xSPRDOPT(J161,$E161,$BU161,0,$BP161,$BS161,$BT161,$A161-Inputs!$D$1,1,1))*(8*VLOOKUP($A161,NumberofDaysTable,2))),0))</f>
        <v> </v>
      </c>
      <c r="Y161" s="282" t="str">
        <f aca="false">IF($A161="N/A"," ",IF(R161&lt;&gt;0,IF('Pricing Inputs'!$AN$3=2,8*VLOOKUP($A161,NumberofDaysTable,3),(xSPRDOPT(K161,$E161,$BU161,0,$BP161,$BS161,$BT161,$A161-Inputs!$D$1,1,1))*(8*VLOOKUP($A161,NumberofDaysTable,3))),0))</f>
        <v> </v>
      </c>
      <c r="Z161" s="282" t="str">
        <f aca="false">IF($A161="N/A"," ",IF(S161&lt;&gt;0,IF('Pricing Inputs'!$AN$3=2,8*VLOOKUP($A161,NumberofDaysTable,3),(xSPRDOPT(L161,$E161,$BU161,0,$BP161,$BS161,$BT161,$A161-Inputs!$D$1,1,1))*(8*VLOOKUP($A161,NumberofDaysTable,3))),0))</f>
        <v> </v>
      </c>
      <c r="AA161" s="282" t="str">
        <f aca="false">IF($A161="N/A"," ",IF(T161&lt;&gt;0,IF('Pricing Inputs'!$AN$3=2,8*VLOOKUP($A161,NumberofDaysTable,4),(xSPRDOPT(M161,$E161,$BU161,0,$BP161,$BS161,$BT161,$A161-Inputs!$D$1,1,1))*(8*VLOOKUP($A161,NumberofDaysTable,4))),0))</f>
        <v> </v>
      </c>
      <c r="AB161" s="282" t="str">
        <f aca="false">IF($A161="N/A"," ",IF(U161&lt;&gt;0,IF('Pricing Inputs'!$AN$3=2,8*VLOOKUP($A161,NumberofDaysTable,4),(xSPRDOPT(N161,$E161,$BU161,0,$BP161,$BS161,$BT161,$A161-Inputs!$D$1,1,1))*(8*VLOOKUP($A161,NumberofDaysTable,4))),0))</f>
        <v> </v>
      </c>
      <c r="AC161" s="282" t="str">
        <f aca="false">IF($A161="N/A"," ",(IF(V161&lt;&gt;0,(8*VLOOKUP($A161,NumberofDaysTable,6)),0)))</f>
        <v> </v>
      </c>
      <c r="AD161" s="298" t="str">
        <f aca="false">IF($A161="N/A"," ",RANK(P161,$P$160:$V$171))</f>
        <v> </v>
      </c>
      <c r="AE161" s="299" t="str">
        <f aca="false">IF($A161="N/A"," ",RANK(Q161,$P$160:$V$171))</f>
        <v> </v>
      </c>
      <c r="AF161" s="299" t="str">
        <f aca="false">IF($A161="N/A"," ",RANK(R161,$P$160:$V$171))</f>
        <v> </v>
      </c>
      <c r="AG161" s="299" t="str">
        <f aca="false">IF($A161="N/A"," ",RANK(S161,$P$160:$V$171))</f>
        <v> </v>
      </c>
      <c r="AH161" s="299" t="str">
        <f aca="false">IF($A161="N/A"," ",RANK(T161,$P$160:$V$171))</f>
        <v> </v>
      </c>
      <c r="AI161" s="299" t="str">
        <f aca="false">IF($A161="N/A"," ",RANK(U161,$P$160:$V$171))</f>
        <v> </v>
      </c>
      <c r="AJ161" s="300" t="str">
        <f aca="false">IF($A161="N/A"," ",RANK(V161,$P$160:$V$171))</f>
        <v> </v>
      </c>
      <c r="AK161" s="286" t="str">
        <f aca="false">IF($A161="N/A"," ",IF(AD161&lt;=$AJ$2,W161,0))</f>
        <v> </v>
      </c>
      <c r="AL161" s="301" t="str">
        <f aca="false">IF($A161="N/A"," ",IF(AE161&lt;=$AJ$2,X161,0))</f>
        <v> </v>
      </c>
      <c r="AM161" s="301" t="str">
        <f aca="false">IF($A161="N/A"," ",IF(AF161&lt;=$AJ$2,Y161,0))</f>
        <v> </v>
      </c>
      <c r="AN161" s="301" t="str">
        <f aca="false">IF($A161="N/A"," ",IF(AG161&lt;=$AJ$2,Z161,0))</f>
        <v> </v>
      </c>
      <c r="AO161" s="301" t="str">
        <f aca="false">IF($A161="N/A"," ",IF(AH161&lt;=$AJ$2,AA161,0))</f>
        <v> </v>
      </c>
      <c r="AP161" s="301" t="str">
        <f aca="false">IF($A161="N/A"," ",IF(AI161&lt;=$AJ$2,AB161,0))</f>
        <v> </v>
      </c>
      <c r="AQ161" s="301" t="str">
        <f aca="false">IF($A161="N/A"," ",IF(AJ161&lt;=$AJ$2,AC161,0))</f>
        <v> </v>
      </c>
      <c r="AR161" s="300"/>
      <c r="AS161" s="288" t="str">
        <f aca="false">IF($A161="N/A"," ",IF(AND(AD161=$AJ$2+1,AK161=0),MIN($AR$171,W161),0))</f>
        <v> </v>
      </c>
      <c r="AT161" s="302" t="str">
        <f aca="false">IF($A161="N/A"," ",IF(AND(AE161=$AJ$2+1,AL161=0),MIN($AR$171,X161),0))</f>
        <v> </v>
      </c>
      <c r="AU161" s="302" t="str">
        <f aca="false">IF($A161="N/A"," ",IF(AND(AF161=$AJ$2+1,AM161=0),MIN($AR$171,Y161),0))</f>
        <v> </v>
      </c>
      <c r="AV161" s="302" t="str">
        <f aca="false">IF($A161="N/A"," ",IF(AND(AG161=$AJ$2+1,AN161=0),MIN($AR$171,Z161),0))</f>
        <v> </v>
      </c>
      <c r="AW161" s="302" t="str">
        <f aca="false">IF($A161="N/A"," ",IF(AND(AH161=$AJ$2+1,AO161=0),MIN($AR$171,AA161),0))</f>
        <v> </v>
      </c>
      <c r="AX161" s="302" t="str">
        <f aca="false">IF($A161="N/A"," ",IF(AND(AI161=$AJ$2+1,AP161=0),MIN($AR$171,AB161),0))</f>
        <v> </v>
      </c>
      <c r="AY161" s="302" t="str">
        <f aca="false">IF($A161="N/A"," ",IF(AND(AJ161=$AJ$2+1,AQ161=0),MIN($AR$171,AC161),0))</f>
        <v> </v>
      </c>
      <c r="AZ161" s="300"/>
      <c r="BA161" s="291" t="str">
        <f aca="false">IF($A161="N/A"," ",(IF(MONTH(A161)&gt;=4,IF(MONTH(A161)&lt;=10,Inputs!$F$13,Inputs!$F$14),Inputs!$F$14))*$BW161)</f>
        <v> </v>
      </c>
      <c r="BB161" s="292" t="str">
        <f aca="false">IF($A161="N/A"," ",(IF(AK161&gt;0,($BA161*(8*(VLOOKUP($A161,NumberofDaysTable,2)))*P161),0)+IF(AS161&gt;0,($BA161*((AS161))*P161),0)))</f>
        <v> </v>
      </c>
      <c r="BC161" s="292" t="str">
        <f aca="false">IF($A161="N/A"," ",(IF(AL161&gt;0,($BA161*(8*(VLOOKUP($A161,NumberofDaysTable,2)))*Q161),0)+IF(AT161&gt;0,($BA161*((AT161))*Q161),0)))</f>
        <v> </v>
      </c>
      <c r="BD161" s="292" t="str">
        <f aca="false">IF($A161="N/A"," ",(IF(AM161&gt;0,($BA161*(8*(VLOOKUP($A161,NumberofDaysTable,3)))*R161),0)+IF(AU161&gt;0,($BA161*((AU161))*R161),0)))</f>
        <v> </v>
      </c>
      <c r="BE161" s="292" t="str">
        <f aca="false">IF($A161="N/A"," ",(IF(AN161&gt;0,($BA161*(8*(VLOOKUP($A161,NumberofDaysTable,3)))*S161),0)+IF(AV161&gt;0,($BA161*((AV161))*S161),0)))</f>
        <v> </v>
      </c>
      <c r="BF161" s="292" t="str">
        <f aca="false">IF($A161="N/A"," ",(IF(AO161&gt;0,($BA161*(8*(VLOOKUP($A161,NumberofDaysTable,4)+VLOOKUP($A161,NumberofDaysTable,5)))*T161),0)+IF(AW161&gt;0,($BA161*((AW161))*T161),0)))</f>
        <v> </v>
      </c>
      <c r="BG161" s="292" t="str">
        <f aca="false">IF($A161="N/A"," ",(IF(AP161&gt;0,($BA161*(8*(VLOOKUP($A161,NumberofDaysTable,4)+VLOOKUP($A161,NumberofDaysTable,5)))*U161),0)+IF(AX161&gt;0,($BA161*((AX161))*U161),0)))</f>
        <v> </v>
      </c>
      <c r="BH161" s="292" t="str">
        <f aca="false">IF($A161="N/A"," ",($BA161*AQ161*V161))</f>
        <v> </v>
      </c>
      <c r="BI161" s="292" t="str">
        <f aca="false">IF($A161="N/A"," ",SUM(BB161:BH161))</f>
        <v> </v>
      </c>
      <c r="BJ161" s="293" t="str">
        <f aca="false">IF($A161="N/A"," ",(H161*(SUM(AK161:AQ161)+SUM(AS161:AY161))*BA161))</f>
        <v> </v>
      </c>
      <c r="BK161" s="293" t="str">
        <f aca="false">IF($A161="N/A"," ",((C161*D161)*(SUM($AK161:$AQ161)+SUM($AS161:$AY161))*$BA161))</f>
        <v> </v>
      </c>
      <c r="BL161" s="293" t="str">
        <f aca="false">IF($A161="N/A"," ",(F161*(SUM($AK161:$AQ161)+SUM($AS161:$AY161))*$BA161))</f>
        <v> </v>
      </c>
      <c r="BM161" s="293" t="str">
        <f aca="false">IF($A161="N/A"," ",(G161*(SUM($AK161:$AQ161)+SUM($AS161:$AY161))*$BA161))</f>
        <v> </v>
      </c>
      <c r="BN161" s="294" t="str">
        <f aca="false">IF(A161="N/A"," ",(VLOOKUP(A161,PowerVolTable,(IF('Pricing Inputs'!$AT$3=2,7,IF('Pricing Inputs'!$AT$3=1,6,8))),FALSE())))</f>
        <v> </v>
      </c>
      <c r="BO161" s="294" t="str">
        <f aca="false">IF(A161="N/A"," ",(VLOOKUP(A161,IntraPowerVol,(IF('Pricing Inputs'!$AT$3=2,3,IF('Pricing Inputs'!$AT$3=1,2,4))),FALSE())*VLOOKUP(MONTH($A161),Inputs!$A$28:$B$39,2)))</f>
        <v> </v>
      </c>
      <c r="BP161" s="295" t="str">
        <f aca="false">IF($A161="N/A"," ",(IF(DateToday&gt;$A161,$BO161,((($BN161^2)*((($A161-1)-DateToday)/((EOMONTH($A161,0)+1)-DateToday-15)))+((($BO161)^2)*((15)/((EOMONTH($A161,0)+1)-DateToday-15))))^0.5)))</f>
        <v> </v>
      </c>
      <c r="BQ161" s="294" t="str">
        <f aca="false">IF($A161="N/A"," ",(VLOOKUP($A161,GasVolTable,(IF('Pricing Inputs'!$AT$3=2,6,IF('Pricing Inputs'!$AT$3=1,7,5))),FALSE())))</f>
        <v> </v>
      </c>
      <c r="BR161" s="294" t="str">
        <f aca="false">IF($A161="N/A"," ",(VLOOKUP($A161,OmicronVol,(IF('Pricing Inputs'!$AT$3=2,3,IF('Pricing Inputs'!$AT$3=1,4,2))),FALSE())))</f>
        <v> </v>
      </c>
      <c r="BS161" s="295" t="str">
        <f aca="false">IF($A161="N/A"," ",IF('Pricing Inputs'!$AN$3=1,(IF(DateToday&gt;$A161,$BR161,((($BQ161^2)*((($A161-1)-DateToday)/((EOMONTH($A161,0)+1)-DateToday-15)))+((($BR161)^2)*((15)/((EOMONTH($A161,0)+1)-DateToday-15))))^0.5)),0.0001))</f>
        <v> </v>
      </c>
      <c r="BT161" s="294" t="str">
        <f aca="false">IF($A161="N/A"," ",IF('Pricing Inputs'!$AN$3=1,(VLOOKUP($A161,CorrelationTable,2,FALSE())),0))</f>
        <v> </v>
      </c>
      <c r="BU161" s="296" t="str">
        <f aca="false">IF($A161="N/A"," ",F161+G161+(D161*(VLOOKUP($A161,'Gas Curves'!$B$17:$P$310,14,FALSE()))))</f>
        <v> </v>
      </c>
      <c r="BV161" s="294" t="str">
        <f aca="false">IF($A161="N/A"," ",IF('Pricing Inputs'!$AW$3=1,0,(VLOOKUP($A161,InterestRatesTable,2))))</f>
        <v> </v>
      </c>
      <c r="BW161" s="297" t="str">
        <f aca="false">IF($A161="N/A"," ",(1+BV161/2)^(-2*((EOMONTH(A161,0)+20)-DateToday)/365.25))</f>
        <v> </v>
      </c>
    </row>
    <row r="162" customFormat="false" ht="12.75" hidden="false" customHeight="false" outlineLevel="0" collapsed="false">
      <c r="A162" s="272" t="str">
        <f aca="false">IF(A161="N/A","N/A",IF(EDATE(A161,1)&gt;Inputs!$K$3,"N/A",EDATE(A161,1)))</f>
        <v>N/A</v>
      </c>
      <c r="B162" s="273" t="str">
        <f aca="false">IF(A162="N/A"," ",YEAR(A162))</f>
        <v> </v>
      </c>
      <c r="C162" s="274" t="str">
        <f aca="false">IF(A162="N/A"," ",VLOOKUP(A162,ScaledPrice,10))</f>
        <v> </v>
      </c>
      <c r="D162" s="275" t="str">
        <f aca="false">IF(A162="N/A"," ",(VLOOKUP(MONTH($A162),Inputs!$A$14:$B$25,2))/1000)</f>
        <v> </v>
      </c>
      <c r="E162" s="276" t="str">
        <f aca="false">IF($A162="N/A"," ",C162*D162)</f>
        <v> </v>
      </c>
      <c r="F162" s="277" t="str">
        <f aca="false">IF(A162="N/A"," ",Inputs!$F$6)</f>
        <v> </v>
      </c>
      <c r="G162" s="277" t="str">
        <f aca="false">IF(A162="N/A"," ",Inputs!$F$9/IF(AND('Pricing Inputs'!$AQ$3&gt;=4,'Pricing Inputs'!$AQ$3&lt;=6),16,IF(AND('Pricing Inputs'!$AQ$3&gt;=7,'Pricing Inputs'!$AQ$3&lt;=9),8,24))/(BA162/BW162))</f>
        <v> </v>
      </c>
      <c r="H162" s="278" t="str">
        <f aca="false">IF(A162="N/A"," ",(C162*D162)+F162+G162)</f>
        <v> </v>
      </c>
      <c r="I162" s="279" t="str">
        <f aca="false">VLOOKUP(A162,ScaledPrice,(IF(AND('Pricing Inputs'!$AQ$3&gt;=1,'Pricing Inputs'!$AQ$3&lt;=6),2,4)))</f>
        <v> </v>
      </c>
      <c r="J162" s="279" t="str">
        <f aca="false">IF(A162="N/A"," ",IF(AND('Pricing Inputs'!$AQ$3&gt;=1,'Pricing Inputs'!$AQ$3&lt;=6),I162,(VLOOKUP(A162,ScaledPrice,2))*(2-(VLOOKUP(A162,ScaledPrice,3)))))</f>
        <v> </v>
      </c>
      <c r="K162" s="279" t="str">
        <f aca="false">IF(A162="N/A"," ",IF(OR('Pricing Inputs'!$AQ$3=2,'Pricing Inputs'!$AQ$3=3,'Pricing Inputs'!$AQ$3=5,'Pricing Inputs'!$AQ$3=6,'Pricing Inputs'!$AQ$3=8,'Pricing Inputs'!$AQ$3=9),VLOOKUP(A162,ScaledPrice,IF(AND('Pricing Inputs'!$AQ$3&gt;=2,'Pricing Inputs'!$AQ$3&lt;=6),5,6)),0))</f>
        <v> </v>
      </c>
      <c r="L162" s="279" t="str">
        <f aca="false">IF(A162="N/A"," ",IF(OR('Pricing Inputs'!$AQ$3=2,'Pricing Inputs'!$AQ$3=3,'Pricing Inputs'!$AQ$3=5,'Pricing Inputs'!$AQ$3=6,'Pricing Inputs'!$AQ$3=8,'Pricing Inputs'!$AQ$3=9),IF(AND('Pricing Inputs'!$AQ$3&gt;=2,'Pricing Inputs'!$AQ$3&lt;=6),K162,(VLOOKUP(A162,ScaledPrice,5))*(2-(VLOOKUP(A162,ScaledPrice,3)))),0))</f>
        <v> </v>
      </c>
      <c r="M162" s="279" t="str">
        <f aca="false">IF(A162="N/A"," ",IF(OR('Pricing Inputs'!$AQ$3=3,'Pricing Inputs'!$AQ$3=6,'Pricing Inputs'!$AQ$3=9),(VLOOKUP(A162,ScaledPrice,IF(AND('Pricing Inputs'!$AQ$3&gt;=3,'Pricing Inputs'!$AQ$3&lt;=6),7,8))),0))</f>
        <v> </v>
      </c>
      <c r="N162" s="279" t="str">
        <f aca="false">IF(A162="N/A"," ",IF(OR('Pricing Inputs'!$AQ$3=3,'Pricing Inputs'!$AQ$3=6,'Pricing Inputs'!$AQ$3=9),IF(AND('Pricing Inputs'!$AQ$3&gt;=3,'Pricing Inputs'!$AQ$3&lt;=6),M162,(VLOOKUP(A162,ScaledPrice,7))*(2-(VLOOKUP(A162,ScaledPrice,3)))),0))</f>
        <v> </v>
      </c>
      <c r="O162" s="279" t="str">
        <f aca="false">IF(A162="N/A"," ",IF(AND('Pricing Inputs'!$AQ$3&gt;=1,'Pricing Inputs'!$AQ$3&lt;=3),VLOOKUP(A162,ScaledPrice,9),0))</f>
        <v> </v>
      </c>
      <c r="P162" s="280" t="str">
        <f aca="false">IF($A162="N/A"," ",IF('Pricing Inputs'!$AN$8=2,(I162-H162),IF('Pricing Inputs'!$AN$3=2,IF((I162-$H162)&gt;0,I162-$H162,0),(xSPRDOPT(I162,$E162,$BU162,0,$BP162,$BS162,$BT162,($A162-Inputs!$D$1)+15,1,0)))))</f>
        <v> </v>
      </c>
      <c r="Q162" s="280" t="str">
        <f aca="false">IF($A162="N/A"," ",IF('Pricing Inputs'!$AN$8=2,(J162-$H162),IF('Pricing Inputs'!$AN$3=2,IF((J162-$H162)&gt;0,J162-$H162,0),(xSPRDOPT(J162,$E162,$BU162,0,$BP162,$BS162,$BT162,($A162-Inputs!$D$1)+15,1,0)))))</f>
        <v> </v>
      </c>
      <c r="R162" s="280" t="str">
        <f aca="false">IF($A162="N/A"," ",IF('Pricing Inputs'!$AN$8=2,(K162-$H162),IF('Pricing Inputs'!$AN$3=2,IF((K162-$H162)&gt;0,K162-$H162,0),(xSPRDOPT(K162,$E162,$BU162,0,$BP162,$BS162,$BT162,($A162-Inputs!$D$1)+15,1,0)))))</f>
        <v> </v>
      </c>
      <c r="S162" s="280" t="str">
        <f aca="false">IF($A162="N/A"," ",IF('Pricing Inputs'!$AN$8=2,(L162-$H162),IF('Pricing Inputs'!$AN$3=2,IF((L162-$H162)&gt;0,L162-$H162,0),(xSPRDOPT(L162,$E162,$BU162,0,$BP162,$BS162,$BT162,($A162-Inputs!$D$1)+15,1,0)))))</f>
        <v> </v>
      </c>
      <c r="T162" s="280" t="str">
        <f aca="false">IF($A162="N/A"," ",IF('Pricing Inputs'!$AN$8=2,(M162-$H162),IF('Pricing Inputs'!$AN$3=2,IF((M162-$H162)&gt;0,M162-$H162,0),(xSPRDOPT(M162,$E162,$BU162,0,$BP162,$BS162,$BT162,($A162-Inputs!$D$1)+15,1,0)))))</f>
        <v> </v>
      </c>
      <c r="U162" s="280" t="str">
        <f aca="false">IF($A162="N/A"," ",IF('Pricing Inputs'!$AN$8=2,(N162-$H162),IF('Pricing Inputs'!$AN$3=2,IF((N162-$H162)&gt;0,N162-$H162,0),(xSPRDOPT(N162,$E162,$BU162,0,$BP162,$BS162,$BT162,($A162-Inputs!$D$1)+15,1,0)))))</f>
        <v> </v>
      </c>
      <c r="V162" s="281" t="str">
        <f aca="false">IF($A162="N/A"," ",(IF('Pricing Inputs'!$AN$8=2,(O162-$H162),IF((O162-$H162)&lt;=0,0,(O162-$H162)))))</f>
        <v> </v>
      </c>
      <c r="W162" s="282" t="str">
        <f aca="false">IF($A162="N/A"," ",IF(0&lt;&gt;P162,IF('Pricing Inputs'!$AN$3=2,8*VLOOKUP($A162,NumberofDaysTable,2),(xSPRDOPT(I162,$E162,$BU162,0,$BP162,$BS162,$BT162,$A162-Inputs!$D$1,1,1))*(8*VLOOKUP($A162,NumberofDaysTable,2))),0))</f>
        <v> </v>
      </c>
      <c r="X162" s="282" t="str">
        <f aca="false">IF($A162="N/A"," ",IF(Q162&lt;&gt;0,IF('Pricing Inputs'!$AN$3=2,8*VLOOKUP($A162,NumberofDaysTable,2),(xSPRDOPT(J162,$E162,$BU162,0,$BP162,$BS162,$BT162,$A162-Inputs!$D$1,1,1))*(8*VLOOKUP($A162,NumberofDaysTable,2))),0))</f>
        <v> </v>
      </c>
      <c r="Y162" s="282" t="str">
        <f aca="false">IF($A162="N/A"," ",IF(R162&lt;&gt;0,IF('Pricing Inputs'!$AN$3=2,8*VLOOKUP($A162,NumberofDaysTable,3),(xSPRDOPT(K162,$E162,$BU162,0,$BP162,$BS162,$BT162,$A162-Inputs!$D$1,1,1))*(8*VLOOKUP($A162,NumberofDaysTable,3))),0))</f>
        <v> </v>
      </c>
      <c r="Z162" s="282" t="str">
        <f aca="false">IF($A162="N/A"," ",IF(S162&lt;&gt;0,IF('Pricing Inputs'!$AN$3=2,8*VLOOKUP($A162,NumberofDaysTable,3),(xSPRDOPT(L162,$E162,$BU162,0,$BP162,$BS162,$BT162,$A162-Inputs!$D$1,1,1))*(8*VLOOKUP($A162,NumberofDaysTable,3))),0))</f>
        <v> </v>
      </c>
      <c r="AA162" s="282" t="str">
        <f aca="false">IF($A162="N/A"," ",IF(T162&lt;&gt;0,IF('Pricing Inputs'!$AN$3=2,8*VLOOKUP($A162,NumberofDaysTable,4),(xSPRDOPT(M162,$E162,$BU162,0,$BP162,$BS162,$BT162,$A162-Inputs!$D$1,1,1))*(8*VLOOKUP($A162,NumberofDaysTable,4))),0))</f>
        <v> </v>
      </c>
      <c r="AB162" s="282" t="str">
        <f aca="false">IF($A162="N/A"," ",IF(U162&lt;&gt;0,IF('Pricing Inputs'!$AN$3=2,8*VLOOKUP($A162,NumberofDaysTable,4),(xSPRDOPT(N162,$E162,$BU162,0,$BP162,$BS162,$BT162,$A162-Inputs!$D$1,1,1))*(8*VLOOKUP($A162,NumberofDaysTable,4))),0))</f>
        <v> </v>
      </c>
      <c r="AC162" s="282" t="str">
        <f aca="false">IF($A162="N/A"," ",(IF(V162&lt;&gt;0,(8*VLOOKUP($A162,NumberofDaysTable,6)),0)))</f>
        <v> </v>
      </c>
      <c r="AD162" s="298" t="str">
        <f aca="false">IF($A162="N/A"," ",RANK(P162,$P$160:$V$171))</f>
        <v> </v>
      </c>
      <c r="AE162" s="299" t="str">
        <f aca="false">IF($A162="N/A"," ",RANK(Q162,$P$160:$V$171))</f>
        <v> </v>
      </c>
      <c r="AF162" s="299" t="str">
        <f aca="false">IF($A162="N/A"," ",RANK(R162,$P$160:$V$171))</f>
        <v> </v>
      </c>
      <c r="AG162" s="299" t="str">
        <f aca="false">IF($A162="N/A"," ",RANK(S162,$P$160:$V$171))</f>
        <v> </v>
      </c>
      <c r="AH162" s="299" t="str">
        <f aca="false">IF($A162="N/A"," ",RANK(T162,$P$160:$V$171))</f>
        <v> </v>
      </c>
      <c r="AI162" s="299" t="str">
        <f aca="false">IF($A162="N/A"," ",RANK(U162,$P$160:$V$171))</f>
        <v> </v>
      </c>
      <c r="AJ162" s="300" t="str">
        <f aca="false">IF($A162="N/A"," ",RANK(V162,$P$160:$V$171))</f>
        <v> </v>
      </c>
      <c r="AK162" s="286" t="str">
        <f aca="false">IF($A162="N/A"," ",IF(AD162&lt;=$AJ$2,W162,0))</f>
        <v> </v>
      </c>
      <c r="AL162" s="301" t="str">
        <f aca="false">IF($A162="N/A"," ",IF(AE162&lt;=$AJ$2,X162,0))</f>
        <v> </v>
      </c>
      <c r="AM162" s="301" t="str">
        <f aca="false">IF($A162="N/A"," ",IF(AF162&lt;=$AJ$2,Y162,0))</f>
        <v> </v>
      </c>
      <c r="AN162" s="301" t="str">
        <f aca="false">IF($A162="N/A"," ",IF(AG162&lt;=$AJ$2,Z162,0))</f>
        <v> </v>
      </c>
      <c r="AO162" s="301" t="str">
        <f aca="false">IF($A162="N/A"," ",IF(AH162&lt;=$AJ$2,AA162,0))</f>
        <v> </v>
      </c>
      <c r="AP162" s="301" t="str">
        <f aca="false">IF($A162="N/A"," ",IF(AI162&lt;=$AJ$2,AB162,0))</f>
        <v> </v>
      </c>
      <c r="AQ162" s="301" t="str">
        <f aca="false">IF($A162="N/A"," ",IF(AJ162&lt;=$AJ$2,AC162,0))</f>
        <v> </v>
      </c>
      <c r="AR162" s="300"/>
      <c r="AS162" s="288" t="str">
        <f aca="false">IF($A162="N/A"," ",IF(AND(AD162=$AJ$2+1,AK162=0),MIN($AR$171,W162),0))</f>
        <v> </v>
      </c>
      <c r="AT162" s="302" t="str">
        <f aca="false">IF($A162="N/A"," ",IF(AND(AE162=$AJ$2+1,AL162=0),MIN($AR$171,X162),0))</f>
        <v> </v>
      </c>
      <c r="AU162" s="302" t="str">
        <f aca="false">IF($A162="N/A"," ",IF(AND(AF162=$AJ$2+1,AM162=0),MIN($AR$171,Y162),0))</f>
        <v> </v>
      </c>
      <c r="AV162" s="302" t="str">
        <f aca="false">IF($A162="N/A"," ",IF(AND(AG162=$AJ$2+1,AN162=0),MIN($AR$171,Z162),0))</f>
        <v> </v>
      </c>
      <c r="AW162" s="302" t="str">
        <f aca="false">IF($A162="N/A"," ",IF(AND(AH162=$AJ$2+1,AO162=0),MIN($AR$171,AA162),0))</f>
        <v> </v>
      </c>
      <c r="AX162" s="302" t="str">
        <f aca="false">IF($A162="N/A"," ",IF(AND(AI162=$AJ$2+1,AP162=0),MIN($AR$171,AB162),0))</f>
        <v> </v>
      </c>
      <c r="AY162" s="302" t="str">
        <f aca="false">IF($A162="N/A"," ",IF(AND(AJ162=$AJ$2+1,AQ162=0),MIN($AR$171,AC162),0))</f>
        <v> </v>
      </c>
      <c r="AZ162" s="300"/>
      <c r="BA162" s="291" t="str">
        <f aca="false">IF($A162="N/A"," ",(IF(MONTH(A162)&gt;=4,IF(MONTH(A162)&lt;=10,Inputs!$F$13,Inputs!$F$14),Inputs!$F$14))*$BW162)</f>
        <v> </v>
      </c>
      <c r="BB162" s="292" t="str">
        <f aca="false">IF($A162="N/A"," ",(IF(AK162&gt;0,($BA162*(8*(VLOOKUP($A162,NumberofDaysTable,2)))*P162),0)+IF(AS162&gt;0,($BA162*((AS162))*P162),0)))</f>
        <v> </v>
      </c>
      <c r="BC162" s="292" t="str">
        <f aca="false">IF($A162="N/A"," ",(IF(AL162&gt;0,($BA162*(8*(VLOOKUP($A162,NumberofDaysTable,2)))*Q162),0)+IF(AT162&gt;0,($BA162*((AT162))*Q162),0)))</f>
        <v> </v>
      </c>
      <c r="BD162" s="292" t="str">
        <f aca="false">IF($A162="N/A"," ",(IF(AM162&gt;0,($BA162*(8*(VLOOKUP($A162,NumberofDaysTable,3)))*R162),0)+IF(AU162&gt;0,($BA162*((AU162))*R162),0)))</f>
        <v> </v>
      </c>
      <c r="BE162" s="292" t="str">
        <f aca="false">IF($A162="N/A"," ",(IF(AN162&gt;0,($BA162*(8*(VLOOKUP($A162,NumberofDaysTable,3)))*S162),0)+IF(AV162&gt;0,($BA162*((AV162))*S162),0)))</f>
        <v> </v>
      </c>
      <c r="BF162" s="292" t="str">
        <f aca="false">IF($A162="N/A"," ",(IF(AO162&gt;0,($BA162*(8*(VLOOKUP($A162,NumberofDaysTable,4)+VLOOKUP($A162,NumberofDaysTable,5)))*T162),0)+IF(AW162&gt;0,($BA162*((AW162))*T162),0)))</f>
        <v> </v>
      </c>
      <c r="BG162" s="292" t="str">
        <f aca="false">IF($A162="N/A"," ",(IF(AP162&gt;0,($BA162*(8*(VLOOKUP($A162,NumberofDaysTable,4)+VLOOKUP($A162,NumberofDaysTable,5)))*U162),0)+IF(AX162&gt;0,($BA162*((AX162))*U162),0)))</f>
        <v> </v>
      </c>
      <c r="BH162" s="292" t="str">
        <f aca="false">IF($A162="N/A"," ",($BA162*AQ162*V162))</f>
        <v> </v>
      </c>
      <c r="BI162" s="292" t="str">
        <f aca="false">IF($A162="N/A"," ",SUM(BB162:BH162))</f>
        <v> </v>
      </c>
      <c r="BJ162" s="293" t="str">
        <f aca="false">IF($A162="N/A"," ",(H162*(SUM(AK162:AQ162)+SUM(AS162:AY162))*BA162))</f>
        <v> </v>
      </c>
      <c r="BK162" s="293" t="str">
        <f aca="false">IF($A162="N/A"," ",((C162*D162)*(SUM($AK162:$AQ162)+SUM($AS162:$AY162))*$BA162))</f>
        <v> </v>
      </c>
      <c r="BL162" s="293" t="str">
        <f aca="false">IF($A162="N/A"," ",(F162*(SUM($AK162:$AQ162)+SUM($AS162:$AY162))*$BA162))</f>
        <v> </v>
      </c>
      <c r="BM162" s="293" t="str">
        <f aca="false">IF($A162="N/A"," ",(G162*(SUM($AK162:$AQ162)+SUM($AS162:$AY162))*$BA162))</f>
        <v> </v>
      </c>
      <c r="BN162" s="294" t="str">
        <f aca="false">IF(A162="N/A"," ",(VLOOKUP(A162,PowerVolTable,(IF('Pricing Inputs'!$AT$3=2,7,IF('Pricing Inputs'!$AT$3=1,6,8))),FALSE())))</f>
        <v> </v>
      </c>
      <c r="BO162" s="294" t="str">
        <f aca="false">IF(A162="N/A"," ",(VLOOKUP(A162,IntraPowerVol,(IF('Pricing Inputs'!$AT$3=2,3,IF('Pricing Inputs'!$AT$3=1,2,4))),FALSE())*VLOOKUP(MONTH($A162),Inputs!$A$28:$B$39,2)))</f>
        <v> </v>
      </c>
      <c r="BP162" s="295" t="str">
        <f aca="false">IF($A162="N/A"," ",(IF(DateToday&gt;$A162,$BO162,((($BN162^2)*((($A162-1)-DateToday)/((EOMONTH($A162,0)+1)-DateToday-15)))+((($BO162)^2)*((15)/((EOMONTH($A162,0)+1)-DateToday-15))))^0.5)))</f>
        <v> </v>
      </c>
      <c r="BQ162" s="294" t="str">
        <f aca="false">IF($A162="N/A"," ",(VLOOKUP($A162,GasVolTable,(IF('Pricing Inputs'!$AT$3=2,6,IF('Pricing Inputs'!$AT$3=1,7,5))),FALSE())))</f>
        <v> </v>
      </c>
      <c r="BR162" s="294" t="str">
        <f aca="false">IF($A162="N/A"," ",(VLOOKUP($A162,OmicronVol,(IF('Pricing Inputs'!$AT$3=2,3,IF('Pricing Inputs'!$AT$3=1,4,2))),FALSE())))</f>
        <v> </v>
      </c>
      <c r="BS162" s="295" t="str">
        <f aca="false">IF($A162="N/A"," ",IF('Pricing Inputs'!$AN$3=1,(IF(DateToday&gt;$A162,$BR162,((($BQ162^2)*((($A162-1)-DateToday)/((EOMONTH($A162,0)+1)-DateToday-15)))+((($BR162)^2)*((15)/((EOMONTH($A162,0)+1)-DateToday-15))))^0.5)),0.0001))</f>
        <v> </v>
      </c>
      <c r="BT162" s="294" t="str">
        <f aca="false">IF($A162="N/A"," ",IF('Pricing Inputs'!$AN$3=1,(VLOOKUP($A162,CorrelationTable,2,FALSE())),0))</f>
        <v> </v>
      </c>
      <c r="BU162" s="296" t="str">
        <f aca="false">IF($A162="N/A"," ",F162+G162+(D162*(VLOOKUP($A162,'Gas Curves'!$B$17:$P$310,14,FALSE()))))</f>
        <v> </v>
      </c>
      <c r="BV162" s="294" t="str">
        <f aca="false">IF($A162="N/A"," ",IF('Pricing Inputs'!$AW$3=1,0,(VLOOKUP($A162,InterestRatesTable,2))))</f>
        <v> </v>
      </c>
      <c r="BW162" s="297" t="str">
        <f aca="false">IF($A162="N/A"," ",(1+BV162/2)^(-2*((EOMONTH(A162,0)+20)-DateToday)/365.25))</f>
        <v> </v>
      </c>
    </row>
    <row r="163" customFormat="false" ht="12.75" hidden="false" customHeight="false" outlineLevel="0" collapsed="false">
      <c r="A163" s="272" t="str">
        <f aca="false">IF(A162="N/A","N/A",IF(EDATE(A162,1)&gt;Inputs!$K$3,"N/A",EDATE(A162,1)))</f>
        <v>N/A</v>
      </c>
      <c r="B163" s="273" t="str">
        <f aca="false">IF(A163="N/A"," ",YEAR(A163))</f>
        <v> </v>
      </c>
      <c r="C163" s="274" t="str">
        <f aca="false">IF(A163="N/A"," ",VLOOKUP(A163,ScaledPrice,10))</f>
        <v> </v>
      </c>
      <c r="D163" s="275" t="str">
        <f aca="false">IF(A163="N/A"," ",(VLOOKUP(MONTH($A163),Inputs!$A$14:$B$25,2))/1000)</f>
        <v> </v>
      </c>
      <c r="E163" s="276" t="str">
        <f aca="false">IF($A163="N/A"," ",C163*D163)</f>
        <v> </v>
      </c>
      <c r="F163" s="277" t="str">
        <f aca="false">IF(A163="N/A"," ",Inputs!$F$6)</f>
        <v> </v>
      </c>
      <c r="G163" s="277" t="str">
        <f aca="false">IF(A163="N/A"," ",Inputs!$F$9/IF(AND('Pricing Inputs'!$AQ$3&gt;=4,'Pricing Inputs'!$AQ$3&lt;=6),16,IF(AND('Pricing Inputs'!$AQ$3&gt;=7,'Pricing Inputs'!$AQ$3&lt;=9),8,24))/(BA163/BW163))</f>
        <v> </v>
      </c>
      <c r="H163" s="278" t="str">
        <f aca="false">IF(A163="N/A"," ",(C163*D163)+F163+G163)</f>
        <v> </v>
      </c>
      <c r="I163" s="279" t="str">
        <f aca="false">VLOOKUP(A163,ScaledPrice,(IF(AND('Pricing Inputs'!$AQ$3&gt;=1,'Pricing Inputs'!$AQ$3&lt;=6),2,4)))</f>
        <v> </v>
      </c>
      <c r="J163" s="279" t="str">
        <f aca="false">IF(A163="N/A"," ",IF(AND('Pricing Inputs'!$AQ$3&gt;=1,'Pricing Inputs'!$AQ$3&lt;=6),I163,(VLOOKUP(A163,ScaledPrice,2))*(2-(VLOOKUP(A163,ScaledPrice,3)))))</f>
        <v> </v>
      </c>
      <c r="K163" s="279" t="str">
        <f aca="false">IF(A163="N/A"," ",IF(OR('Pricing Inputs'!$AQ$3=2,'Pricing Inputs'!$AQ$3=3,'Pricing Inputs'!$AQ$3=5,'Pricing Inputs'!$AQ$3=6,'Pricing Inputs'!$AQ$3=8,'Pricing Inputs'!$AQ$3=9),VLOOKUP(A163,ScaledPrice,IF(AND('Pricing Inputs'!$AQ$3&gt;=2,'Pricing Inputs'!$AQ$3&lt;=6),5,6)),0))</f>
        <v> </v>
      </c>
      <c r="L163" s="279" t="str">
        <f aca="false">IF(A163="N/A"," ",IF(OR('Pricing Inputs'!$AQ$3=2,'Pricing Inputs'!$AQ$3=3,'Pricing Inputs'!$AQ$3=5,'Pricing Inputs'!$AQ$3=6,'Pricing Inputs'!$AQ$3=8,'Pricing Inputs'!$AQ$3=9),IF(AND('Pricing Inputs'!$AQ$3&gt;=2,'Pricing Inputs'!$AQ$3&lt;=6),K163,(VLOOKUP(A163,ScaledPrice,5))*(2-(VLOOKUP(A163,ScaledPrice,3)))),0))</f>
        <v> </v>
      </c>
      <c r="M163" s="279" t="str">
        <f aca="false">IF(A163="N/A"," ",IF(OR('Pricing Inputs'!$AQ$3=3,'Pricing Inputs'!$AQ$3=6,'Pricing Inputs'!$AQ$3=9),(VLOOKUP(A163,ScaledPrice,IF(AND('Pricing Inputs'!$AQ$3&gt;=3,'Pricing Inputs'!$AQ$3&lt;=6),7,8))),0))</f>
        <v> </v>
      </c>
      <c r="N163" s="279" t="str">
        <f aca="false">IF(A163="N/A"," ",IF(OR('Pricing Inputs'!$AQ$3=3,'Pricing Inputs'!$AQ$3=6,'Pricing Inputs'!$AQ$3=9),IF(AND('Pricing Inputs'!$AQ$3&gt;=3,'Pricing Inputs'!$AQ$3&lt;=6),M163,(VLOOKUP(A163,ScaledPrice,7))*(2-(VLOOKUP(A163,ScaledPrice,3)))),0))</f>
        <v> </v>
      </c>
      <c r="O163" s="279" t="str">
        <f aca="false">IF(A163="N/A"," ",IF(AND('Pricing Inputs'!$AQ$3&gt;=1,'Pricing Inputs'!$AQ$3&lt;=3),VLOOKUP(A163,ScaledPrice,9),0))</f>
        <v> </v>
      </c>
      <c r="P163" s="280" t="str">
        <f aca="false">IF($A163="N/A"," ",IF('Pricing Inputs'!$AN$8=2,(I163-H163),IF('Pricing Inputs'!$AN$3=2,IF((I163-$H163)&gt;0,I163-$H163,0),(xSPRDOPT(I163,$E163,$BU163,0,$BP163,$BS163,$BT163,($A163-Inputs!$D$1)+15,1,0)))))</f>
        <v> </v>
      </c>
      <c r="Q163" s="280" t="str">
        <f aca="false">IF($A163="N/A"," ",IF('Pricing Inputs'!$AN$8=2,(J163-$H163),IF('Pricing Inputs'!$AN$3=2,IF((J163-$H163)&gt;0,J163-$H163,0),(xSPRDOPT(J163,$E163,$BU163,0,$BP163,$BS163,$BT163,($A163-Inputs!$D$1)+15,1,0)))))</f>
        <v> </v>
      </c>
      <c r="R163" s="280" t="str">
        <f aca="false">IF($A163="N/A"," ",IF('Pricing Inputs'!$AN$8=2,(K163-$H163),IF('Pricing Inputs'!$AN$3=2,IF((K163-$H163)&gt;0,K163-$H163,0),(xSPRDOPT(K163,$E163,$BU163,0,$BP163,$BS163,$BT163,($A163-Inputs!$D$1)+15,1,0)))))</f>
        <v> </v>
      </c>
      <c r="S163" s="280" t="str">
        <f aca="false">IF($A163="N/A"," ",IF('Pricing Inputs'!$AN$8=2,(L163-$H163),IF('Pricing Inputs'!$AN$3=2,IF((L163-$H163)&gt;0,L163-$H163,0),(xSPRDOPT(L163,$E163,$BU163,0,$BP163,$BS163,$BT163,($A163-Inputs!$D$1)+15,1,0)))))</f>
        <v> </v>
      </c>
      <c r="T163" s="280" t="str">
        <f aca="false">IF($A163="N/A"," ",IF('Pricing Inputs'!$AN$8=2,(M163-$H163),IF('Pricing Inputs'!$AN$3=2,IF((M163-$H163)&gt;0,M163-$H163,0),(xSPRDOPT(M163,$E163,$BU163,0,$BP163,$BS163,$BT163,($A163-Inputs!$D$1)+15,1,0)))))</f>
        <v> </v>
      </c>
      <c r="U163" s="280" t="str">
        <f aca="false">IF($A163="N/A"," ",IF('Pricing Inputs'!$AN$8=2,(N163-$H163),IF('Pricing Inputs'!$AN$3=2,IF((N163-$H163)&gt;0,N163-$H163,0),(xSPRDOPT(N163,$E163,$BU163,0,$BP163,$BS163,$BT163,($A163-Inputs!$D$1)+15,1,0)))))</f>
        <v> </v>
      </c>
      <c r="V163" s="281" t="str">
        <f aca="false">IF($A163="N/A"," ",(IF('Pricing Inputs'!$AN$8=2,(O163-$H163),IF((O163-$H163)&lt;=0,0,(O163-$H163)))))</f>
        <v> </v>
      </c>
      <c r="W163" s="282" t="str">
        <f aca="false">IF($A163="N/A"," ",IF(0&lt;&gt;P163,IF('Pricing Inputs'!$AN$3=2,8*VLOOKUP($A163,NumberofDaysTable,2),(xSPRDOPT(I163,$E163,$BU163,0,$BP163,$BS163,$BT163,$A163-Inputs!$D$1,1,1))*(8*VLOOKUP($A163,NumberofDaysTable,2))),0))</f>
        <v> </v>
      </c>
      <c r="X163" s="282" t="str">
        <f aca="false">IF($A163="N/A"," ",IF(Q163&lt;&gt;0,IF('Pricing Inputs'!$AN$3=2,8*VLOOKUP($A163,NumberofDaysTable,2),(xSPRDOPT(J163,$E163,$BU163,0,$BP163,$BS163,$BT163,$A163-Inputs!$D$1,1,1))*(8*VLOOKUP($A163,NumberofDaysTable,2))),0))</f>
        <v> </v>
      </c>
      <c r="Y163" s="282" t="str">
        <f aca="false">IF($A163="N/A"," ",IF(R163&lt;&gt;0,IF('Pricing Inputs'!$AN$3=2,8*VLOOKUP($A163,NumberofDaysTable,3),(xSPRDOPT(K163,$E163,$BU163,0,$BP163,$BS163,$BT163,$A163-Inputs!$D$1,1,1))*(8*VLOOKUP($A163,NumberofDaysTable,3))),0))</f>
        <v> </v>
      </c>
      <c r="Z163" s="282" t="str">
        <f aca="false">IF($A163="N/A"," ",IF(S163&lt;&gt;0,IF('Pricing Inputs'!$AN$3=2,8*VLOOKUP($A163,NumberofDaysTable,3),(xSPRDOPT(L163,$E163,$BU163,0,$BP163,$BS163,$BT163,$A163-Inputs!$D$1,1,1))*(8*VLOOKUP($A163,NumberofDaysTable,3))),0))</f>
        <v> </v>
      </c>
      <c r="AA163" s="282" t="str">
        <f aca="false">IF($A163="N/A"," ",IF(T163&lt;&gt;0,IF('Pricing Inputs'!$AN$3=2,8*VLOOKUP($A163,NumberofDaysTable,4),(xSPRDOPT(M163,$E163,$BU163,0,$BP163,$BS163,$BT163,$A163-Inputs!$D$1,1,1))*(8*VLOOKUP($A163,NumberofDaysTable,4))),0))</f>
        <v> </v>
      </c>
      <c r="AB163" s="282" t="str">
        <f aca="false">IF($A163="N/A"," ",IF(U163&lt;&gt;0,IF('Pricing Inputs'!$AN$3=2,8*VLOOKUP($A163,NumberofDaysTable,4),(xSPRDOPT(N163,$E163,$BU163,0,$BP163,$BS163,$BT163,$A163-Inputs!$D$1,1,1))*(8*VLOOKUP($A163,NumberofDaysTable,4))),0))</f>
        <v> </v>
      </c>
      <c r="AC163" s="282" t="str">
        <f aca="false">IF($A163="N/A"," ",(IF(V163&lt;&gt;0,(8*VLOOKUP($A163,NumberofDaysTable,6)),0)))</f>
        <v> </v>
      </c>
      <c r="AD163" s="298" t="str">
        <f aca="false">IF($A163="N/A"," ",RANK(P163,$P$160:$V$171))</f>
        <v> </v>
      </c>
      <c r="AE163" s="299" t="str">
        <f aca="false">IF($A163="N/A"," ",RANK(Q163,$P$160:$V$171))</f>
        <v> </v>
      </c>
      <c r="AF163" s="299" t="str">
        <f aca="false">IF($A163="N/A"," ",RANK(R163,$P$160:$V$171))</f>
        <v> </v>
      </c>
      <c r="AG163" s="299" t="str">
        <f aca="false">IF($A163="N/A"," ",RANK(S163,$P$160:$V$171))</f>
        <v> </v>
      </c>
      <c r="AH163" s="299" t="str">
        <f aca="false">IF($A163="N/A"," ",RANK(T163,$P$160:$V$171))</f>
        <v> </v>
      </c>
      <c r="AI163" s="299" t="str">
        <f aca="false">IF($A163="N/A"," ",RANK(U163,$P$160:$V$171))</f>
        <v> </v>
      </c>
      <c r="AJ163" s="300" t="str">
        <f aca="false">IF($A163="N/A"," ",RANK(V163,$P$160:$V$171))</f>
        <v> </v>
      </c>
      <c r="AK163" s="286" t="str">
        <f aca="false">IF($A163="N/A"," ",IF(AD163&lt;=$AJ$2,W163,0))</f>
        <v> </v>
      </c>
      <c r="AL163" s="301" t="str">
        <f aca="false">IF($A163="N/A"," ",IF(AE163&lt;=$AJ$2,X163,0))</f>
        <v> </v>
      </c>
      <c r="AM163" s="301" t="str">
        <f aca="false">IF($A163="N/A"," ",IF(AF163&lt;=$AJ$2,Y163,0))</f>
        <v> </v>
      </c>
      <c r="AN163" s="301" t="str">
        <f aca="false">IF($A163="N/A"," ",IF(AG163&lt;=$AJ$2,Z163,0))</f>
        <v> </v>
      </c>
      <c r="AO163" s="301" t="str">
        <f aca="false">IF($A163="N/A"," ",IF(AH163&lt;=$AJ$2,AA163,0))</f>
        <v> </v>
      </c>
      <c r="AP163" s="301" t="str">
        <f aca="false">IF($A163="N/A"," ",IF(AI163&lt;=$AJ$2,AB163,0))</f>
        <v> </v>
      </c>
      <c r="AQ163" s="301" t="str">
        <f aca="false">IF($A163="N/A"," ",IF(AJ163&lt;=$AJ$2,AC163,0))</f>
        <v> </v>
      </c>
      <c r="AR163" s="300"/>
      <c r="AS163" s="288" t="str">
        <f aca="false">IF($A163="N/A"," ",IF(AND(AD163=$AJ$2+1,AK163=0),MIN($AR$171,W163),0))</f>
        <v> </v>
      </c>
      <c r="AT163" s="302" t="str">
        <f aca="false">IF($A163="N/A"," ",IF(AND(AE163=$AJ$2+1,AL163=0),MIN($AR$171,X163),0))</f>
        <v> </v>
      </c>
      <c r="AU163" s="302" t="str">
        <f aca="false">IF($A163="N/A"," ",IF(AND(AF163=$AJ$2+1,AM163=0),MIN($AR$171,Y163),0))</f>
        <v> </v>
      </c>
      <c r="AV163" s="302" t="str">
        <f aca="false">IF($A163="N/A"," ",IF(AND(AG163=$AJ$2+1,AN163=0),MIN($AR$171,Z163),0))</f>
        <v> </v>
      </c>
      <c r="AW163" s="302" t="str">
        <f aca="false">IF($A163="N/A"," ",IF(AND(AH163=$AJ$2+1,AO163=0),MIN($AR$171,AA163),0))</f>
        <v> </v>
      </c>
      <c r="AX163" s="302" t="str">
        <f aca="false">IF($A163="N/A"," ",IF(AND(AI163=$AJ$2+1,AP163=0),MIN($AR$171,AB163),0))</f>
        <v> </v>
      </c>
      <c r="AY163" s="302" t="str">
        <f aca="false">IF($A163="N/A"," ",IF(AND(AJ163=$AJ$2+1,AQ163=0),MIN($AR$171,AC163),0))</f>
        <v> </v>
      </c>
      <c r="AZ163" s="300"/>
      <c r="BA163" s="291" t="str">
        <f aca="false">IF($A163="N/A"," ",(IF(MONTH(A163)&gt;=4,IF(MONTH(A163)&lt;=10,Inputs!$F$13,Inputs!$F$14),Inputs!$F$14))*$BW163)</f>
        <v> </v>
      </c>
      <c r="BB163" s="292" t="str">
        <f aca="false">IF($A163="N/A"," ",(IF(AK163&gt;0,($BA163*(8*(VLOOKUP($A163,NumberofDaysTable,2)))*P163),0)+IF(AS163&gt;0,($BA163*((AS163))*P163),0)))</f>
        <v> </v>
      </c>
      <c r="BC163" s="292" t="str">
        <f aca="false">IF($A163="N/A"," ",(IF(AL163&gt;0,($BA163*(8*(VLOOKUP($A163,NumberofDaysTable,2)))*Q163),0)+IF(AT163&gt;0,($BA163*((AT163))*Q163),0)))</f>
        <v> </v>
      </c>
      <c r="BD163" s="292" t="str">
        <f aca="false">IF($A163="N/A"," ",(IF(AM163&gt;0,($BA163*(8*(VLOOKUP($A163,NumberofDaysTable,3)))*R163),0)+IF(AU163&gt;0,($BA163*((AU163))*R163),0)))</f>
        <v> </v>
      </c>
      <c r="BE163" s="292" t="str">
        <f aca="false">IF($A163="N/A"," ",(IF(AN163&gt;0,($BA163*(8*(VLOOKUP($A163,NumberofDaysTable,3)))*S163),0)+IF(AV163&gt;0,($BA163*((AV163))*S163),0)))</f>
        <v> </v>
      </c>
      <c r="BF163" s="292" t="str">
        <f aca="false">IF($A163="N/A"," ",(IF(AO163&gt;0,($BA163*(8*(VLOOKUP($A163,NumberofDaysTable,4)+VLOOKUP($A163,NumberofDaysTable,5)))*T163),0)+IF(AW163&gt;0,($BA163*((AW163))*T163),0)))</f>
        <v> </v>
      </c>
      <c r="BG163" s="292" t="str">
        <f aca="false">IF($A163="N/A"," ",(IF(AP163&gt;0,($BA163*(8*(VLOOKUP($A163,NumberofDaysTable,4)+VLOOKUP($A163,NumberofDaysTable,5)))*U163),0)+IF(AX163&gt;0,($BA163*((AX163))*U163),0)))</f>
        <v> </v>
      </c>
      <c r="BH163" s="292" t="str">
        <f aca="false">IF($A163="N/A"," ",($BA163*AQ163*V163))</f>
        <v> </v>
      </c>
      <c r="BI163" s="292" t="str">
        <f aca="false">IF($A163="N/A"," ",SUM(BB163:BH163))</f>
        <v> </v>
      </c>
      <c r="BJ163" s="293" t="str">
        <f aca="false">IF($A163="N/A"," ",(H163*(SUM(AK163:AQ163)+SUM(AS163:AY163))*BA163))</f>
        <v> </v>
      </c>
      <c r="BK163" s="293" t="str">
        <f aca="false">IF($A163="N/A"," ",((C163*D163)*(SUM($AK163:$AQ163)+SUM($AS163:$AY163))*$BA163))</f>
        <v> </v>
      </c>
      <c r="BL163" s="293" t="str">
        <f aca="false">IF($A163="N/A"," ",(F163*(SUM($AK163:$AQ163)+SUM($AS163:$AY163))*$BA163))</f>
        <v> </v>
      </c>
      <c r="BM163" s="293" t="str">
        <f aca="false">IF($A163="N/A"," ",(G163*(SUM($AK163:$AQ163)+SUM($AS163:$AY163))*$BA163))</f>
        <v> </v>
      </c>
      <c r="BN163" s="294" t="str">
        <f aca="false">IF(A163="N/A"," ",(VLOOKUP(A163,PowerVolTable,(IF('Pricing Inputs'!$AT$3=2,7,IF('Pricing Inputs'!$AT$3=1,6,8))),FALSE())))</f>
        <v> </v>
      </c>
      <c r="BO163" s="294" t="str">
        <f aca="false">IF(A163="N/A"," ",(VLOOKUP(A163,IntraPowerVol,(IF('Pricing Inputs'!$AT$3=2,3,IF('Pricing Inputs'!$AT$3=1,2,4))),FALSE())*VLOOKUP(MONTH($A163),Inputs!$A$28:$B$39,2)))</f>
        <v> </v>
      </c>
      <c r="BP163" s="295" t="str">
        <f aca="false">IF($A163="N/A"," ",(IF(DateToday&gt;$A163,$BO163,((($BN163^2)*((($A163-1)-DateToday)/((EOMONTH($A163,0)+1)-DateToday-15)))+((($BO163)^2)*((15)/((EOMONTH($A163,0)+1)-DateToday-15))))^0.5)))</f>
        <v> </v>
      </c>
      <c r="BQ163" s="294" t="str">
        <f aca="false">IF($A163="N/A"," ",(VLOOKUP($A163,GasVolTable,(IF('Pricing Inputs'!$AT$3=2,6,IF('Pricing Inputs'!$AT$3=1,7,5))),FALSE())))</f>
        <v> </v>
      </c>
      <c r="BR163" s="294" t="str">
        <f aca="false">IF($A163="N/A"," ",(VLOOKUP($A163,OmicronVol,(IF('Pricing Inputs'!$AT$3=2,3,IF('Pricing Inputs'!$AT$3=1,4,2))),FALSE())))</f>
        <v> </v>
      </c>
      <c r="BS163" s="295" t="str">
        <f aca="false">IF($A163="N/A"," ",IF('Pricing Inputs'!$AN$3=1,(IF(DateToday&gt;$A163,$BR163,((($BQ163^2)*((($A163-1)-DateToday)/((EOMONTH($A163,0)+1)-DateToday-15)))+((($BR163)^2)*((15)/((EOMONTH($A163,0)+1)-DateToday-15))))^0.5)),0.0001))</f>
        <v> </v>
      </c>
      <c r="BT163" s="294" t="str">
        <f aca="false">IF($A163="N/A"," ",IF('Pricing Inputs'!$AN$3=1,(VLOOKUP($A163,CorrelationTable,2,FALSE())),0))</f>
        <v> </v>
      </c>
      <c r="BU163" s="296" t="str">
        <f aca="false">IF($A163="N/A"," ",F163+G163+(D163*(VLOOKUP($A163,'Gas Curves'!$B$17:$P$310,14,FALSE()))))</f>
        <v> </v>
      </c>
      <c r="BV163" s="294" t="str">
        <f aca="false">IF($A163="N/A"," ",IF('Pricing Inputs'!$AW$3=1,0,(VLOOKUP($A163,InterestRatesTable,2))))</f>
        <v> </v>
      </c>
      <c r="BW163" s="297" t="str">
        <f aca="false">IF($A163="N/A"," ",(1+BV163/2)^(-2*((EOMONTH(A163,0)+20)-DateToday)/365.25))</f>
        <v> </v>
      </c>
    </row>
    <row r="164" customFormat="false" ht="12.75" hidden="false" customHeight="false" outlineLevel="0" collapsed="false">
      <c r="A164" s="272" t="str">
        <f aca="false">IF(A163="N/A","N/A",IF(EDATE(A163,1)&gt;Inputs!$K$3,"N/A",EDATE(A163,1)))</f>
        <v>N/A</v>
      </c>
      <c r="B164" s="273" t="str">
        <f aca="false">IF(A164="N/A"," ",YEAR(A164))</f>
        <v> </v>
      </c>
      <c r="C164" s="274" t="str">
        <f aca="false">IF(A164="N/A"," ",VLOOKUP(A164,ScaledPrice,10))</f>
        <v> </v>
      </c>
      <c r="D164" s="275" t="str">
        <f aca="false">IF(A164="N/A"," ",(VLOOKUP(MONTH($A164),Inputs!$A$14:$B$25,2))/1000)</f>
        <v> </v>
      </c>
      <c r="E164" s="276" t="str">
        <f aca="false">IF($A164="N/A"," ",C164*D164)</f>
        <v> </v>
      </c>
      <c r="F164" s="277" t="str">
        <f aca="false">IF(A164="N/A"," ",Inputs!$F$6)</f>
        <v> </v>
      </c>
      <c r="G164" s="277" t="str">
        <f aca="false">IF(A164="N/A"," ",Inputs!$F$9/IF(AND('Pricing Inputs'!$AQ$3&gt;=4,'Pricing Inputs'!$AQ$3&lt;=6),16,IF(AND('Pricing Inputs'!$AQ$3&gt;=7,'Pricing Inputs'!$AQ$3&lt;=9),8,24))/(BA164/BW164))</f>
        <v> </v>
      </c>
      <c r="H164" s="278" t="str">
        <f aca="false">IF(A164="N/A"," ",(C164*D164)+F164+G164)</f>
        <v> </v>
      </c>
      <c r="I164" s="279" t="str">
        <f aca="false">VLOOKUP(A164,ScaledPrice,(IF(AND('Pricing Inputs'!$AQ$3&gt;=1,'Pricing Inputs'!$AQ$3&lt;=6),2,4)))</f>
        <v> </v>
      </c>
      <c r="J164" s="279" t="str">
        <f aca="false">IF(A164="N/A"," ",IF(AND('Pricing Inputs'!$AQ$3&gt;=1,'Pricing Inputs'!$AQ$3&lt;=6),I164,(VLOOKUP(A164,ScaledPrice,2))*(2-(VLOOKUP(A164,ScaledPrice,3)))))</f>
        <v> </v>
      </c>
      <c r="K164" s="279" t="str">
        <f aca="false">IF(A164="N/A"," ",IF(OR('Pricing Inputs'!$AQ$3=2,'Pricing Inputs'!$AQ$3=3,'Pricing Inputs'!$AQ$3=5,'Pricing Inputs'!$AQ$3=6,'Pricing Inputs'!$AQ$3=8,'Pricing Inputs'!$AQ$3=9),VLOOKUP(A164,ScaledPrice,IF(AND('Pricing Inputs'!$AQ$3&gt;=2,'Pricing Inputs'!$AQ$3&lt;=6),5,6)),0))</f>
        <v> </v>
      </c>
      <c r="L164" s="279" t="str">
        <f aca="false">IF(A164="N/A"," ",IF(OR('Pricing Inputs'!$AQ$3=2,'Pricing Inputs'!$AQ$3=3,'Pricing Inputs'!$AQ$3=5,'Pricing Inputs'!$AQ$3=6,'Pricing Inputs'!$AQ$3=8,'Pricing Inputs'!$AQ$3=9),IF(AND('Pricing Inputs'!$AQ$3&gt;=2,'Pricing Inputs'!$AQ$3&lt;=6),K164,(VLOOKUP(A164,ScaledPrice,5))*(2-(VLOOKUP(A164,ScaledPrice,3)))),0))</f>
        <v> </v>
      </c>
      <c r="M164" s="279" t="str">
        <f aca="false">IF(A164="N/A"," ",IF(OR('Pricing Inputs'!$AQ$3=3,'Pricing Inputs'!$AQ$3=6,'Pricing Inputs'!$AQ$3=9),(VLOOKUP(A164,ScaledPrice,IF(AND('Pricing Inputs'!$AQ$3&gt;=3,'Pricing Inputs'!$AQ$3&lt;=6),7,8))),0))</f>
        <v> </v>
      </c>
      <c r="N164" s="279" t="str">
        <f aca="false">IF(A164="N/A"," ",IF(OR('Pricing Inputs'!$AQ$3=3,'Pricing Inputs'!$AQ$3=6,'Pricing Inputs'!$AQ$3=9),IF(AND('Pricing Inputs'!$AQ$3&gt;=3,'Pricing Inputs'!$AQ$3&lt;=6),M164,(VLOOKUP(A164,ScaledPrice,7))*(2-(VLOOKUP(A164,ScaledPrice,3)))),0))</f>
        <v> </v>
      </c>
      <c r="O164" s="279" t="str">
        <f aca="false">IF(A164="N/A"," ",IF(AND('Pricing Inputs'!$AQ$3&gt;=1,'Pricing Inputs'!$AQ$3&lt;=3),VLOOKUP(A164,ScaledPrice,9),0))</f>
        <v> </v>
      </c>
      <c r="P164" s="280" t="str">
        <f aca="false">IF($A164="N/A"," ",IF('Pricing Inputs'!$AN$8=2,(I164-H164),IF('Pricing Inputs'!$AN$3=2,IF((I164-$H164)&gt;0,I164-$H164,0),(xSPRDOPT(I164,$E164,$BU164,0,$BP164,$BS164,$BT164,($A164-Inputs!$D$1)+15,1,0)))))</f>
        <v> </v>
      </c>
      <c r="Q164" s="280" t="str">
        <f aca="false">IF($A164="N/A"," ",IF('Pricing Inputs'!$AN$8=2,(J164-$H164),IF('Pricing Inputs'!$AN$3=2,IF((J164-$H164)&gt;0,J164-$H164,0),(xSPRDOPT(J164,$E164,$BU164,0,$BP164,$BS164,$BT164,($A164-Inputs!$D$1)+15,1,0)))))</f>
        <v> </v>
      </c>
      <c r="R164" s="280" t="str">
        <f aca="false">IF($A164="N/A"," ",IF('Pricing Inputs'!$AN$8=2,(K164-$H164),IF('Pricing Inputs'!$AN$3=2,IF((K164-$H164)&gt;0,K164-$H164,0),(xSPRDOPT(K164,$E164,$BU164,0,$BP164,$BS164,$BT164,($A164-Inputs!$D$1)+15,1,0)))))</f>
        <v> </v>
      </c>
      <c r="S164" s="280" t="str">
        <f aca="false">IF($A164="N/A"," ",IF('Pricing Inputs'!$AN$8=2,(L164-$H164),IF('Pricing Inputs'!$AN$3=2,IF((L164-$H164)&gt;0,L164-$H164,0),(xSPRDOPT(L164,$E164,$BU164,0,$BP164,$BS164,$BT164,($A164-Inputs!$D$1)+15,1,0)))))</f>
        <v> </v>
      </c>
      <c r="T164" s="280" t="str">
        <f aca="false">IF($A164="N/A"," ",IF('Pricing Inputs'!$AN$8=2,(M164-$H164),IF('Pricing Inputs'!$AN$3=2,IF((M164-$H164)&gt;0,M164-$H164,0),(xSPRDOPT(M164,$E164,$BU164,0,$BP164,$BS164,$BT164,($A164-Inputs!$D$1)+15,1,0)))))</f>
        <v> </v>
      </c>
      <c r="U164" s="280" t="str">
        <f aca="false">IF($A164="N/A"," ",IF('Pricing Inputs'!$AN$8=2,(N164-$H164),IF('Pricing Inputs'!$AN$3=2,IF((N164-$H164)&gt;0,N164-$H164,0),(xSPRDOPT(N164,$E164,$BU164,0,$BP164,$BS164,$BT164,($A164-Inputs!$D$1)+15,1,0)))))</f>
        <v> </v>
      </c>
      <c r="V164" s="281" t="str">
        <f aca="false">IF($A164="N/A"," ",(IF('Pricing Inputs'!$AN$8=2,(O164-$H164),IF((O164-$H164)&lt;=0,0,(O164-$H164)))))</f>
        <v> </v>
      </c>
      <c r="W164" s="282" t="str">
        <f aca="false">IF($A164="N/A"," ",IF(0&lt;&gt;P164,IF('Pricing Inputs'!$AN$3=2,8*VLOOKUP($A164,NumberofDaysTable,2),(xSPRDOPT(I164,$E164,$BU164,0,$BP164,$BS164,$BT164,$A164-Inputs!$D$1,1,1))*(8*VLOOKUP($A164,NumberofDaysTable,2))),0))</f>
        <v> </v>
      </c>
      <c r="X164" s="282" t="str">
        <f aca="false">IF($A164="N/A"," ",IF(Q164&lt;&gt;0,IF('Pricing Inputs'!$AN$3=2,8*VLOOKUP($A164,NumberofDaysTable,2),(xSPRDOPT(J164,$E164,$BU164,0,$BP164,$BS164,$BT164,$A164-Inputs!$D$1,1,1))*(8*VLOOKUP($A164,NumberofDaysTable,2))),0))</f>
        <v> </v>
      </c>
      <c r="Y164" s="282" t="str">
        <f aca="false">IF($A164="N/A"," ",IF(R164&lt;&gt;0,IF('Pricing Inputs'!$AN$3=2,8*VLOOKUP($A164,NumberofDaysTable,3),(xSPRDOPT(K164,$E164,$BU164,0,$BP164,$BS164,$BT164,$A164-Inputs!$D$1,1,1))*(8*VLOOKUP($A164,NumberofDaysTable,3))),0))</f>
        <v> </v>
      </c>
      <c r="Z164" s="282" t="str">
        <f aca="false">IF($A164="N/A"," ",IF(S164&lt;&gt;0,IF('Pricing Inputs'!$AN$3=2,8*VLOOKUP($A164,NumberofDaysTable,3),(xSPRDOPT(L164,$E164,$BU164,0,$BP164,$BS164,$BT164,$A164-Inputs!$D$1,1,1))*(8*VLOOKUP($A164,NumberofDaysTable,3))),0))</f>
        <v> </v>
      </c>
      <c r="AA164" s="282" t="str">
        <f aca="false">IF($A164="N/A"," ",IF(T164&lt;&gt;0,IF('Pricing Inputs'!$AN$3=2,8*VLOOKUP($A164,NumberofDaysTable,4),(xSPRDOPT(M164,$E164,$BU164,0,$BP164,$BS164,$BT164,$A164-Inputs!$D$1,1,1))*(8*VLOOKUP($A164,NumberofDaysTable,4))),0))</f>
        <v> </v>
      </c>
      <c r="AB164" s="282" t="str">
        <f aca="false">IF($A164="N/A"," ",IF(U164&lt;&gt;0,IF('Pricing Inputs'!$AN$3=2,8*VLOOKUP($A164,NumberofDaysTable,4),(xSPRDOPT(N164,$E164,$BU164,0,$BP164,$BS164,$BT164,$A164-Inputs!$D$1,1,1))*(8*VLOOKUP($A164,NumberofDaysTable,4))),0))</f>
        <v> </v>
      </c>
      <c r="AC164" s="282" t="str">
        <f aca="false">IF($A164="N/A"," ",(IF(V164&lt;&gt;0,(8*VLOOKUP($A164,NumberofDaysTable,6)),0)))</f>
        <v> </v>
      </c>
      <c r="AD164" s="298" t="str">
        <f aca="false">IF($A164="N/A"," ",RANK(P164,$P$160:$V$171))</f>
        <v> </v>
      </c>
      <c r="AE164" s="299" t="str">
        <f aca="false">IF($A164="N/A"," ",RANK(Q164,$P$160:$V$171))</f>
        <v> </v>
      </c>
      <c r="AF164" s="299" t="str">
        <f aca="false">IF($A164="N/A"," ",RANK(R164,$P$160:$V$171))</f>
        <v> </v>
      </c>
      <c r="AG164" s="299" t="str">
        <f aca="false">IF($A164="N/A"," ",RANK(S164,$P$160:$V$171))</f>
        <v> </v>
      </c>
      <c r="AH164" s="299" t="str">
        <f aca="false">IF($A164="N/A"," ",RANK(T164,$P$160:$V$171))</f>
        <v> </v>
      </c>
      <c r="AI164" s="299" t="str">
        <f aca="false">IF($A164="N/A"," ",RANK(U164,$P$160:$V$171))</f>
        <v> </v>
      </c>
      <c r="AJ164" s="300" t="str">
        <f aca="false">IF($A164="N/A"," ",RANK(V164,$P$160:$V$171))</f>
        <v> </v>
      </c>
      <c r="AK164" s="286" t="str">
        <f aca="false">IF($A164="N/A"," ",IF(AD164&lt;=$AJ$2,W164,0))</f>
        <v> </v>
      </c>
      <c r="AL164" s="301" t="str">
        <f aca="false">IF($A164="N/A"," ",IF(AE164&lt;=$AJ$2,X164,0))</f>
        <v> </v>
      </c>
      <c r="AM164" s="301" t="str">
        <f aca="false">IF($A164="N/A"," ",IF(AF164&lt;=$AJ$2,Y164,0))</f>
        <v> </v>
      </c>
      <c r="AN164" s="301" t="str">
        <f aca="false">IF($A164="N/A"," ",IF(AG164&lt;=$AJ$2,Z164,0))</f>
        <v> </v>
      </c>
      <c r="AO164" s="301" t="str">
        <f aca="false">IF($A164="N/A"," ",IF(AH164&lt;=$AJ$2,AA164,0))</f>
        <v> </v>
      </c>
      <c r="AP164" s="301" t="str">
        <f aca="false">IF($A164="N/A"," ",IF(AI164&lt;=$AJ$2,AB164,0))</f>
        <v> </v>
      </c>
      <c r="AQ164" s="301" t="str">
        <f aca="false">IF($A164="N/A"," ",IF(AJ164&lt;=$AJ$2,AC164,0))</f>
        <v> </v>
      </c>
      <c r="AR164" s="300"/>
      <c r="AS164" s="288" t="str">
        <f aca="false">IF($A164="N/A"," ",IF(AND(AD164=$AJ$2+1,AK164=0),MIN($AR$171,W164),0))</f>
        <v> </v>
      </c>
      <c r="AT164" s="302" t="str">
        <f aca="false">IF($A164="N/A"," ",IF(AND(AE164=$AJ$2+1,AL164=0),MIN($AR$171,X164),0))</f>
        <v> </v>
      </c>
      <c r="AU164" s="302" t="str">
        <f aca="false">IF($A164="N/A"," ",IF(AND(AF164=$AJ$2+1,AM164=0),MIN($AR$171,Y164),0))</f>
        <v> </v>
      </c>
      <c r="AV164" s="302" t="str">
        <f aca="false">IF($A164="N/A"," ",IF(AND(AG164=$AJ$2+1,AN164=0),MIN($AR$171,Z164),0))</f>
        <v> </v>
      </c>
      <c r="AW164" s="302" t="str">
        <f aca="false">IF($A164="N/A"," ",IF(AND(AH164=$AJ$2+1,AO164=0),MIN($AR$171,AA164),0))</f>
        <v> </v>
      </c>
      <c r="AX164" s="302" t="str">
        <f aca="false">IF($A164="N/A"," ",IF(AND(AI164=$AJ$2+1,AP164=0),MIN($AR$171,AB164),0))</f>
        <v> </v>
      </c>
      <c r="AY164" s="302" t="str">
        <f aca="false">IF($A164="N/A"," ",IF(AND(AJ164=$AJ$2+1,AQ164=0),MIN($AR$171,AC164),0))</f>
        <v> </v>
      </c>
      <c r="AZ164" s="300"/>
      <c r="BA164" s="291" t="str">
        <f aca="false">IF($A164="N/A"," ",(IF(MONTH(A164)&gt;=4,IF(MONTH(A164)&lt;=10,Inputs!$F$13,Inputs!$F$14),Inputs!$F$14))*$BW164)</f>
        <v> </v>
      </c>
      <c r="BB164" s="292" t="str">
        <f aca="false">IF($A164="N/A"," ",(IF(AK164&gt;0,($BA164*(8*(VLOOKUP($A164,NumberofDaysTable,2)))*P164),0)+IF(AS164&gt;0,($BA164*((AS164))*P164),0)))</f>
        <v> </v>
      </c>
      <c r="BC164" s="292" t="str">
        <f aca="false">IF($A164="N/A"," ",(IF(AL164&gt;0,($BA164*(8*(VLOOKUP($A164,NumberofDaysTable,2)))*Q164),0)+IF(AT164&gt;0,($BA164*((AT164))*Q164),0)))</f>
        <v> </v>
      </c>
      <c r="BD164" s="292" t="str">
        <f aca="false">IF($A164="N/A"," ",(IF(AM164&gt;0,($BA164*(8*(VLOOKUP($A164,NumberofDaysTable,3)))*R164),0)+IF(AU164&gt;0,($BA164*((AU164))*R164),0)))</f>
        <v> </v>
      </c>
      <c r="BE164" s="292" t="str">
        <f aca="false">IF($A164="N/A"," ",(IF(AN164&gt;0,($BA164*(8*(VLOOKUP($A164,NumberofDaysTable,3)))*S164),0)+IF(AV164&gt;0,($BA164*((AV164))*S164),0)))</f>
        <v> </v>
      </c>
      <c r="BF164" s="292" t="str">
        <f aca="false">IF($A164="N/A"," ",(IF(AO164&gt;0,($BA164*(8*(VLOOKUP($A164,NumberofDaysTable,4)+VLOOKUP($A164,NumberofDaysTable,5)))*T164),0)+IF(AW164&gt;0,($BA164*((AW164))*T164),0)))</f>
        <v> </v>
      </c>
      <c r="BG164" s="292" t="str">
        <f aca="false">IF($A164="N/A"," ",(IF(AP164&gt;0,($BA164*(8*(VLOOKUP($A164,NumberofDaysTable,4)+VLOOKUP($A164,NumberofDaysTable,5)))*U164),0)+IF(AX164&gt;0,($BA164*((AX164))*U164),0)))</f>
        <v> </v>
      </c>
      <c r="BH164" s="292" t="str">
        <f aca="false">IF($A164="N/A"," ",($BA164*AQ164*V164))</f>
        <v> </v>
      </c>
      <c r="BI164" s="292" t="str">
        <f aca="false">IF($A164="N/A"," ",SUM(BB164:BH164))</f>
        <v> </v>
      </c>
      <c r="BJ164" s="293" t="str">
        <f aca="false">IF($A164="N/A"," ",(H164*(SUM(AK164:AQ164)+SUM(AS164:AY164))*BA164))</f>
        <v> </v>
      </c>
      <c r="BK164" s="293" t="str">
        <f aca="false">IF($A164="N/A"," ",((C164*D164)*(SUM($AK164:$AQ164)+SUM($AS164:$AY164))*$BA164))</f>
        <v> </v>
      </c>
      <c r="BL164" s="293" t="str">
        <f aca="false">IF($A164="N/A"," ",(F164*(SUM($AK164:$AQ164)+SUM($AS164:$AY164))*$BA164))</f>
        <v> </v>
      </c>
      <c r="BM164" s="293" t="str">
        <f aca="false">IF($A164="N/A"," ",(G164*(SUM($AK164:$AQ164)+SUM($AS164:$AY164))*$BA164))</f>
        <v> </v>
      </c>
      <c r="BN164" s="294" t="str">
        <f aca="false">IF(A164="N/A"," ",(VLOOKUP(A164,PowerVolTable,(IF('Pricing Inputs'!$AT$3=2,7,IF('Pricing Inputs'!$AT$3=1,6,8))),FALSE())))</f>
        <v> </v>
      </c>
      <c r="BO164" s="294" t="str">
        <f aca="false">IF(A164="N/A"," ",(VLOOKUP(A164,IntraPowerVol,(IF('Pricing Inputs'!$AT$3=2,3,IF('Pricing Inputs'!$AT$3=1,2,4))),FALSE())*VLOOKUP(MONTH($A164),Inputs!$A$28:$B$39,2)))</f>
        <v> </v>
      </c>
      <c r="BP164" s="295" t="str">
        <f aca="false">IF($A164="N/A"," ",(IF(DateToday&gt;$A164,$BO164,((($BN164^2)*((($A164-1)-DateToday)/((EOMONTH($A164,0)+1)-DateToday-15)))+((($BO164)^2)*((15)/((EOMONTH($A164,0)+1)-DateToday-15))))^0.5)))</f>
        <v> </v>
      </c>
      <c r="BQ164" s="294" t="str">
        <f aca="false">IF($A164="N/A"," ",(VLOOKUP($A164,GasVolTable,(IF('Pricing Inputs'!$AT$3=2,6,IF('Pricing Inputs'!$AT$3=1,7,5))),FALSE())))</f>
        <v> </v>
      </c>
      <c r="BR164" s="294" t="str">
        <f aca="false">IF($A164="N/A"," ",(VLOOKUP($A164,OmicronVol,(IF('Pricing Inputs'!$AT$3=2,3,IF('Pricing Inputs'!$AT$3=1,4,2))),FALSE())))</f>
        <v> </v>
      </c>
      <c r="BS164" s="295" t="str">
        <f aca="false">IF($A164="N/A"," ",IF('Pricing Inputs'!$AN$3=1,(IF(DateToday&gt;$A164,$BR164,((($BQ164^2)*((($A164-1)-DateToday)/((EOMONTH($A164,0)+1)-DateToday-15)))+((($BR164)^2)*((15)/((EOMONTH($A164,0)+1)-DateToday-15))))^0.5)),0.0001))</f>
        <v> </v>
      </c>
      <c r="BT164" s="294" t="str">
        <f aca="false">IF($A164="N/A"," ",IF('Pricing Inputs'!$AN$3=1,(VLOOKUP($A164,CorrelationTable,2,FALSE())),0))</f>
        <v> </v>
      </c>
      <c r="BU164" s="296" t="str">
        <f aca="false">IF($A164="N/A"," ",F164+G164+(D164*(VLOOKUP($A164,'Gas Curves'!$B$17:$P$310,14,FALSE()))))</f>
        <v> </v>
      </c>
      <c r="BV164" s="294" t="str">
        <f aca="false">IF($A164="N/A"," ",IF('Pricing Inputs'!$AW$3=1,0,(VLOOKUP($A164,InterestRatesTable,2))))</f>
        <v> </v>
      </c>
      <c r="BW164" s="297" t="str">
        <f aca="false">IF($A164="N/A"," ",(1+BV164/2)^(-2*((EOMONTH(A164,0)+20)-DateToday)/365.25))</f>
        <v> </v>
      </c>
    </row>
    <row r="165" customFormat="false" ht="12.75" hidden="false" customHeight="false" outlineLevel="0" collapsed="false">
      <c r="A165" s="272" t="str">
        <f aca="false">IF(A164="N/A","N/A",IF(EDATE(A164,1)&gt;Inputs!$K$3,"N/A",EDATE(A164,1)))</f>
        <v>N/A</v>
      </c>
      <c r="B165" s="273" t="str">
        <f aca="false">IF(A165="N/A"," ",YEAR(A165))</f>
        <v> </v>
      </c>
      <c r="C165" s="274" t="str">
        <f aca="false">IF(A165="N/A"," ",VLOOKUP(A165,ScaledPrice,10))</f>
        <v> </v>
      </c>
      <c r="D165" s="275" t="str">
        <f aca="false">IF(A165="N/A"," ",(VLOOKUP(MONTH($A165),Inputs!$A$14:$B$25,2))/1000)</f>
        <v> </v>
      </c>
      <c r="E165" s="276" t="str">
        <f aca="false">IF($A165="N/A"," ",C165*D165)</f>
        <v> </v>
      </c>
      <c r="F165" s="277" t="str">
        <f aca="false">IF(A165="N/A"," ",Inputs!$F$6)</f>
        <v> </v>
      </c>
      <c r="G165" s="277" t="str">
        <f aca="false">IF(A165="N/A"," ",Inputs!$F$9/IF(AND('Pricing Inputs'!$AQ$3&gt;=4,'Pricing Inputs'!$AQ$3&lt;=6),16,IF(AND('Pricing Inputs'!$AQ$3&gt;=7,'Pricing Inputs'!$AQ$3&lt;=9),8,24))/(BA165/BW165))</f>
        <v> </v>
      </c>
      <c r="H165" s="278" t="str">
        <f aca="false">IF(A165="N/A"," ",(C165*D165)+F165+G165)</f>
        <v> </v>
      </c>
      <c r="I165" s="279" t="str">
        <f aca="false">VLOOKUP(A165,ScaledPrice,(IF(AND('Pricing Inputs'!$AQ$3&gt;=1,'Pricing Inputs'!$AQ$3&lt;=6),2,4)))</f>
        <v> </v>
      </c>
      <c r="J165" s="279" t="str">
        <f aca="false">IF(A165="N/A"," ",IF(AND('Pricing Inputs'!$AQ$3&gt;=1,'Pricing Inputs'!$AQ$3&lt;=6),I165,(VLOOKUP(A165,ScaledPrice,2))*(2-(VLOOKUP(A165,ScaledPrice,3)))))</f>
        <v> </v>
      </c>
      <c r="K165" s="279" t="str">
        <f aca="false">IF(A165="N/A"," ",IF(OR('Pricing Inputs'!$AQ$3=2,'Pricing Inputs'!$AQ$3=3,'Pricing Inputs'!$AQ$3=5,'Pricing Inputs'!$AQ$3=6,'Pricing Inputs'!$AQ$3=8,'Pricing Inputs'!$AQ$3=9),VLOOKUP(A165,ScaledPrice,IF(AND('Pricing Inputs'!$AQ$3&gt;=2,'Pricing Inputs'!$AQ$3&lt;=6),5,6)),0))</f>
        <v> </v>
      </c>
      <c r="L165" s="279" t="str">
        <f aca="false">IF(A165="N/A"," ",IF(OR('Pricing Inputs'!$AQ$3=2,'Pricing Inputs'!$AQ$3=3,'Pricing Inputs'!$AQ$3=5,'Pricing Inputs'!$AQ$3=6,'Pricing Inputs'!$AQ$3=8,'Pricing Inputs'!$AQ$3=9),IF(AND('Pricing Inputs'!$AQ$3&gt;=2,'Pricing Inputs'!$AQ$3&lt;=6),K165,(VLOOKUP(A165,ScaledPrice,5))*(2-(VLOOKUP(A165,ScaledPrice,3)))),0))</f>
        <v> </v>
      </c>
      <c r="M165" s="279" t="str">
        <f aca="false">IF(A165="N/A"," ",IF(OR('Pricing Inputs'!$AQ$3=3,'Pricing Inputs'!$AQ$3=6,'Pricing Inputs'!$AQ$3=9),(VLOOKUP(A165,ScaledPrice,IF(AND('Pricing Inputs'!$AQ$3&gt;=3,'Pricing Inputs'!$AQ$3&lt;=6),7,8))),0))</f>
        <v> </v>
      </c>
      <c r="N165" s="279" t="str">
        <f aca="false">IF(A165="N/A"," ",IF(OR('Pricing Inputs'!$AQ$3=3,'Pricing Inputs'!$AQ$3=6,'Pricing Inputs'!$AQ$3=9),IF(AND('Pricing Inputs'!$AQ$3&gt;=3,'Pricing Inputs'!$AQ$3&lt;=6),M165,(VLOOKUP(A165,ScaledPrice,7))*(2-(VLOOKUP(A165,ScaledPrice,3)))),0))</f>
        <v> </v>
      </c>
      <c r="O165" s="279" t="str">
        <f aca="false">IF(A165="N/A"," ",IF(AND('Pricing Inputs'!$AQ$3&gt;=1,'Pricing Inputs'!$AQ$3&lt;=3),VLOOKUP(A165,ScaledPrice,9),0))</f>
        <v> </v>
      </c>
      <c r="P165" s="280" t="str">
        <f aca="false">IF($A165="N/A"," ",IF('Pricing Inputs'!$AN$8=2,(I165-H165),IF('Pricing Inputs'!$AN$3=2,IF((I165-$H165)&gt;0,I165-$H165,0),(xSPRDOPT(I165,$E165,$BU165,0,$BP165,$BS165,$BT165,($A165-Inputs!$D$1)+15,1,0)))))</f>
        <v> </v>
      </c>
      <c r="Q165" s="280" t="str">
        <f aca="false">IF($A165="N/A"," ",IF('Pricing Inputs'!$AN$8=2,(J165-$H165),IF('Pricing Inputs'!$AN$3=2,IF((J165-$H165)&gt;0,J165-$H165,0),(xSPRDOPT(J165,$E165,$BU165,0,$BP165,$BS165,$BT165,($A165-Inputs!$D$1)+15,1,0)))))</f>
        <v> </v>
      </c>
      <c r="R165" s="280" t="str">
        <f aca="false">IF($A165="N/A"," ",IF('Pricing Inputs'!$AN$8=2,(K165-$H165),IF('Pricing Inputs'!$AN$3=2,IF((K165-$H165)&gt;0,K165-$H165,0),(xSPRDOPT(K165,$E165,$BU165,0,$BP165,$BS165,$BT165,($A165-Inputs!$D$1)+15,1,0)))))</f>
        <v> </v>
      </c>
      <c r="S165" s="280" t="str">
        <f aca="false">IF($A165="N/A"," ",IF('Pricing Inputs'!$AN$8=2,(L165-$H165),IF('Pricing Inputs'!$AN$3=2,IF((L165-$H165)&gt;0,L165-$H165,0),(xSPRDOPT(L165,$E165,$BU165,0,$BP165,$BS165,$BT165,($A165-Inputs!$D$1)+15,1,0)))))</f>
        <v> </v>
      </c>
      <c r="T165" s="280" t="str">
        <f aca="false">IF($A165="N/A"," ",IF('Pricing Inputs'!$AN$8=2,(M165-$H165),IF('Pricing Inputs'!$AN$3=2,IF((M165-$H165)&gt;0,M165-$H165,0),(xSPRDOPT(M165,$E165,$BU165,0,$BP165,$BS165,$BT165,($A165-Inputs!$D$1)+15,1,0)))))</f>
        <v> </v>
      </c>
      <c r="U165" s="280" t="str">
        <f aca="false">IF($A165="N/A"," ",IF('Pricing Inputs'!$AN$8=2,(N165-$H165),IF('Pricing Inputs'!$AN$3=2,IF((N165-$H165)&gt;0,N165-$H165,0),(xSPRDOPT(N165,$E165,$BU165,0,$BP165,$BS165,$BT165,($A165-Inputs!$D$1)+15,1,0)))))</f>
        <v> </v>
      </c>
      <c r="V165" s="281" t="str">
        <f aca="false">IF($A165="N/A"," ",(IF('Pricing Inputs'!$AN$8=2,(O165-$H165),IF((O165-$H165)&lt;=0,0,(O165-$H165)))))</f>
        <v> </v>
      </c>
      <c r="W165" s="282" t="str">
        <f aca="false">IF($A165="N/A"," ",IF(0&lt;&gt;P165,IF('Pricing Inputs'!$AN$3=2,8*VLOOKUP($A165,NumberofDaysTable,2),(xSPRDOPT(I165,$E165,$BU165,0,$BP165,$BS165,$BT165,$A165-Inputs!$D$1,1,1))*(8*VLOOKUP($A165,NumberofDaysTable,2))),0))</f>
        <v> </v>
      </c>
      <c r="X165" s="282" t="str">
        <f aca="false">IF($A165="N/A"," ",IF(Q165&lt;&gt;0,IF('Pricing Inputs'!$AN$3=2,8*VLOOKUP($A165,NumberofDaysTable,2),(xSPRDOPT(J165,$E165,$BU165,0,$BP165,$BS165,$BT165,$A165-Inputs!$D$1,1,1))*(8*VLOOKUP($A165,NumberofDaysTable,2))),0))</f>
        <v> </v>
      </c>
      <c r="Y165" s="282" t="str">
        <f aca="false">IF($A165="N/A"," ",IF(R165&lt;&gt;0,IF('Pricing Inputs'!$AN$3=2,8*VLOOKUP($A165,NumberofDaysTable,3),(xSPRDOPT(K165,$E165,$BU165,0,$BP165,$BS165,$BT165,$A165-Inputs!$D$1,1,1))*(8*VLOOKUP($A165,NumberofDaysTable,3))),0))</f>
        <v> </v>
      </c>
      <c r="Z165" s="282" t="str">
        <f aca="false">IF($A165="N/A"," ",IF(S165&lt;&gt;0,IF('Pricing Inputs'!$AN$3=2,8*VLOOKUP($A165,NumberofDaysTable,3),(xSPRDOPT(L165,$E165,$BU165,0,$BP165,$BS165,$BT165,$A165-Inputs!$D$1,1,1))*(8*VLOOKUP($A165,NumberofDaysTable,3))),0))</f>
        <v> </v>
      </c>
      <c r="AA165" s="282" t="str">
        <f aca="false">IF($A165="N/A"," ",IF(T165&lt;&gt;0,IF('Pricing Inputs'!$AN$3=2,8*VLOOKUP($A165,NumberofDaysTable,4),(xSPRDOPT(M165,$E165,$BU165,0,$BP165,$BS165,$BT165,$A165-Inputs!$D$1,1,1))*(8*VLOOKUP($A165,NumberofDaysTable,4))),0))</f>
        <v> </v>
      </c>
      <c r="AB165" s="282" t="str">
        <f aca="false">IF($A165="N/A"," ",IF(U165&lt;&gt;0,IF('Pricing Inputs'!$AN$3=2,8*VLOOKUP($A165,NumberofDaysTable,4),(xSPRDOPT(N165,$E165,$BU165,0,$BP165,$BS165,$BT165,$A165-Inputs!$D$1,1,1))*(8*VLOOKUP($A165,NumberofDaysTable,4))),0))</f>
        <v> </v>
      </c>
      <c r="AC165" s="282" t="str">
        <f aca="false">IF($A165="N/A"," ",(IF(V165&lt;&gt;0,(8*VLOOKUP($A165,NumberofDaysTable,6)),0)))</f>
        <v> </v>
      </c>
      <c r="AD165" s="298" t="str">
        <f aca="false">IF($A165="N/A"," ",RANK(P165,$P$160:$V$171))</f>
        <v> </v>
      </c>
      <c r="AE165" s="299" t="str">
        <f aca="false">IF($A165="N/A"," ",RANK(Q165,$P$160:$V$171))</f>
        <v> </v>
      </c>
      <c r="AF165" s="299" t="str">
        <f aca="false">IF($A165="N/A"," ",RANK(R165,$P$160:$V$171))</f>
        <v> </v>
      </c>
      <c r="AG165" s="299" t="str">
        <f aca="false">IF($A165="N/A"," ",RANK(S165,$P$160:$V$171))</f>
        <v> </v>
      </c>
      <c r="AH165" s="299" t="str">
        <f aca="false">IF($A165="N/A"," ",RANK(T165,$P$160:$V$171))</f>
        <v> </v>
      </c>
      <c r="AI165" s="299" t="str">
        <f aca="false">IF($A165="N/A"," ",RANK(U165,$P$160:$V$171))</f>
        <v> </v>
      </c>
      <c r="AJ165" s="300" t="str">
        <f aca="false">IF($A165="N/A"," ",RANK(V165,$P$160:$V$171))</f>
        <v> </v>
      </c>
      <c r="AK165" s="286" t="str">
        <f aca="false">IF($A165="N/A"," ",IF(AD165&lt;=$AJ$2,W165,0))</f>
        <v> </v>
      </c>
      <c r="AL165" s="301" t="str">
        <f aca="false">IF($A165="N/A"," ",IF(AE165&lt;=$AJ$2,X165,0))</f>
        <v> </v>
      </c>
      <c r="AM165" s="301" t="str">
        <f aca="false">IF($A165="N/A"," ",IF(AF165&lt;=$AJ$2,Y165,0))</f>
        <v> </v>
      </c>
      <c r="AN165" s="301" t="str">
        <f aca="false">IF($A165="N/A"," ",IF(AG165&lt;=$AJ$2,Z165,0))</f>
        <v> </v>
      </c>
      <c r="AO165" s="301" t="str">
        <f aca="false">IF($A165="N/A"," ",IF(AH165&lt;=$AJ$2,AA165,0))</f>
        <v> </v>
      </c>
      <c r="AP165" s="301" t="str">
        <f aca="false">IF($A165="N/A"," ",IF(AI165&lt;=$AJ$2,AB165,0))</f>
        <v> </v>
      </c>
      <c r="AQ165" s="301" t="str">
        <f aca="false">IF($A165="N/A"," ",IF(AJ165&lt;=$AJ$2,AC165,0))</f>
        <v> </v>
      </c>
      <c r="AR165" s="300"/>
      <c r="AS165" s="288" t="str">
        <f aca="false">IF($A165="N/A"," ",IF(AND(AD165=$AJ$2+1,AK165=0),MIN($AR$171,W165),0))</f>
        <v> </v>
      </c>
      <c r="AT165" s="302" t="str">
        <f aca="false">IF($A165="N/A"," ",IF(AND(AE165=$AJ$2+1,AL165=0),MIN($AR$171,X165),0))</f>
        <v> </v>
      </c>
      <c r="AU165" s="302" t="str">
        <f aca="false">IF($A165="N/A"," ",IF(AND(AF165=$AJ$2+1,AM165=0),MIN($AR$171,Y165),0))</f>
        <v> </v>
      </c>
      <c r="AV165" s="302" t="str">
        <f aca="false">IF($A165="N/A"," ",IF(AND(AG165=$AJ$2+1,AN165=0),MIN($AR$171,Z165),0))</f>
        <v> </v>
      </c>
      <c r="AW165" s="302" t="str">
        <f aca="false">IF($A165="N/A"," ",IF(AND(AH165=$AJ$2+1,AO165=0),MIN($AR$171,AA165),0))</f>
        <v> </v>
      </c>
      <c r="AX165" s="302" t="str">
        <f aca="false">IF($A165="N/A"," ",IF(AND(AI165=$AJ$2+1,AP165=0),MIN($AR$171,AB165),0))</f>
        <v> </v>
      </c>
      <c r="AY165" s="302" t="str">
        <f aca="false">IF($A165="N/A"," ",IF(AND(AJ165=$AJ$2+1,AQ165=0),MIN($AR$171,AC165),0))</f>
        <v> </v>
      </c>
      <c r="AZ165" s="300"/>
      <c r="BA165" s="291" t="str">
        <f aca="false">IF($A165="N/A"," ",(IF(MONTH(A165)&gt;=4,IF(MONTH(A165)&lt;=10,Inputs!$F$13,Inputs!$F$14),Inputs!$F$14))*$BW165)</f>
        <v> </v>
      </c>
      <c r="BB165" s="292" t="str">
        <f aca="false">IF($A165="N/A"," ",(IF(AK165&gt;0,($BA165*(8*(VLOOKUP($A165,NumberofDaysTable,2)))*P165),0)+IF(AS165&gt;0,($BA165*((AS165))*P165),0)))</f>
        <v> </v>
      </c>
      <c r="BC165" s="292" t="str">
        <f aca="false">IF($A165="N/A"," ",(IF(AL165&gt;0,($BA165*(8*(VLOOKUP($A165,NumberofDaysTable,2)))*Q165),0)+IF(AT165&gt;0,($BA165*((AT165))*Q165),0)))</f>
        <v> </v>
      </c>
      <c r="BD165" s="292" t="str">
        <f aca="false">IF($A165="N/A"," ",(IF(AM165&gt;0,($BA165*(8*(VLOOKUP($A165,NumberofDaysTable,3)))*R165),0)+IF(AU165&gt;0,($BA165*((AU165))*R165),0)))</f>
        <v> </v>
      </c>
      <c r="BE165" s="292" t="str">
        <f aca="false">IF($A165="N/A"," ",(IF(AN165&gt;0,($BA165*(8*(VLOOKUP($A165,NumberofDaysTable,3)))*S165),0)+IF(AV165&gt;0,($BA165*((AV165))*S165),0)))</f>
        <v> </v>
      </c>
      <c r="BF165" s="292" t="str">
        <f aca="false">IF($A165="N/A"," ",(IF(AO165&gt;0,($BA165*(8*(VLOOKUP($A165,NumberofDaysTable,4)+VLOOKUP($A165,NumberofDaysTable,5)))*T165),0)+IF(AW165&gt;0,($BA165*((AW165))*T165),0)))</f>
        <v> </v>
      </c>
      <c r="BG165" s="292" t="str">
        <f aca="false">IF($A165="N/A"," ",(IF(AP165&gt;0,($BA165*(8*(VLOOKUP($A165,NumberofDaysTable,4)+VLOOKUP($A165,NumberofDaysTable,5)))*U165),0)+IF(AX165&gt;0,($BA165*((AX165))*U165),0)))</f>
        <v> </v>
      </c>
      <c r="BH165" s="292" t="str">
        <f aca="false">IF($A165="N/A"," ",($BA165*AQ165*V165))</f>
        <v> </v>
      </c>
      <c r="BI165" s="292" t="str">
        <f aca="false">IF($A165="N/A"," ",SUM(BB165:BH165))</f>
        <v> </v>
      </c>
      <c r="BJ165" s="293" t="str">
        <f aca="false">IF($A165="N/A"," ",(H165*(SUM(AK165:AQ165)+SUM(AS165:AY165))*BA165))</f>
        <v> </v>
      </c>
      <c r="BK165" s="293" t="str">
        <f aca="false">IF($A165="N/A"," ",((C165*D165)*(SUM($AK165:$AQ165)+SUM($AS165:$AY165))*$BA165))</f>
        <v> </v>
      </c>
      <c r="BL165" s="293" t="str">
        <f aca="false">IF($A165="N/A"," ",(F165*(SUM($AK165:$AQ165)+SUM($AS165:$AY165))*$BA165))</f>
        <v> </v>
      </c>
      <c r="BM165" s="293" t="str">
        <f aca="false">IF($A165="N/A"," ",(G165*(SUM($AK165:$AQ165)+SUM($AS165:$AY165))*$BA165))</f>
        <v> </v>
      </c>
      <c r="BN165" s="294" t="str">
        <f aca="false">IF(A165="N/A"," ",(VLOOKUP(A165,PowerVolTable,(IF('Pricing Inputs'!$AT$3=2,7,IF('Pricing Inputs'!$AT$3=1,6,8))),FALSE())))</f>
        <v> </v>
      </c>
      <c r="BO165" s="294" t="str">
        <f aca="false">IF(A165="N/A"," ",(VLOOKUP(A165,IntraPowerVol,(IF('Pricing Inputs'!$AT$3=2,3,IF('Pricing Inputs'!$AT$3=1,2,4))),FALSE())*VLOOKUP(MONTH($A165),Inputs!$A$28:$B$39,2)))</f>
        <v> </v>
      </c>
      <c r="BP165" s="295" t="str">
        <f aca="false">IF($A165="N/A"," ",(IF(DateToday&gt;$A165,$BO165,((($BN165^2)*((($A165-1)-DateToday)/((EOMONTH($A165,0)+1)-DateToday-15)))+((($BO165)^2)*((15)/((EOMONTH($A165,0)+1)-DateToday-15))))^0.5)))</f>
        <v> </v>
      </c>
      <c r="BQ165" s="294" t="str">
        <f aca="false">IF($A165="N/A"," ",(VLOOKUP($A165,GasVolTable,(IF('Pricing Inputs'!$AT$3=2,6,IF('Pricing Inputs'!$AT$3=1,7,5))),FALSE())))</f>
        <v> </v>
      </c>
      <c r="BR165" s="294" t="str">
        <f aca="false">IF($A165="N/A"," ",(VLOOKUP($A165,OmicronVol,(IF('Pricing Inputs'!$AT$3=2,3,IF('Pricing Inputs'!$AT$3=1,4,2))),FALSE())))</f>
        <v> </v>
      </c>
      <c r="BS165" s="295" t="str">
        <f aca="false">IF($A165="N/A"," ",IF('Pricing Inputs'!$AN$3=1,(IF(DateToday&gt;$A165,$BR165,((($BQ165^2)*((($A165-1)-DateToday)/((EOMONTH($A165,0)+1)-DateToday-15)))+((($BR165)^2)*((15)/((EOMONTH($A165,0)+1)-DateToday-15))))^0.5)),0.0001))</f>
        <v> </v>
      </c>
      <c r="BT165" s="294" t="str">
        <f aca="false">IF($A165="N/A"," ",IF('Pricing Inputs'!$AN$3=1,(VLOOKUP($A165,CorrelationTable,2,FALSE())),0))</f>
        <v> </v>
      </c>
      <c r="BU165" s="296" t="str">
        <f aca="false">IF($A165="N/A"," ",F165+G165+(D165*(VLOOKUP($A165,'Gas Curves'!$B$17:$P$310,14,FALSE()))))</f>
        <v> </v>
      </c>
      <c r="BV165" s="294" t="str">
        <f aca="false">IF($A165="N/A"," ",IF('Pricing Inputs'!$AW$3=1,0,(VLOOKUP($A165,InterestRatesTable,2))))</f>
        <v> </v>
      </c>
      <c r="BW165" s="297" t="str">
        <f aca="false">IF($A165="N/A"," ",(1+BV165/2)^(-2*((EOMONTH(A165,0)+20)-DateToday)/365.25))</f>
        <v> </v>
      </c>
    </row>
    <row r="166" customFormat="false" ht="12.75" hidden="false" customHeight="false" outlineLevel="0" collapsed="false">
      <c r="A166" s="272" t="str">
        <f aca="false">IF(A165="N/A","N/A",IF(EDATE(A165,1)&gt;Inputs!$K$3,"N/A",EDATE(A165,1)))</f>
        <v>N/A</v>
      </c>
      <c r="B166" s="273" t="str">
        <f aca="false">IF(A166="N/A"," ",YEAR(A166))</f>
        <v> </v>
      </c>
      <c r="C166" s="274" t="str">
        <f aca="false">IF(A166="N/A"," ",VLOOKUP(A166,ScaledPrice,10))</f>
        <v> </v>
      </c>
      <c r="D166" s="275" t="str">
        <f aca="false">IF(A166="N/A"," ",(VLOOKUP(MONTH($A166),Inputs!$A$14:$B$25,2))/1000)</f>
        <v> </v>
      </c>
      <c r="E166" s="276" t="str">
        <f aca="false">IF($A166="N/A"," ",C166*D166)</f>
        <v> </v>
      </c>
      <c r="F166" s="277" t="str">
        <f aca="false">IF(A166="N/A"," ",Inputs!$F$6)</f>
        <v> </v>
      </c>
      <c r="G166" s="277" t="str">
        <f aca="false">IF(A166="N/A"," ",Inputs!$F$9/IF(AND('Pricing Inputs'!$AQ$3&gt;=4,'Pricing Inputs'!$AQ$3&lt;=6),16,IF(AND('Pricing Inputs'!$AQ$3&gt;=7,'Pricing Inputs'!$AQ$3&lt;=9),8,24))/(BA166/BW166))</f>
        <v> </v>
      </c>
      <c r="H166" s="278" t="str">
        <f aca="false">IF(A166="N/A"," ",(C166*D166)+F166+G166)</f>
        <v> </v>
      </c>
      <c r="I166" s="279" t="str">
        <f aca="false">VLOOKUP(A166,ScaledPrice,(IF(AND('Pricing Inputs'!$AQ$3&gt;=1,'Pricing Inputs'!$AQ$3&lt;=6),2,4)))</f>
        <v> </v>
      </c>
      <c r="J166" s="279" t="str">
        <f aca="false">IF(A166="N/A"," ",IF(AND('Pricing Inputs'!$AQ$3&gt;=1,'Pricing Inputs'!$AQ$3&lt;=6),I166,(VLOOKUP(A166,ScaledPrice,2))*(2-(VLOOKUP(A166,ScaledPrice,3)))))</f>
        <v> </v>
      </c>
      <c r="K166" s="279" t="str">
        <f aca="false">IF(A166="N/A"," ",IF(OR('Pricing Inputs'!$AQ$3=2,'Pricing Inputs'!$AQ$3=3,'Pricing Inputs'!$AQ$3=5,'Pricing Inputs'!$AQ$3=6,'Pricing Inputs'!$AQ$3=8,'Pricing Inputs'!$AQ$3=9),VLOOKUP(A166,ScaledPrice,IF(AND('Pricing Inputs'!$AQ$3&gt;=2,'Pricing Inputs'!$AQ$3&lt;=6),5,6)),0))</f>
        <v> </v>
      </c>
      <c r="L166" s="279" t="str">
        <f aca="false">IF(A166="N/A"," ",IF(OR('Pricing Inputs'!$AQ$3=2,'Pricing Inputs'!$AQ$3=3,'Pricing Inputs'!$AQ$3=5,'Pricing Inputs'!$AQ$3=6,'Pricing Inputs'!$AQ$3=8,'Pricing Inputs'!$AQ$3=9),IF(AND('Pricing Inputs'!$AQ$3&gt;=2,'Pricing Inputs'!$AQ$3&lt;=6),K166,(VLOOKUP(A166,ScaledPrice,5))*(2-(VLOOKUP(A166,ScaledPrice,3)))),0))</f>
        <v> </v>
      </c>
      <c r="M166" s="279" t="str">
        <f aca="false">IF(A166="N/A"," ",IF(OR('Pricing Inputs'!$AQ$3=3,'Pricing Inputs'!$AQ$3=6,'Pricing Inputs'!$AQ$3=9),(VLOOKUP(A166,ScaledPrice,IF(AND('Pricing Inputs'!$AQ$3&gt;=3,'Pricing Inputs'!$AQ$3&lt;=6),7,8))),0))</f>
        <v> </v>
      </c>
      <c r="N166" s="279" t="str">
        <f aca="false">IF(A166="N/A"," ",IF(OR('Pricing Inputs'!$AQ$3=3,'Pricing Inputs'!$AQ$3=6,'Pricing Inputs'!$AQ$3=9),IF(AND('Pricing Inputs'!$AQ$3&gt;=3,'Pricing Inputs'!$AQ$3&lt;=6),M166,(VLOOKUP(A166,ScaledPrice,7))*(2-(VLOOKUP(A166,ScaledPrice,3)))),0))</f>
        <v> </v>
      </c>
      <c r="O166" s="279" t="str">
        <f aca="false">IF(A166="N/A"," ",IF(AND('Pricing Inputs'!$AQ$3&gt;=1,'Pricing Inputs'!$AQ$3&lt;=3),VLOOKUP(A166,ScaledPrice,9),0))</f>
        <v> </v>
      </c>
      <c r="P166" s="280" t="str">
        <f aca="false">IF($A166="N/A"," ",IF('Pricing Inputs'!$AN$8=2,(I166-H166),IF('Pricing Inputs'!$AN$3=2,IF((I166-$H166)&gt;0,I166-$H166,0),(xSPRDOPT(I166,$E166,$BU166,0,$BP166,$BS166,$BT166,($A166-Inputs!$D$1)+15,1,0)))))</f>
        <v> </v>
      </c>
      <c r="Q166" s="280" t="str">
        <f aca="false">IF($A166="N/A"," ",IF('Pricing Inputs'!$AN$8=2,(J166-$H166),IF('Pricing Inputs'!$AN$3=2,IF((J166-$H166)&gt;0,J166-$H166,0),(xSPRDOPT(J166,$E166,$BU166,0,$BP166,$BS166,$BT166,($A166-Inputs!$D$1)+15,1,0)))))</f>
        <v> </v>
      </c>
      <c r="R166" s="280" t="str">
        <f aca="false">IF($A166="N/A"," ",IF('Pricing Inputs'!$AN$8=2,(K166-$H166),IF('Pricing Inputs'!$AN$3=2,IF((K166-$H166)&gt;0,K166-$H166,0),(xSPRDOPT(K166,$E166,$BU166,0,$BP166,$BS166,$BT166,($A166-Inputs!$D$1)+15,1,0)))))</f>
        <v> </v>
      </c>
      <c r="S166" s="280" t="str">
        <f aca="false">IF($A166="N/A"," ",IF('Pricing Inputs'!$AN$8=2,(L166-$H166),IF('Pricing Inputs'!$AN$3=2,IF((L166-$H166)&gt;0,L166-$H166,0),(xSPRDOPT(L166,$E166,$BU166,0,$BP166,$BS166,$BT166,($A166-Inputs!$D$1)+15,1,0)))))</f>
        <v> </v>
      </c>
      <c r="T166" s="280" t="str">
        <f aca="false">IF($A166="N/A"," ",IF('Pricing Inputs'!$AN$8=2,(M166-$H166),IF('Pricing Inputs'!$AN$3=2,IF((M166-$H166)&gt;0,M166-$H166,0),(xSPRDOPT(M166,$E166,$BU166,0,$BP166,$BS166,$BT166,($A166-Inputs!$D$1)+15,1,0)))))</f>
        <v> </v>
      </c>
      <c r="U166" s="280" t="str">
        <f aca="false">IF($A166="N/A"," ",IF('Pricing Inputs'!$AN$8=2,(N166-$H166),IF('Pricing Inputs'!$AN$3=2,IF((N166-$H166)&gt;0,N166-$H166,0),(xSPRDOPT(N166,$E166,$BU166,0,$BP166,$BS166,$BT166,($A166-Inputs!$D$1)+15,1,0)))))</f>
        <v> </v>
      </c>
      <c r="V166" s="281" t="str">
        <f aca="false">IF($A166="N/A"," ",(IF('Pricing Inputs'!$AN$8=2,(O166-$H166),IF((O166-$H166)&lt;=0,0,(O166-$H166)))))</f>
        <v> </v>
      </c>
      <c r="W166" s="282" t="str">
        <f aca="false">IF($A166="N/A"," ",IF(0&lt;&gt;P166,IF('Pricing Inputs'!$AN$3=2,8*VLOOKUP($A166,NumberofDaysTable,2),(xSPRDOPT(I166,$E166,$BU166,0,$BP166,$BS166,$BT166,$A166-Inputs!$D$1,1,1))*(8*VLOOKUP($A166,NumberofDaysTable,2))),0))</f>
        <v> </v>
      </c>
      <c r="X166" s="282" t="str">
        <f aca="false">IF($A166="N/A"," ",IF(Q166&lt;&gt;0,IF('Pricing Inputs'!$AN$3=2,8*VLOOKUP($A166,NumberofDaysTable,2),(xSPRDOPT(J166,$E166,$BU166,0,$BP166,$BS166,$BT166,$A166-Inputs!$D$1,1,1))*(8*VLOOKUP($A166,NumberofDaysTable,2))),0))</f>
        <v> </v>
      </c>
      <c r="Y166" s="282" t="str">
        <f aca="false">IF($A166="N/A"," ",IF(R166&lt;&gt;0,IF('Pricing Inputs'!$AN$3=2,8*VLOOKUP($A166,NumberofDaysTable,3),(xSPRDOPT(K166,$E166,$BU166,0,$BP166,$BS166,$BT166,$A166-Inputs!$D$1,1,1))*(8*VLOOKUP($A166,NumberofDaysTable,3))),0))</f>
        <v> </v>
      </c>
      <c r="Z166" s="282" t="str">
        <f aca="false">IF($A166="N/A"," ",IF(S166&lt;&gt;0,IF('Pricing Inputs'!$AN$3=2,8*VLOOKUP($A166,NumberofDaysTable,3),(xSPRDOPT(L166,$E166,$BU166,0,$BP166,$BS166,$BT166,$A166-Inputs!$D$1,1,1))*(8*VLOOKUP($A166,NumberofDaysTable,3))),0))</f>
        <v> </v>
      </c>
      <c r="AA166" s="282" t="str">
        <f aca="false">IF($A166="N/A"," ",IF(T166&lt;&gt;0,IF('Pricing Inputs'!$AN$3=2,8*VLOOKUP($A166,NumberofDaysTable,4),(xSPRDOPT(M166,$E166,$BU166,0,$BP166,$BS166,$BT166,$A166-Inputs!$D$1,1,1))*(8*VLOOKUP($A166,NumberofDaysTable,4))),0))</f>
        <v> </v>
      </c>
      <c r="AB166" s="282" t="str">
        <f aca="false">IF($A166="N/A"," ",IF(U166&lt;&gt;0,IF('Pricing Inputs'!$AN$3=2,8*VLOOKUP($A166,NumberofDaysTable,4),(xSPRDOPT(N166,$E166,$BU166,0,$BP166,$BS166,$BT166,$A166-Inputs!$D$1,1,1))*(8*VLOOKUP($A166,NumberofDaysTable,4))),0))</f>
        <v> </v>
      </c>
      <c r="AC166" s="282" t="str">
        <f aca="false">IF($A166="N/A"," ",(IF(V166&lt;&gt;0,(8*VLOOKUP($A166,NumberofDaysTable,6)),0)))</f>
        <v> </v>
      </c>
      <c r="AD166" s="298" t="str">
        <f aca="false">IF($A166="N/A"," ",RANK(P166,$P$160:$V$171))</f>
        <v> </v>
      </c>
      <c r="AE166" s="299" t="str">
        <f aca="false">IF($A166="N/A"," ",RANK(Q166,$P$160:$V$171))</f>
        <v> </v>
      </c>
      <c r="AF166" s="299" t="str">
        <f aca="false">IF($A166="N/A"," ",RANK(R166,$P$160:$V$171))</f>
        <v> </v>
      </c>
      <c r="AG166" s="299" t="str">
        <f aca="false">IF($A166="N/A"," ",RANK(S166,$P$160:$V$171))</f>
        <v> </v>
      </c>
      <c r="AH166" s="299" t="str">
        <f aca="false">IF($A166="N/A"," ",RANK(T166,$P$160:$V$171))</f>
        <v> </v>
      </c>
      <c r="AI166" s="299" t="str">
        <f aca="false">IF($A166="N/A"," ",RANK(U166,$P$160:$V$171))</f>
        <v> </v>
      </c>
      <c r="AJ166" s="300" t="str">
        <f aca="false">IF($A166="N/A"," ",RANK(V166,$P$160:$V$171))</f>
        <v> </v>
      </c>
      <c r="AK166" s="286" t="str">
        <f aca="false">IF($A166="N/A"," ",IF(AD166&lt;=$AJ$2,W166,0))</f>
        <v> </v>
      </c>
      <c r="AL166" s="301" t="str">
        <f aca="false">IF($A166="N/A"," ",IF(AE166&lt;=$AJ$2,X166,0))</f>
        <v> </v>
      </c>
      <c r="AM166" s="301" t="str">
        <f aca="false">IF($A166="N/A"," ",IF(AF166&lt;=$AJ$2,Y166,0))</f>
        <v> </v>
      </c>
      <c r="AN166" s="301" t="str">
        <f aca="false">IF($A166="N/A"," ",IF(AG166&lt;=$AJ$2,Z166,0))</f>
        <v> </v>
      </c>
      <c r="AO166" s="301" t="str">
        <f aca="false">IF($A166="N/A"," ",IF(AH166&lt;=$AJ$2,AA166,0))</f>
        <v> </v>
      </c>
      <c r="AP166" s="301" t="str">
        <f aca="false">IF($A166="N/A"," ",IF(AI166&lt;=$AJ$2,AB166,0))</f>
        <v> </v>
      </c>
      <c r="AQ166" s="301" t="str">
        <f aca="false">IF($A166="N/A"," ",IF(AJ166&lt;=$AJ$2,AC166,0))</f>
        <v> </v>
      </c>
      <c r="AR166" s="300"/>
      <c r="AS166" s="288" t="str">
        <f aca="false">IF($A166="N/A"," ",IF(AND(AD166=$AJ$2+1,AK166=0),MIN($AR$171,W166),0))</f>
        <v> </v>
      </c>
      <c r="AT166" s="302" t="str">
        <f aca="false">IF($A166="N/A"," ",IF(AND(AE166=$AJ$2+1,AL166=0),MIN($AR$171,X166),0))</f>
        <v> </v>
      </c>
      <c r="AU166" s="302" t="str">
        <f aca="false">IF($A166="N/A"," ",IF(AND(AF166=$AJ$2+1,AM166=0),MIN($AR$171,Y166),0))</f>
        <v> </v>
      </c>
      <c r="AV166" s="302" t="str">
        <f aca="false">IF($A166="N/A"," ",IF(AND(AG166=$AJ$2+1,AN166=0),MIN($AR$171,Z166),0))</f>
        <v> </v>
      </c>
      <c r="AW166" s="302" t="str">
        <f aca="false">IF($A166="N/A"," ",IF(AND(AH166=$AJ$2+1,AO166=0),MIN($AR$171,AA166),0))</f>
        <v> </v>
      </c>
      <c r="AX166" s="302" t="str">
        <f aca="false">IF($A166="N/A"," ",IF(AND(AI166=$AJ$2+1,AP166=0),MIN($AR$171,AB166),0))</f>
        <v> </v>
      </c>
      <c r="AY166" s="302" t="str">
        <f aca="false">IF($A166="N/A"," ",IF(AND(AJ166=$AJ$2+1,AQ166=0),MIN($AR$171,AC166),0))</f>
        <v> </v>
      </c>
      <c r="AZ166" s="300"/>
      <c r="BA166" s="291" t="str">
        <f aca="false">IF($A166="N/A"," ",(IF(MONTH(A166)&gt;=4,IF(MONTH(A166)&lt;=10,Inputs!$F$13,Inputs!$F$14),Inputs!$F$14))*$BW166)</f>
        <v> </v>
      </c>
      <c r="BB166" s="292" t="str">
        <f aca="false">IF($A166="N/A"," ",(IF(AK166&gt;0,($BA166*(8*(VLOOKUP($A166,NumberofDaysTable,2)))*P166),0)+IF(AS166&gt;0,($BA166*((AS166))*P166),0)))</f>
        <v> </v>
      </c>
      <c r="BC166" s="292" t="str">
        <f aca="false">IF($A166="N/A"," ",(IF(AL166&gt;0,($BA166*(8*(VLOOKUP($A166,NumberofDaysTable,2)))*Q166),0)+IF(AT166&gt;0,($BA166*((AT166))*Q166),0)))</f>
        <v> </v>
      </c>
      <c r="BD166" s="292" t="str">
        <f aca="false">IF($A166="N/A"," ",(IF(AM166&gt;0,($BA166*(8*(VLOOKUP($A166,NumberofDaysTable,3)))*R166),0)+IF(AU166&gt;0,($BA166*((AU166))*R166),0)))</f>
        <v> </v>
      </c>
      <c r="BE166" s="292" t="str">
        <f aca="false">IF($A166="N/A"," ",(IF(AN166&gt;0,($BA166*(8*(VLOOKUP($A166,NumberofDaysTable,3)))*S166),0)+IF(AV166&gt;0,($BA166*((AV166))*S166),0)))</f>
        <v> </v>
      </c>
      <c r="BF166" s="292" t="str">
        <f aca="false">IF($A166="N/A"," ",(IF(AO166&gt;0,($BA166*(8*(VLOOKUP($A166,NumberofDaysTable,4)+VLOOKUP($A166,NumberofDaysTable,5)))*T166),0)+IF(AW166&gt;0,($BA166*((AW166))*T166),0)))</f>
        <v> </v>
      </c>
      <c r="BG166" s="292" t="str">
        <f aca="false">IF($A166="N/A"," ",(IF(AP166&gt;0,($BA166*(8*(VLOOKUP($A166,NumberofDaysTable,4)+VLOOKUP($A166,NumberofDaysTable,5)))*U166),0)+IF(AX166&gt;0,($BA166*((AX166))*U166),0)))</f>
        <v> </v>
      </c>
      <c r="BH166" s="292" t="str">
        <f aca="false">IF($A166="N/A"," ",($BA166*AQ166*V166))</f>
        <v> </v>
      </c>
      <c r="BI166" s="292" t="str">
        <f aca="false">IF($A166="N/A"," ",SUM(BB166:BH166))</f>
        <v> </v>
      </c>
      <c r="BJ166" s="293" t="str">
        <f aca="false">IF($A166="N/A"," ",(H166*(SUM(AK166:AQ166)+SUM(AS166:AY166))*BA166))</f>
        <v> </v>
      </c>
      <c r="BK166" s="293" t="str">
        <f aca="false">IF($A166="N/A"," ",((C166*D166)*(SUM($AK166:$AQ166)+SUM($AS166:$AY166))*$BA166))</f>
        <v> </v>
      </c>
      <c r="BL166" s="293" t="str">
        <f aca="false">IF($A166="N/A"," ",(F166*(SUM($AK166:$AQ166)+SUM($AS166:$AY166))*$BA166))</f>
        <v> </v>
      </c>
      <c r="BM166" s="293" t="str">
        <f aca="false">IF($A166="N/A"," ",(G166*(SUM($AK166:$AQ166)+SUM($AS166:$AY166))*$BA166))</f>
        <v> </v>
      </c>
      <c r="BN166" s="294" t="str">
        <f aca="false">IF(A166="N/A"," ",(VLOOKUP(A166,PowerVolTable,(IF('Pricing Inputs'!$AT$3=2,7,IF('Pricing Inputs'!$AT$3=1,6,8))),FALSE())))</f>
        <v> </v>
      </c>
      <c r="BO166" s="294" t="str">
        <f aca="false">IF(A166="N/A"," ",(VLOOKUP(A166,IntraPowerVol,(IF('Pricing Inputs'!$AT$3=2,3,IF('Pricing Inputs'!$AT$3=1,2,4))),FALSE())*VLOOKUP(MONTH($A166),Inputs!$A$28:$B$39,2)))</f>
        <v> </v>
      </c>
      <c r="BP166" s="295" t="str">
        <f aca="false">IF($A166="N/A"," ",(IF(DateToday&gt;$A166,$BO166,((($BN166^2)*((($A166-1)-DateToday)/((EOMONTH($A166,0)+1)-DateToday-15)))+((($BO166)^2)*((15)/((EOMONTH($A166,0)+1)-DateToday-15))))^0.5)))</f>
        <v> </v>
      </c>
      <c r="BQ166" s="294" t="str">
        <f aca="false">IF($A166="N/A"," ",(VLOOKUP($A166,GasVolTable,(IF('Pricing Inputs'!$AT$3=2,6,IF('Pricing Inputs'!$AT$3=1,7,5))),FALSE())))</f>
        <v> </v>
      </c>
      <c r="BR166" s="294" t="str">
        <f aca="false">IF($A166="N/A"," ",(VLOOKUP($A166,OmicronVol,(IF('Pricing Inputs'!$AT$3=2,3,IF('Pricing Inputs'!$AT$3=1,4,2))),FALSE())))</f>
        <v> </v>
      </c>
      <c r="BS166" s="295" t="str">
        <f aca="false">IF($A166="N/A"," ",IF('Pricing Inputs'!$AN$3=1,(IF(DateToday&gt;$A166,$BR166,((($BQ166^2)*((($A166-1)-DateToday)/((EOMONTH($A166,0)+1)-DateToday-15)))+((($BR166)^2)*((15)/((EOMONTH($A166,0)+1)-DateToday-15))))^0.5)),0.0001))</f>
        <v> </v>
      </c>
      <c r="BT166" s="294" t="str">
        <f aca="false">IF($A166="N/A"," ",IF('Pricing Inputs'!$AN$3=1,(VLOOKUP($A166,CorrelationTable,2,FALSE())),0))</f>
        <v> </v>
      </c>
      <c r="BU166" s="296" t="str">
        <f aca="false">IF($A166="N/A"," ",F166+G166+(D166*(VLOOKUP($A166,'Gas Curves'!$B$17:$P$310,14,FALSE()))))</f>
        <v> </v>
      </c>
      <c r="BV166" s="294" t="str">
        <f aca="false">IF($A166="N/A"," ",IF('Pricing Inputs'!$AW$3=1,0,(VLOOKUP($A166,InterestRatesTable,2))))</f>
        <v> </v>
      </c>
      <c r="BW166" s="297" t="str">
        <f aca="false">IF($A166="N/A"," ",(1+BV166/2)^(-2*((EOMONTH(A166,0)+20)-DateToday)/365.25))</f>
        <v> </v>
      </c>
    </row>
    <row r="167" customFormat="false" ht="12.75" hidden="false" customHeight="false" outlineLevel="0" collapsed="false">
      <c r="A167" s="272" t="str">
        <f aca="false">IF(A166="N/A","N/A",IF(EDATE(A166,1)&gt;Inputs!$K$3,"N/A",EDATE(A166,1)))</f>
        <v>N/A</v>
      </c>
      <c r="B167" s="273" t="str">
        <f aca="false">IF(A167="N/A"," ",YEAR(A167))</f>
        <v> </v>
      </c>
      <c r="C167" s="274" t="str">
        <f aca="false">IF(A167="N/A"," ",VLOOKUP(A167,ScaledPrice,10))</f>
        <v> </v>
      </c>
      <c r="D167" s="275" t="str">
        <f aca="false">IF(A167="N/A"," ",(VLOOKUP(MONTH($A167),Inputs!$A$14:$B$25,2))/1000)</f>
        <v> </v>
      </c>
      <c r="E167" s="276" t="str">
        <f aca="false">IF($A167="N/A"," ",C167*D167)</f>
        <v> </v>
      </c>
      <c r="F167" s="277" t="str">
        <f aca="false">IF(A167="N/A"," ",Inputs!$F$6)</f>
        <v> </v>
      </c>
      <c r="G167" s="277" t="str">
        <f aca="false">IF(A167="N/A"," ",Inputs!$F$9/IF(AND('Pricing Inputs'!$AQ$3&gt;=4,'Pricing Inputs'!$AQ$3&lt;=6),16,IF(AND('Pricing Inputs'!$AQ$3&gt;=7,'Pricing Inputs'!$AQ$3&lt;=9),8,24))/(BA167/BW167))</f>
        <v> </v>
      </c>
      <c r="H167" s="278" t="str">
        <f aca="false">IF(A167="N/A"," ",(C167*D167)+F167+G167)</f>
        <v> </v>
      </c>
      <c r="I167" s="279" t="str">
        <f aca="false">VLOOKUP(A167,ScaledPrice,(IF(AND('Pricing Inputs'!$AQ$3&gt;=1,'Pricing Inputs'!$AQ$3&lt;=6),2,4)))</f>
        <v> </v>
      </c>
      <c r="J167" s="279" t="str">
        <f aca="false">IF(A167="N/A"," ",IF(AND('Pricing Inputs'!$AQ$3&gt;=1,'Pricing Inputs'!$AQ$3&lt;=6),I167,(VLOOKUP(A167,ScaledPrice,2))*(2-(VLOOKUP(A167,ScaledPrice,3)))))</f>
        <v> </v>
      </c>
      <c r="K167" s="279" t="str">
        <f aca="false">IF(A167="N/A"," ",IF(OR('Pricing Inputs'!$AQ$3=2,'Pricing Inputs'!$AQ$3=3,'Pricing Inputs'!$AQ$3=5,'Pricing Inputs'!$AQ$3=6,'Pricing Inputs'!$AQ$3=8,'Pricing Inputs'!$AQ$3=9),VLOOKUP(A167,ScaledPrice,IF(AND('Pricing Inputs'!$AQ$3&gt;=2,'Pricing Inputs'!$AQ$3&lt;=6),5,6)),0))</f>
        <v> </v>
      </c>
      <c r="L167" s="279" t="str">
        <f aca="false">IF(A167="N/A"," ",IF(OR('Pricing Inputs'!$AQ$3=2,'Pricing Inputs'!$AQ$3=3,'Pricing Inputs'!$AQ$3=5,'Pricing Inputs'!$AQ$3=6,'Pricing Inputs'!$AQ$3=8,'Pricing Inputs'!$AQ$3=9),IF(AND('Pricing Inputs'!$AQ$3&gt;=2,'Pricing Inputs'!$AQ$3&lt;=6),K167,(VLOOKUP(A167,ScaledPrice,5))*(2-(VLOOKUP(A167,ScaledPrice,3)))),0))</f>
        <v> </v>
      </c>
      <c r="M167" s="279" t="str">
        <f aca="false">IF(A167="N/A"," ",IF(OR('Pricing Inputs'!$AQ$3=3,'Pricing Inputs'!$AQ$3=6,'Pricing Inputs'!$AQ$3=9),(VLOOKUP(A167,ScaledPrice,IF(AND('Pricing Inputs'!$AQ$3&gt;=3,'Pricing Inputs'!$AQ$3&lt;=6),7,8))),0))</f>
        <v> </v>
      </c>
      <c r="N167" s="279" t="str">
        <f aca="false">IF(A167="N/A"," ",IF(OR('Pricing Inputs'!$AQ$3=3,'Pricing Inputs'!$AQ$3=6,'Pricing Inputs'!$AQ$3=9),IF(AND('Pricing Inputs'!$AQ$3&gt;=3,'Pricing Inputs'!$AQ$3&lt;=6),M167,(VLOOKUP(A167,ScaledPrice,7))*(2-(VLOOKUP(A167,ScaledPrice,3)))),0))</f>
        <v> </v>
      </c>
      <c r="O167" s="279" t="str">
        <f aca="false">IF(A167="N/A"," ",IF(AND('Pricing Inputs'!$AQ$3&gt;=1,'Pricing Inputs'!$AQ$3&lt;=3),VLOOKUP(A167,ScaledPrice,9),0))</f>
        <v> </v>
      </c>
      <c r="P167" s="280" t="str">
        <f aca="false">IF($A167="N/A"," ",IF('Pricing Inputs'!$AN$8=2,(I167-H167),IF('Pricing Inputs'!$AN$3=2,IF((I167-$H167)&gt;0,I167-$H167,0),(xSPRDOPT(I167,$E167,$BU167,0,$BP167,$BS167,$BT167,($A167-Inputs!$D$1)+15,1,0)))))</f>
        <v> </v>
      </c>
      <c r="Q167" s="280" t="str">
        <f aca="false">IF($A167="N/A"," ",IF('Pricing Inputs'!$AN$8=2,(J167-$H167),IF('Pricing Inputs'!$AN$3=2,IF((J167-$H167)&gt;0,J167-$H167,0),(xSPRDOPT(J167,$E167,$BU167,0,$BP167,$BS167,$BT167,($A167-Inputs!$D$1)+15,1,0)))))</f>
        <v> </v>
      </c>
      <c r="R167" s="280" t="str">
        <f aca="false">IF($A167="N/A"," ",IF('Pricing Inputs'!$AN$8=2,(K167-$H167),IF('Pricing Inputs'!$AN$3=2,IF((K167-$H167)&gt;0,K167-$H167,0),(xSPRDOPT(K167,$E167,$BU167,0,$BP167,$BS167,$BT167,($A167-Inputs!$D$1)+15,1,0)))))</f>
        <v> </v>
      </c>
      <c r="S167" s="280" t="str">
        <f aca="false">IF($A167="N/A"," ",IF('Pricing Inputs'!$AN$8=2,(L167-$H167),IF('Pricing Inputs'!$AN$3=2,IF((L167-$H167)&gt;0,L167-$H167,0),(xSPRDOPT(L167,$E167,$BU167,0,$BP167,$BS167,$BT167,($A167-Inputs!$D$1)+15,1,0)))))</f>
        <v> </v>
      </c>
      <c r="T167" s="280" t="str">
        <f aca="false">IF($A167="N/A"," ",IF('Pricing Inputs'!$AN$8=2,(M167-$H167),IF('Pricing Inputs'!$AN$3=2,IF((M167-$H167)&gt;0,M167-$H167,0),(xSPRDOPT(M167,$E167,$BU167,0,$BP167,$BS167,$BT167,($A167-Inputs!$D$1)+15,1,0)))))</f>
        <v> </v>
      </c>
      <c r="U167" s="280" t="str">
        <f aca="false">IF($A167="N/A"," ",IF('Pricing Inputs'!$AN$8=2,(N167-$H167),IF('Pricing Inputs'!$AN$3=2,IF((N167-$H167)&gt;0,N167-$H167,0),(xSPRDOPT(N167,$E167,$BU167,0,$BP167,$BS167,$BT167,($A167-Inputs!$D$1)+15,1,0)))))</f>
        <v> </v>
      </c>
      <c r="V167" s="281" t="str">
        <f aca="false">IF($A167="N/A"," ",(IF('Pricing Inputs'!$AN$8=2,(O167-$H167),IF((O167-$H167)&lt;=0,0,(O167-$H167)))))</f>
        <v> </v>
      </c>
      <c r="W167" s="282" t="str">
        <f aca="false">IF($A167="N/A"," ",IF(0&lt;&gt;P167,IF('Pricing Inputs'!$AN$3=2,8*VLOOKUP($A167,NumberofDaysTable,2),(xSPRDOPT(I167,$E167,$BU167,0,$BP167,$BS167,$BT167,$A167-Inputs!$D$1,1,1))*(8*VLOOKUP($A167,NumberofDaysTable,2))),0))</f>
        <v> </v>
      </c>
      <c r="X167" s="282" t="str">
        <f aca="false">IF($A167="N/A"," ",IF(Q167&lt;&gt;0,IF('Pricing Inputs'!$AN$3=2,8*VLOOKUP($A167,NumberofDaysTable,2),(xSPRDOPT(J167,$E167,$BU167,0,$BP167,$BS167,$BT167,$A167-Inputs!$D$1,1,1))*(8*VLOOKUP($A167,NumberofDaysTable,2))),0))</f>
        <v> </v>
      </c>
      <c r="Y167" s="282" t="str">
        <f aca="false">IF($A167="N/A"," ",IF(R167&lt;&gt;0,IF('Pricing Inputs'!$AN$3=2,8*VLOOKUP($A167,NumberofDaysTable,3),(xSPRDOPT(K167,$E167,$BU167,0,$BP167,$BS167,$BT167,$A167-Inputs!$D$1,1,1))*(8*VLOOKUP($A167,NumberofDaysTable,3))),0))</f>
        <v> </v>
      </c>
      <c r="Z167" s="282" t="str">
        <f aca="false">IF($A167="N/A"," ",IF(S167&lt;&gt;0,IF('Pricing Inputs'!$AN$3=2,8*VLOOKUP($A167,NumberofDaysTable,3),(xSPRDOPT(L167,$E167,$BU167,0,$BP167,$BS167,$BT167,$A167-Inputs!$D$1,1,1))*(8*VLOOKUP($A167,NumberofDaysTable,3))),0))</f>
        <v> </v>
      </c>
      <c r="AA167" s="282" t="str">
        <f aca="false">IF($A167="N/A"," ",IF(T167&lt;&gt;0,IF('Pricing Inputs'!$AN$3=2,8*VLOOKUP($A167,NumberofDaysTable,4),(xSPRDOPT(M167,$E167,$BU167,0,$BP167,$BS167,$BT167,$A167-Inputs!$D$1,1,1))*(8*VLOOKUP($A167,NumberofDaysTable,4))),0))</f>
        <v> </v>
      </c>
      <c r="AB167" s="282" t="str">
        <f aca="false">IF($A167="N/A"," ",IF(U167&lt;&gt;0,IF('Pricing Inputs'!$AN$3=2,8*VLOOKUP($A167,NumberofDaysTable,4),(xSPRDOPT(N167,$E167,$BU167,0,$BP167,$BS167,$BT167,$A167-Inputs!$D$1,1,1))*(8*VLOOKUP($A167,NumberofDaysTable,4))),0))</f>
        <v> </v>
      </c>
      <c r="AC167" s="282" t="str">
        <f aca="false">IF($A167="N/A"," ",(IF(V167&lt;&gt;0,(8*VLOOKUP($A167,NumberofDaysTable,6)),0)))</f>
        <v> </v>
      </c>
      <c r="AD167" s="298" t="str">
        <f aca="false">IF($A167="N/A"," ",RANK(P167,$P$160:$V$171))</f>
        <v> </v>
      </c>
      <c r="AE167" s="299" t="str">
        <f aca="false">IF($A167="N/A"," ",RANK(Q167,$P$160:$V$171))</f>
        <v> </v>
      </c>
      <c r="AF167" s="299" t="str">
        <f aca="false">IF($A167="N/A"," ",RANK(R167,$P$160:$V$171))</f>
        <v> </v>
      </c>
      <c r="AG167" s="299" t="str">
        <f aca="false">IF($A167="N/A"," ",RANK(S167,$P$160:$V$171))</f>
        <v> </v>
      </c>
      <c r="AH167" s="299" t="str">
        <f aca="false">IF($A167="N/A"," ",RANK(T167,$P$160:$V$171))</f>
        <v> </v>
      </c>
      <c r="AI167" s="299" t="str">
        <f aca="false">IF($A167="N/A"," ",RANK(U167,$P$160:$V$171))</f>
        <v> </v>
      </c>
      <c r="AJ167" s="300" t="str">
        <f aca="false">IF($A167="N/A"," ",RANK(V167,$P$160:$V$171))</f>
        <v> </v>
      </c>
      <c r="AK167" s="286" t="str">
        <f aca="false">IF($A167="N/A"," ",IF(AD167&lt;=$AJ$2,W167,0))</f>
        <v> </v>
      </c>
      <c r="AL167" s="301" t="str">
        <f aca="false">IF($A167="N/A"," ",IF(AE167&lt;=$AJ$2,X167,0))</f>
        <v> </v>
      </c>
      <c r="AM167" s="301" t="str">
        <f aca="false">IF($A167="N/A"," ",IF(AF167&lt;=$AJ$2,Y167,0))</f>
        <v> </v>
      </c>
      <c r="AN167" s="301" t="str">
        <f aca="false">IF($A167="N/A"," ",IF(AG167&lt;=$AJ$2,Z167,0))</f>
        <v> </v>
      </c>
      <c r="AO167" s="301" t="str">
        <f aca="false">IF($A167="N/A"," ",IF(AH167&lt;=$AJ$2,AA167,0))</f>
        <v> </v>
      </c>
      <c r="AP167" s="301" t="str">
        <f aca="false">IF($A167="N/A"," ",IF(AI167&lt;=$AJ$2,AB167,0))</f>
        <v> </v>
      </c>
      <c r="AQ167" s="301" t="str">
        <f aca="false">IF($A167="N/A"," ",IF(AJ167&lt;=$AJ$2,AC167,0))</f>
        <v> </v>
      </c>
      <c r="AR167" s="300"/>
      <c r="AS167" s="288" t="str">
        <f aca="false">IF($A167="N/A"," ",IF(AND(AD167=$AJ$2+1,AK167=0),MIN($AR$171,W167),0))</f>
        <v> </v>
      </c>
      <c r="AT167" s="302" t="str">
        <f aca="false">IF($A167="N/A"," ",IF(AND(AE167=$AJ$2+1,AL167=0),MIN($AR$171,X167),0))</f>
        <v> </v>
      </c>
      <c r="AU167" s="302" t="str">
        <f aca="false">IF($A167="N/A"," ",IF(AND(AF167=$AJ$2+1,AM167=0),MIN($AR$171,Y167),0))</f>
        <v> </v>
      </c>
      <c r="AV167" s="302" t="str">
        <f aca="false">IF($A167="N/A"," ",IF(AND(AG167=$AJ$2+1,AN167=0),MIN($AR$171,Z167),0))</f>
        <v> </v>
      </c>
      <c r="AW167" s="302" t="str">
        <f aca="false">IF($A167="N/A"," ",IF(AND(AH167=$AJ$2+1,AO167=0),MIN($AR$171,AA167),0))</f>
        <v> </v>
      </c>
      <c r="AX167" s="302" t="str">
        <f aca="false">IF($A167="N/A"," ",IF(AND(AI167=$AJ$2+1,AP167=0),MIN($AR$171,AB167),0))</f>
        <v> </v>
      </c>
      <c r="AY167" s="302" t="str">
        <f aca="false">IF($A167="N/A"," ",IF(AND(AJ167=$AJ$2+1,AQ167=0),MIN($AR$171,AC167),0))</f>
        <v> </v>
      </c>
      <c r="AZ167" s="300"/>
      <c r="BA167" s="291" t="str">
        <f aca="false">IF($A167="N/A"," ",(IF(MONTH(A167)&gt;=4,IF(MONTH(A167)&lt;=10,Inputs!$F$13,Inputs!$F$14),Inputs!$F$14))*$BW167)</f>
        <v> </v>
      </c>
      <c r="BB167" s="292" t="str">
        <f aca="false">IF($A167="N/A"," ",(IF(AK167&gt;0,($BA167*(8*(VLOOKUP($A167,NumberofDaysTable,2)))*P167),0)+IF(AS167&gt;0,($BA167*((AS167))*P167),0)))</f>
        <v> </v>
      </c>
      <c r="BC167" s="292" t="str">
        <f aca="false">IF($A167="N/A"," ",(IF(AL167&gt;0,($BA167*(8*(VLOOKUP($A167,NumberofDaysTable,2)))*Q167),0)+IF(AT167&gt;0,($BA167*((AT167))*Q167),0)))</f>
        <v> </v>
      </c>
      <c r="BD167" s="292" t="str">
        <f aca="false">IF($A167="N/A"," ",(IF(AM167&gt;0,($BA167*(8*(VLOOKUP($A167,NumberofDaysTable,3)))*R167),0)+IF(AU167&gt;0,($BA167*((AU167))*R167),0)))</f>
        <v> </v>
      </c>
      <c r="BE167" s="292" t="str">
        <f aca="false">IF($A167="N/A"," ",(IF(AN167&gt;0,($BA167*(8*(VLOOKUP($A167,NumberofDaysTable,3)))*S167),0)+IF(AV167&gt;0,($BA167*((AV167))*S167),0)))</f>
        <v> </v>
      </c>
      <c r="BF167" s="292" t="str">
        <f aca="false">IF($A167="N/A"," ",(IF(AO167&gt;0,($BA167*(8*(VLOOKUP($A167,NumberofDaysTable,4)+VLOOKUP($A167,NumberofDaysTable,5)))*T167),0)+IF(AW167&gt;0,($BA167*((AW167))*T167),0)))</f>
        <v> </v>
      </c>
      <c r="BG167" s="292" t="str">
        <f aca="false">IF($A167="N/A"," ",(IF(AP167&gt;0,($BA167*(8*(VLOOKUP($A167,NumberofDaysTable,4)+VLOOKUP($A167,NumberofDaysTable,5)))*U167),0)+IF(AX167&gt;0,($BA167*((AX167))*U167),0)))</f>
        <v> </v>
      </c>
      <c r="BH167" s="292" t="str">
        <f aca="false">IF($A167="N/A"," ",($BA167*AQ167*V167))</f>
        <v> </v>
      </c>
      <c r="BI167" s="292" t="str">
        <f aca="false">IF($A167="N/A"," ",SUM(BB167:BH167))</f>
        <v> </v>
      </c>
      <c r="BJ167" s="293" t="str">
        <f aca="false">IF($A167="N/A"," ",(H167*(SUM(AK167:AQ167)+SUM(AS167:AY167))*BA167))</f>
        <v> </v>
      </c>
      <c r="BK167" s="293" t="str">
        <f aca="false">IF($A167="N/A"," ",((C167*D167)*(SUM($AK167:$AQ167)+SUM($AS167:$AY167))*$BA167))</f>
        <v> </v>
      </c>
      <c r="BL167" s="293" t="str">
        <f aca="false">IF($A167="N/A"," ",(F167*(SUM($AK167:$AQ167)+SUM($AS167:$AY167))*$BA167))</f>
        <v> </v>
      </c>
      <c r="BM167" s="293" t="str">
        <f aca="false">IF($A167="N/A"," ",(G167*(SUM($AK167:$AQ167)+SUM($AS167:$AY167))*$BA167))</f>
        <v> </v>
      </c>
      <c r="BN167" s="294" t="str">
        <f aca="false">IF(A167="N/A"," ",(VLOOKUP(A167,PowerVolTable,(IF('Pricing Inputs'!$AT$3=2,7,IF('Pricing Inputs'!$AT$3=1,6,8))),FALSE())))</f>
        <v> </v>
      </c>
      <c r="BO167" s="294" t="str">
        <f aca="false">IF(A167="N/A"," ",(VLOOKUP(A167,IntraPowerVol,(IF('Pricing Inputs'!$AT$3=2,3,IF('Pricing Inputs'!$AT$3=1,2,4))),FALSE())*VLOOKUP(MONTH($A167),Inputs!$A$28:$B$39,2)))</f>
        <v> </v>
      </c>
      <c r="BP167" s="295" t="str">
        <f aca="false">IF($A167="N/A"," ",(IF(DateToday&gt;$A167,$BO167,((($BN167^2)*((($A167-1)-DateToday)/((EOMONTH($A167,0)+1)-DateToday-15)))+((($BO167)^2)*((15)/((EOMONTH($A167,0)+1)-DateToday-15))))^0.5)))</f>
        <v> </v>
      </c>
      <c r="BQ167" s="294" t="str">
        <f aca="false">IF($A167="N/A"," ",(VLOOKUP($A167,GasVolTable,(IF('Pricing Inputs'!$AT$3=2,6,IF('Pricing Inputs'!$AT$3=1,7,5))),FALSE())))</f>
        <v> </v>
      </c>
      <c r="BR167" s="294" t="str">
        <f aca="false">IF($A167="N/A"," ",(VLOOKUP($A167,OmicronVol,(IF('Pricing Inputs'!$AT$3=2,3,IF('Pricing Inputs'!$AT$3=1,4,2))),FALSE())))</f>
        <v> </v>
      </c>
      <c r="BS167" s="295" t="str">
        <f aca="false">IF($A167="N/A"," ",IF('Pricing Inputs'!$AN$3=1,(IF(DateToday&gt;$A167,$BR167,((($BQ167^2)*((($A167-1)-DateToday)/((EOMONTH($A167,0)+1)-DateToday-15)))+((($BR167)^2)*((15)/((EOMONTH($A167,0)+1)-DateToday-15))))^0.5)),0.0001))</f>
        <v> </v>
      </c>
      <c r="BT167" s="294" t="str">
        <f aca="false">IF($A167="N/A"," ",IF('Pricing Inputs'!$AN$3=1,(VLOOKUP($A167,CorrelationTable,2,FALSE())),0))</f>
        <v> </v>
      </c>
      <c r="BU167" s="296" t="str">
        <f aca="false">IF($A167="N/A"," ",F167+G167+(D167*(VLOOKUP($A167,'Gas Curves'!$B$17:$P$310,14,FALSE()))))</f>
        <v> </v>
      </c>
      <c r="BV167" s="294" t="str">
        <f aca="false">IF($A167="N/A"," ",IF('Pricing Inputs'!$AW$3=1,0,(VLOOKUP($A167,InterestRatesTable,2))))</f>
        <v> </v>
      </c>
      <c r="BW167" s="297" t="str">
        <f aca="false">IF($A167="N/A"," ",(1+BV167/2)^(-2*((EOMONTH(A167,0)+20)-DateToday)/365.25))</f>
        <v> </v>
      </c>
    </row>
    <row r="168" customFormat="false" ht="12.75" hidden="false" customHeight="false" outlineLevel="0" collapsed="false">
      <c r="A168" s="272" t="str">
        <f aca="false">IF(A167="N/A","N/A",IF(EDATE(A167,1)&gt;Inputs!$K$3,"N/A",EDATE(A167,1)))</f>
        <v>N/A</v>
      </c>
      <c r="B168" s="273" t="str">
        <f aca="false">IF(A168="N/A"," ",YEAR(A168))</f>
        <v> </v>
      </c>
      <c r="C168" s="274" t="str">
        <f aca="false">IF(A168="N/A"," ",VLOOKUP(A168,ScaledPrice,10))</f>
        <v> </v>
      </c>
      <c r="D168" s="275" t="str">
        <f aca="false">IF(A168="N/A"," ",(VLOOKUP(MONTH($A168),Inputs!$A$14:$B$25,2))/1000)</f>
        <v> </v>
      </c>
      <c r="E168" s="276" t="str">
        <f aca="false">IF($A168="N/A"," ",C168*D168)</f>
        <v> </v>
      </c>
      <c r="F168" s="277" t="str">
        <f aca="false">IF(A168="N/A"," ",Inputs!$F$6)</f>
        <v> </v>
      </c>
      <c r="G168" s="277" t="str">
        <f aca="false">IF(A168="N/A"," ",Inputs!$F$9/IF(AND('Pricing Inputs'!$AQ$3&gt;=4,'Pricing Inputs'!$AQ$3&lt;=6),16,IF(AND('Pricing Inputs'!$AQ$3&gt;=7,'Pricing Inputs'!$AQ$3&lt;=9),8,24))/(BA168/BW168))</f>
        <v> </v>
      </c>
      <c r="H168" s="278" t="str">
        <f aca="false">IF(A168="N/A"," ",(C168*D168)+F168+G168)</f>
        <v> </v>
      </c>
      <c r="I168" s="279" t="str">
        <f aca="false">VLOOKUP(A168,ScaledPrice,(IF(AND('Pricing Inputs'!$AQ$3&gt;=1,'Pricing Inputs'!$AQ$3&lt;=6),2,4)))</f>
        <v> </v>
      </c>
      <c r="J168" s="279" t="str">
        <f aca="false">IF(A168="N/A"," ",IF(AND('Pricing Inputs'!$AQ$3&gt;=1,'Pricing Inputs'!$AQ$3&lt;=6),I168,(VLOOKUP(A168,ScaledPrice,2))*(2-(VLOOKUP(A168,ScaledPrice,3)))))</f>
        <v> </v>
      </c>
      <c r="K168" s="279" t="str">
        <f aca="false">IF(A168="N/A"," ",IF(OR('Pricing Inputs'!$AQ$3=2,'Pricing Inputs'!$AQ$3=3,'Pricing Inputs'!$AQ$3=5,'Pricing Inputs'!$AQ$3=6,'Pricing Inputs'!$AQ$3=8,'Pricing Inputs'!$AQ$3=9),VLOOKUP(A168,ScaledPrice,IF(AND('Pricing Inputs'!$AQ$3&gt;=2,'Pricing Inputs'!$AQ$3&lt;=6),5,6)),0))</f>
        <v> </v>
      </c>
      <c r="L168" s="279" t="str">
        <f aca="false">IF(A168="N/A"," ",IF(OR('Pricing Inputs'!$AQ$3=2,'Pricing Inputs'!$AQ$3=3,'Pricing Inputs'!$AQ$3=5,'Pricing Inputs'!$AQ$3=6,'Pricing Inputs'!$AQ$3=8,'Pricing Inputs'!$AQ$3=9),IF(AND('Pricing Inputs'!$AQ$3&gt;=2,'Pricing Inputs'!$AQ$3&lt;=6),K168,(VLOOKUP(A168,ScaledPrice,5))*(2-(VLOOKUP(A168,ScaledPrice,3)))),0))</f>
        <v> </v>
      </c>
      <c r="M168" s="279" t="str">
        <f aca="false">IF(A168="N/A"," ",IF(OR('Pricing Inputs'!$AQ$3=3,'Pricing Inputs'!$AQ$3=6,'Pricing Inputs'!$AQ$3=9),(VLOOKUP(A168,ScaledPrice,IF(AND('Pricing Inputs'!$AQ$3&gt;=3,'Pricing Inputs'!$AQ$3&lt;=6),7,8))),0))</f>
        <v> </v>
      </c>
      <c r="N168" s="279" t="str">
        <f aca="false">IF(A168="N/A"," ",IF(OR('Pricing Inputs'!$AQ$3=3,'Pricing Inputs'!$AQ$3=6,'Pricing Inputs'!$AQ$3=9),IF(AND('Pricing Inputs'!$AQ$3&gt;=3,'Pricing Inputs'!$AQ$3&lt;=6),M168,(VLOOKUP(A168,ScaledPrice,7))*(2-(VLOOKUP(A168,ScaledPrice,3)))),0))</f>
        <v> </v>
      </c>
      <c r="O168" s="279" t="str">
        <f aca="false">IF(A168="N/A"," ",IF(AND('Pricing Inputs'!$AQ$3&gt;=1,'Pricing Inputs'!$AQ$3&lt;=3),VLOOKUP(A168,ScaledPrice,9),0))</f>
        <v> </v>
      </c>
      <c r="P168" s="280" t="str">
        <f aca="false">IF($A168="N/A"," ",IF('Pricing Inputs'!$AN$8=2,(I168-H168),IF('Pricing Inputs'!$AN$3=2,IF((I168-$H168)&gt;0,I168-$H168,0),(xSPRDOPT(I168,$E168,$BU168,0,$BP168,$BS168,$BT168,($A168-Inputs!$D$1)+15,1,0)))))</f>
        <v> </v>
      </c>
      <c r="Q168" s="280" t="str">
        <f aca="false">IF($A168="N/A"," ",IF('Pricing Inputs'!$AN$8=2,(J168-$H168),IF('Pricing Inputs'!$AN$3=2,IF((J168-$H168)&gt;0,J168-$H168,0),(xSPRDOPT(J168,$E168,$BU168,0,$BP168,$BS168,$BT168,($A168-Inputs!$D$1)+15,1,0)))))</f>
        <v> </v>
      </c>
      <c r="R168" s="280" t="str">
        <f aca="false">IF($A168="N/A"," ",IF('Pricing Inputs'!$AN$8=2,(K168-$H168),IF('Pricing Inputs'!$AN$3=2,IF((K168-$H168)&gt;0,K168-$H168,0),(xSPRDOPT(K168,$E168,$BU168,0,$BP168,$BS168,$BT168,($A168-Inputs!$D$1)+15,1,0)))))</f>
        <v> </v>
      </c>
      <c r="S168" s="280" t="str">
        <f aca="false">IF($A168="N/A"," ",IF('Pricing Inputs'!$AN$8=2,(L168-$H168),IF('Pricing Inputs'!$AN$3=2,IF((L168-$H168)&gt;0,L168-$H168,0),(xSPRDOPT(L168,$E168,$BU168,0,$BP168,$BS168,$BT168,($A168-Inputs!$D$1)+15,1,0)))))</f>
        <v> </v>
      </c>
      <c r="T168" s="280" t="str">
        <f aca="false">IF($A168="N/A"," ",IF('Pricing Inputs'!$AN$8=2,(M168-$H168),IF('Pricing Inputs'!$AN$3=2,IF((M168-$H168)&gt;0,M168-$H168,0),(xSPRDOPT(M168,$E168,$BU168,0,$BP168,$BS168,$BT168,($A168-Inputs!$D$1)+15,1,0)))))</f>
        <v> </v>
      </c>
      <c r="U168" s="280" t="str">
        <f aca="false">IF($A168="N/A"," ",IF('Pricing Inputs'!$AN$8=2,(N168-$H168),IF('Pricing Inputs'!$AN$3=2,IF((N168-$H168)&gt;0,N168-$H168,0),(xSPRDOPT(N168,$E168,$BU168,0,$BP168,$BS168,$BT168,($A168-Inputs!$D$1)+15,1,0)))))</f>
        <v> </v>
      </c>
      <c r="V168" s="281" t="str">
        <f aca="false">IF($A168="N/A"," ",(IF('Pricing Inputs'!$AN$8=2,(O168-$H168),IF((O168-$H168)&lt;=0,0,(O168-$H168)))))</f>
        <v> </v>
      </c>
      <c r="W168" s="282" t="str">
        <f aca="false">IF($A168="N/A"," ",IF(0&lt;&gt;P168,IF('Pricing Inputs'!$AN$3=2,8*VLOOKUP($A168,NumberofDaysTable,2),(xSPRDOPT(I168,$E168,$BU168,0,$BP168,$BS168,$BT168,$A168-Inputs!$D$1,1,1))*(8*VLOOKUP($A168,NumberofDaysTable,2))),0))</f>
        <v> </v>
      </c>
      <c r="X168" s="282" t="str">
        <f aca="false">IF($A168="N/A"," ",IF(Q168&lt;&gt;0,IF('Pricing Inputs'!$AN$3=2,8*VLOOKUP($A168,NumberofDaysTable,2),(xSPRDOPT(J168,$E168,$BU168,0,$BP168,$BS168,$BT168,$A168-Inputs!$D$1,1,1))*(8*VLOOKUP($A168,NumberofDaysTable,2))),0))</f>
        <v> </v>
      </c>
      <c r="Y168" s="282" t="str">
        <f aca="false">IF($A168="N/A"," ",IF(R168&lt;&gt;0,IF('Pricing Inputs'!$AN$3=2,8*VLOOKUP($A168,NumberofDaysTable,3),(xSPRDOPT(K168,$E168,$BU168,0,$BP168,$BS168,$BT168,$A168-Inputs!$D$1,1,1))*(8*VLOOKUP($A168,NumberofDaysTable,3))),0))</f>
        <v> </v>
      </c>
      <c r="Z168" s="282" t="str">
        <f aca="false">IF($A168="N/A"," ",IF(S168&lt;&gt;0,IF('Pricing Inputs'!$AN$3=2,8*VLOOKUP($A168,NumberofDaysTable,3),(xSPRDOPT(L168,$E168,$BU168,0,$BP168,$BS168,$BT168,$A168-Inputs!$D$1,1,1))*(8*VLOOKUP($A168,NumberofDaysTable,3))),0))</f>
        <v> </v>
      </c>
      <c r="AA168" s="282" t="str">
        <f aca="false">IF($A168="N/A"," ",IF(T168&lt;&gt;0,IF('Pricing Inputs'!$AN$3=2,8*VLOOKUP($A168,NumberofDaysTable,4),(xSPRDOPT(M168,$E168,$BU168,0,$BP168,$BS168,$BT168,$A168-Inputs!$D$1,1,1))*(8*VLOOKUP($A168,NumberofDaysTable,4))),0))</f>
        <v> </v>
      </c>
      <c r="AB168" s="282" t="str">
        <f aca="false">IF($A168="N/A"," ",IF(U168&lt;&gt;0,IF('Pricing Inputs'!$AN$3=2,8*VLOOKUP($A168,NumberofDaysTable,4),(xSPRDOPT(N168,$E168,$BU168,0,$BP168,$BS168,$BT168,$A168-Inputs!$D$1,1,1))*(8*VLOOKUP($A168,NumberofDaysTable,4))),0))</f>
        <v> </v>
      </c>
      <c r="AC168" s="282" t="str">
        <f aca="false">IF($A168="N/A"," ",(IF(V168&lt;&gt;0,(8*VLOOKUP($A168,NumberofDaysTable,6)),0)))</f>
        <v> </v>
      </c>
      <c r="AD168" s="298" t="str">
        <f aca="false">IF($A168="N/A"," ",RANK(P168,$P$160:$V$171))</f>
        <v> </v>
      </c>
      <c r="AE168" s="299" t="str">
        <f aca="false">IF($A168="N/A"," ",RANK(Q168,$P$160:$V$171))</f>
        <v> </v>
      </c>
      <c r="AF168" s="299" t="str">
        <f aca="false">IF($A168="N/A"," ",RANK(R168,$P$160:$V$171))</f>
        <v> </v>
      </c>
      <c r="AG168" s="299" t="str">
        <f aca="false">IF($A168="N/A"," ",RANK(S168,$P$160:$V$171))</f>
        <v> </v>
      </c>
      <c r="AH168" s="299" t="str">
        <f aca="false">IF($A168="N/A"," ",RANK(T168,$P$160:$V$171))</f>
        <v> </v>
      </c>
      <c r="AI168" s="299" t="str">
        <f aca="false">IF($A168="N/A"," ",RANK(U168,$P$160:$V$171))</f>
        <v> </v>
      </c>
      <c r="AJ168" s="300" t="str">
        <f aca="false">IF($A168="N/A"," ",RANK(V168,$P$160:$V$171))</f>
        <v> </v>
      </c>
      <c r="AK168" s="286" t="str">
        <f aca="false">IF($A168="N/A"," ",IF(AD168&lt;=$AJ$2,W168,0))</f>
        <v> </v>
      </c>
      <c r="AL168" s="301" t="str">
        <f aca="false">IF($A168="N/A"," ",IF(AE168&lt;=$AJ$2,X168,0))</f>
        <v> </v>
      </c>
      <c r="AM168" s="301" t="str">
        <f aca="false">IF($A168="N/A"," ",IF(AF168&lt;=$AJ$2,Y168,0))</f>
        <v> </v>
      </c>
      <c r="AN168" s="301" t="str">
        <f aca="false">IF($A168="N/A"," ",IF(AG168&lt;=$AJ$2,Z168,0))</f>
        <v> </v>
      </c>
      <c r="AO168" s="301" t="str">
        <f aca="false">IF($A168="N/A"," ",IF(AH168&lt;=$AJ$2,AA168,0))</f>
        <v> </v>
      </c>
      <c r="AP168" s="301" t="str">
        <f aca="false">IF($A168="N/A"," ",IF(AI168&lt;=$AJ$2,AB168,0))</f>
        <v> </v>
      </c>
      <c r="AQ168" s="301" t="str">
        <f aca="false">IF($A168="N/A"," ",IF(AJ168&lt;=$AJ$2,AC168,0))</f>
        <v> </v>
      </c>
      <c r="AR168" s="300"/>
      <c r="AS168" s="288" t="str">
        <f aca="false">IF($A168="N/A"," ",IF(AND(AD168=$AJ$2+1,AK168=0),MIN($AR$171,W168),0))</f>
        <v> </v>
      </c>
      <c r="AT168" s="302" t="str">
        <f aca="false">IF($A168="N/A"," ",IF(AND(AE168=$AJ$2+1,AL168=0),MIN($AR$171,X168),0))</f>
        <v> </v>
      </c>
      <c r="AU168" s="302" t="str">
        <f aca="false">IF($A168="N/A"," ",IF(AND(AF168=$AJ$2+1,AM168=0),MIN($AR$171,Y168),0))</f>
        <v> </v>
      </c>
      <c r="AV168" s="302" t="str">
        <f aca="false">IF($A168="N/A"," ",IF(AND(AG168=$AJ$2+1,AN168=0),MIN($AR$171,Z168),0))</f>
        <v> </v>
      </c>
      <c r="AW168" s="302" t="str">
        <f aca="false">IF($A168="N/A"," ",IF(AND(AH168=$AJ$2+1,AO168=0),MIN($AR$171,AA168),0))</f>
        <v> </v>
      </c>
      <c r="AX168" s="302" t="str">
        <f aca="false">IF($A168="N/A"," ",IF(AND(AI168=$AJ$2+1,AP168=0),MIN($AR$171,AB168),0))</f>
        <v> </v>
      </c>
      <c r="AY168" s="302" t="str">
        <f aca="false">IF($A168="N/A"," ",IF(AND(AJ168=$AJ$2+1,AQ168=0),MIN($AR$171,AC168),0))</f>
        <v> </v>
      </c>
      <c r="AZ168" s="300"/>
      <c r="BA168" s="291" t="str">
        <f aca="false">IF($A168="N/A"," ",(IF(MONTH(A168)&gt;=4,IF(MONTH(A168)&lt;=10,Inputs!$F$13,Inputs!$F$14),Inputs!$F$14))*$BW168)</f>
        <v> </v>
      </c>
      <c r="BB168" s="292" t="str">
        <f aca="false">IF($A168="N/A"," ",(IF(AK168&gt;0,($BA168*(8*(VLOOKUP($A168,NumberofDaysTable,2)))*P168),0)+IF(AS168&gt;0,($BA168*((AS168))*P168),0)))</f>
        <v> </v>
      </c>
      <c r="BC168" s="292" t="str">
        <f aca="false">IF($A168="N/A"," ",(IF(AL168&gt;0,($BA168*(8*(VLOOKUP($A168,NumberofDaysTable,2)))*Q168),0)+IF(AT168&gt;0,($BA168*((AT168))*Q168),0)))</f>
        <v> </v>
      </c>
      <c r="BD168" s="292" t="str">
        <f aca="false">IF($A168="N/A"," ",(IF(AM168&gt;0,($BA168*(8*(VLOOKUP($A168,NumberofDaysTable,3)))*R168),0)+IF(AU168&gt;0,($BA168*((AU168))*R168),0)))</f>
        <v> </v>
      </c>
      <c r="BE168" s="292" t="str">
        <f aca="false">IF($A168="N/A"," ",(IF(AN168&gt;0,($BA168*(8*(VLOOKUP($A168,NumberofDaysTable,3)))*S168),0)+IF(AV168&gt;0,($BA168*((AV168))*S168),0)))</f>
        <v> </v>
      </c>
      <c r="BF168" s="292" t="str">
        <f aca="false">IF($A168="N/A"," ",(IF(AO168&gt;0,($BA168*(8*(VLOOKUP($A168,NumberofDaysTable,4)+VLOOKUP($A168,NumberofDaysTable,5)))*T168),0)+IF(AW168&gt;0,($BA168*((AW168))*T168),0)))</f>
        <v> </v>
      </c>
      <c r="BG168" s="292" t="str">
        <f aca="false">IF($A168="N/A"," ",(IF(AP168&gt;0,($BA168*(8*(VLOOKUP($A168,NumberofDaysTable,4)+VLOOKUP($A168,NumberofDaysTable,5)))*U168),0)+IF(AX168&gt;0,($BA168*((AX168))*U168),0)))</f>
        <v> </v>
      </c>
      <c r="BH168" s="292" t="str">
        <f aca="false">IF($A168="N/A"," ",($BA168*AQ168*V168))</f>
        <v> </v>
      </c>
      <c r="BI168" s="292" t="str">
        <f aca="false">IF($A168="N/A"," ",SUM(BB168:BH168))</f>
        <v> </v>
      </c>
      <c r="BJ168" s="293" t="str">
        <f aca="false">IF($A168="N/A"," ",(H168*(SUM(AK168:AQ168)+SUM(AS168:AY168))*BA168))</f>
        <v> </v>
      </c>
      <c r="BK168" s="293" t="str">
        <f aca="false">IF($A168="N/A"," ",((C168*D168)*(SUM($AK168:$AQ168)+SUM($AS168:$AY168))*$BA168))</f>
        <v> </v>
      </c>
      <c r="BL168" s="293" t="str">
        <f aca="false">IF($A168="N/A"," ",(F168*(SUM($AK168:$AQ168)+SUM($AS168:$AY168))*$BA168))</f>
        <v> </v>
      </c>
      <c r="BM168" s="293" t="str">
        <f aca="false">IF($A168="N/A"," ",(G168*(SUM($AK168:$AQ168)+SUM($AS168:$AY168))*$BA168))</f>
        <v> </v>
      </c>
      <c r="BN168" s="294" t="str">
        <f aca="false">IF(A168="N/A"," ",(VLOOKUP(A168,PowerVolTable,(IF('Pricing Inputs'!$AT$3=2,7,IF('Pricing Inputs'!$AT$3=1,6,8))),FALSE())))</f>
        <v> </v>
      </c>
      <c r="BO168" s="294" t="str">
        <f aca="false">IF(A168="N/A"," ",(VLOOKUP(A168,IntraPowerVol,(IF('Pricing Inputs'!$AT$3=2,3,IF('Pricing Inputs'!$AT$3=1,2,4))),FALSE())*VLOOKUP(MONTH($A168),Inputs!$A$28:$B$39,2)))</f>
        <v> </v>
      </c>
      <c r="BP168" s="295" t="str">
        <f aca="false">IF($A168="N/A"," ",(IF(DateToday&gt;$A168,$BO168,((($BN168^2)*((($A168-1)-DateToday)/((EOMONTH($A168,0)+1)-DateToday-15)))+((($BO168)^2)*((15)/((EOMONTH($A168,0)+1)-DateToday-15))))^0.5)))</f>
        <v> </v>
      </c>
      <c r="BQ168" s="294" t="str">
        <f aca="false">IF($A168="N/A"," ",(VLOOKUP($A168,GasVolTable,(IF('Pricing Inputs'!$AT$3=2,6,IF('Pricing Inputs'!$AT$3=1,7,5))),FALSE())))</f>
        <v> </v>
      </c>
      <c r="BR168" s="294" t="str">
        <f aca="false">IF($A168="N/A"," ",(VLOOKUP($A168,OmicronVol,(IF('Pricing Inputs'!$AT$3=2,3,IF('Pricing Inputs'!$AT$3=1,4,2))),FALSE())))</f>
        <v> </v>
      </c>
      <c r="BS168" s="295" t="str">
        <f aca="false">IF($A168="N/A"," ",IF('Pricing Inputs'!$AN$3=1,(IF(DateToday&gt;$A168,$BR168,((($BQ168^2)*((($A168-1)-DateToday)/((EOMONTH($A168,0)+1)-DateToday-15)))+((($BR168)^2)*((15)/((EOMONTH($A168,0)+1)-DateToday-15))))^0.5)),0.0001))</f>
        <v> </v>
      </c>
      <c r="BT168" s="294" t="str">
        <f aca="false">IF($A168="N/A"," ",IF('Pricing Inputs'!$AN$3=1,(VLOOKUP($A168,CorrelationTable,2,FALSE())),0))</f>
        <v> </v>
      </c>
      <c r="BU168" s="296" t="str">
        <f aca="false">IF($A168="N/A"," ",F168+G168+(D168*(VLOOKUP($A168,'Gas Curves'!$B$17:$P$310,14,FALSE()))))</f>
        <v> </v>
      </c>
      <c r="BV168" s="294" t="str">
        <f aca="false">IF($A168="N/A"," ",IF('Pricing Inputs'!$AW$3=1,0,(VLOOKUP($A168,InterestRatesTable,2))))</f>
        <v> </v>
      </c>
      <c r="BW168" s="297" t="str">
        <f aca="false">IF($A168="N/A"," ",(1+BV168/2)^(-2*((EOMONTH(A168,0)+20)-DateToday)/365.25))</f>
        <v> </v>
      </c>
    </row>
    <row r="169" customFormat="false" ht="12.75" hidden="false" customHeight="false" outlineLevel="0" collapsed="false">
      <c r="A169" s="272" t="str">
        <f aca="false">IF(A168="N/A","N/A",IF(EDATE(A168,1)&gt;Inputs!$K$3,"N/A",EDATE(A168,1)))</f>
        <v>N/A</v>
      </c>
      <c r="B169" s="273" t="str">
        <f aca="false">IF(A169="N/A"," ",YEAR(A169))</f>
        <v> </v>
      </c>
      <c r="C169" s="274" t="str">
        <f aca="false">IF(A169="N/A"," ",VLOOKUP(A169,ScaledPrice,10))</f>
        <v> </v>
      </c>
      <c r="D169" s="275" t="str">
        <f aca="false">IF(A169="N/A"," ",(VLOOKUP(MONTH($A169),Inputs!$A$14:$B$25,2))/1000)</f>
        <v> </v>
      </c>
      <c r="E169" s="276" t="str">
        <f aca="false">IF($A169="N/A"," ",C169*D169)</f>
        <v> </v>
      </c>
      <c r="F169" s="277" t="str">
        <f aca="false">IF(A169="N/A"," ",Inputs!$F$6)</f>
        <v> </v>
      </c>
      <c r="G169" s="277" t="str">
        <f aca="false">IF(A169="N/A"," ",Inputs!$F$9/IF(AND('Pricing Inputs'!$AQ$3&gt;=4,'Pricing Inputs'!$AQ$3&lt;=6),16,IF(AND('Pricing Inputs'!$AQ$3&gt;=7,'Pricing Inputs'!$AQ$3&lt;=9),8,24))/(BA169/BW169))</f>
        <v> </v>
      </c>
      <c r="H169" s="278" t="str">
        <f aca="false">IF(A169="N/A"," ",(C169*D169)+F169+G169)</f>
        <v> </v>
      </c>
      <c r="I169" s="279" t="str">
        <f aca="false">VLOOKUP(A169,ScaledPrice,(IF(AND('Pricing Inputs'!$AQ$3&gt;=1,'Pricing Inputs'!$AQ$3&lt;=6),2,4)))</f>
        <v> </v>
      </c>
      <c r="J169" s="279" t="str">
        <f aca="false">IF(A169="N/A"," ",IF(AND('Pricing Inputs'!$AQ$3&gt;=1,'Pricing Inputs'!$AQ$3&lt;=6),I169,(VLOOKUP(A169,ScaledPrice,2))*(2-(VLOOKUP(A169,ScaledPrice,3)))))</f>
        <v> </v>
      </c>
      <c r="K169" s="279" t="str">
        <f aca="false">IF(A169="N/A"," ",IF(OR('Pricing Inputs'!$AQ$3=2,'Pricing Inputs'!$AQ$3=3,'Pricing Inputs'!$AQ$3=5,'Pricing Inputs'!$AQ$3=6,'Pricing Inputs'!$AQ$3=8,'Pricing Inputs'!$AQ$3=9),VLOOKUP(A169,ScaledPrice,IF(AND('Pricing Inputs'!$AQ$3&gt;=2,'Pricing Inputs'!$AQ$3&lt;=6),5,6)),0))</f>
        <v> </v>
      </c>
      <c r="L169" s="279" t="str">
        <f aca="false">IF(A169="N/A"," ",IF(OR('Pricing Inputs'!$AQ$3=2,'Pricing Inputs'!$AQ$3=3,'Pricing Inputs'!$AQ$3=5,'Pricing Inputs'!$AQ$3=6,'Pricing Inputs'!$AQ$3=8,'Pricing Inputs'!$AQ$3=9),IF(AND('Pricing Inputs'!$AQ$3&gt;=2,'Pricing Inputs'!$AQ$3&lt;=6),K169,(VLOOKUP(A169,ScaledPrice,5))*(2-(VLOOKUP(A169,ScaledPrice,3)))),0))</f>
        <v> </v>
      </c>
      <c r="M169" s="279" t="str">
        <f aca="false">IF(A169="N/A"," ",IF(OR('Pricing Inputs'!$AQ$3=3,'Pricing Inputs'!$AQ$3=6,'Pricing Inputs'!$AQ$3=9),(VLOOKUP(A169,ScaledPrice,IF(AND('Pricing Inputs'!$AQ$3&gt;=3,'Pricing Inputs'!$AQ$3&lt;=6),7,8))),0))</f>
        <v> </v>
      </c>
      <c r="N169" s="279" t="str">
        <f aca="false">IF(A169="N/A"," ",IF(OR('Pricing Inputs'!$AQ$3=3,'Pricing Inputs'!$AQ$3=6,'Pricing Inputs'!$AQ$3=9),IF(AND('Pricing Inputs'!$AQ$3&gt;=3,'Pricing Inputs'!$AQ$3&lt;=6),M169,(VLOOKUP(A169,ScaledPrice,7))*(2-(VLOOKUP(A169,ScaledPrice,3)))),0))</f>
        <v> </v>
      </c>
      <c r="O169" s="279" t="str">
        <f aca="false">IF(A169="N/A"," ",IF(AND('Pricing Inputs'!$AQ$3&gt;=1,'Pricing Inputs'!$AQ$3&lt;=3),VLOOKUP(A169,ScaledPrice,9),0))</f>
        <v> </v>
      </c>
      <c r="P169" s="280" t="str">
        <f aca="false">IF($A169="N/A"," ",IF('Pricing Inputs'!$AN$8=2,(I169-H169),IF('Pricing Inputs'!$AN$3=2,IF((I169-$H169)&gt;0,I169-$H169,0),(xSPRDOPT(I169,$E169,$BU169,0,$BP169,$BS169,$BT169,($A169-Inputs!$D$1)+15,1,0)))))</f>
        <v> </v>
      </c>
      <c r="Q169" s="280" t="str">
        <f aca="false">IF($A169="N/A"," ",IF('Pricing Inputs'!$AN$8=2,(J169-$H169),IF('Pricing Inputs'!$AN$3=2,IF((J169-$H169)&gt;0,J169-$H169,0),(xSPRDOPT(J169,$E169,$BU169,0,$BP169,$BS169,$BT169,($A169-Inputs!$D$1)+15,1,0)))))</f>
        <v> </v>
      </c>
      <c r="R169" s="280" t="str">
        <f aca="false">IF($A169="N/A"," ",IF('Pricing Inputs'!$AN$8=2,(K169-$H169),IF('Pricing Inputs'!$AN$3=2,IF((K169-$H169)&gt;0,K169-$H169,0),(xSPRDOPT(K169,$E169,$BU169,0,$BP169,$BS169,$BT169,($A169-Inputs!$D$1)+15,1,0)))))</f>
        <v> </v>
      </c>
      <c r="S169" s="280" t="str">
        <f aca="false">IF($A169="N/A"," ",IF('Pricing Inputs'!$AN$8=2,(L169-$H169),IF('Pricing Inputs'!$AN$3=2,IF((L169-$H169)&gt;0,L169-$H169,0),(xSPRDOPT(L169,$E169,$BU169,0,$BP169,$BS169,$BT169,($A169-Inputs!$D$1)+15,1,0)))))</f>
        <v> </v>
      </c>
      <c r="T169" s="280" t="str">
        <f aca="false">IF($A169="N/A"," ",IF('Pricing Inputs'!$AN$8=2,(M169-$H169),IF('Pricing Inputs'!$AN$3=2,IF((M169-$H169)&gt;0,M169-$H169,0),(xSPRDOPT(M169,$E169,$BU169,0,$BP169,$BS169,$BT169,($A169-Inputs!$D$1)+15,1,0)))))</f>
        <v> </v>
      </c>
      <c r="U169" s="280" t="str">
        <f aca="false">IF($A169="N/A"," ",IF('Pricing Inputs'!$AN$8=2,(N169-$H169),IF('Pricing Inputs'!$AN$3=2,IF((N169-$H169)&gt;0,N169-$H169,0),(xSPRDOPT(N169,$E169,$BU169,0,$BP169,$BS169,$BT169,($A169-Inputs!$D$1)+15,1,0)))))</f>
        <v> </v>
      </c>
      <c r="V169" s="281" t="str">
        <f aca="false">IF($A169="N/A"," ",(IF('Pricing Inputs'!$AN$8=2,(O169-$H169),IF((O169-$H169)&lt;=0,0,(O169-$H169)))))</f>
        <v> </v>
      </c>
      <c r="W169" s="282" t="str">
        <f aca="false">IF($A169="N/A"," ",IF(0&lt;&gt;P169,IF('Pricing Inputs'!$AN$3=2,8*VLOOKUP($A169,NumberofDaysTable,2),(xSPRDOPT(I169,$E169,$BU169,0,$BP169,$BS169,$BT169,$A169-Inputs!$D$1,1,1))*(8*VLOOKUP($A169,NumberofDaysTable,2))),0))</f>
        <v> </v>
      </c>
      <c r="X169" s="282" t="str">
        <f aca="false">IF($A169="N/A"," ",IF(Q169&lt;&gt;0,IF('Pricing Inputs'!$AN$3=2,8*VLOOKUP($A169,NumberofDaysTable,2),(xSPRDOPT(J169,$E169,$BU169,0,$BP169,$BS169,$BT169,$A169-Inputs!$D$1,1,1))*(8*VLOOKUP($A169,NumberofDaysTable,2))),0))</f>
        <v> </v>
      </c>
      <c r="Y169" s="282" t="str">
        <f aca="false">IF($A169="N/A"," ",IF(R169&lt;&gt;0,IF('Pricing Inputs'!$AN$3=2,8*VLOOKUP($A169,NumberofDaysTable,3),(xSPRDOPT(K169,$E169,$BU169,0,$BP169,$BS169,$BT169,$A169-Inputs!$D$1,1,1))*(8*VLOOKUP($A169,NumberofDaysTable,3))),0))</f>
        <v> </v>
      </c>
      <c r="Z169" s="282" t="str">
        <f aca="false">IF($A169="N/A"," ",IF(S169&lt;&gt;0,IF('Pricing Inputs'!$AN$3=2,8*VLOOKUP($A169,NumberofDaysTable,3),(xSPRDOPT(L169,$E169,$BU169,0,$BP169,$BS169,$BT169,$A169-Inputs!$D$1,1,1))*(8*VLOOKUP($A169,NumberofDaysTable,3))),0))</f>
        <v> </v>
      </c>
      <c r="AA169" s="282" t="str">
        <f aca="false">IF($A169="N/A"," ",IF(T169&lt;&gt;0,IF('Pricing Inputs'!$AN$3=2,8*VLOOKUP($A169,NumberofDaysTable,4),(xSPRDOPT(M169,$E169,$BU169,0,$BP169,$BS169,$BT169,$A169-Inputs!$D$1,1,1))*(8*VLOOKUP($A169,NumberofDaysTable,4))),0))</f>
        <v> </v>
      </c>
      <c r="AB169" s="282" t="str">
        <f aca="false">IF($A169="N/A"," ",IF(U169&lt;&gt;0,IF('Pricing Inputs'!$AN$3=2,8*VLOOKUP($A169,NumberofDaysTable,4),(xSPRDOPT(N169,$E169,$BU169,0,$BP169,$BS169,$BT169,$A169-Inputs!$D$1,1,1))*(8*VLOOKUP($A169,NumberofDaysTable,4))),0))</f>
        <v> </v>
      </c>
      <c r="AC169" s="282" t="str">
        <f aca="false">IF($A169="N/A"," ",(IF(V169&lt;&gt;0,(8*VLOOKUP($A169,NumberofDaysTable,6)),0)))</f>
        <v> </v>
      </c>
      <c r="AD169" s="298" t="str">
        <f aca="false">IF($A169="N/A"," ",RANK(P169,$P$160:$V$171))</f>
        <v> </v>
      </c>
      <c r="AE169" s="299" t="str">
        <f aca="false">IF($A169="N/A"," ",RANK(Q169,$P$160:$V$171))</f>
        <v> </v>
      </c>
      <c r="AF169" s="299" t="str">
        <f aca="false">IF($A169="N/A"," ",RANK(R169,$P$160:$V$171))</f>
        <v> </v>
      </c>
      <c r="AG169" s="299" t="str">
        <f aca="false">IF($A169="N/A"," ",RANK(S169,$P$160:$V$171))</f>
        <v> </v>
      </c>
      <c r="AH169" s="299" t="str">
        <f aca="false">IF($A169="N/A"," ",RANK(T169,$P$160:$V$171))</f>
        <v> </v>
      </c>
      <c r="AI169" s="299" t="str">
        <f aca="false">IF($A169="N/A"," ",RANK(U169,$P$160:$V$171))</f>
        <v> </v>
      </c>
      <c r="AJ169" s="300" t="str">
        <f aca="false">IF($A169="N/A"," ",RANK(V169,$P$160:$V$171))</f>
        <v> </v>
      </c>
      <c r="AK169" s="286" t="str">
        <f aca="false">IF($A169="N/A"," ",IF(AD169&lt;=$AJ$2,W169,0))</f>
        <v> </v>
      </c>
      <c r="AL169" s="301" t="str">
        <f aca="false">IF($A169="N/A"," ",IF(AE169&lt;=$AJ$2,X169,0))</f>
        <v> </v>
      </c>
      <c r="AM169" s="301" t="str">
        <f aca="false">IF($A169="N/A"," ",IF(AF169&lt;=$AJ$2,Y169,0))</f>
        <v> </v>
      </c>
      <c r="AN169" s="301" t="str">
        <f aca="false">IF($A169="N/A"," ",IF(AG169&lt;=$AJ$2,Z169,0))</f>
        <v> </v>
      </c>
      <c r="AO169" s="301" t="str">
        <f aca="false">IF($A169="N/A"," ",IF(AH169&lt;=$AJ$2,AA169,0))</f>
        <v> </v>
      </c>
      <c r="AP169" s="301" t="str">
        <f aca="false">IF($A169="N/A"," ",IF(AI169&lt;=$AJ$2,AB169,0))</f>
        <v> </v>
      </c>
      <c r="AQ169" s="301" t="str">
        <f aca="false">IF($A169="N/A"," ",IF(AJ169&lt;=$AJ$2,AC169,0))</f>
        <v> </v>
      </c>
      <c r="AR169" s="304" t="s">
        <v>1301</v>
      </c>
      <c r="AS169" s="288" t="str">
        <f aca="false">IF($A169="N/A"," ",IF(AND(AD169=$AJ$2+1,AK169=0),MIN($AR$171,W169),0))</f>
        <v> </v>
      </c>
      <c r="AT169" s="302" t="str">
        <f aca="false">IF($A169="N/A"," ",IF(AND(AE169=$AJ$2+1,AL169=0),MIN($AR$171,X169),0))</f>
        <v> </v>
      </c>
      <c r="AU169" s="302" t="str">
        <f aca="false">IF($A169="N/A"," ",IF(AND(AF169=$AJ$2+1,AM169=0),MIN($AR$171,Y169),0))</f>
        <v> </v>
      </c>
      <c r="AV169" s="302" t="str">
        <f aca="false">IF($A169="N/A"," ",IF(AND(AG169=$AJ$2+1,AN169=0),MIN($AR$171,Z169),0))</f>
        <v> </v>
      </c>
      <c r="AW169" s="302" t="str">
        <f aca="false">IF($A169="N/A"," ",IF(AND(AH169=$AJ$2+1,AO169=0),MIN($AR$171,AA169),0))</f>
        <v> </v>
      </c>
      <c r="AX169" s="302" t="str">
        <f aca="false">IF($A169="N/A"," ",IF(AND(AI169=$AJ$2+1,AP169=0),MIN($AR$171,AB169),0))</f>
        <v> </v>
      </c>
      <c r="AY169" s="302" t="str">
        <f aca="false">IF($A169="N/A"," ",IF(AND(AJ169=$AJ$2+1,AQ169=0),MIN($AR$171,AC169),0))</f>
        <v> </v>
      </c>
      <c r="AZ169" s="303" t="s">
        <v>1328</v>
      </c>
      <c r="BA169" s="291" t="str">
        <f aca="false">IF($A169="N/A"," ",(IF(MONTH(A169)&gt;=4,IF(MONTH(A169)&lt;=10,Inputs!$F$13,Inputs!$F$14),Inputs!$F$14))*$BW169)</f>
        <v> </v>
      </c>
      <c r="BB169" s="292" t="str">
        <f aca="false">IF($A169="N/A"," ",(IF(AK169&gt;0,($BA169*(8*(VLOOKUP($A169,NumberofDaysTable,2)))*P169),0)+IF(AS169&gt;0,($BA169*((AS169))*P169),0)))</f>
        <v> </v>
      </c>
      <c r="BC169" s="292" t="str">
        <f aca="false">IF($A169="N/A"," ",(IF(AL169&gt;0,($BA169*(8*(VLOOKUP($A169,NumberofDaysTable,2)))*Q169),0)+IF(AT169&gt;0,($BA169*((AT169))*Q169),0)))</f>
        <v> </v>
      </c>
      <c r="BD169" s="292" t="str">
        <f aca="false">IF($A169="N/A"," ",(IF(AM169&gt;0,($BA169*(8*(VLOOKUP($A169,NumberofDaysTable,3)))*R169),0)+IF(AU169&gt;0,($BA169*((AU169))*R169),0)))</f>
        <v> </v>
      </c>
      <c r="BE169" s="292" t="str">
        <f aca="false">IF($A169="N/A"," ",(IF(AN169&gt;0,($BA169*(8*(VLOOKUP($A169,NumberofDaysTable,3)))*S169),0)+IF(AV169&gt;0,($BA169*((AV169))*S169),0)))</f>
        <v> </v>
      </c>
      <c r="BF169" s="292" t="str">
        <f aca="false">IF($A169="N/A"," ",(IF(AO169&gt;0,($BA169*(8*(VLOOKUP($A169,NumberofDaysTable,4)+VLOOKUP($A169,NumberofDaysTable,5)))*T169),0)+IF(AW169&gt;0,($BA169*((AW169))*T169),0)))</f>
        <v> </v>
      </c>
      <c r="BG169" s="292" t="str">
        <f aca="false">IF($A169="N/A"," ",(IF(AP169&gt;0,($BA169*(8*(VLOOKUP($A169,NumberofDaysTable,4)+VLOOKUP($A169,NumberofDaysTable,5)))*U169),0)+IF(AX169&gt;0,($BA169*((AX169))*U169),0)))</f>
        <v> </v>
      </c>
      <c r="BH169" s="292" t="str">
        <f aca="false">IF($A169="N/A"," ",($BA169*AQ169*V169))</f>
        <v> </v>
      </c>
      <c r="BI169" s="292" t="str">
        <f aca="false">IF($A169="N/A"," ",SUM(BB169:BH169))</f>
        <v> </v>
      </c>
      <c r="BJ169" s="293" t="str">
        <f aca="false">IF($A169="N/A"," ",(H169*(SUM(AK169:AQ169)+SUM(AS169:AY169))*BA169))</f>
        <v> </v>
      </c>
      <c r="BK169" s="293" t="str">
        <f aca="false">IF($A169="N/A"," ",((C169*D169)*(SUM($AK169:$AQ169)+SUM($AS169:$AY169))*$BA169))</f>
        <v> </v>
      </c>
      <c r="BL169" s="293" t="str">
        <f aca="false">IF($A169="N/A"," ",(F169*(SUM($AK169:$AQ169)+SUM($AS169:$AY169))*$BA169))</f>
        <v> </v>
      </c>
      <c r="BM169" s="293" t="str">
        <f aca="false">IF($A169="N/A"," ",(G169*(SUM($AK169:$AQ169)+SUM($AS169:$AY169))*$BA169))</f>
        <v> </v>
      </c>
      <c r="BN169" s="294" t="str">
        <f aca="false">IF(A169="N/A"," ",(VLOOKUP(A169,PowerVolTable,(IF('Pricing Inputs'!$AT$3=2,7,IF('Pricing Inputs'!$AT$3=1,6,8))),FALSE())))</f>
        <v> </v>
      </c>
      <c r="BO169" s="294" t="str">
        <f aca="false">IF(A169="N/A"," ",(VLOOKUP(A169,IntraPowerVol,(IF('Pricing Inputs'!$AT$3=2,3,IF('Pricing Inputs'!$AT$3=1,2,4))),FALSE())*VLOOKUP(MONTH($A169),Inputs!$A$28:$B$39,2)))</f>
        <v> </v>
      </c>
      <c r="BP169" s="295" t="str">
        <f aca="false">IF($A169="N/A"," ",(IF(DateToday&gt;$A169,$BO169,((($BN169^2)*((($A169-1)-DateToday)/((EOMONTH($A169,0)+1)-DateToday-15)))+((($BO169)^2)*((15)/((EOMONTH($A169,0)+1)-DateToday-15))))^0.5)))</f>
        <v> </v>
      </c>
      <c r="BQ169" s="294" t="str">
        <f aca="false">IF($A169="N/A"," ",(VLOOKUP($A169,GasVolTable,(IF('Pricing Inputs'!$AT$3=2,6,IF('Pricing Inputs'!$AT$3=1,7,5))),FALSE())))</f>
        <v> </v>
      </c>
      <c r="BR169" s="294" t="str">
        <f aca="false">IF($A169="N/A"," ",(VLOOKUP($A169,OmicronVol,(IF('Pricing Inputs'!$AT$3=2,3,IF('Pricing Inputs'!$AT$3=1,4,2))),FALSE())))</f>
        <v> </v>
      </c>
      <c r="BS169" s="295" t="str">
        <f aca="false">IF($A169="N/A"," ",IF('Pricing Inputs'!$AN$3=1,(IF(DateToday&gt;$A169,$BR169,((($BQ169^2)*((($A169-1)-DateToday)/((EOMONTH($A169,0)+1)-DateToday-15)))+((($BR169)^2)*((15)/((EOMONTH($A169,0)+1)-DateToday-15))))^0.5)),0.0001))</f>
        <v> </v>
      </c>
      <c r="BT169" s="294" t="str">
        <f aca="false">IF($A169="N/A"," ",IF('Pricing Inputs'!$AN$3=1,(VLOOKUP($A169,CorrelationTable,2,FALSE())),0))</f>
        <v> </v>
      </c>
      <c r="BU169" s="296" t="str">
        <f aca="false">IF($A169="N/A"," ",F169+G169+(D169*(VLOOKUP($A169,'Gas Curves'!$B$17:$P$310,14,FALSE()))))</f>
        <v> </v>
      </c>
      <c r="BV169" s="294" t="str">
        <f aca="false">IF($A169="N/A"," ",IF('Pricing Inputs'!$AW$3=1,0,(VLOOKUP($A169,InterestRatesTable,2))))</f>
        <v> </v>
      </c>
      <c r="BW169" s="297" t="str">
        <f aca="false">IF($A169="N/A"," ",(1+BV169/2)^(-2*((EOMONTH(A169,0)+20)-DateToday)/365.25))</f>
        <v> </v>
      </c>
    </row>
    <row r="170" customFormat="false" ht="12.75" hidden="false" customHeight="false" outlineLevel="0" collapsed="false">
      <c r="A170" s="272" t="str">
        <f aca="false">IF(A169="N/A","N/A",IF(EDATE(A169,1)&gt;Inputs!$K$3,"N/A",EDATE(A169,1)))</f>
        <v>N/A</v>
      </c>
      <c r="B170" s="273" t="str">
        <f aca="false">IF(A170="N/A"," ",YEAR(A170))</f>
        <v> </v>
      </c>
      <c r="C170" s="274" t="str">
        <f aca="false">IF(A170="N/A"," ",VLOOKUP(A170,ScaledPrice,10))</f>
        <v> </v>
      </c>
      <c r="D170" s="275" t="str">
        <f aca="false">IF(A170="N/A"," ",(VLOOKUP(MONTH($A170),Inputs!$A$14:$B$25,2))/1000)</f>
        <v> </v>
      </c>
      <c r="E170" s="276" t="str">
        <f aca="false">IF($A170="N/A"," ",C170*D170)</f>
        <v> </v>
      </c>
      <c r="F170" s="277" t="str">
        <f aca="false">IF(A170="N/A"," ",Inputs!$F$6)</f>
        <v> </v>
      </c>
      <c r="G170" s="277" t="str">
        <f aca="false">IF(A170="N/A"," ",Inputs!$F$9/IF(AND('Pricing Inputs'!$AQ$3&gt;=4,'Pricing Inputs'!$AQ$3&lt;=6),16,IF(AND('Pricing Inputs'!$AQ$3&gt;=7,'Pricing Inputs'!$AQ$3&lt;=9),8,24))/(BA170/BW170))</f>
        <v> </v>
      </c>
      <c r="H170" s="278" t="str">
        <f aca="false">IF(A170="N/A"," ",(C170*D170)+F170+G170)</f>
        <v> </v>
      </c>
      <c r="I170" s="279" t="str">
        <f aca="false">VLOOKUP(A170,ScaledPrice,(IF(AND('Pricing Inputs'!$AQ$3&gt;=1,'Pricing Inputs'!$AQ$3&lt;=6),2,4)))</f>
        <v> </v>
      </c>
      <c r="J170" s="279" t="str">
        <f aca="false">IF(A170="N/A"," ",IF(AND('Pricing Inputs'!$AQ$3&gt;=1,'Pricing Inputs'!$AQ$3&lt;=6),I170,(VLOOKUP(A170,ScaledPrice,2))*(2-(VLOOKUP(A170,ScaledPrice,3)))))</f>
        <v> </v>
      </c>
      <c r="K170" s="279" t="str">
        <f aca="false">IF(A170="N/A"," ",IF(OR('Pricing Inputs'!$AQ$3=2,'Pricing Inputs'!$AQ$3=3,'Pricing Inputs'!$AQ$3=5,'Pricing Inputs'!$AQ$3=6,'Pricing Inputs'!$AQ$3=8,'Pricing Inputs'!$AQ$3=9),VLOOKUP(A170,ScaledPrice,IF(AND('Pricing Inputs'!$AQ$3&gt;=2,'Pricing Inputs'!$AQ$3&lt;=6),5,6)),0))</f>
        <v> </v>
      </c>
      <c r="L170" s="279" t="str">
        <f aca="false">IF(A170="N/A"," ",IF(OR('Pricing Inputs'!$AQ$3=2,'Pricing Inputs'!$AQ$3=3,'Pricing Inputs'!$AQ$3=5,'Pricing Inputs'!$AQ$3=6,'Pricing Inputs'!$AQ$3=8,'Pricing Inputs'!$AQ$3=9),IF(AND('Pricing Inputs'!$AQ$3&gt;=2,'Pricing Inputs'!$AQ$3&lt;=6),K170,(VLOOKUP(A170,ScaledPrice,5))*(2-(VLOOKUP(A170,ScaledPrice,3)))),0))</f>
        <v> </v>
      </c>
      <c r="M170" s="279" t="str">
        <f aca="false">IF(A170="N/A"," ",IF(OR('Pricing Inputs'!$AQ$3=3,'Pricing Inputs'!$AQ$3=6,'Pricing Inputs'!$AQ$3=9),(VLOOKUP(A170,ScaledPrice,IF(AND('Pricing Inputs'!$AQ$3&gt;=3,'Pricing Inputs'!$AQ$3&lt;=6),7,8))),0))</f>
        <v> </v>
      </c>
      <c r="N170" s="279" t="str">
        <f aca="false">IF(A170="N/A"," ",IF(OR('Pricing Inputs'!$AQ$3=3,'Pricing Inputs'!$AQ$3=6,'Pricing Inputs'!$AQ$3=9),IF(AND('Pricing Inputs'!$AQ$3&gt;=3,'Pricing Inputs'!$AQ$3&lt;=6),M170,(VLOOKUP(A170,ScaledPrice,7))*(2-(VLOOKUP(A170,ScaledPrice,3)))),0))</f>
        <v> </v>
      </c>
      <c r="O170" s="279" t="str">
        <f aca="false">IF(A170="N/A"," ",IF(AND('Pricing Inputs'!$AQ$3&gt;=1,'Pricing Inputs'!$AQ$3&lt;=3),VLOOKUP(A170,ScaledPrice,9),0))</f>
        <v> </v>
      </c>
      <c r="P170" s="280" t="str">
        <f aca="false">IF($A170="N/A"," ",IF('Pricing Inputs'!$AN$8=2,(I170-H170),IF('Pricing Inputs'!$AN$3=2,IF((I170-$H170)&gt;0,I170-$H170,0),(xSPRDOPT(I170,$E170,$BU170,0,$BP170,$BS170,$BT170,($A170-Inputs!$D$1)+15,1,0)))))</f>
        <v> </v>
      </c>
      <c r="Q170" s="280" t="str">
        <f aca="false">IF($A170="N/A"," ",IF('Pricing Inputs'!$AN$8=2,(J170-$H170),IF('Pricing Inputs'!$AN$3=2,IF((J170-$H170)&gt;0,J170-$H170,0),(xSPRDOPT(J170,$E170,$BU170,0,$BP170,$BS170,$BT170,($A170-Inputs!$D$1)+15,1,0)))))</f>
        <v> </v>
      </c>
      <c r="R170" s="280" t="str">
        <f aca="false">IF($A170="N/A"," ",IF('Pricing Inputs'!$AN$8=2,(K170-$H170),IF('Pricing Inputs'!$AN$3=2,IF((K170-$H170)&gt;0,K170-$H170,0),(xSPRDOPT(K170,$E170,$BU170,0,$BP170,$BS170,$BT170,($A170-Inputs!$D$1)+15,1,0)))))</f>
        <v> </v>
      </c>
      <c r="S170" s="280" t="str">
        <f aca="false">IF($A170="N/A"," ",IF('Pricing Inputs'!$AN$8=2,(L170-$H170),IF('Pricing Inputs'!$AN$3=2,IF((L170-$H170)&gt;0,L170-$H170,0),(xSPRDOPT(L170,$E170,$BU170,0,$BP170,$BS170,$BT170,($A170-Inputs!$D$1)+15,1,0)))))</f>
        <v> </v>
      </c>
      <c r="T170" s="280" t="str">
        <f aca="false">IF($A170="N/A"," ",IF('Pricing Inputs'!$AN$8=2,(M170-$H170),IF('Pricing Inputs'!$AN$3=2,IF((M170-$H170)&gt;0,M170-$H170,0),(xSPRDOPT(M170,$E170,$BU170,0,$BP170,$BS170,$BT170,($A170-Inputs!$D$1)+15,1,0)))))</f>
        <v> </v>
      </c>
      <c r="U170" s="280" t="str">
        <f aca="false">IF($A170="N/A"," ",IF('Pricing Inputs'!$AN$8=2,(N170-$H170),IF('Pricing Inputs'!$AN$3=2,IF((N170-$H170)&gt;0,N170-$H170,0),(xSPRDOPT(N170,$E170,$BU170,0,$BP170,$BS170,$BT170,($A170-Inputs!$D$1)+15,1,0)))))</f>
        <v> </v>
      </c>
      <c r="V170" s="281" t="str">
        <f aca="false">IF($A170="N/A"," ",(IF('Pricing Inputs'!$AN$8=2,(O170-$H170),IF((O170-$H170)&lt;=0,0,(O170-$H170)))))</f>
        <v> </v>
      </c>
      <c r="W170" s="282" t="str">
        <f aca="false">IF($A170="N/A"," ",IF(0&lt;&gt;P170,IF('Pricing Inputs'!$AN$3=2,8*VLOOKUP($A170,NumberofDaysTable,2),(xSPRDOPT(I170,$E170,$BU170,0,$BP170,$BS170,$BT170,$A170-Inputs!$D$1,1,1))*(8*VLOOKUP($A170,NumberofDaysTable,2))),0))</f>
        <v> </v>
      </c>
      <c r="X170" s="282" t="str">
        <f aca="false">IF($A170="N/A"," ",IF(Q170&lt;&gt;0,IF('Pricing Inputs'!$AN$3=2,8*VLOOKUP($A170,NumberofDaysTable,2),(xSPRDOPT(J170,$E170,$BU170,0,$BP170,$BS170,$BT170,$A170-Inputs!$D$1,1,1))*(8*VLOOKUP($A170,NumberofDaysTable,2))),0))</f>
        <v> </v>
      </c>
      <c r="Y170" s="282" t="str">
        <f aca="false">IF($A170="N/A"," ",IF(R170&lt;&gt;0,IF('Pricing Inputs'!$AN$3=2,8*VLOOKUP($A170,NumberofDaysTable,3),(xSPRDOPT(K170,$E170,$BU170,0,$BP170,$BS170,$BT170,$A170-Inputs!$D$1,1,1))*(8*VLOOKUP($A170,NumberofDaysTable,3))),0))</f>
        <v> </v>
      </c>
      <c r="Z170" s="282" t="str">
        <f aca="false">IF($A170="N/A"," ",IF(S170&lt;&gt;0,IF('Pricing Inputs'!$AN$3=2,8*VLOOKUP($A170,NumberofDaysTable,3),(xSPRDOPT(L170,$E170,$BU170,0,$BP170,$BS170,$BT170,$A170-Inputs!$D$1,1,1))*(8*VLOOKUP($A170,NumberofDaysTable,3))),0))</f>
        <v> </v>
      </c>
      <c r="AA170" s="282" t="str">
        <f aca="false">IF($A170="N/A"," ",IF(T170&lt;&gt;0,IF('Pricing Inputs'!$AN$3=2,8*VLOOKUP($A170,NumberofDaysTable,4),(xSPRDOPT(M170,$E170,$BU170,0,$BP170,$BS170,$BT170,$A170-Inputs!$D$1,1,1))*(8*VLOOKUP($A170,NumberofDaysTable,4))),0))</f>
        <v> </v>
      </c>
      <c r="AB170" s="282" t="str">
        <f aca="false">IF($A170="N/A"," ",IF(U170&lt;&gt;0,IF('Pricing Inputs'!$AN$3=2,8*VLOOKUP($A170,NumberofDaysTable,4),(xSPRDOPT(N170,$E170,$BU170,0,$BP170,$BS170,$BT170,$A170-Inputs!$D$1,1,1))*(8*VLOOKUP($A170,NumberofDaysTable,4))),0))</f>
        <v> </v>
      </c>
      <c r="AC170" s="282" t="str">
        <f aca="false">IF($A170="N/A"," ",(IF(V170&lt;&gt;0,(8*VLOOKUP($A170,NumberofDaysTable,6)),0)))</f>
        <v> </v>
      </c>
      <c r="AD170" s="298" t="str">
        <f aca="false">IF($A170="N/A"," ",RANK(P170,$P$160:$V$171))</f>
        <v> </v>
      </c>
      <c r="AE170" s="299" t="str">
        <f aca="false">IF($A170="N/A"," ",RANK(Q170,$P$160:$V$171))</f>
        <v> </v>
      </c>
      <c r="AF170" s="299" t="str">
        <f aca="false">IF($A170="N/A"," ",RANK(R170,$P$160:$V$171))</f>
        <v> </v>
      </c>
      <c r="AG170" s="299" t="str">
        <f aca="false">IF($A170="N/A"," ",RANK(S170,$P$160:$V$171))</f>
        <v> </v>
      </c>
      <c r="AH170" s="299" t="str">
        <f aca="false">IF($A170="N/A"," ",RANK(T170,$P$160:$V$171))</f>
        <v> </v>
      </c>
      <c r="AI170" s="299" t="str">
        <f aca="false">IF($A170="N/A"," ",RANK(U170,$P$160:$V$171))</f>
        <v> </v>
      </c>
      <c r="AJ170" s="300" t="str">
        <f aca="false">IF($A170="N/A"," ",RANK(V170,$P$160:$V$171))</f>
        <v> </v>
      </c>
      <c r="AK170" s="286" t="str">
        <f aca="false">IF($A170="N/A"," ",IF(AD170&lt;=$AJ$2,W170,0))</f>
        <v> </v>
      </c>
      <c r="AL170" s="301" t="str">
        <f aca="false">IF($A170="N/A"," ",IF(AE170&lt;=$AJ$2,X170,0))</f>
        <v> </v>
      </c>
      <c r="AM170" s="301" t="str">
        <f aca="false">IF($A170="N/A"," ",IF(AF170&lt;=$AJ$2,Y170,0))</f>
        <v> </v>
      </c>
      <c r="AN170" s="301" t="str">
        <f aca="false">IF($A170="N/A"," ",IF(AG170&lt;=$AJ$2,Z170,0))</f>
        <v> </v>
      </c>
      <c r="AO170" s="301" t="str">
        <f aca="false">IF($A170="N/A"," ",IF(AH170&lt;=$AJ$2,AA170,0))</f>
        <v> </v>
      </c>
      <c r="AP170" s="301" t="str">
        <f aca="false">IF($A170="N/A"," ",IF(AI170&lt;=$AJ$2,AB170,0))</f>
        <v> </v>
      </c>
      <c r="AQ170" s="301" t="str">
        <f aca="false">IF($A170="N/A"," ",IF(AJ170&lt;=$AJ$2,AC170,0))</f>
        <v> </v>
      </c>
      <c r="AR170" s="300" t="n">
        <f aca="false">SUM(AK160:AQ171)</f>
        <v>0</v>
      </c>
      <c r="AS170" s="288" t="str">
        <f aca="false">IF($A170="N/A"," ",IF(AND(AD170=$AJ$2+1,AK170=0),MIN($AR$171,W170),0))</f>
        <v> </v>
      </c>
      <c r="AT170" s="302" t="str">
        <f aca="false">IF($A170="N/A"," ",IF(AND(AE170=$AJ$2+1,AL170=0),MIN($AR$171,X170),0))</f>
        <v> </v>
      </c>
      <c r="AU170" s="302" t="str">
        <f aca="false">IF($A170="N/A"," ",IF(AND(AF170=$AJ$2+1,AM170=0),MIN($AR$171,Y170),0))</f>
        <v> </v>
      </c>
      <c r="AV170" s="302" t="str">
        <f aca="false">IF($A170="N/A"," ",IF(AND(AG170=$AJ$2+1,AN170=0),MIN($AR$171,Z170),0))</f>
        <v> </v>
      </c>
      <c r="AW170" s="302" t="str">
        <f aca="false">IF($A170="N/A"," ",IF(AND(AH170=$AJ$2+1,AO170=0),MIN($AR$171,AA170),0))</f>
        <v> </v>
      </c>
      <c r="AX170" s="302" t="str">
        <f aca="false">IF($A170="N/A"," ",IF(AND(AI170=$AJ$2+1,AP170=0),MIN($AR$171,AB170),0))</f>
        <v> </v>
      </c>
      <c r="AY170" s="302" t="str">
        <f aca="false">IF($A170="N/A"," ",IF(AND(AJ170=$AJ$2+1,AQ170=0),MIN($AR$171,AC170),0))</f>
        <v> </v>
      </c>
      <c r="AZ170" s="300" t="n">
        <f aca="false">SUM(AS160:AY171)</f>
        <v>0</v>
      </c>
      <c r="BA170" s="291" t="str">
        <f aca="false">IF($A170="N/A"," ",(IF(MONTH(A170)&gt;=4,IF(MONTH(A170)&lt;=10,Inputs!$F$13,Inputs!$F$14),Inputs!$F$14))*$BW170)</f>
        <v> </v>
      </c>
      <c r="BB170" s="292" t="str">
        <f aca="false">IF($A170="N/A"," ",(IF(AK170&gt;0,($BA170*(8*(VLOOKUP($A170,NumberofDaysTable,2)))*P170),0)+IF(AS170&gt;0,($BA170*((AS170))*P170),0)))</f>
        <v> </v>
      </c>
      <c r="BC170" s="292" t="str">
        <f aca="false">IF($A170="N/A"," ",(IF(AL170&gt;0,($BA170*(8*(VLOOKUP($A170,NumberofDaysTable,2)))*Q170),0)+IF(AT170&gt;0,($BA170*((AT170))*Q170),0)))</f>
        <v> </v>
      </c>
      <c r="BD170" s="292" t="str">
        <f aca="false">IF($A170="N/A"," ",(IF(AM170&gt;0,($BA170*(8*(VLOOKUP($A170,NumberofDaysTable,3)))*R170),0)+IF(AU170&gt;0,($BA170*((AU170))*R170),0)))</f>
        <v> </v>
      </c>
      <c r="BE170" s="292" t="str">
        <f aca="false">IF($A170="N/A"," ",(IF(AN170&gt;0,($BA170*(8*(VLOOKUP($A170,NumberofDaysTable,3)))*S170),0)+IF(AV170&gt;0,($BA170*((AV170))*S170),0)))</f>
        <v> </v>
      </c>
      <c r="BF170" s="292" t="str">
        <f aca="false">IF($A170="N/A"," ",(IF(AO170&gt;0,($BA170*(8*(VLOOKUP($A170,NumberofDaysTable,4)+VLOOKUP($A170,NumberofDaysTable,5)))*T170),0)+IF(AW170&gt;0,($BA170*((AW170))*T170),0)))</f>
        <v> </v>
      </c>
      <c r="BG170" s="292" t="str">
        <f aca="false">IF($A170="N/A"," ",(IF(AP170&gt;0,($BA170*(8*(VLOOKUP($A170,NumberofDaysTable,4)+VLOOKUP($A170,NumberofDaysTable,5)))*U170),0)+IF(AX170&gt;0,($BA170*((AX170))*U170),0)))</f>
        <v> </v>
      </c>
      <c r="BH170" s="292" t="str">
        <f aca="false">IF($A170="N/A"," ",($BA170*AQ170*V170))</f>
        <v> </v>
      </c>
      <c r="BI170" s="292" t="str">
        <f aca="false">IF($A170="N/A"," ",SUM(BB170:BH170))</f>
        <v> </v>
      </c>
      <c r="BJ170" s="293" t="str">
        <f aca="false">IF($A170="N/A"," ",(H170*(SUM(AK170:AQ170)+SUM(AS170:AY170))*BA170))</f>
        <v> </v>
      </c>
      <c r="BK170" s="293" t="str">
        <f aca="false">IF($A170="N/A"," ",((C170*D170)*(SUM($AK170:$AQ170)+SUM($AS170:$AY170))*$BA170))</f>
        <v> </v>
      </c>
      <c r="BL170" s="293" t="str">
        <f aca="false">IF($A170="N/A"," ",(F170*(SUM($AK170:$AQ170)+SUM($AS170:$AY170))*$BA170))</f>
        <v> </v>
      </c>
      <c r="BM170" s="293" t="str">
        <f aca="false">IF($A170="N/A"," ",(G170*(SUM($AK170:$AQ170)+SUM($AS170:$AY170))*$BA170))</f>
        <v> </v>
      </c>
      <c r="BN170" s="294" t="str">
        <f aca="false">IF(A170="N/A"," ",(VLOOKUP(A170,PowerVolTable,(IF('Pricing Inputs'!$AT$3=2,7,IF('Pricing Inputs'!$AT$3=1,6,8))),FALSE())))</f>
        <v> </v>
      </c>
      <c r="BO170" s="294" t="str">
        <f aca="false">IF(A170="N/A"," ",(VLOOKUP(A170,IntraPowerVol,(IF('Pricing Inputs'!$AT$3=2,3,IF('Pricing Inputs'!$AT$3=1,2,4))),FALSE())*VLOOKUP(MONTH($A170),Inputs!$A$28:$B$39,2)))</f>
        <v> </v>
      </c>
      <c r="BP170" s="295" t="str">
        <f aca="false">IF($A170="N/A"," ",(IF(DateToday&gt;$A170,$BO170,((($BN170^2)*((($A170-1)-DateToday)/((EOMONTH($A170,0)+1)-DateToday-15)))+((($BO170)^2)*((15)/((EOMONTH($A170,0)+1)-DateToday-15))))^0.5)))</f>
        <v> </v>
      </c>
      <c r="BQ170" s="294" t="str">
        <f aca="false">IF($A170="N/A"," ",(VLOOKUP($A170,GasVolTable,(IF('Pricing Inputs'!$AT$3=2,6,IF('Pricing Inputs'!$AT$3=1,7,5))),FALSE())))</f>
        <v> </v>
      </c>
      <c r="BR170" s="294" t="str">
        <f aca="false">IF($A170="N/A"," ",(VLOOKUP($A170,OmicronVol,(IF('Pricing Inputs'!$AT$3=2,3,IF('Pricing Inputs'!$AT$3=1,4,2))),FALSE())))</f>
        <v> </v>
      </c>
      <c r="BS170" s="295" t="str">
        <f aca="false">IF($A170="N/A"," ",IF('Pricing Inputs'!$AN$3=1,(IF(DateToday&gt;$A170,$BR170,((($BQ170^2)*((($A170-1)-DateToday)/((EOMONTH($A170,0)+1)-DateToday-15)))+((($BR170)^2)*((15)/((EOMONTH($A170,0)+1)-DateToday-15))))^0.5)),0.0001))</f>
        <v> </v>
      </c>
      <c r="BT170" s="294" t="str">
        <f aca="false">IF($A170="N/A"," ",IF('Pricing Inputs'!$AN$3=1,(VLOOKUP($A170,CorrelationTable,2,FALSE())),0))</f>
        <v> </v>
      </c>
      <c r="BU170" s="296" t="str">
        <f aca="false">IF($A170="N/A"," ",F170+G170+(D170*(VLOOKUP($A170,'Gas Curves'!$B$17:$P$310,14,FALSE()))))</f>
        <v> </v>
      </c>
      <c r="BV170" s="294" t="str">
        <f aca="false">IF($A170="N/A"," ",IF('Pricing Inputs'!$AW$3=1,0,(VLOOKUP($A170,InterestRatesTable,2))))</f>
        <v> </v>
      </c>
      <c r="BW170" s="297" t="str">
        <f aca="false">IF($A170="N/A"," ",(1+BV170/2)^(-2*((EOMONTH(A170,0)+20)-DateToday)/365.25))</f>
        <v> </v>
      </c>
    </row>
    <row r="171" customFormat="false" ht="12.75" hidden="false" customHeight="false" outlineLevel="0" collapsed="false">
      <c r="A171" s="272" t="str">
        <f aca="false">IF(A170="N/A","N/A",IF(EDATE(A170,1)&gt;Inputs!$K$3,"N/A",EDATE(A170,1)))</f>
        <v>N/A</v>
      </c>
      <c r="B171" s="273" t="str">
        <f aca="false">IF(A171="N/A"," ",YEAR(A171))</f>
        <v> </v>
      </c>
      <c r="C171" s="274" t="str">
        <f aca="false">IF(A171="N/A"," ",VLOOKUP(A171,ScaledPrice,10))</f>
        <v> </v>
      </c>
      <c r="D171" s="275" t="str">
        <f aca="false">IF(A171="N/A"," ",(VLOOKUP(MONTH($A171),Inputs!$A$14:$B$25,2))/1000)</f>
        <v> </v>
      </c>
      <c r="E171" s="276" t="str">
        <f aca="false">IF($A171="N/A"," ",C171*D171)</f>
        <v> </v>
      </c>
      <c r="F171" s="277" t="str">
        <f aca="false">IF(A171="N/A"," ",Inputs!$F$6)</f>
        <v> </v>
      </c>
      <c r="G171" s="277" t="str">
        <f aca="false">IF(A171="N/A"," ",Inputs!$F$9/IF(AND('Pricing Inputs'!$AQ$3&gt;=4,'Pricing Inputs'!$AQ$3&lt;=6),16,IF(AND('Pricing Inputs'!$AQ$3&gt;=7,'Pricing Inputs'!$AQ$3&lt;=9),8,24))/(BA171/BW171))</f>
        <v> </v>
      </c>
      <c r="H171" s="278" t="str">
        <f aca="false">IF(A171="N/A"," ",(C171*D171)+F171+G171)</f>
        <v> </v>
      </c>
      <c r="I171" s="279" t="str">
        <f aca="false">VLOOKUP(A171,ScaledPrice,(IF(AND('Pricing Inputs'!$AQ$3&gt;=1,'Pricing Inputs'!$AQ$3&lt;=6),2,4)))</f>
        <v> </v>
      </c>
      <c r="J171" s="279" t="str">
        <f aca="false">IF(A171="N/A"," ",IF(AND('Pricing Inputs'!$AQ$3&gt;=1,'Pricing Inputs'!$AQ$3&lt;=6),I171,(VLOOKUP(A171,ScaledPrice,2))*(2-(VLOOKUP(A171,ScaledPrice,3)))))</f>
        <v> </v>
      </c>
      <c r="K171" s="279" t="str">
        <f aca="false">IF(A171="N/A"," ",IF(OR('Pricing Inputs'!$AQ$3=2,'Pricing Inputs'!$AQ$3=3,'Pricing Inputs'!$AQ$3=5,'Pricing Inputs'!$AQ$3=6,'Pricing Inputs'!$AQ$3=8,'Pricing Inputs'!$AQ$3=9),VLOOKUP(A171,ScaledPrice,IF(AND('Pricing Inputs'!$AQ$3&gt;=2,'Pricing Inputs'!$AQ$3&lt;=6),5,6)),0))</f>
        <v> </v>
      </c>
      <c r="L171" s="279" t="str">
        <f aca="false">IF(A171="N/A"," ",IF(OR('Pricing Inputs'!$AQ$3=2,'Pricing Inputs'!$AQ$3=3,'Pricing Inputs'!$AQ$3=5,'Pricing Inputs'!$AQ$3=6,'Pricing Inputs'!$AQ$3=8,'Pricing Inputs'!$AQ$3=9),IF(AND('Pricing Inputs'!$AQ$3&gt;=2,'Pricing Inputs'!$AQ$3&lt;=6),K171,(VLOOKUP(A171,ScaledPrice,5))*(2-(VLOOKUP(A171,ScaledPrice,3)))),0))</f>
        <v> </v>
      </c>
      <c r="M171" s="279" t="str">
        <f aca="false">IF(A171="N/A"," ",IF(OR('Pricing Inputs'!$AQ$3=3,'Pricing Inputs'!$AQ$3=6,'Pricing Inputs'!$AQ$3=9),(VLOOKUP(A171,ScaledPrice,IF(AND('Pricing Inputs'!$AQ$3&gt;=3,'Pricing Inputs'!$AQ$3&lt;=6),7,8))),0))</f>
        <v> </v>
      </c>
      <c r="N171" s="279" t="str">
        <f aca="false">IF(A171="N/A"," ",IF(OR('Pricing Inputs'!$AQ$3=3,'Pricing Inputs'!$AQ$3=6,'Pricing Inputs'!$AQ$3=9),IF(AND('Pricing Inputs'!$AQ$3&gt;=3,'Pricing Inputs'!$AQ$3&lt;=6),M171,(VLOOKUP(A171,ScaledPrice,7))*(2-(VLOOKUP(A171,ScaledPrice,3)))),0))</f>
        <v> </v>
      </c>
      <c r="O171" s="279" t="str">
        <f aca="false">IF(A171="N/A"," ",IF(AND('Pricing Inputs'!$AQ$3&gt;=1,'Pricing Inputs'!$AQ$3&lt;=3),VLOOKUP(A171,ScaledPrice,9),0))</f>
        <v> </v>
      </c>
      <c r="P171" s="280" t="str">
        <f aca="false">IF($A171="N/A"," ",IF('Pricing Inputs'!$AN$8=2,(I171-H171),IF('Pricing Inputs'!$AN$3=2,IF((I171-$H171)&gt;0,I171-$H171,0),(xSPRDOPT(I171,$E171,$BU171,0,$BP171,$BS171,$BT171,($A171-Inputs!$D$1)+15,1,0)))))</f>
        <v> </v>
      </c>
      <c r="Q171" s="280" t="str">
        <f aca="false">IF($A171="N/A"," ",IF('Pricing Inputs'!$AN$8=2,(J171-$H171),IF('Pricing Inputs'!$AN$3=2,IF((J171-$H171)&gt;0,J171-$H171,0),(xSPRDOPT(J171,$E171,$BU171,0,$BP171,$BS171,$BT171,($A171-Inputs!$D$1)+15,1,0)))))</f>
        <v> </v>
      </c>
      <c r="R171" s="280" t="str">
        <f aca="false">IF($A171="N/A"," ",IF('Pricing Inputs'!$AN$8=2,(K171-$H171),IF('Pricing Inputs'!$AN$3=2,IF((K171-$H171)&gt;0,K171-$H171,0),(xSPRDOPT(K171,$E171,$BU171,0,$BP171,$BS171,$BT171,($A171-Inputs!$D$1)+15,1,0)))))</f>
        <v> </v>
      </c>
      <c r="S171" s="280" t="str">
        <f aca="false">IF($A171="N/A"," ",IF('Pricing Inputs'!$AN$8=2,(L171-$H171),IF('Pricing Inputs'!$AN$3=2,IF((L171-$H171)&gt;0,L171-$H171,0),(xSPRDOPT(L171,$E171,$BU171,0,$BP171,$BS171,$BT171,($A171-Inputs!$D$1)+15,1,0)))))</f>
        <v> </v>
      </c>
      <c r="T171" s="280" t="str">
        <f aca="false">IF($A171="N/A"," ",IF('Pricing Inputs'!$AN$8=2,(M171-$H171),IF('Pricing Inputs'!$AN$3=2,IF((M171-$H171)&gt;0,M171-$H171,0),(xSPRDOPT(M171,$E171,$BU171,0,$BP171,$BS171,$BT171,($A171-Inputs!$D$1)+15,1,0)))))</f>
        <v> </v>
      </c>
      <c r="U171" s="280" t="str">
        <f aca="false">IF($A171="N/A"," ",IF('Pricing Inputs'!$AN$8=2,(N171-$H171),IF('Pricing Inputs'!$AN$3=2,IF((N171-$H171)&gt;0,N171-$H171,0),(xSPRDOPT(N171,$E171,$BU171,0,$BP171,$BS171,$BT171,($A171-Inputs!$D$1)+15,1,0)))))</f>
        <v> </v>
      </c>
      <c r="V171" s="281" t="str">
        <f aca="false">IF($A171="N/A"," ",(IF('Pricing Inputs'!$AN$8=2,(O171-$H171),IF((O171-$H171)&lt;=0,0,(O171-$H171)))))</f>
        <v> </v>
      </c>
      <c r="W171" s="282" t="str">
        <f aca="false">IF($A171="N/A"," ",IF(0&lt;&gt;P171,IF('Pricing Inputs'!$AN$3=2,8*VLOOKUP($A171,NumberofDaysTable,2),(xSPRDOPT(I171,$E171,$BU171,0,$BP171,$BS171,$BT171,$A171-Inputs!$D$1,1,1))*(8*VLOOKUP($A171,NumberofDaysTable,2))),0))</f>
        <v> </v>
      </c>
      <c r="X171" s="282" t="str">
        <f aca="false">IF($A171="N/A"," ",IF(Q171&lt;&gt;0,IF('Pricing Inputs'!$AN$3=2,8*VLOOKUP($A171,NumberofDaysTable,2),(xSPRDOPT(J171,$E171,$BU171,0,$BP171,$BS171,$BT171,$A171-Inputs!$D$1,1,1))*(8*VLOOKUP($A171,NumberofDaysTable,2))),0))</f>
        <v> </v>
      </c>
      <c r="Y171" s="282" t="str">
        <f aca="false">IF($A171="N/A"," ",IF(R171&lt;&gt;0,IF('Pricing Inputs'!$AN$3=2,8*VLOOKUP($A171,NumberofDaysTable,3),(xSPRDOPT(K171,$E171,$BU171,0,$BP171,$BS171,$BT171,$A171-Inputs!$D$1,1,1))*(8*VLOOKUP($A171,NumberofDaysTable,3))),0))</f>
        <v> </v>
      </c>
      <c r="Z171" s="282" t="str">
        <f aca="false">IF($A171="N/A"," ",IF(S171&lt;&gt;0,IF('Pricing Inputs'!$AN$3=2,8*VLOOKUP($A171,NumberofDaysTable,3),(xSPRDOPT(L171,$E171,$BU171,0,$BP171,$BS171,$BT171,$A171-Inputs!$D$1,1,1))*(8*VLOOKUP($A171,NumberofDaysTable,3))),0))</f>
        <v> </v>
      </c>
      <c r="AA171" s="282" t="str">
        <f aca="false">IF($A171="N/A"," ",IF(T171&lt;&gt;0,IF('Pricing Inputs'!$AN$3=2,8*VLOOKUP($A171,NumberofDaysTable,4),(xSPRDOPT(M171,$E171,$BU171,0,$BP171,$BS171,$BT171,$A171-Inputs!$D$1,1,1))*(8*VLOOKUP($A171,NumberofDaysTable,4))),0))</f>
        <v> </v>
      </c>
      <c r="AB171" s="282" t="str">
        <f aca="false">IF($A171="N/A"," ",IF(U171&lt;&gt;0,IF('Pricing Inputs'!$AN$3=2,8*VLOOKUP($A171,NumberofDaysTable,4),(xSPRDOPT(N171,$E171,$BU171,0,$BP171,$BS171,$BT171,$A171-Inputs!$D$1,1,1))*(8*VLOOKUP($A171,NumberofDaysTable,4))),0))</f>
        <v> </v>
      </c>
      <c r="AC171" s="282" t="str">
        <f aca="false">IF($A171="N/A"," ",(IF(V171&lt;&gt;0,(8*VLOOKUP($A171,NumberofDaysTable,6)),0)))</f>
        <v> </v>
      </c>
      <c r="AD171" s="305" t="str">
        <f aca="false">IF($A171="N/A"," ",RANK(P171,$P$160:$V$171))</f>
        <v> </v>
      </c>
      <c r="AE171" s="306" t="str">
        <f aca="false">IF($A171="N/A"," ",RANK(Q171,$P$160:$V$171))</f>
        <v> </v>
      </c>
      <c r="AF171" s="306" t="str">
        <f aca="false">IF($A171="N/A"," ",RANK(R171,$P$160:$V$171))</f>
        <v> </v>
      </c>
      <c r="AG171" s="306" t="str">
        <f aca="false">IF($A171="N/A"," ",RANK(S171,$P$160:$V$171))</f>
        <v> </v>
      </c>
      <c r="AH171" s="306" t="str">
        <f aca="false">IF($A171="N/A"," ",RANK(T171,$P$160:$V$171))</f>
        <v> </v>
      </c>
      <c r="AI171" s="306" t="str">
        <f aca="false">IF($A171="N/A"," ",RANK(U171,$P$160:$V$171))</f>
        <v> </v>
      </c>
      <c r="AJ171" s="307" t="str">
        <f aca="false">IF($A171="N/A"," ",RANK(V171,$P$160:$V$171))</f>
        <v> </v>
      </c>
      <c r="AK171" s="308" t="str">
        <f aca="false">IF($A171="N/A"," ",IF(AD171&lt;=$AJ$2,W171,0))</f>
        <v> </v>
      </c>
      <c r="AL171" s="309" t="str">
        <f aca="false">IF($A171="N/A"," ",IF(AE171&lt;=$AJ$2,X171,0))</f>
        <v> </v>
      </c>
      <c r="AM171" s="309" t="str">
        <f aca="false">IF($A171="N/A"," ",IF(AF171&lt;=$AJ$2,Y171,0))</f>
        <v> </v>
      </c>
      <c r="AN171" s="309" t="str">
        <f aca="false">IF($A171="N/A"," ",IF(AG171&lt;=$AJ$2,Z171,0))</f>
        <v> </v>
      </c>
      <c r="AO171" s="309" t="str">
        <f aca="false">IF($A171="N/A"," ",IF(AH171&lt;=$AJ$2,AA171,0))</f>
        <v> </v>
      </c>
      <c r="AP171" s="309" t="str">
        <f aca="false">IF($A171="N/A"," ",IF(AI171&lt;=$AJ$2,AB171,0))</f>
        <v> </v>
      </c>
      <c r="AQ171" s="309" t="str">
        <f aca="false">IF($A171="N/A"," ",IF(AJ171&lt;=$AJ$2,AC171,0))</f>
        <v> </v>
      </c>
      <c r="AR171" s="307" t="n">
        <f aca="false">IF(($AP$2-AR170)&gt;=0,$AP$2-AR170,0)</f>
        <v>1400</v>
      </c>
      <c r="AS171" s="310" t="str">
        <f aca="false">IF($A171="N/A"," ",IF(AND(AD171=$AJ$2+1,AK171=0),MIN($AR$171,W171),0))</f>
        <v> </v>
      </c>
      <c r="AT171" s="311" t="str">
        <f aca="false">IF($A171="N/A"," ",IF(AND(AE171=$AJ$2+1,AL171=0),MIN($AR$171,X171),0))</f>
        <v> </v>
      </c>
      <c r="AU171" s="311" t="str">
        <f aca="false">IF($A171="N/A"," ",IF(AND(AF171=$AJ$2+1,AM171=0),MIN($AR$171,Y171),0))</f>
        <v> </v>
      </c>
      <c r="AV171" s="311" t="str">
        <f aca="false">IF($A171="N/A"," ",IF(AND(AG171=$AJ$2+1,AN171=0),MIN($AR$171,Z171),0))</f>
        <v> </v>
      </c>
      <c r="AW171" s="311" t="str">
        <f aca="false">IF($A171="N/A"," ",IF(AND(AH171=$AJ$2+1,AO171=0),MIN($AR$171,AA171),0))</f>
        <v> </v>
      </c>
      <c r="AX171" s="311" t="str">
        <f aca="false">IF($A171="N/A"," ",IF(AND(AI171=$AJ$2+1,AP171=0),MIN($AR$171,AB171),0))</f>
        <v> </v>
      </c>
      <c r="AY171" s="311" t="str">
        <f aca="false">IF($A171="N/A"," ",IF(AND(AJ171=$AJ$2+1,AQ171=0),MIN($AR$171,AC171),0))</f>
        <v> </v>
      </c>
      <c r="AZ171" s="312" t="n">
        <f aca="false">AR170+AZ170</f>
        <v>0</v>
      </c>
      <c r="BA171" s="291" t="str">
        <f aca="false">IF($A171="N/A"," ",(IF(MONTH(A171)&gt;=4,IF(MONTH(A171)&lt;=10,Inputs!$F$13,Inputs!$F$14),Inputs!$F$14))*$BW171)</f>
        <v> </v>
      </c>
      <c r="BB171" s="292" t="str">
        <f aca="false">IF($A171="N/A"," ",(IF(AK171&gt;0,($BA171*(8*(VLOOKUP($A171,NumberofDaysTable,2)))*P171),0)+IF(AS171&gt;0,($BA171*((AS171))*P171),0)))</f>
        <v> </v>
      </c>
      <c r="BC171" s="292" t="str">
        <f aca="false">IF($A171="N/A"," ",(IF(AL171&gt;0,($BA171*(8*(VLOOKUP($A171,NumberofDaysTable,2)))*Q171),0)+IF(AT171&gt;0,($BA171*((AT171))*Q171),0)))</f>
        <v> </v>
      </c>
      <c r="BD171" s="292" t="str">
        <f aca="false">IF($A171="N/A"," ",(IF(AM171&gt;0,($BA171*(8*(VLOOKUP($A171,NumberofDaysTable,3)))*R171),0)+IF(AU171&gt;0,($BA171*((AU171))*R171),0)))</f>
        <v> </v>
      </c>
      <c r="BE171" s="292" t="str">
        <f aca="false">IF($A171="N/A"," ",(IF(AN171&gt;0,($BA171*(8*(VLOOKUP($A171,NumberofDaysTable,3)))*S171),0)+IF(AV171&gt;0,($BA171*((AV171))*S171),0)))</f>
        <v> </v>
      </c>
      <c r="BF171" s="292" t="str">
        <f aca="false">IF($A171="N/A"," ",(IF(AO171&gt;0,($BA171*(8*(VLOOKUP($A171,NumberofDaysTable,4)+VLOOKUP($A171,NumberofDaysTable,5)))*T171),0)+IF(AW171&gt;0,($BA171*((AW171))*T171),0)))</f>
        <v> </v>
      </c>
      <c r="BG171" s="292" t="str">
        <f aca="false">IF($A171="N/A"," ",(IF(AP171&gt;0,($BA171*(8*(VLOOKUP($A171,NumberofDaysTable,4)+VLOOKUP($A171,NumberofDaysTable,5)))*U171),0)+IF(AX171&gt;0,($BA171*((AX171))*U171),0)))</f>
        <v> </v>
      </c>
      <c r="BH171" s="292" t="str">
        <f aca="false">IF($A171="N/A"," ",($BA171*AQ171*V171))</f>
        <v> </v>
      </c>
      <c r="BI171" s="292" t="str">
        <f aca="false">IF($A171="N/A"," ",SUM(BB171:BH171))</f>
        <v> </v>
      </c>
      <c r="BJ171" s="293" t="str">
        <f aca="false">IF($A171="N/A"," ",(H171*(SUM(AK171:AQ171)+SUM(AS171:AY171))*BA171))</f>
        <v> </v>
      </c>
      <c r="BK171" s="293" t="str">
        <f aca="false">IF($A171="N/A"," ",((C171*D171)*(SUM($AK171:$AQ171)+SUM($AS171:$AY171))*$BA171))</f>
        <v> </v>
      </c>
      <c r="BL171" s="293" t="str">
        <f aca="false">IF($A171="N/A"," ",(F171*(SUM($AK171:$AQ171)+SUM($AS171:$AY171))*$BA171))</f>
        <v> </v>
      </c>
      <c r="BM171" s="293" t="str">
        <f aca="false">IF($A171="N/A"," ",(G171*(SUM($AK171:$AQ171)+SUM($AS171:$AY171))*$BA171))</f>
        <v> </v>
      </c>
      <c r="BN171" s="294" t="str">
        <f aca="false">IF(A171="N/A"," ",(VLOOKUP(A171,PowerVolTable,(IF('Pricing Inputs'!$AT$3=2,7,IF('Pricing Inputs'!$AT$3=1,6,8))),FALSE())))</f>
        <v> </v>
      </c>
      <c r="BO171" s="294" t="str">
        <f aca="false">IF(A171="N/A"," ",(VLOOKUP(A171,IntraPowerVol,(IF('Pricing Inputs'!$AT$3=2,3,IF('Pricing Inputs'!$AT$3=1,2,4))),FALSE())*VLOOKUP(MONTH($A171),Inputs!$A$28:$B$39,2)))</f>
        <v> </v>
      </c>
      <c r="BP171" s="295" t="str">
        <f aca="false">IF($A171="N/A"," ",(IF(DateToday&gt;$A171,$BO171,((($BN171^2)*((($A171-1)-DateToday)/((EOMONTH($A171,0)+1)-DateToday-15)))+((($BO171)^2)*((15)/((EOMONTH($A171,0)+1)-DateToday-15))))^0.5)))</f>
        <v> </v>
      </c>
      <c r="BQ171" s="294" t="str">
        <f aca="false">IF($A171="N/A"," ",(VLOOKUP($A171,GasVolTable,(IF('Pricing Inputs'!$AT$3=2,6,IF('Pricing Inputs'!$AT$3=1,7,5))),FALSE())))</f>
        <v> </v>
      </c>
      <c r="BR171" s="294" t="str">
        <f aca="false">IF($A171="N/A"," ",(VLOOKUP($A171,OmicronVol,(IF('Pricing Inputs'!$AT$3=2,3,IF('Pricing Inputs'!$AT$3=1,4,2))),FALSE())))</f>
        <v> </v>
      </c>
      <c r="BS171" s="295" t="str">
        <f aca="false">IF($A171="N/A"," ",IF('Pricing Inputs'!$AN$3=1,(IF(DateToday&gt;$A171,$BR171,((($BQ171^2)*((($A171-1)-DateToday)/((EOMONTH($A171,0)+1)-DateToday-15)))+((($BR171)^2)*((15)/((EOMONTH($A171,0)+1)-DateToday-15))))^0.5)),0.0001))</f>
        <v> </v>
      </c>
      <c r="BT171" s="294" t="str">
        <f aca="false">IF($A171="N/A"," ",IF('Pricing Inputs'!$AN$3=1,(VLOOKUP($A171,CorrelationTable,2,FALSE())),0))</f>
        <v> </v>
      </c>
      <c r="BU171" s="296" t="str">
        <f aca="false">IF($A171="N/A"," ",F171+G171+(D171*(VLOOKUP($A171,'Gas Curves'!$B$17:$P$310,14,FALSE()))))</f>
        <v> </v>
      </c>
      <c r="BV171" s="294" t="str">
        <f aca="false">IF($A171="N/A"," ",IF('Pricing Inputs'!$AW$3=1,0,(VLOOKUP($A171,InterestRatesTable,2))))</f>
        <v> </v>
      </c>
      <c r="BW171" s="297" t="str">
        <f aca="false">IF($A171="N/A"," ",(1+BV171/2)^(-2*((EOMONTH(A171,0)+20)-DateToday)/365.25))</f>
        <v> </v>
      </c>
    </row>
    <row r="172" customFormat="false" ht="12.75" hidden="false" customHeight="false" outlineLevel="0" collapsed="false">
      <c r="A172" s="272" t="str">
        <f aca="false">IF(A171="N/A","N/A",IF(EDATE(A171,1)&gt;Inputs!$K$3,"N/A",EDATE(A171,1)))</f>
        <v>N/A</v>
      </c>
      <c r="B172" s="273" t="str">
        <f aca="false">IF(A172="N/A"," ",YEAR(A172))</f>
        <v> </v>
      </c>
      <c r="C172" s="274" t="str">
        <f aca="false">IF(A172="N/A"," ",VLOOKUP(A172,ScaledPrice,10))</f>
        <v> </v>
      </c>
      <c r="D172" s="275" t="str">
        <f aca="false">IF(A172="N/A"," ",(VLOOKUP(MONTH($A172),Inputs!$A$14:$B$25,2))/1000)</f>
        <v> </v>
      </c>
      <c r="E172" s="276" t="str">
        <f aca="false">IF($A172="N/A"," ",C172*D172)</f>
        <v> </v>
      </c>
      <c r="F172" s="277" t="str">
        <f aca="false">IF(A172="N/A"," ",Inputs!$F$6)</f>
        <v> </v>
      </c>
      <c r="G172" s="277" t="str">
        <f aca="false">IF(A172="N/A"," ",Inputs!$F$9/IF(AND('Pricing Inputs'!$AQ$3&gt;=4,'Pricing Inputs'!$AQ$3&lt;=6),16,IF(AND('Pricing Inputs'!$AQ$3&gt;=7,'Pricing Inputs'!$AQ$3&lt;=9),8,24))/(BA172/BW172))</f>
        <v> </v>
      </c>
      <c r="H172" s="278" t="str">
        <f aca="false">IF(A172="N/A"," ",(C172*D172)+F172+G172)</f>
        <v> </v>
      </c>
      <c r="I172" s="279" t="str">
        <f aca="false">VLOOKUP(A172,ScaledPrice,(IF(AND('Pricing Inputs'!$AQ$3&gt;=1,'Pricing Inputs'!$AQ$3&lt;=6),2,4)))</f>
        <v> </v>
      </c>
      <c r="J172" s="279" t="str">
        <f aca="false">IF(A172="N/A"," ",IF(AND('Pricing Inputs'!$AQ$3&gt;=1,'Pricing Inputs'!$AQ$3&lt;=6),I172,(VLOOKUP(A172,ScaledPrice,2))*(2-(VLOOKUP(A172,ScaledPrice,3)))))</f>
        <v> </v>
      </c>
      <c r="K172" s="279" t="str">
        <f aca="false">IF(A172="N/A"," ",IF(OR('Pricing Inputs'!$AQ$3=2,'Pricing Inputs'!$AQ$3=3,'Pricing Inputs'!$AQ$3=5,'Pricing Inputs'!$AQ$3=6,'Pricing Inputs'!$AQ$3=8,'Pricing Inputs'!$AQ$3=9),VLOOKUP(A172,ScaledPrice,IF(AND('Pricing Inputs'!$AQ$3&gt;=2,'Pricing Inputs'!$AQ$3&lt;=6),5,6)),0))</f>
        <v> </v>
      </c>
      <c r="L172" s="279" t="str">
        <f aca="false">IF(A172="N/A"," ",IF(OR('Pricing Inputs'!$AQ$3=2,'Pricing Inputs'!$AQ$3=3,'Pricing Inputs'!$AQ$3=5,'Pricing Inputs'!$AQ$3=6,'Pricing Inputs'!$AQ$3=8,'Pricing Inputs'!$AQ$3=9),IF(AND('Pricing Inputs'!$AQ$3&gt;=2,'Pricing Inputs'!$AQ$3&lt;=6),K172,(VLOOKUP(A172,ScaledPrice,5))*(2-(VLOOKUP(A172,ScaledPrice,3)))),0))</f>
        <v> </v>
      </c>
      <c r="M172" s="279" t="str">
        <f aca="false">IF(A172="N/A"," ",IF(OR('Pricing Inputs'!$AQ$3=3,'Pricing Inputs'!$AQ$3=6,'Pricing Inputs'!$AQ$3=9),(VLOOKUP(A172,ScaledPrice,IF(AND('Pricing Inputs'!$AQ$3&gt;=3,'Pricing Inputs'!$AQ$3&lt;=6),7,8))),0))</f>
        <v> </v>
      </c>
      <c r="N172" s="279" t="str">
        <f aca="false">IF(A172="N/A"," ",IF(OR('Pricing Inputs'!$AQ$3=3,'Pricing Inputs'!$AQ$3=6,'Pricing Inputs'!$AQ$3=9),IF(AND('Pricing Inputs'!$AQ$3&gt;=3,'Pricing Inputs'!$AQ$3&lt;=6),M172,(VLOOKUP(A172,ScaledPrice,7))*(2-(VLOOKUP(A172,ScaledPrice,3)))),0))</f>
        <v> </v>
      </c>
      <c r="O172" s="279" t="str">
        <f aca="false">IF(A172="N/A"," ",IF(AND('Pricing Inputs'!$AQ$3&gt;=1,'Pricing Inputs'!$AQ$3&lt;=3),VLOOKUP(A172,ScaledPrice,9),0))</f>
        <v> </v>
      </c>
      <c r="P172" s="280" t="str">
        <f aca="false">IF($A172="N/A"," ",IF('Pricing Inputs'!$AN$8=2,(I172-H172),IF('Pricing Inputs'!$AN$3=2,IF((I172-$H172)&gt;0,I172-$H172,0),(xSPRDOPT(I172,$E172,$BU172,0,$BP172,$BS172,$BT172,($A172-Inputs!$D$1)+15,1,0)))))</f>
        <v> </v>
      </c>
      <c r="Q172" s="280" t="str">
        <f aca="false">IF($A172="N/A"," ",IF('Pricing Inputs'!$AN$8=2,(J172-$H172),IF('Pricing Inputs'!$AN$3=2,IF((J172-$H172)&gt;0,J172-$H172,0),(xSPRDOPT(J172,$E172,$BU172,0,$BP172,$BS172,$BT172,($A172-Inputs!$D$1)+15,1,0)))))</f>
        <v> </v>
      </c>
      <c r="R172" s="280" t="str">
        <f aca="false">IF($A172="N/A"," ",IF('Pricing Inputs'!$AN$8=2,(K172-$H172),IF('Pricing Inputs'!$AN$3=2,IF((K172-$H172)&gt;0,K172-$H172,0),(xSPRDOPT(K172,$E172,$BU172,0,$BP172,$BS172,$BT172,($A172-Inputs!$D$1)+15,1,0)))))</f>
        <v> </v>
      </c>
      <c r="S172" s="280" t="str">
        <f aca="false">IF($A172="N/A"," ",IF('Pricing Inputs'!$AN$8=2,(L172-$H172),IF('Pricing Inputs'!$AN$3=2,IF((L172-$H172)&gt;0,L172-$H172,0),(xSPRDOPT(L172,$E172,$BU172,0,$BP172,$BS172,$BT172,($A172-Inputs!$D$1)+15,1,0)))))</f>
        <v> </v>
      </c>
      <c r="T172" s="280" t="str">
        <f aca="false">IF($A172="N/A"," ",IF('Pricing Inputs'!$AN$8=2,(M172-$H172),IF('Pricing Inputs'!$AN$3=2,IF((M172-$H172)&gt;0,M172-$H172,0),(xSPRDOPT(M172,$E172,$BU172,0,$BP172,$BS172,$BT172,($A172-Inputs!$D$1)+15,1,0)))))</f>
        <v> </v>
      </c>
      <c r="U172" s="280" t="str">
        <f aca="false">IF($A172="N/A"," ",IF('Pricing Inputs'!$AN$8=2,(N172-$H172),IF('Pricing Inputs'!$AN$3=2,IF((N172-$H172)&gt;0,N172-$H172,0),(xSPRDOPT(N172,$E172,$BU172,0,$BP172,$BS172,$BT172,($A172-Inputs!$D$1)+15,1,0)))))</f>
        <v> </v>
      </c>
      <c r="V172" s="281" t="str">
        <f aca="false">IF($A172="N/A"," ",(IF('Pricing Inputs'!$AN$8=2,(O172-$H172),IF((O172-$H172)&lt;=0,0,(O172-$H172)))))</f>
        <v> </v>
      </c>
      <c r="W172" s="282" t="str">
        <f aca="false">IF($A172="N/A"," ",IF(0&lt;&gt;P172,IF('Pricing Inputs'!$AN$3=2,8*VLOOKUP($A172,NumberofDaysTable,2),(xSPRDOPT(I172,$E172,$BU172,0,$BP172,$BS172,$BT172,$A172-Inputs!$D$1,1,1))*(8*VLOOKUP($A172,NumberofDaysTable,2))),0))</f>
        <v> </v>
      </c>
      <c r="X172" s="282" t="str">
        <f aca="false">IF($A172="N/A"," ",IF(Q172&lt;&gt;0,IF('Pricing Inputs'!$AN$3=2,8*VLOOKUP($A172,NumberofDaysTable,2),(xSPRDOPT(J172,$E172,$BU172,0,$BP172,$BS172,$BT172,$A172-Inputs!$D$1,1,1))*(8*VLOOKUP($A172,NumberofDaysTable,2))),0))</f>
        <v> </v>
      </c>
      <c r="Y172" s="282" t="str">
        <f aca="false">IF($A172="N/A"," ",IF(R172&lt;&gt;0,IF('Pricing Inputs'!$AN$3=2,8*VLOOKUP($A172,NumberofDaysTable,3),(xSPRDOPT(K172,$E172,$BU172,0,$BP172,$BS172,$BT172,$A172-Inputs!$D$1,1,1))*(8*VLOOKUP($A172,NumberofDaysTable,3))),0))</f>
        <v> </v>
      </c>
      <c r="Z172" s="282" t="str">
        <f aca="false">IF($A172="N/A"," ",IF(S172&lt;&gt;0,IF('Pricing Inputs'!$AN$3=2,8*VLOOKUP($A172,NumberofDaysTable,3),(xSPRDOPT(L172,$E172,$BU172,0,$BP172,$BS172,$BT172,$A172-Inputs!$D$1,1,1))*(8*VLOOKUP($A172,NumberofDaysTable,3))),0))</f>
        <v> </v>
      </c>
      <c r="AA172" s="282" t="str">
        <f aca="false">IF($A172="N/A"," ",IF(T172&lt;&gt;0,IF('Pricing Inputs'!$AN$3=2,8*VLOOKUP($A172,NumberofDaysTable,4),(xSPRDOPT(M172,$E172,$BU172,0,$BP172,$BS172,$BT172,$A172-Inputs!$D$1,1,1))*(8*VLOOKUP($A172,NumberofDaysTable,4))),0))</f>
        <v> </v>
      </c>
      <c r="AB172" s="282" t="str">
        <f aca="false">IF($A172="N/A"," ",IF(U172&lt;&gt;0,IF('Pricing Inputs'!$AN$3=2,8*VLOOKUP($A172,NumberofDaysTable,4),(xSPRDOPT(N172,$E172,$BU172,0,$BP172,$BS172,$BT172,$A172-Inputs!$D$1,1,1))*(8*VLOOKUP($A172,NumberofDaysTable,4))),0))</f>
        <v> </v>
      </c>
      <c r="AC172" s="282" t="str">
        <f aca="false">IF($A172="N/A"," ",(IF(V172&lt;&gt;0,(8*VLOOKUP($A172,NumberofDaysTable,6)),0)))</f>
        <v> </v>
      </c>
      <c r="AD172" s="283" t="str">
        <f aca="false">IF($A172="N/A"," ",RANK(P172,$P$172:$V$183))</f>
        <v> </v>
      </c>
      <c r="AE172" s="284" t="str">
        <f aca="false">IF($A172="N/A"," ",RANK(Q172,$P$172:$V$183))</f>
        <v> </v>
      </c>
      <c r="AF172" s="284" t="str">
        <f aca="false">IF($A172="N/A"," ",RANK(R172,$P$172:$V$183))</f>
        <v> </v>
      </c>
      <c r="AG172" s="284" t="str">
        <f aca="false">IF($A172="N/A"," ",RANK(S172,$P$172:$V$183))</f>
        <v> </v>
      </c>
      <c r="AH172" s="284" t="str">
        <f aca="false">IF($A172="N/A"," ",RANK(T172,$P$172:$V$183))</f>
        <v> </v>
      </c>
      <c r="AI172" s="284" t="str">
        <f aca="false">IF($A172="N/A"," ",RANK(U172,$P$172:$V$183))</f>
        <v> </v>
      </c>
      <c r="AJ172" s="285" t="str">
        <f aca="false">IF($A172="N/A"," ",RANK(V172,$P$172:$V$183))</f>
        <v> </v>
      </c>
      <c r="AK172" s="313" t="str">
        <f aca="false">IF($A172="N/A"," ",IF(AD172&lt;=$AJ$2,W172,0))</f>
        <v> </v>
      </c>
      <c r="AL172" s="287" t="str">
        <f aca="false">IF($A172="N/A"," ",IF(AE172&lt;=$AJ$2,X172,0))</f>
        <v> </v>
      </c>
      <c r="AM172" s="287" t="str">
        <f aca="false">IF($A172="N/A"," ",IF(AF172&lt;=$AJ$2,Y172,0))</f>
        <v> </v>
      </c>
      <c r="AN172" s="287" t="str">
        <f aca="false">IF($A172="N/A"," ",IF(AG172&lt;=$AJ$2,Z172,0))</f>
        <v> </v>
      </c>
      <c r="AO172" s="287" t="str">
        <f aca="false">IF($A172="N/A"," ",IF(AH172&lt;=$AJ$2,AA172,0))</f>
        <v> </v>
      </c>
      <c r="AP172" s="287" t="str">
        <f aca="false">IF($A172="N/A"," ",IF(AI172&lt;=$AJ$2,AB172,0))</f>
        <v> </v>
      </c>
      <c r="AQ172" s="287" t="str">
        <f aca="false">IF($A172="N/A"," ",IF(AJ172&lt;=$AJ$2,AC172,0))</f>
        <v> </v>
      </c>
      <c r="AR172" s="285"/>
      <c r="AS172" s="314" t="str">
        <f aca="false">IF($A172="N/A"," ",IF(AND(AD172=$AJ$2+1,AK172=0),MIN($AR$183,W172),0))</f>
        <v> </v>
      </c>
      <c r="AT172" s="289" t="str">
        <f aca="false">IF($A172="N/A"," ",IF(AND(AE172=$AJ$2+1,AL172=0),MIN($AR$183,X172),0))</f>
        <v> </v>
      </c>
      <c r="AU172" s="289" t="str">
        <f aca="false">IF($A172="N/A"," ",IF(AND(AF172=$AJ$2+1,AM172=0),MIN($AR$183,Y172),0))</f>
        <v> </v>
      </c>
      <c r="AV172" s="289" t="str">
        <f aca="false">IF($A172="N/A"," ",IF(AND(AG172=$AJ$2+1,AN172=0),MIN($AR$183,Z172),0))</f>
        <v> </v>
      </c>
      <c r="AW172" s="289" t="str">
        <f aca="false">IF($A172="N/A"," ",IF(AND(AH172=$AJ$2+1,AO172=0),MIN($AR$183,AA172),0))</f>
        <v> </v>
      </c>
      <c r="AX172" s="289" t="str">
        <f aca="false">IF($A172="N/A"," ",IF(AND(AI172=$AJ$2+1,AP172=0),MIN($AR$183,AB172),0))</f>
        <v> </v>
      </c>
      <c r="AY172" s="289" t="str">
        <f aca="false">IF($A172="N/A"," ",IF(AND(AJ172=$AJ$2+1,AQ172=0),MIN($AR$183,AC172),0))</f>
        <v> </v>
      </c>
      <c r="AZ172" s="285"/>
      <c r="BA172" s="291" t="str">
        <f aca="false">IF($A172="N/A"," ",(IF(MONTH(A172)&gt;=4,IF(MONTH(A172)&lt;=10,Inputs!$F$13,Inputs!$F$14),Inputs!$F$14))*$BW172)</f>
        <v> </v>
      </c>
      <c r="BB172" s="292" t="str">
        <f aca="false">IF($A172="N/A"," ",(IF(AK172&gt;0,($BA172*(8*(VLOOKUP($A172,NumberofDaysTable,2)))*P172),0)+IF(AS172&gt;0,($BA172*((AS172))*P172),0)))</f>
        <v> </v>
      </c>
      <c r="BC172" s="292" t="str">
        <f aca="false">IF($A172="N/A"," ",(IF(AL172&gt;0,($BA172*(8*(VLOOKUP($A172,NumberofDaysTable,2)))*Q172),0)+IF(AT172&gt;0,($BA172*((AT172))*Q172),0)))</f>
        <v> </v>
      </c>
      <c r="BD172" s="292" t="str">
        <f aca="false">IF($A172="N/A"," ",(IF(AM172&gt;0,($BA172*(8*(VLOOKUP($A172,NumberofDaysTable,3)))*R172),0)+IF(AU172&gt;0,($BA172*((AU172))*R172),0)))</f>
        <v> </v>
      </c>
      <c r="BE172" s="292" t="str">
        <f aca="false">IF($A172="N/A"," ",(IF(AN172&gt;0,($BA172*(8*(VLOOKUP($A172,NumberofDaysTable,3)))*S172),0)+IF(AV172&gt;0,($BA172*((AV172))*S172),0)))</f>
        <v> </v>
      </c>
      <c r="BF172" s="292" t="str">
        <f aca="false">IF($A172="N/A"," ",(IF(AO172&gt;0,($BA172*(8*(VLOOKUP($A172,NumberofDaysTable,4)+VLOOKUP($A172,NumberofDaysTable,5)))*T172),0)+IF(AW172&gt;0,($BA172*((AW172))*T172),0)))</f>
        <v> </v>
      </c>
      <c r="BG172" s="292" t="str">
        <f aca="false">IF($A172="N/A"," ",(IF(AP172&gt;0,($BA172*(8*(VLOOKUP($A172,NumberofDaysTable,4)+VLOOKUP($A172,NumberofDaysTable,5)))*U172),0)+IF(AX172&gt;0,($BA172*((AX172))*U172),0)))</f>
        <v> </v>
      </c>
      <c r="BH172" s="292" t="str">
        <f aca="false">IF($A172="N/A"," ",($BA172*AQ172*V172))</f>
        <v> </v>
      </c>
      <c r="BI172" s="292" t="str">
        <f aca="false">IF($A172="N/A"," ",SUM(BB172:BH172))</f>
        <v> </v>
      </c>
      <c r="BJ172" s="293" t="str">
        <f aca="false">IF($A172="N/A"," ",(H172*(SUM(AK172:AQ172)+SUM(AS172:AY172))*BA172))</f>
        <v> </v>
      </c>
      <c r="BK172" s="293" t="str">
        <f aca="false">IF($A172="N/A"," ",((C172*D172)*(SUM($AK172:$AQ172)+SUM($AS172:$AY172))*$BA172))</f>
        <v> </v>
      </c>
      <c r="BL172" s="293" t="str">
        <f aca="false">IF($A172="N/A"," ",(F172*(SUM($AK172:$AQ172)+SUM($AS172:$AY172))*$BA172))</f>
        <v> </v>
      </c>
      <c r="BM172" s="293" t="str">
        <f aca="false">IF($A172="N/A"," ",(G172*(SUM($AK172:$AQ172)+SUM($AS172:$AY172))*$BA172))</f>
        <v> </v>
      </c>
      <c r="BN172" s="294" t="str">
        <f aca="false">IF(A172="N/A"," ",(VLOOKUP(A172,PowerVolTable,(IF('Pricing Inputs'!$AT$3=2,7,IF('Pricing Inputs'!$AT$3=1,6,8))),FALSE())))</f>
        <v> </v>
      </c>
      <c r="BO172" s="294" t="str">
        <f aca="false">IF(A172="N/A"," ",(VLOOKUP(A172,IntraPowerVol,(IF('Pricing Inputs'!$AT$3=2,3,IF('Pricing Inputs'!$AT$3=1,2,4))),FALSE())*VLOOKUP(MONTH($A172),Inputs!$A$28:$B$39,2)))</f>
        <v> </v>
      </c>
      <c r="BP172" s="295" t="str">
        <f aca="false">IF($A172="N/A"," ",(IF(DateToday&gt;$A172,$BO172,((($BN172^2)*((($A172-1)-DateToday)/((EOMONTH($A172,0)+1)-DateToday-15)))+((($BO172)^2)*((15)/((EOMONTH($A172,0)+1)-DateToday-15))))^0.5)))</f>
        <v> </v>
      </c>
      <c r="BQ172" s="294" t="str">
        <f aca="false">IF($A172="N/A"," ",(VLOOKUP($A172,GasVolTable,(IF('Pricing Inputs'!$AT$3=2,6,IF('Pricing Inputs'!$AT$3=1,7,5))),FALSE())))</f>
        <v> </v>
      </c>
      <c r="BR172" s="294" t="str">
        <f aca="false">IF($A172="N/A"," ",(VLOOKUP($A172,OmicronVol,(IF('Pricing Inputs'!$AT$3=2,3,IF('Pricing Inputs'!$AT$3=1,4,2))),FALSE())))</f>
        <v> </v>
      </c>
      <c r="BS172" s="295" t="str">
        <f aca="false">IF($A172="N/A"," ",IF('Pricing Inputs'!$AN$3=1,(IF(DateToday&gt;$A172,$BR172,((($BQ172^2)*((($A172-1)-DateToday)/((EOMONTH($A172,0)+1)-DateToday-15)))+((($BR172)^2)*((15)/((EOMONTH($A172,0)+1)-DateToday-15))))^0.5)),0.0001))</f>
        <v> </v>
      </c>
      <c r="BT172" s="294" t="str">
        <f aca="false">IF($A172="N/A"," ",IF('Pricing Inputs'!$AN$3=1,(VLOOKUP($A172,CorrelationTable,2,FALSE())),0))</f>
        <v> </v>
      </c>
      <c r="BU172" s="296" t="str">
        <f aca="false">IF($A172="N/A"," ",F172+G172+(D172*(VLOOKUP($A172,'Gas Curves'!$B$17:$P$310,14,FALSE()))))</f>
        <v> </v>
      </c>
      <c r="BV172" s="294" t="str">
        <f aca="false">IF($A172="N/A"," ",IF('Pricing Inputs'!$AW$3=1,0,(VLOOKUP($A172,InterestRatesTable,2))))</f>
        <v> </v>
      </c>
      <c r="BW172" s="297" t="str">
        <f aca="false">IF($A172="N/A"," ",(1+BV172/2)^(-2*((EOMONTH(A172,0)+20)-DateToday)/365.25))</f>
        <v> </v>
      </c>
    </row>
    <row r="173" customFormat="false" ht="12.75" hidden="false" customHeight="false" outlineLevel="0" collapsed="false">
      <c r="A173" s="272" t="str">
        <f aca="false">IF(A172="N/A","N/A",IF(EDATE(A172,1)&gt;Inputs!$K$3,"N/A",EDATE(A172,1)))</f>
        <v>N/A</v>
      </c>
      <c r="B173" s="273" t="str">
        <f aca="false">IF(A173="N/A"," ",YEAR(A173))</f>
        <v> </v>
      </c>
      <c r="C173" s="274" t="str">
        <f aca="false">IF(A173="N/A"," ",VLOOKUP(A173,ScaledPrice,10))</f>
        <v> </v>
      </c>
      <c r="D173" s="275" t="str">
        <f aca="false">IF(A173="N/A"," ",(VLOOKUP(MONTH($A173),Inputs!$A$14:$B$25,2))/1000)</f>
        <v> </v>
      </c>
      <c r="E173" s="276" t="str">
        <f aca="false">IF($A173="N/A"," ",C173*D173)</f>
        <v> </v>
      </c>
      <c r="F173" s="277" t="str">
        <f aca="false">IF(A173="N/A"," ",Inputs!$F$6)</f>
        <v> </v>
      </c>
      <c r="G173" s="277" t="str">
        <f aca="false">IF(A173="N/A"," ",Inputs!$F$9/IF(AND('Pricing Inputs'!$AQ$3&gt;=4,'Pricing Inputs'!$AQ$3&lt;=6),16,IF(AND('Pricing Inputs'!$AQ$3&gt;=7,'Pricing Inputs'!$AQ$3&lt;=9),8,24))/(BA173/BW173))</f>
        <v> </v>
      </c>
      <c r="H173" s="278" t="str">
        <f aca="false">IF(A173="N/A"," ",(C173*D173)+F173+G173)</f>
        <v> </v>
      </c>
      <c r="I173" s="279" t="str">
        <f aca="false">VLOOKUP(A173,ScaledPrice,(IF(AND('Pricing Inputs'!$AQ$3&gt;=1,'Pricing Inputs'!$AQ$3&lt;=6),2,4)))</f>
        <v> </v>
      </c>
      <c r="J173" s="279" t="str">
        <f aca="false">IF(A173="N/A"," ",IF(AND('Pricing Inputs'!$AQ$3&gt;=1,'Pricing Inputs'!$AQ$3&lt;=6),I173,(VLOOKUP(A173,ScaledPrice,2))*(2-(VLOOKUP(A173,ScaledPrice,3)))))</f>
        <v> </v>
      </c>
      <c r="K173" s="279" t="str">
        <f aca="false">IF(A173="N/A"," ",IF(OR('Pricing Inputs'!$AQ$3=2,'Pricing Inputs'!$AQ$3=3,'Pricing Inputs'!$AQ$3=5,'Pricing Inputs'!$AQ$3=6,'Pricing Inputs'!$AQ$3=8,'Pricing Inputs'!$AQ$3=9),VLOOKUP(A173,ScaledPrice,IF(AND('Pricing Inputs'!$AQ$3&gt;=2,'Pricing Inputs'!$AQ$3&lt;=6),5,6)),0))</f>
        <v> </v>
      </c>
      <c r="L173" s="279" t="str">
        <f aca="false">IF(A173="N/A"," ",IF(OR('Pricing Inputs'!$AQ$3=2,'Pricing Inputs'!$AQ$3=3,'Pricing Inputs'!$AQ$3=5,'Pricing Inputs'!$AQ$3=6,'Pricing Inputs'!$AQ$3=8,'Pricing Inputs'!$AQ$3=9),IF(AND('Pricing Inputs'!$AQ$3&gt;=2,'Pricing Inputs'!$AQ$3&lt;=6),K173,(VLOOKUP(A173,ScaledPrice,5))*(2-(VLOOKUP(A173,ScaledPrice,3)))),0))</f>
        <v> </v>
      </c>
      <c r="M173" s="279" t="str">
        <f aca="false">IF(A173="N/A"," ",IF(OR('Pricing Inputs'!$AQ$3=3,'Pricing Inputs'!$AQ$3=6,'Pricing Inputs'!$AQ$3=9),(VLOOKUP(A173,ScaledPrice,IF(AND('Pricing Inputs'!$AQ$3&gt;=3,'Pricing Inputs'!$AQ$3&lt;=6),7,8))),0))</f>
        <v> </v>
      </c>
      <c r="N173" s="279" t="str">
        <f aca="false">IF(A173="N/A"," ",IF(OR('Pricing Inputs'!$AQ$3=3,'Pricing Inputs'!$AQ$3=6,'Pricing Inputs'!$AQ$3=9),IF(AND('Pricing Inputs'!$AQ$3&gt;=3,'Pricing Inputs'!$AQ$3&lt;=6),M173,(VLOOKUP(A173,ScaledPrice,7))*(2-(VLOOKUP(A173,ScaledPrice,3)))),0))</f>
        <v> </v>
      </c>
      <c r="O173" s="279" t="str">
        <f aca="false">IF(A173="N/A"," ",IF(AND('Pricing Inputs'!$AQ$3&gt;=1,'Pricing Inputs'!$AQ$3&lt;=3),VLOOKUP(A173,ScaledPrice,9),0))</f>
        <v> </v>
      </c>
      <c r="P173" s="280" t="str">
        <f aca="false">IF($A173="N/A"," ",IF('Pricing Inputs'!$AN$8=2,(I173-H173),IF('Pricing Inputs'!$AN$3=2,IF((I173-$H173)&gt;0,I173-$H173,0),(xSPRDOPT(I173,$E173,$BU173,0,$BP173,$BS173,$BT173,($A173-Inputs!$D$1)+15,1,0)))))</f>
        <v> </v>
      </c>
      <c r="Q173" s="280" t="str">
        <f aca="false">IF($A173="N/A"," ",IF('Pricing Inputs'!$AN$8=2,(J173-$H173),IF('Pricing Inputs'!$AN$3=2,IF((J173-$H173)&gt;0,J173-$H173,0),(xSPRDOPT(J173,$E173,$BU173,0,$BP173,$BS173,$BT173,($A173-Inputs!$D$1)+15,1,0)))))</f>
        <v> </v>
      </c>
      <c r="R173" s="280" t="str">
        <f aca="false">IF($A173="N/A"," ",IF('Pricing Inputs'!$AN$8=2,(K173-$H173),IF('Pricing Inputs'!$AN$3=2,IF((K173-$H173)&gt;0,K173-$H173,0),(xSPRDOPT(K173,$E173,$BU173,0,$BP173,$BS173,$BT173,($A173-Inputs!$D$1)+15,1,0)))))</f>
        <v> </v>
      </c>
      <c r="S173" s="280" t="str">
        <f aca="false">IF($A173="N/A"," ",IF('Pricing Inputs'!$AN$8=2,(L173-$H173),IF('Pricing Inputs'!$AN$3=2,IF((L173-$H173)&gt;0,L173-$H173,0),(xSPRDOPT(L173,$E173,$BU173,0,$BP173,$BS173,$BT173,($A173-Inputs!$D$1)+15,1,0)))))</f>
        <v> </v>
      </c>
      <c r="T173" s="280" t="str">
        <f aca="false">IF($A173="N/A"," ",IF('Pricing Inputs'!$AN$8=2,(M173-$H173),IF('Pricing Inputs'!$AN$3=2,IF((M173-$H173)&gt;0,M173-$H173,0),(xSPRDOPT(M173,$E173,$BU173,0,$BP173,$BS173,$BT173,($A173-Inputs!$D$1)+15,1,0)))))</f>
        <v> </v>
      </c>
      <c r="U173" s="280" t="str">
        <f aca="false">IF($A173="N/A"," ",IF('Pricing Inputs'!$AN$8=2,(N173-$H173),IF('Pricing Inputs'!$AN$3=2,IF((N173-$H173)&gt;0,N173-$H173,0),(xSPRDOPT(N173,$E173,$BU173,0,$BP173,$BS173,$BT173,($A173-Inputs!$D$1)+15,1,0)))))</f>
        <v> </v>
      </c>
      <c r="V173" s="281" t="str">
        <f aca="false">IF($A173="N/A"," ",(IF('Pricing Inputs'!$AN$8=2,(O173-$H173),IF((O173-$H173)&lt;=0,0,(O173-$H173)))))</f>
        <v> </v>
      </c>
      <c r="W173" s="282" t="str">
        <f aca="false">IF($A173="N/A"," ",IF(0&lt;&gt;P173,IF('Pricing Inputs'!$AN$3=2,8*VLOOKUP($A173,NumberofDaysTable,2),(xSPRDOPT(I173,$E173,$BU173,0,$BP173,$BS173,$BT173,$A173-Inputs!$D$1,1,1))*(8*VLOOKUP($A173,NumberofDaysTable,2))),0))</f>
        <v> </v>
      </c>
      <c r="X173" s="282" t="str">
        <f aca="false">IF($A173="N/A"," ",IF(Q173&lt;&gt;0,IF('Pricing Inputs'!$AN$3=2,8*VLOOKUP($A173,NumberofDaysTable,2),(xSPRDOPT(J173,$E173,$BU173,0,$BP173,$BS173,$BT173,$A173-Inputs!$D$1,1,1))*(8*VLOOKUP($A173,NumberofDaysTable,2))),0))</f>
        <v> </v>
      </c>
      <c r="Y173" s="282" t="str">
        <f aca="false">IF($A173="N/A"," ",IF(R173&lt;&gt;0,IF('Pricing Inputs'!$AN$3=2,8*VLOOKUP($A173,NumberofDaysTable,3),(xSPRDOPT(K173,$E173,$BU173,0,$BP173,$BS173,$BT173,$A173-Inputs!$D$1,1,1))*(8*VLOOKUP($A173,NumberofDaysTable,3))),0))</f>
        <v> </v>
      </c>
      <c r="Z173" s="282" t="str">
        <f aca="false">IF($A173="N/A"," ",IF(S173&lt;&gt;0,IF('Pricing Inputs'!$AN$3=2,8*VLOOKUP($A173,NumberofDaysTable,3),(xSPRDOPT(L173,$E173,$BU173,0,$BP173,$BS173,$BT173,$A173-Inputs!$D$1,1,1))*(8*VLOOKUP($A173,NumberofDaysTable,3))),0))</f>
        <v> </v>
      </c>
      <c r="AA173" s="282" t="str">
        <f aca="false">IF($A173="N/A"," ",IF(T173&lt;&gt;0,IF('Pricing Inputs'!$AN$3=2,8*VLOOKUP($A173,NumberofDaysTable,4),(xSPRDOPT(M173,$E173,$BU173,0,$BP173,$BS173,$BT173,$A173-Inputs!$D$1,1,1))*(8*VLOOKUP($A173,NumberofDaysTable,4))),0))</f>
        <v> </v>
      </c>
      <c r="AB173" s="282" t="str">
        <f aca="false">IF($A173="N/A"," ",IF(U173&lt;&gt;0,IF('Pricing Inputs'!$AN$3=2,8*VLOOKUP($A173,NumberofDaysTable,4),(xSPRDOPT(N173,$E173,$BU173,0,$BP173,$BS173,$BT173,$A173-Inputs!$D$1,1,1))*(8*VLOOKUP($A173,NumberofDaysTable,4))),0))</f>
        <v> </v>
      </c>
      <c r="AC173" s="282" t="str">
        <f aca="false">IF($A173="N/A"," ",(IF(V173&lt;&gt;0,(8*VLOOKUP($A173,NumberofDaysTable,6)),0)))</f>
        <v> </v>
      </c>
      <c r="AD173" s="298" t="str">
        <f aca="false">IF($A173="N/A"," ",RANK(P173,$P$172:$V$183))</f>
        <v> </v>
      </c>
      <c r="AE173" s="299" t="str">
        <f aca="false">IF($A173="N/A"," ",RANK(Q173,$P$172:$V$183))</f>
        <v> </v>
      </c>
      <c r="AF173" s="299" t="str">
        <f aca="false">IF($A173="N/A"," ",RANK(R173,$P$172:$V$183))</f>
        <v> </v>
      </c>
      <c r="AG173" s="299" t="str">
        <f aca="false">IF($A173="N/A"," ",RANK(S173,$P$172:$V$183))</f>
        <v> </v>
      </c>
      <c r="AH173" s="299" t="str">
        <f aca="false">IF($A173="N/A"," ",RANK(T173,$P$172:$V$183))</f>
        <v> </v>
      </c>
      <c r="AI173" s="299" t="str">
        <f aca="false">IF($A173="N/A"," ",RANK(U173,$P$172:$V$183))</f>
        <v> </v>
      </c>
      <c r="AJ173" s="300" t="str">
        <f aca="false">IF($A173="N/A"," ",RANK(V173,$P$172:$V$183))</f>
        <v> </v>
      </c>
      <c r="AK173" s="286" t="str">
        <f aca="false">IF($A173="N/A"," ",IF(AD173&lt;=$AJ$2,W173,0))</f>
        <v> </v>
      </c>
      <c r="AL173" s="301" t="str">
        <f aca="false">IF($A173="N/A"," ",IF(AE173&lt;=$AJ$2,X173,0))</f>
        <v> </v>
      </c>
      <c r="AM173" s="301" t="str">
        <f aca="false">IF($A173="N/A"," ",IF(AF173&lt;=$AJ$2,Y173,0))</f>
        <v> </v>
      </c>
      <c r="AN173" s="301" t="str">
        <f aca="false">IF($A173="N/A"," ",IF(AG173&lt;=$AJ$2,Z173,0))</f>
        <v> </v>
      </c>
      <c r="AO173" s="301" t="str">
        <f aca="false">IF($A173="N/A"," ",IF(AH173&lt;=$AJ$2,AA173,0))</f>
        <v> </v>
      </c>
      <c r="AP173" s="301" t="str">
        <f aca="false">IF($A173="N/A"," ",IF(AI173&lt;=$AJ$2,AB173,0))</f>
        <v> </v>
      </c>
      <c r="AQ173" s="301" t="str">
        <f aca="false">IF($A173="N/A"," ",IF(AJ173&lt;=$AJ$2,AC173,0))</f>
        <v> </v>
      </c>
      <c r="AR173" s="300"/>
      <c r="AS173" s="288" t="str">
        <f aca="false">IF($A173="N/A"," ",IF(AND(AD173=$AJ$2+1,AK173=0),MIN($AR$183,W173),0))</f>
        <v> </v>
      </c>
      <c r="AT173" s="302" t="str">
        <f aca="false">IF($A173="N/A"," ",IF(AND(AE173=$AJ$2+1,AL173=0),MIN($AR$183,X173),0))</f>
        <v> </v>
      </c>
      <c r="AU173" s="302" t="str">
        <f aca="false">IF($A173="N/A"," ",IF(AND(AF173=$AJ$2+1,AM173=0),MIN($AR$183,Y173),0))</f>
        <v> </v>
      </c>
      <c r="AV173" s="302" t="str">
        <f aca="false">IF($A173="N/A"," ",IF(AND(AG173=$AJ$2+1,AN173=0),MIN($AR$183,Z173),0))</f>
        <v> </v>
      </c>
      <c r="AW173" s="302" t="str">
        <f aca="false">IF($A173="N/A"," ",IF(AND(AH173=$AJ$2+1,AO173=0),MIN($AR$183,AA173),0))</f>
        <v> </v>
      </c>
      <c r="AX173" s="302" t="str">
        <f aca="false">IF($A173="N/A"," ",IF(AND(AI173=$AJ$2+1,AP173=0),MIN($AR$183,AB173),0))</f>
        <v> </v>
      </c>
      <c r="AY173" s="302" t="str">
        <f aca="false">IF($A173="N/A"," ",IF(AND(AJ173=$AJ$2+1,AQ173=0),MIN($AR$183,AC173),0))</f>
        <v> </v>
      </c>
      <c r="AZ173" s="300"/>
      <c r="BA173" s="291" t="str">
        <f aca="false">IF($A173="N/A"," ",(IF(MONTH(A173)&gt;=4,IF(MONTH(A173)&lt;=10,Inputs!$F$13,Inputs!$F$14),Inputs!$F$14))*$BW173)</f>
        <v> </v>
      </c>
      <c r="BB173" s="292" t="str">
        <f aca="false">IF($A173="N/A"," ",(IF(AK173&gt;0,($BA173*(8*(VLOOKUP($A173,NumberofDaysTable,2)))*P173),0)+IF(AS173&gt;0,($BA173*((AS173))*P173),0)))</f>
        <v> </v>
      </c>
      <c r="BC173" s="292" t="str">
        <f aca="false">IF($A173="N/A"," ",(IF(AL173&gt;0,($BA173*(8*(VLOOKUP($A173,NumberofDaysTable,2)))*Q173),0)+IF(AT173&gt;0,($BA173*((AT173))*Q173),0)))</f>
        <v> </v>
      </c>
      <c r="BD173" s="292" t="str">
        <f aca="false">IF($A173="N/A"," ",(IF(AM173&gt;0,($BA173*(8*(VLOOKUP($A173,NumberofDaysTable,3)))*R173),0)+IF(AU173&gt;0,($BA173*((AU173))*R173),0)))</f>
        <v> </v>
      </c>
      <c r="BE173" s="292" t="str">
        <f aca="false">IF($A173="N/A"," ",(IF(AN173&gt;0,($BA173*(8*(VLOOKUP($A173,NumberofDaysTable,3)))*S173),0)+IF(AV173&gt;0,($BA173*((AV173))*S173),0)))</f>
        <v> </v>
      </c>
      <c r="BF173" s="292" t="str">
        <f aca="false">IF($A173="N/A"," ",(IF(AO173&gt;0,($BA173*(8*(VLOOKUP($A173,NumberofDaysTable,4)+VLOOKUP($A173,NumberofDaysTable,5)))*T173),0)+IF(AW173&gt;0,($BA173*((AW173))*T173),0)))</f>
        <v> </v>
      </c>
      <c r="BG173" s="292" t="str">
        <f aca="false">IF($A173="N/A"," ",(IF(AP173&gt;0,($BA173*(8*(VLOOKUP($A173,NumberofDaysTable,4)+VLOOKUP($A173,NumberofDaysTable,5)))*U173),0)+IF(AX173&gt;0,($BA173*((AX173))*U173),0)))</f>
        <v> </v>
      </c>
      <c r="BH173" s="292" t="str">
        <f aca="false">IF($A173="N/A"," ",($BA173*AQ173*V173))</f>
        <v> </v>
      </c>
      <c r="BI173" s="292" t="str">
        <f aca="false">IF($A173="N/A"," ",SUM(BB173:BH173))</f>
        <v> </v>
      </c>
      <c r="BJ173" s="293" t="str">
        <f aca="false">IF($A173="N/A"," ",(H173*(SUM(AK173:AQ173)+SUM(AS173:AY173))*BA173))</f>
        <v> </v>
      </c>
      <c r="BK173" s="293" t="str">
        <f aca="false">IF($A173="N/A"," ",((C173*D173)*(SUM($AK173:$AQ173)+SUM($AS173:$AY173))*$BA173))</f>
        <v> </v>
      </c>
      <c r="BL173" s="293" t="str">
        <f aca="false">IF($A173="N/A"," ",(F173*(SUM($AK173:$AQ173)+SUM($AS173:$AY173))*$BA173))</f>
        <v> </v>
      </c>
      <c r="BM173" s="293" t="str">
        <f aca="false">IF($A173="N/A"," ",(G173*(SUM($AK173:$AQ173)+SUM($AS173:$AY173))*$BA173))</f>
        <v> </v>
      </c>
      <c r="BN173" s="294" t="str">
        <f aca="false">IF(A173="N/A"," ",(VLOOKUP(A173,PowerVolTable,(IF('Pricing Inputs'!$AT$3=2,7,IF('Pricing Inputs'!$AT$3=1,6,8))),FALSE())))</f>
        <v> </v>
      </c>
      <c r="BO173" s="294" t="str">
        <f aca="false">IF(A173="N/A"," ",(VLOOKUP(A173,IntraPowerVol,(IF('Pricing Inputs'!$AT$3=2,3,IF('Pricing Inputs'!$AT$3=1,2,4))),FALSE())*VLOOKUP(MONTH($A173),Inputs!$A$28:$B$39,2)))</f>
        <v> </v>
      </c>
      <c r="BP173" s="295" t="str">
        <f aca="false">IF($A173="N/A"," ",(IF(DateToday&gt;$A173,$BO173,((($BN173^2)*((($A173-1)-DateToday)/((EOMONTH($A173,0)+1)-DateToday-15)))+((($BO173)^2)*((15)/((EOMONTH($A173,0)+1)-DateToday-15))))^0.5)))</f>
        <v> </v>
      </c>
      <c r="BQ173" s="294" t="str">
        <f aca="false">IF($A173="N/A"," ",(VLOOKUP($A173,GasVolTable,(IF('Pricing Inputs'!$AT$3=2,6,IF('Pricing Inputs'!$AT$3=1,7,5))),FALSE())))</f>
        <v> </v>
      </c>
      <c r="BR173" s="294" t="str">
        <f aca="false">IF($A173="N/A"," ",(VLOOKUP($A173,OmicronVol,(IF('Pricing Inputs'!$AT$3=2,3,IF('Pricing Inputs'!$AT$3=1,4,2))),FALSE())))</f>
        <v> </v>
      </c>
      <c r="BS173" s="295" t="str">
        <f aca="false">IF($A173="N/A"," ",IF('Pricing Inputs'!$AN$3=1,(IF(DateToday&gt;$A173,$BR173,((($BQ173^2)*((($A173-1)-DateToday)/((EOMONTH($A173,0)+1)-DateToday-15)))+((($BR173)^2)*((15)/((EOMONTH($A173,0)+1)-DateToday-15))))^0.5)),0.0001))</f>
        <v> </v>
      </c>
      <c r="BT173" s="294" t="str">
        <f aca="false">IF($A173="N/A"," ",IF('Pricing Inputs'!$AN$3=1,(VLOOKUP($A173,CorrelationTable,2,FALSE())),0))</f>
        <v> </v>
      </c>
      <c r="BU173" s="296" t="str">
        <f aca="false">IF($A173="N/A"," ",F173+G173+(D173*(VLOOKUP($A173,'Gas Curves'!$B$17:$P$310,14,FALSE()))))</f>
        <v> </v>
      </c>
      <c r="BV173" s="294" t="str">
        <f aca="false">IF($A173="N/A"," ",IF('Pricing Inputs'!$AW$3=1,0,(VLOOKUP($A173,InterestRatesTable,2))))</f>
        <v> </v>
      </c>
      <c r="BW173" s="297" t="str">
        <f aca="false">IF($A173="N/A"," ",(1+BV173/2)^(-2*((EOMONTH(A173,0)+20)-DateToday)/365.25))</f>
        <v> </v>
      </c>
    </row>
    <row r="174" customFormat="false" ht="12.75" hidden="false" customHeight="false" outlineLevel="0" collapsed="false">
      <c r="A174" s="272" t="str">
        <f aca="false">IF(A173="N/A","N/A",IF(EDATE(A173,1)&gt;Inputs!$K$3,"N/A",EDATE(A173,1)))</f>
        <v>N/A</v>
      </c>
      <c r="B174" s="273" t="str">
        <f aca="false">IF(A174="N/A"," ",YEAR(A174))</f>
        <v> </v>
      </c>
      <c r="C174" s="274" t="str">
        <f aca="false">IF(A174="N/A"," ",VLOOKUP(A174,ScaledPrice,10))</f>
        <v> </v>
      </c>
      <c r="D174" s="275" t="str">
        <f aca="false">IF(A174="N/A"," ",(VLOOKUP(MONTH($A174),Inputs!$A$14:$B$25,2))/1000)</f>
        <v> </v>
      </c>
      <c r="E174" s="276" t="str">
        <f aca="false">IF($A174="N/A"," ",C174*D174)</f>
        <v> </v>
      </c>
      <c r="F174" s="277" t="str">
        <f aca="false">IF(A174="N/A"," ",Inputs!$F$6)</f>
        <v> </v>
      </c>
      <c r="G174" s="277" t="str">
        <f aca="false">IF(A174="N/A"," ",Inputs!$F$9/IF(AND('Pricing Inputs'!$AQ$3&gt;=4,'Pricing Inputs'!$AQ$3&lt;=6),16,IF(AND('Pricing Inputs'!$AQ$3&gt;=7,'Pricing Inputs'!$AQ$3&lt;=9),8,24))/(BA174/BW174))</f>
        <v> </v>
      </c>
      <c r="H174" s="278" t="str">
        <f aca="false">IF(A174="N/A"," ",(C174*D174)+F174+G174)</f>
        <v> </v>
      </c>
      <c r="I174" s="279" t="str">
        <f aca="false">VLOOKUP(A174,ScaledPrice,(IF(AND('Pricing Inputs'!$AQ$3&gt;=1,'Pricing Inputs'!$AQ$3&lt;=6),2,4)))</f>
        <v> </v>
      </c>
      <c r="J174" s="279" t="str">
        <f aca="false">IF(A174="N/A"," ",IF(AND('Pricing Inputs'!$AQ$3&gt;=1,'Pricing Inputs'!$AQ$3&lt;=6),I174,(VLOOKUP(A174,ScaledPrice,2))*(2-(VLOOKUP(A174,ScaledPrice,3)))))</f>
        <v> </v>
      </c>
      <c r="K174" s="279" t="str">
        <f aca="false">IF(A174="N/A"," ",IF(OR('Pricing Inputs'!$AQ$3=2,'Pricing Inputs'!$AQ$3=3,'Pricing Inputs'!$AQ$3=5,'Pricing Inputs'!$AQ$3=6,'Pricing Inputs'!$AQ$3=8,'Pricing Inputs'!$AQ$3=9),VLOOKUP(A174,ScaledPrice,IF(AND('Pricing Inputs'!$AQ$3&gt;=2,'Pricing Inputs'!$AQ$3&lt;=6),5,6)),0))</f>
        <v> </v>
      </c>
      <c r="L174" s="279" t="str">
        <f aca="false">IF(A174="N/A"," ",IF(OR('Pricing Inputs'!$AQ$3=2,'Pricing Inputs'!$AQ$3=3,'Pricing Inputs'!$AQ$3=5,'Pricing Inputs'!$AQ$3=6,'Pricing Inputs'!$AQ$3=8,'Pricing Inputs'!$AQ$3=9),IF(AND('Pricing Inputs'!$AQ$3&gt;=2,'Pricing Inputs'!$AQ$3&lt;=6),K174,(VLOOKUP(A174,ScaledPrice,5))*(2-(VLOOKUP(A174,ScaledPrice,3)))),0))</f>
        <v> </v>
      </c>
      <c r="M174" s="279" t="str">
        <f aca="false">IF(A174="N/A"," ",IF(OR('Pricing Inputs'!$AQ$3=3,'Pricing Inputs'!$AQ$3=6,'Pricing Inputs'!$AQ$3=9),(VLOOKUP(A174,ScaledPrice,IF(AND('Pricing Inputs'!$AQ$3&gt;=3,'Pricing Inputs'!$AQ$3&lt;=6),7,8))),0))</f>
        <v> </v>
      </c>
      <c r="N174" s="279" t="str">
        <f aca="false">IF(A174="N/A"," ",IF(OR('Pricing Inputs'!$AQ$3=3,'Pricing Inputs'!$AQ$3=6,'Pricing Inputs'!$AQ$3=9),IF(AND('Pricing Inputs'!$AQ$3&gt;=3,'Pricing Inputs'!$AQ$3&lt;=6),M174,(VLOOKUP(A174,ScaledPrice,7))*(2-(VLOOKUP(A174,ScaledPrice,3)))),0))</f>
        <v> </v>
      </c>
      <c r="O174" s="279" t="str">
        <f aca="false">IF(A174="N/A"," ",IF(AND('Pricing Inputs'!$AQ$3&gt;=1,'Pricing Inputs'!$AQ$3&lt;=3),VLOOKUP(A174,ScaledPrice,9),0))</f>
        <v> </v>
      </c>
      <c r="P174" s="280" t="str">
        <f aca="false">IF($A174="N/A"," ",IF('Pricing Inputs'!$AN$8=2,(I174-H174),IF('Pricing Inputs'!$AN$3=2,IF((I174-$H174)&gt;0,I174-$H174,0),(xSPRDOPT(I174,$E174,$BU174,0,$BP174,$BS174,$BT174,($A174-Inputs!$D$1)+15,1,0)))))</f>
        <v> </v>
      </c>
      <c r="Q174" s="280" t="str">
        <f aca="false">IF($A174="N/A"," ",IF('Pricing Inputs'!$AN$8=2,(J174-$H174),IF('Pricing Inputs'!$AN$3=2,IF((J174-$H174)&gt;0,J174-$H174,0),(xSPRDOPT(J174,$E174,$BU174,0,$BP174,$BS174,$BT174,($A174-Inputs!$D$1)+15,1,0)))))</f>
        <v> </v>
      </c>
      <c r="R174" s="280" t="str">
        <f aca="false">IF($A174="N/A"," ",IF('Pricing Inputs'!$AN$8=2,(K174-$H174),IF('Pricing Inputs'!$AN$3=2,IF((K174-$H174)&gt;0,K174-$H174,0),(xSPRDOPT(K174,$E174,$BU174,0,$BP174,$BS174,$BT174,($A174-Inputs!$D$1)+15,1,0)))))</f>
        <v> </v>
      </c>
      <c r="S174" s="280" t="str">
        <f aca="false">IF($A174="N/A"," ",IF('Pricing Inputs'!$AN$8=2,(L174-$H174),IF('Pricing Inputs'!$AN$3=2,IF((L174-$H174)&gt;0,L174-$H174,0),(xSPRDOPT(L174,$E174,$BU174,0,$BP174,$BS174,$BT174,($A174-Inputs!$D$1)+15,1,0)))))</f>
        <v> </v>
      </c>
      <c r="T174" s="280" t="str">
        <f aca="false">IF($A174="N/A"," ",IF('Pricing Inputs'!$AN$8=2,(M174-$H174),IF('Pricing Inputs'!$AN$3=2,IF((M174-$H174)&gt;0,M174-$H174,0),(xSPRDOPT(M174,$E174,$BU174,0,$BP174,$BS174,$BT174,($A174-Inputs!$D$1)+15,1,0)))))</f>
        <v> </v>
      </c>
      <c r="U174" s="280" t="str">
        <f aca="false">IF($A174="N/A"," ",IF('Pricing Inputs'!$AN$8=2,(N174-$H174),IF('Pricing Inputs'!$AN$3=2,IF((N174-$H174)&gt;0,N174-$H174,0),(xSPRDOPT(N174,$E174,$BU174,0,$BP174,$BS174,$BT174,($A174-Inputs!$D$1)+15,1,0)))))</f>
        <v> </v>
      </c>
      <c r="V174" s="281" t="str">
        <f aca="false">IF($A174="N/A"," ",(IF('Pricing Inputs'!$AN$8=2,(O174-$H174),IF((O174-$H174)&lt;=0,0,(O174-$H174)))))</f>
        <v> </v>
      </c>
      <c r="W174" s="282" t="str">
        <f aca="false">IF($A174="N/A"," ",IF(0&lt;&gt;P174,IF('Pricing Inputs'!$AN$3=2,8*VLOOKUP($A174,NumberofDaysTable,2),(xSPRDOPT(I174,$E174,$BU174,0,$BP174,$BS174,$BT174,$A174-Inputs!$D$1,1,1))*(8*VLOOKUP($A174,NumberofDaysTable,2))),0))</f>
        <v> </v>
      </c>
      <c r="X174" s="282" t="str">
        <f aca="false">IF($A174="N/A"," ",IF(Q174&lt;&gt;0,IF('Pricing Inputs'!$AN$3=2,8*VLOOKUP($A174,NumberofDaysTable,2),(xSPRDOPT(J174,$E174,$BU174,0,$BP174,$BS174,$BT174,$A174-Inputs!$D$1,1,1))*(8*VLOOKUP($A174,NumberofDaysTable,2))),0))</f>
        <v> </v>
      </c>
      <c r="Y174" s="282" t="str">
        <f aca="false">IF($A174="N/A"," ",IF(R174&lt;&gt;0,IF('Pricing Inputs'!$AN$3=2,8*VLOOKUP($A174,NumberofDaysTable,3),(xSPRDOPT(K174,$E174,$BU174,0,$BP174,$BS174,$BT174,$A174-Inputs!$D$1,1,1))*(8*VLOOKUP($A174,NumberofDaysTable,3))),0))</f>
        <v> </v>
      </c>
      <c r="Z174" s="282" t="str">
        <f aca="false">IF($A174="N/A"," ",IF(S174&lt;&gt;0,IF('Pricing Inputs'!$AN$3=2,8*VLOOKUP($A174,NumberofDaysTable,3),(xSPRDOPT(L174,$E174,$BU174,0,$BP174,$BS174,$BT174,$A174-Inputs!$D$1,1,1))*(8*VLOOKUP($A174,NumberofDaysTable,3))),0))</f>
        <v> </v>
      </c>
      <c r="AA174" s="282" t="str">
        <f aca="false">IF($A174="N/A"," ",IF(T174&lt;&gt;0,IF('Pricing Inputs'!$AN$3=2,8*VLOOKUP($A174,NumberofDaysTable,4),(xSPRDOPT(M174,$E174,$BU174,0,$BP174,$BS174,$BT174,$A174-Inputs!$D$1,1,1))*(8*VLOOKUP($A174,NumberofDaysTable,4))),0))</f>
        <v> </v>
      </c>
      <c r="AB174" s="282" t="str">
        <f aca="false">IF($A174="N/A"," ",IF(U174&lt;&gt;0,IF('Pricing Inputs'!$AN$3=2,8*VLOOKUP($A174,NumberofDaysTable,4),(xSPRDOPT(N174,$E174,$BU174,0,$BP174,$BS174,$BT174,$A174-Inputs!$D$1,1,1))*(8*VLOOKUP($A174,NumberofDaysTable,4))),0))</f>
        <v> </v>
      </c>
      <c r="AC174" s="282" t="str">
        <f aca="false">IF($A174="N/A"," ",(IF(V174&lt;&gt;0,(8*VLOOKUP($A174,NumberofDaysTable,6)),0)))</f>
        <v> </v>
      </c>
      <c r="AD174" s="298" t="str">
        <f aca="false">IF($A174="N/A"," ",RANK(P174,$P$172:$V$183))</f>
        <v> </v>
      </c>
      <c r="AE174" s="299" t="str">
        <f aca="false">IF($A174="N/A"," ",RANK(Q174,$P$172:$V$183))</f>
        <v> </v>
      </c>
      <c r="AF174" s="299" t="str">
        <f aca="false">IF($A174="N/A"," ",RANK(R174,$P$172:$V$183))</f>
        <v> </v>
      </c>
      <c r="AG174" s="299" t="str">
        <f aca="false">IF($A174="N/A"," ",RANK(S174,$P$172:$V$183))</f>
        <v> </v>
      </c>
      <c r="AH174" s="299" t="str">
        <f aca="false">IF($A174="N/A"," ",RANK(T174,$P$172:$V$183))</f>
        <v> </v>
      </c>
      <c r="AI174" s="299" t="str">
        <f aca="false">IF($A174="N/A"," ",RANK(U174,$P$172:$V$183))</f>
        <v> </v>
      </c>
      <c r="AJ174" s="300" t="str">
        <f aca="false">IF($A174="N/A"," ",RANK(V174,$P$172:$V$183))</f>
        <v> </v>
      </c>
      <c r="AK174" s="286" t="str">
        <f aca="false">IF($A174="N/A"," ",IF(AD174&lt;=$AJ$2,W174,0))</f>
        <v> </v>
      </c>
      <c r="AL174" s="301" t="str">
        <f aca="false">IF($A174="N/A"," ",IF(AE174&lt;=$AJ$2,X174,0))</f>
        <v> </v>
      </c>
      <c r="AM174" s="301" t="str">
        <f aca="false">IF($A174="N/A"," ",IF(AF174&lt;=$AJ$2,Y174,0))</f>
        <v> </v>
      </c>
      <c r="AN174" s="301" t="str">
        <f aca="false">IF($A174="N/A"," ",IF(AG174&lt;=$AJ$2,Z174,0))</f>
        <v> </v>
      </c>
      <c r="AO174" s="301" t="str">
        <f aca="false">IF($A174="N/A"," ",IF(AH174&lt;=$AJ$2,AA174,0))</f>
        <v> </v>
      </c>
      <c r="AP174" s="301" t="str">
        <f aca="false">IF($A174="N/A"," ",IF(AI174&lt;=$AJ$2,AB174,0))</f>
        <v> </v>
      </c>
      <c r="AQ174" s="301" t="str">
        <f aca="false">IF($A174="N/A"," ",IF(AJ174&lt;=$AJ$2,AC174,0))</f>
        <v> </v>
      </c>
      <c r="AR174" s="300"/>
      <c r="AS174" s="288" t="str">
        <f aca="false">IF($A174="N/A"," ",IF(AND(AD174=$AJ$2+1,AK174=0),MIN($AR$183,W174),0))</f>
        <v> </v>
      </c>
      <c r="AT174" s="302" t="str">
        <f aca="false">IF($A174="N/A"," ",IF(AND(AE174=$AJ$2+1,AL174=0),MIN($AR$183,X174),0))</f>
        <v> </v>
      </c>
      <c r="AU174" s="302" t="str">
        <f aca="false">IF($A174="N/A"," ",IF(AND(AF174=$AJ$2+1,AM174=0),MIN($AR$183,Y174),0))</f>
        <v> </v>
      </c>
      <c r="AV174" s="302" t="str">
        <f aca="false">IF($A174="N/A"," ",IF(AND(AG174=$AJ$2+1,AN174=0),MIN($AR$183,Z174),0))</f>
        <v> </v>
      </c>
      <c r="AW174" s="302" t="str">
        <f aca="false">IF($A174="N/A"," ",IF(AND(AH174=$AJ$2+1,AO174=0),MIN($AR$183,AA174),0))</f>
        <v> </v>
      </c>
      <c r="AX174" s="302" t="str">
        <f aca="false">IF($A174="N/A"," ",IF(AND(AI174=$AJ$2+1,AP174=0),MIN($AR$183,AB174),0))</f>
        <v> </v>
      </c>
      <c r="AY174" s="302" t="str">
        <f aca="false">IF($A174="N/A"," ",IF(AND(AJ174=$AJ$2+1,AQ174=0),MIN($AR$183,AC174),0))</f>
        <v> </v>
      </c>
      <c r="AZ174" s="300"/>
      <c r="BA174" s="291" t="str">
        <f aca="false">IF($A174="N/A"," ",(IF(MONTH(A174)&gt;=4,IF(MONTH(A174)&lt;=10,Inputs!$F$13,Inputs!$F$14),Inputs!$F$14))*$BW174)</f>
        <v> </v>
      </c>
      <c r="BB174" s="292" t="str">
        <f aca="false">IF($A174="N/A"," ",(IF(AK174&gt;0,($BA174*(8*(VLOOKUP($A174,NumberofDaysTable,2)))*P174),0)+IF(AS174&gt;0,($BA174*((AS174))*P174),0)))</f>
        <v> </v>
      </c>
      <c r="BC174" s="292" t="str">
        <f aca="false">IF($A174="N/A"," ",(IF(AL174&gt;0,($BA174*(8*(VLOOKUP($A174,NumberofDaysTable,2)))*Q174),0)+IF(AT174&gt;0,($BA174*((AT174))*Q174),0)))</f>
        <v> </v>
      </c>
      <c r="BD174" s="292" t="str">
        <f aca="false">IF($A174="N/A"," ",(IF(AM174&gt;0,($BA174*(8*(VLOOKUP($A174,NumberofDaysTable,3)))*R174),0)+IF(AU174&gt;0,($BA174*((AU174))*R174),0)))</f>
        <v> </v>
      </c>
      <c r="BE174" s="292" t="str">
        <f aca="false">IF($A174="N/A"," ",(IF(AN174&gt;0,($BA174*(8*(VLOOKUP($A174,NumberofDaysTable,3)))*S174),0)+IF(AV174&gt;0,($BA174*((AV174))*S174),0)))</f>
        <v> </v>
      </c>
      <c r="BF174" s="292" t="str">
        <f aca="false">IF($A174="N/A"," ",(IF(AO174&gt;0,($BA174*(8*(VLOOKUP($A174,NumberofDaysTable,4)+VLOOKUP($A174,NumberofDaysTable,5)))*T174),0)+IF(AW174&gt;0,($BA174*((AW174))*T174),0)))</f>
        <v> </v>
      </c>
      <c r="BG174" s="292" t="str">
        <f aca="false">IF($A174="N/A"," ",(IF(AP174&gt;0,($BA174*(8*(VLOOKUP($A174,NumberofDaysTable,4)+VLOOKUP($A174,NumberofDaysTable,5)))*U174),0)+IF(AX174&gt;0,($BA174*((AX174))*U174),0)))</f>
        <v> </v>
      </c>
      <c r="BH174" s="292" t="str">
        <f aca="false">IF($A174="N/A"," ",($BA174*AQ174*V174))</f>
        <v> </v>
      </c>
      <c r="BI174" s="292" t="str">
        <f aca="false">IF($A174="N/A"," ",SUM(BB174:BH174))</f>
        <v> </v>
      </c>
      <c r="BJ174" s="293" t="str">
        <f aca="false">IF($A174="N/A"," ",(H174*(SUM(AK174:AQ174)+SUM(AS174:AY174))*BA174))</f>
        <v> </v>
      </c>
      <c r="BK174" s="293" t="str">
        <f aca="false">IF($A174="N/A"," ",((C174*D174)*(SUM($AK174:$AQ174)+SUM($AS174:$AY174))*$BA174))</f>
        <v> </v>
      </c>
      <c r="BL174" s="293" t="str">
        <f aca="false">IF($A174="N/A"," ",(F174*(SUM($AK174:$AQ174)+SUM($AS174:$AY174))*$BA174))</f>
        <v> </v>
      </c>
      <c r="BM174" s="293" t="str">
        <f aca="false">IF($A174="N/A"," ",(G174*(SUM($AK174:$AQ174)+SUM($AS174:$AY174))*$BA174))</f>
        <v> </v>
      </c>
      <c r="BN174" s="294" t="str">
        <f aca="false">IF(A174="N/A"," ",(VLOOKUP(A174,PowerVolTable,(IF('Pricing Inputs'!$AT$3=2,7,IF('Pricing Inputs'!$AT$3=1,6,8))),FALSE())))</f>
        <v> </v>
      </c>
      <c r="BO174" s="294" t="str">
        <f aca="false">IF(A174="N/A"," ",(VLOOKUP(A174,IntraPowerVol,(IF('Pricing Inputs'!$AT$3=2,3,IF('Pricing Inputs'!$AT$3=1,2,4))),FALSE())*VLOOKUP(MONTH($A174),Inputs!$A$28:$B$39,2)))</f>
        <v> </v>
      </c>
      <c r="BP174" s="295" t="str">
        <f aca="false">IF($A174="N/A"," ",(IF(DateToday&gt;$A174,$BO174,((($BN174^2)*((($A174-1)-DateToday)/((EOMONTH($A174,0)+1)-DateToday-15)))+((($BO174)^2)*((15)/((EOMONTH($A174,0)+1)-DateToday-15))))^0.5)))</f>
        <v> </v>
      </c>
      <c r="BQ174" s="294" t="str">
        <f aca="false">IF($A174="N/A"," ",(VLOOKUP($A174,GasVolTable,(IF('Pricing Inputs'!$AT$3=2,6,IF('Pricing Inputs'!$AT$3=1,7,5))),FALSE())))</f>
        <v> </v>
      </c>
      <c r="BR174" s="294" t="str">
        <f aca="false">IF($A174="N/A"," ",(VLOOKUP($A174,OmicronVol,(IF('Pricing Inputs'!$AT$3=2,3,IF('Pricing Inputs'!$AT$3=1,4,2))),FALSE())))</f>
        <v> </v>
      </c>
      <c r="BS174" s="295" t="str">
        <f aca="false">IF($A174="N/A"," ",IF('Pricing Inputs'!$AN$3=1,(IF(DateToday&gt;$A174,$BR174,((($BQ174^2)*((($A174-1)-DateToday)/((EOMONTH($A174,0)+1)-DateToday-15)))+((($BR174)^2)*((15)/((EOMONTH($A174,0)+1)-DateToday-15))))^0.5)),0.0001))</f>
        <v> </v>
      </c>
      <c r="BT174" s="294" t="str">
        <f aca="false">IF($A174="N/A"," ",IF('Pricing Inputs'!$AN$3=1,(VLOOKUP($A174,CorrelationTable,2,FALSE())),0))</f>
        <v> </v>
      </c>
      <c r="BU174" s="296" t="str">
        <f aca="false">IF($A174="N/A"," ",F174+G174+(D174*(VLOOKUP($A174,'Gas Curves'!$B$17:$P$310,14,FALSE()))))</f>
        <v> </v>
      </c>
      <c r="BV174" s="294" t="str">
        <f aca="false">IF($A174="N/A"," ",IF('Pricing Inputs'!$AW$3=1,0,(VLOOKUP($A174,InterestRatesTable,2))))</f>
        <v> </v>
      </c>
      <c r="BW174" s="297" t="str">
        <f aca="false">IF($A174="N/A"," ",(1+BV174/2)^(-2*((EOMONTH(A174,0)+20)-DateToday)/365.25))</f>
        <v> </v>
      </c>
    </row>
    <row r="175" customFormat="false" ht="12.75" hidden="false" customHeight="false" outlineLevel="0" collapsed="false">
      <c r="A175" s="272" t="str">
        <f aca="false">IF(A174="N/A","N/A",IF(EDATE(A174,1)&gt;Inputs!$K$3,"N/A",EDATE(A174,1)))</f>
        <v>N/A</v>
      </c>
      <c r="B175" s="273" t="str">
        <f aca="false">IF(A175="N/A"," ",YEAR(A175))</f>
        <v> </v>
      </c>
      <c r="C175" s="274" t="str">
        <f aca="false">IF(A175="N/A"," ",VLOOKUP(A175,ScaledPrice,10))</f>
        <v> </v>
      </c>
      <c r="D175" s="275" t="str">
        <f aca="false">IF(A175="N/A"," ",(VLOOKUP(MONTH($A175),Inputs!$A$14:$B$25,2))/1000)</f>
        <v> </v>
      </c>
      <c r="E175" s="276" t="str">
        <f aca="false">IF($A175="N/A"," ",C175*D175)</f>
        <v> </v>
      </c>
      <c r="F175" s="277" t="str">
        <f aca="false">IF(A175="N/A"," ",Inputs!$F$6)</f>
        <v> </v>
      </c>
      <c r="G175" s="277" t="str">
        <f aca="false">IF(A175="N/A"," ",Inputs!$F$9/IF(AND('Pricing Inputs'!$AQ$3&gt;=4,'Pricing Inputs'!$AQ$3&lt;=6),16,IF(AND('Pricing Inputs'!$AQ$3&gt;=7,'Pricing Inputs'!$AQ$3&lt;=9),8,24))/(BA175/BW175))</f>
        <v> </v>
      </c>
      <c r="H175" s="278" t="str">
        <f aca="false">IF(A175="N/A"," ",(C175*D175)+F175+G175)</f>
        <v> </v>
      </c>
      <c r="I175" s="279" t="str">
        <f aca="false">VLOOKUP(A175,ScaledPrice,(IF(AND('Pricing Inputs'!$AQ$3&gt;=1,'Pricing Inputs'!$AQ$3&lt;=6),2,4)))</f>
        <v> </v>
      </c>
      <c r="J175" s="279" t="str">
        <f aca="false">IF(A175="N/A"," ",IF(AND('Pricing Inputs'!$AQ$3&gt;=1,'Pricing Inputs'!$AQ$3&lt;=6),I175,(VLOOKUP(A175,ScaledPrice,2))*(2-(VLOOKUP(A175,ScaledPrice,3)))))</f>
        <v> </v>
      </c>
      <c r="K175" s="279" t="str">
        <f aca="false">IF(A175="N/A"," ",IF(OR('Pricing Inputs'!$AQ$3=2,'Pricing Inputs'!$AQ$3=3,'Pricing Inputs'!$AQ$3=5,'Pricing Inputs'!$AQ$3=6,'Pricing Inputs'!$AQ$3=8,'Pricing Inputs'!$AQ$3=9),VLOOKUP(A175,ScaledPrice,IF(AND('Pricing Inputs'!$AQ$3&gt;=2,'Pricing Inputs'!$AQ$3&lt;=6),5,6)),0))</f>
        <v> </v>
      </c>
      <c r="L175" s="279" t="str">
        <f aca="false">IF(A175="N/A"," ",IF(OR('Pricing Inputs'!$AQ$3=2,'Pricing Inputs'!$AQ$3=3,'Pricing Inputs'!$AQ$3=5,'Pricing Inputs'!$AQ$3=6,'Pricing Inputs'!$AQ$3=8,'Pricing Inputs'!$AQ$3=9),IF(AND('Pricing Inputs'!$AQ$3&gt;=2,'Pricing Inputs'!$AQ$3&lt;=6),K175,(VLOOKUP(A175,ScaledPrice,5))*(2-(VLOOKUP(A175,ScaledPrice,3)))),0))</f>
        <v> </v>
      </c>
      <c r="M175" s="279" t="str">
        <f aca="false">IF(A175="N/A"," ",IF(OR('Pricing Inputs'!$AQ$3=3,'Pricing Inputs'!$AQ$3=6,'Pricing Inputs'!$AQ$3=9),(VLOOKUP(A175,ScaledPrice,IF(AND('Pricing Inputs'!$AQ$3&gt;=3,'Pricing Inputs'!$AQ$3&lt;=6),7,8))),0))</f>
        <v> </v>
      </c>
      <c r="N175" s="279" t="str">
        <f aca="false">IF(A175="N/A"," ",IF(OR('Pricing Inputs'!$AQ$3=3,'Pricing Inputs'!$AQ$3=6,'Pricing Inputs'!$AQ$3=9),IF(AND('Pricing Inputs'!$AQ$3&gt;=3,'Pricing Inputs'!$AQ$3&lt;=6),M175,(VLOOKUP(A175,ScaledPrice,7))*(2-(VLOOKUP(A175,ScaledPrice,3)))),0))</f>
        <v> </v>
      </c>
      <c r="O175" s="279" t="str">
        <f aca="false">IF(A175="N/A"," ",IF(AND('Pricing Inputs'!$AQ$3&gt;=1,'Pricing Inputs'!$AQ$3&lt;=3),VLOOKUP(A175,ScaledPrice,9),0))</f>
        <v> </v>
      </c>
      <c r="P175" s="280" t="str">
        <f aca="false">IF($A175="N/A"," ",IF('Pricing Inputs'!$AN$8=2,(I175-H175),IF('Pricing Inputs'!$AN$3=2,IF((I175-$H175)&gt;0,I175-$H175,0),(xSPRDOPT(I175,$E175,$BU175,0,$BP175,$BS175,$BT175,($A175-Inputs!$D$1)+15,1,0)))))</f>
        <v> </v>
      </c>
      <c r="Q175" s="280" t="str">
        <f aca="false">IF($A175="N/A"," ",IF('Pricing Inputs'!$AN$8=2,(J175-$H175),IF('Pricing Inputs'!$AN$3=2,IF((J175-$H175)&gt;0,J175-$H175,0),(xSPRDOPT(J175,$E175,$BU175,0,$BP175,$BS175,$BT175,($A175-Inputs!$D$1)+15,1,0)))))</f>
        <v> </v>
      </c>
      <c r="R175" s="280" t="str">
        <f aca="false">IF($A175="N/A"," ",IF('Pricing Inputs'!$AN$8=2,(K175-$H175),IF('Pricing Inputs'!$AN$3=2,IF((K175-$H175)&gt;0,K175-$H175,0),(xSPRDOPT(K175,$E175,$BU175,0,$BP175,$BS175,$BT175,($A175-Inputs!$D$1)+15,1,0)))))</f>
        <v> </v>
      </c>
      <c r="S175" s="280" t="str">
        <f aca="false">IF($A175="N/A"," ",IF('Pricing Inputs'!$AN$8=2,(L175-$H175),IF('Pricing Inputs'!$AN$3=2,IF((L175-$H175)&gt;0,L175-$H175,0),(xSPRDOPT(L175,$E175,$BU175,0,$BP175,$BS175,$BT175,($A175-Inputs!$D$1)+15,1,0)))))</f>
        <v> </v>
      </c>
      <c r="T175" s="280" t="str">
        <f aca="false">IF($A175="N/A"," ",IF('Pricing Inputs'!$AN$8=2,(M175-$H175),IF('Pricing Inputs'!$AN$3=2,IF((M175-$H175)&gt;0,M175-$H175,0),(xSPRDOPT(M175,$E175,$BU175,0,$BP175,$BS175,$BT175,($A175-Inputs!$D$1)+15,1,0)))))</f>
        <v> </v>
      </c>
      <c r="U175" s="280" t="str">
        <f aca="false">IF($A175="N/A"," ",IF('Pricing Inputs'!$AN$8=2,(N175-$H175),IF('Pricing Inputs'!$AN$3=2,IF((N175-$H175)&gt;0,N175-$H175,0),(xSPRDOPT(N175,$E175,$BU175,0,$BP175,$BS175,$BT175,($A175-Inputs!$D$1)+15,1,0)))))</f>
        <v> </v>
      </c>
      <c r="V175" s="281" t="str">
        <f aca="false">IF($A175="N/A"," ",(IF('Pricing Inputs'!$AN$8=2,(O175-$H175),IF((O175-$H175)&lt;=0,0,(O175-$H175)))))</f>
        <v> </v>
      </c>
      <c r="W175" s="282" t="str">
        <f aca="false">IF($A175="N/A"," ",IF(0&lt;&gt;P175,IF('Pricing Inputs'!$AN$3=2,8*VLOOKUP($A175,NumberofDaysTable,2),(xSPRDOPT(I175,$E175,$BU175,0,$BP175,$BS175,$BT175,$A175-Inputs!$D$1,1,1))*(8*VLOOKUP($A175,NumberofDaysTable,2))),0))</f>
        <v> </v>
      </c>
      <c r="X175" s="282" t="str">
        <f aca="false">IF($A175="N/A"," ",IF(Q175&lt;&gt;0,IF('Pricing Inputs'!$AN$3=2,8*VLOOKUP($A175,NumberofDaysTable,2),(xSPRDOPT(J175,$E175,$BU175,0,$BP175,$BS175,$BT175,$A175-Inputs!$D$1,1,1))*(8*VLOOKUP($A175,NumberofDaysTable,2))),0))</f>
        <v> </v>
      </c>
      <c r="Y175" s="282" t="str">
        <f aca="false">IF($A175="N/A"," ",IF(R175&lt;&gt;0,IF('Pricing Inputs'!$AN$3=2,8*VLOOKUP($A175,NumberofDaysTable,3),(xSPRDOPT(K175,$E175,$BU175,0,$BP175,$BS175,$BT175,$A175-Inputs!$D$1,1,1))*(8*VLOOKUP($A175,NumberofDaysTable,3))),0))</f>
        <v> </v>
      </c>
      <c r="Z175" s="282" t="str">
        <f aca="false">IF($A175="N/A"," ",IF(S175&lt;&gt;0,IF('Pricing Inputs'!$AN$3=2,8*VLOOKUP($A175,NumberofDaysTable,3),(xSPRDOPT(L175,$E175,$BU175,0,$BP175,$BS175,$BT175,$A175-Inputs!$D$1,1,1))*(8*VLOOKUP($A175,NumberofDaysTable,3))),0))</f>
        <v> </v>
      </c>
      <c r="AA175" s="282" t="str">
        <f aca="false">IF($A175="N/A"," ",IF(T175&lt;&gt;0,IF('Pricing Inputs'!$AN$3=2,8*VLOOKUP($A175,NumberofDaysTable,4),(xSPRDOPT(M175,$E175,$BU175,0,$BP175,$BS175,$BT175,$A175-Inputs!$D$1,1,1))*(8*VLOOKUP($A175,NumberofDaysTable,4))),0))</f>
        <v> </v>
      </c>
      <c r="AB175" s="282" t="str">
        <f aca="false">IF($A175="N/A"," ",IF(U175&lt;&gt;0,IF('Pricing Inputs'!$AN$3=2,8*VLOOKUP($A175,NumberofDaysTable,4),(xSPRDOPT(N175,$E175,$BU175,0,$BP175,$BS175,$BT175,$A175-Inputs!$D$1,1,1))*(8*VLOOKUP($A175,NumberofDaysTable,4))),0))</f>
        <v> </v>
      </c>
      <c r="AC175" s="282" t="str">
        <f aca="false">IF($A175="N/A"," ",(IF(V175&lt;&gt;0,(8*VLOOKUP($A175,NumberofDaysTable,6)),0)))</f>
        <v> </v>
      </c>
      <c r="AD175" s="298" t="str">
        <f aca="false">IF($A175="N/A"," ",RANK(P175,$P$172:$V$183))</f>
        <v> </v>
      </c>
      <c r="AE175" s="299" t="str">
        <f aca="false">IF($A175="N/A"," ",RANK(Q175,$P$172:$V$183))</f>
        <v> </v>
      </c>
      <c r="AF175" s="299" t="str">
        <f aca="false">IF($A175="N/A"," ",RANK(R175,$P$172:$V$183))</f>
        <v> </v>
      </c>
      <c r="AG175" s="299" t="str">
        <f aca="false">IF($A175="N/A"," ",RANK(S175,$P$172:$V$183))</f>
        <v> </v>
      </c>
      <c r="AH175" s="299" t="str">
        <f aca="false">IF($A175="N/A"," ",RANK(T175,$P$172:$V$183))</f>
        <v> </v>
      </c>
      <c r="AI175" s="299" t="str">
        <f aca="false">IF($A175="N/A"," ",RANK(U175,$P$172:$V$183))</f>
        <v> </v>
      </c>
      <c r="AJ175" s="300" t="str">
        <f aca="false">IF($A175="N/A"," ",RANK(V175,$P$172:$V$183))</f>
        <v> </v>
      </c>
      <c r="AK175" s="286" t="str">
        <f aca="false">IF($A175="N/A"," ",IF(AD175&lt;=$AJ$2,W175,0))</f>
        <v> </v>
      </c>
      <c r="AL175" s="301" t="str">
        <f aca="false">IF($A175="N/A"," ",IF(AE175&lt;=$AJ$2,X175,0))</f>
        <v> </v>
      </c>
      <c r="AM175" s="301" t="str">
        <f aca="false">IF($A175="N/A"," ",IF(AF175&lt;=$AJ$2,Y175,0))</f>
        <v> </v>
      </c>
      <c r="AN175" s="301" t="str">
        <f aca="false">IF($A175="N/A"," ",IF(AG175&lt;=$AJ$2,Z175,0))</f>
        <v> </v>
      </c>
      <c r="AO175" s="301" t="str">
        <f aca="false">IF($A175="N/A"," ",IF(AH175&lt;=$AJ$2,AA175,0))</f>
        <v> </v>
      </c>
      <c r="AP175" s="301" t="str">
        <f aca="false">IF($A175="N/A"," ",IF(AI175&lt;=$AJ$2,AB175,0))</f>
        <v> </v>
      </c>
      <c r="AQ175" s="301" t="str">
        <f aca="false">IF($A175="N/A"," ",IF(AJ175&lt;=$AJ$2,AC175,0))</f>
        <v> </v>
      </c>
      <c r="AR175" s="300"/>
      <c r="AS175" s="288" t="str">
        <f aca="false">IF($A175="N/A"," ",IF(AND(AD175=$AJ$2+1,AK175=0),MIN($AR$183,W175),0))</f>
        <v> </v>
      </c>
      <c r="AT175" s="302" t="str">
        <f aca="false">IF($A175="N/A"," ",IF(AND(AE175=$AJ$2+1,AL175=0),MIN($AR$183,X175),0))</f>
        <v> </v>
      </c>
      <c r="AU175" s="302" t="str">
        <f aca="false">IF($A175="N/A"," ",IF(AND(AF175=$AJ$2+1,AM175=0),MIN($AR$183,Y175),0))</f>
        <v> </v>
      </c>
      <c r="AV175" s="302" t="str">
        <f aca="false">IF($A175="N/A"," ",IF(AND(AG175=$AJ$2+1,AN175=0),MIN($AR$183,Z175),0))</f>
        <v> </v>
      </c>
      <c r="AW175" s="302" t="str">
        <f aca="false">IF($A175="N/A"," ",IF(AND(AH175=$AJ$2+1,AO175=0),MIN($AR$183,AA175),0))</f>
        <v> </v>
      </c>
      <c r="AX175" s="302" t="str">
        <f aca="false">IF($A175="N/A"," ",IF(AND(AI175=$AJ$2+1,AP175=0),MIN($AR$183,AB175),0))</f>
        <v> </v>
      </c>
      <c r="AY175" s="302" t="str">
        <f aca="false">IF($A175="N/A"," ",IF(AND(AJ175=$AJ$2+1,AQ175=0),MIN($AR$183,AC175),0))</f>
        <v> </v>
      </c>
      <c r="AZ175" s="300"/>
      <c r="BA175" s="291" t="str">
        <f aca="false">IF($A175="N/A"," ",(IF(MONTH(A175)&gt;=4,IF(MONTH(A175)&lt;=10,Inputs!$F$13,Inputs!$F$14),Inputs!$F$14))*$BW175)</f>
        <v> </v>
      </c>
      <c r="BB175" s="292" t="str">
        <f aca="false">IF($A175="N/A"," ",(IF(AK175&gt;0,($BA175*(8*(VLOOKUP($A175,NumberofDaysTable,2)))*P175),0)+IF(AS175&gt;0,($BA175*((AS175))*P175),0)))</f>
        <v> </v>
      </c>
      <c r="BC175" s="292" t="str">
        <f aca="false">IF($A175="N/A"," ",(IF(AL175&gt;0,($BA175*(8*(VLOOKUP($A175,NumberofDaysTable,2)))*Q175),0)+IF(AT175&gt;0,($BA175*((AT175))*Q175),0)))</f>
        <v> </v>
      </c>
      <c r="BD175" s="292" t="str">
        <f aca="false">IF($A175="N/A"," ",(IF(AM175&gt;0,($BA175*(8*(VLOOKUP($A175,NumberofDaysTable,3)))*R175),0)+IF(AU175&gt;0,($BA175*((AU175))*R175),0)))</f>
        <v> </v>
      </c>
      <c r="BE175" s="292" t="str">
        <f aca="false">IF($A175="N/A"," ",(IF(AN175&gt;0,($BA175*(8*(VLOOKUP($A175,NumberofDaysTable,3)))*S175),0)+IF(AV175&gt;0,($BA175*((AV175))*S175),0)))</f>
        <v> </v>
      </c>
      <c r="BF175" s="292" t="str">
        <f aca="false">IF($A175="N/A"," ",(IF(AO175&gt;0,($BA175*(8*(VLOOKUP($A175,NumberofDaysTable,4)+VLOOKUP($A175,NumberofDaysTable,5)))*T175),0)+IF(AW175&gt;0,($BA175*((AW175))*T175),0)))</f>
        <v> </v>
      </c>
      <c r="BG175" s="292" t="str">
        <f aca="false">IF($A175="N/A"," ",(IF(AP175&gt;0,($BA175*(8*(VLOOKUP($A175,NumberofDaysTable,4)+VLOOKUP($A175,NumberofDaysTable,5)))*U175),0)+IF(AX175&gt;0,($BA175*((AX175))*U175),0)))</f>
        <v> </v>
      </c>
      <c r="BH175" s="292" t="str">
        <f aca="false">IF($A175="N/A"," ",($BA175*AQ175*V175))</f>
        <v> </v>
      </c>
      <c r="BI175" s="292" t="str">
        <f aca="false">IF($A175="N/A"," ",SUM(BB175:BH175))</f>
        <v> </v>
      </c>
      <c r="BJ175" s="293" t="str">
        <f aca="false">IF($A175="N/A"," ",(H175*(SUM(AK175:AQ175)+SUM(AS175:AY175))*BA175))</f>
        <v> </v>
      </c>
      <c r="BK175" s="293" t="str">
        <f aca="false">IF($A175="N/A"," ",((C175*D175)*(SUM($AK175:$AQ175)+SUM($AS175:$AY175))*$BA175))</f>
        <v> </v>
      </c>
      <c r="BL175" s="293" t="str">
        <f aca="false">IF($A175="N/A"," ",(F175*(SUM($AK175:$AQ175)+SUM($AS175:$AY175))*$BA175))</f>
        <v> </v>
      </c>
      <c r="BM175" s="293" t="str">
        <f aca="false">IF($A175="N/A"," ",(G175*(SUM($AK175:$AQ175)+SUM($AS175:$AY175))*$BA175))</f>
        <v> </v>
      </c>
      <c r="BN175" s="294" t="str">
        <f aca="false">IF(A175="N/A"," ",(VLOOKUP(A175,PowerVolTable,(IF('Pricing Inputs'!$AT$3=2,7,IF('Pricing Inputs'!$AT$3=1,6,8))),FALSE())))</f>
        <v> </v>
      </c>
      <c r="BO175" s="294" t="str">
        <f aca="false">IF(A175="N/A"," ",(VLOOKUP(A175,IntraPowerVol,(IF('Pricing Inputs'!$AT$3=2,3,IF('Pricing Inputs'!$AT$3=1,2,4))),FALSE())*VLOOKUP(MONTH($A175),Inputs!$A$28:$B$39,2)))</f>
        <v> </v>
      </c>
      <c r="BP175" s="295" t="str">
        <f aca="false">IF($A175="N/A"," ",(IF(DateToday&gt;$A175,$BO175,((($BN175^2)*((($A175-1)-DateToday)/((EOMONTH($A175,0)+1)-DateToday-15)))+((($BO175)^2)*((15)/((EOMONTH($A175,0)+1)-DateToday-15))))^0.5)))</f>
        <v> </v>
      </c>
      <c r="BQ175" s="294" t="str">
        <f aca="false">IF($A175="N/A"," ",(VLOOKUP($A175,GasVolTable,(IF('Pricing Inputs'!$AT$3=2,6,IF('Pricing Inputs'!$AT$3=1,7,5))),FALSE())))</f>
        <v> </v>
      </c>
      <c r="BR175" s="294" t="str">
        <f aca="false">IF($A175="N/A"," ",(VLOOKUP($A175,OmicronVol,(IF('Pricing Inputs'!$AT$3=2,3,IF('Pricing Inputs'!$AT$3=1,4,2))),FALSE())))</f>
        <v> </v>
      </c>
      <c r="BS175" s="295" t="str">
        <f aca="false">IF($A175="N/A"," ",IF('Pricing Inputs'!$AN$3=1,(IF(DateToday&gt;$A175,$BR175,((($BQ175^2)*((($A175-1)-DateToday)/((EOMONTH($A175,0)+1)-DateToday-15)))+((($BR175)^2)*((15)/((EOMONTH($A175,0)+1)-DateToday-15))))^0.5)),0.0001))</f>
        <v> </v>
      </c>
      <c r="BT175" s="294" t="str">
        <f aca="false">IF($A175="N/A"," ",IF('Pricing Inputs'!$AN$3=1,(VLOOKUP($A175,CorrelationTable,2,FALSE())),0))</f>
        <v> </v>
      </c>
      <c r="BU175" s="296" t="str">
        <f aca="false">IF($A175="N/A"," ",F175+G175+(D175*(VLOOKUP($A175,'Gas Curves'!$B$17:$P$310,14,FALSE()))))</f>
        <v> </v>
      </c>
      <c r="BV175" s="294" t="str">
        <f aca="false">IF($A175="N/A"," ",IF('Pricing Inputs'!$AW$3=1,0,(VLOOKUP($A175,InterestRatesTable,2))))</f>
        <v> </v>
      </c>
      <c r="BW175" s="297" t="str">
        <f aca="false">IF($A175="N/A"," ",(1+BV175/2)^(-2*((EOMONTH(A175,0)+20)-DateToday)/365.25))</f>
        <v> </v>
      </c>
    </row>
    <row r="176" customFormat="false" ht="12.75" hidden="false" customHeight="false" outlineLevel="0" collapsed="false">
      <c r="A176" s="272" t="str">
        <f aca="false">IF(A175="N/A","N/A",IF(EDATE(A175,1)&gt;Inputs!$K$3,"N/A",EDATE(A175,1)))</f>
        <v>N/A</v>
      </c>
      <c r="B176" s="273" t="str">
        <f aca="false">IF(A176="N/A"," ",YEAR(A176))</f>
        <v> </v>
      </c>
      <c r="C176" s="274" t="str">
        <f aca="false">IF(A176="N/A"," ",VLOOKUP(A176,ScaledPrice,10))</f>
        <v> </v>
      </c>
      <c r="D176" s="275" t="str">
        <f aca="false">IF(A176="N/A"," ",(VLOOKUP(MONTH($A176),Inputs!$A$14:$B$25,2))/1000)</f>
        <v> </v>
      </c>
      <c r="E176" s="276" t="str">
        <f aca="false">IF($A176="N/A"," ",C176*D176)</f>
        <v> </v>
      </c>
      <c r="F176" s="277" t="str">
        <f aca="false">IF(A176="N/A"," ",Inputs!$F$6)</f>
        <v> </v>
      </c>
      <c r="G176" s="277" t="str">
        <f aca="false">IF(A176="N/A"," ",Inputs!$F$9/IF(AND('Pricing Inputs'!$AQ$3&gt;=4,'Pricing Inputs'!$AQ$3&lt;=6),16,IF(AND('Pricing Inputs'!$AQ$3&gt;=7,'Pricing Inputs'!$AQ$3&lt;=9),8,24))/(BA176/BW176))</f>
        <v> </v>
      </c>
      <c r="H176" s="278" t="str">
        <f aca="false">IF(A176="N/A"," ",(C176*D176)+F176+G176)</f>
        <v> </v>
      </c>
      <c r="I176" s="279" t="str">
        <f aca="false">VLOOKUP(A176,ScaledPrice,(IF(AND('Pricing Inputs'!$AQ$3&gt;=1,'Pricing Inputs'!$AQ$3&lt;=6),2,4)))</f>
        <v> </v>
      </c>
      <c r="J176" s="279" t="str">
        <f aca="false">IF(A176="N/A"," ",IF(AND('Pricing Inputs'!$AQ$3&gt;=1,'Pricing Inputs'!$AQ$3&lt;=6),I176,(VLOOKUP(A176,ScaledPrice,2))*(2-(VLOOKUP(A176,ScaledPrice,3)))))</f>
        <v> </v>
      </c>
      <c r="K176" s="279" t="str">
        <f aca="false">IF(A176="N/A"," ",IF(OR('Pricing Inputs'!$AQ$3=2,'Pricing Inputs'!$AQ$3=3,'Pricing Inputs'!$AQ$3=5,'Pricing Inputs'!$AQ$3=6,'Pricing Inputs'!$AQ$3=8,'Pricing Inputs'!$AQ$3=9),VLOOKUP(A176,ScaledPrice,IF(AND('Pricing Inputs'!$AQ$3&gt;=2,'Pricing Inputs'!$AQ$3&lt;=6),5,6)),0))</f>
        <v> </v>
      </c>
      <c r="L176" s="279" t="str">
        <f aca="false">IF(A176="N/A"," ",IF(OR('Pricing Inputs'!$AQ$3=2,'Pricing Inputs'!$AQ$3=3,'Pricing Inputs'!$AQ$3=5,'Pricing Inputs'!$AQ$3=6,'Pricing Inputs'!$AQ$3=8,'Pricing Inputs'!$AQ$3=9),IF(AND('Pricing Inputs'!$AQ$3&gt;=2,'Pricing Inputs'!$AQ$3&lt;=6),K176,(VLOOKUP(A176,ScaledPrice,5))*(2-(VLOOKUP(A176,ScaledPrice,3)))),0))</f>
        <v> </v>
      </c>
      <c r="M176" s="279" t="str">
        <f aca="false">IF(A176="N/A"," ",IF(OR('Pricing Inputs'!$AQ$3=3,'Pricing Inputs'!$AQ$3=6,'Pricing Inputs'!$AQ$3=9),(VLOOKUP(A176,ScaledPrice,IF(AND('Pricing Inputs'!$AQ$3&gt;=3,'Pricing Inputs'!$AQ$3&lt;=6),7,8))),0))</f>
        <v> </v>
      </c>
      <c r="N176" s="279" t="str">
        <f aca="false">IF(A176="N/A"," ",IF(OR('Pricing Inputs'!$AQ$3=3,'Pricing Inputs'!$AQ$3=6,'Pricing Inputs'!$AQ$3=9),IF(AND('Pricing Inputs'!$AQ$3&gt;=3,'Pricing Inputs'!$AQ$3&lt;=6),M176,(VLOOKUP(A176,ScaledPrice,7))*(2-(VLOOKUP(A176,ScaledPrice,3)))),0))</f>
        <v> </v>
      </c>
      <c r="O176" s="279" t="str">
        <f aca="false">IF(A176="N/A"," ",IF(AND('Pricing Inputs'!$AQ$3&gt;=1,'Pricing Inputs'!$AQ$3&lt;=3),VLOOKUP(A176,ScaledPrice,9),0))</f>
        <v> </v>
      </c>
      <c r="P176" s="280" t="str">
        <f aca="false">IF($A176="N/A"," ",IF('Pricing Inputs'!$AN$8=2,(I176-H176),IF('Pricing Inputs'!$AN$3=2,IF((I176-$H176)&gt;0,I176-$H176,0),(xSPRDOPT(I176,$E176,$BU176,0,$BP176,$BS176,$BT176,($A176-Inputs!$D$1)+15,1,0)))))</f>
        <v> </v>
      </c>
      <c r="Q176" s="280" t="str">
        <f aca="false">IF($A176="N/A"," ",IF('Pricing Inputs'!$AN$8=2,(J176-$H176),IF('Pricing Inputs'!$AN$3=2,IF((J176-$H176)&gt;0,J176-$H176,0),(xSPRDOPT(J176,$E176,$BU176,0,$BP176,$BS176,$BT176,($A176-Inputs!$D$1)+15,1,0)))))</f>
        <v> </v>
      </c>
      <c r="R176" s="280" t="str">
        <f aca="false">IF($A176="N/A"," ",IF('Pricing Inputs'!$AN$8=2,(K176-$H176),IF('Pricing Inputs'!$AN$3=2,IF((K176-$H176)&gt;0,K176-$H176,0),(xSPRDOPT(K176,$E176,$BU176,0,$BP176,$BS176,$BT176,($A176-Inputs!$D$1)+15,1,0)))))</f>
        <v> </v>
      </c>
      <c r="S176" s="280" t="str">
        <f aca="false">IF($A176="N/A"," ",IF('Pricing Inputs'!$AN$8=2,(L176-$H176),IF('Pricing Inputs'!$AN$3=2,IF((L176-$H176)&gt;0,L176-$H176,0),(xSPRDOPT(L176,$E176,$BU176,0,$BP176,$BS176,$BT176,($A176-Inputs!$D$1)+15,1,0)))))</f>
        <v> </v>
      </c>
      <c r="T176" s="280" t="str">
        <f aca="false">IF($A176="N/A"," ",IF('Pricing Inputs'!$AN$8=2,(M176-$H176),IF('Pricing Inputs'!$AN$3=2,IF((M176-$H176)&gt;0,M176-$H176,0),(xSPRDOPT(M176,$E176,$BU176,0,$BP176,$BS176,$BT176,($A176-Inputs!$D$1)+15,1,0)))))</f>
        <v> </v>
      </c>
      <c r="U176" s="280" t="str">
        <f aca="false">IF($A176="N/A"," ",IF('Pricing Inputs'!$AN$8=2,(N176-$H176),IF('Pricing Inputs'!$AN$3=2,IF((N176-$H176)&gt;0,N176-$H176,0),(xSPRDOPT(N176,$E176,$BU176,0,$BP176,$BS176,$BT176,($A176-Inputs!$D$1)+15,1,0)))))</f>
        <v> </v>
      </c>
      <c r="V176" s="281" t="str">
        <f aca="false">IF($A176="N/A"," ",(IF('Pricing Inputs'!$AN$8=2,(O176-$H176),IF((O176-$H176)&lt;=0,0,(O176-$H176)))))</f>
        <v> </v>
      </c>
      <c r="W176" s="282" t="str">
        <f aca="false">IF($A176="N/A"," ",IF(0&lt;&gt;P176,IF('Pricing Inputs'!$AN$3=2,8*VLOOKUP($A176,NumberofDaysTable,2),(xSPRDOPT(I176,$E176,$BU176,0,$BP176,$BS176,$BT176,$A176-Inputs!$D$1,1,1))*(8*VLOOKUP($A176,NumberofDaysTable,2))),0))</f>
        <v> </v>
      </c>
      <c r="X176" s="282" t="str">
        <f aca="false">IF($A176="N/A"," ",IF(Q176&lt;&gt;0,IF('Pricing Inputs'!$AN$3=2,8*VLOOKUP($A176,NumberofDaysTable,2),(xSPRDOPT(J176,$E176,$BU176,0,$BP176,$BS176,$BT176,$A176-Inputs!$D$1,1,1))*(8*VLOOKUP($A176,NumberofDaysTable,2))),0))</f>
        <v> </v>
      </c>
      <c r="Y176" s="282" t="str">
        <f aca="false">IF($A176="N/A"," ",IF(R176&lt;&gt;0,IF('Pricing Inputs'!$AN$3=2,8*VLOOKUP($A176,NumberofDaysTable,3),(xSPRDOPT(K176,$E176,$BU176,0,$BP176,$BS176,$BT176,$A176-Inputs!$D$1,1,1))*(8*VLOOKUP($A176,NumberofDaysTable,3))),0))</f>
        <v> </v>
      </c>
      <c r="Z176" s="282" t="str">
        <f aca="false">IF($A176="N/A"," ",IF(S176&lt;&gt;0,IF('Pricing Inputs'!$AN$3=2,8*VLOOKUP($A176,NumberofDaysTable,3),(xSPRDOPT(L176,$E176,$BU176,0,$BP176,$BS176,$BT176,$A176-Inputs!$D$1,1,1))*(8*VLOOKUP($A176,NumberofDaysTable,3))),0))</f>
        <v> </v>
      </c>
      <c r="AA176" s="282" t="str">
        <f aca="false">IF($A176="N/A"," ",IF(T176&lt;&gt;0,IF('Pricing Inputs'!$AN$3=2,8*VLOOKUP($A176,NumberofDaysTable,4),(xSPRDOPT(M176,$E176,$BU176,0,$BP176,$BS176,$BT176,$A176-Inputs!$D$1,1,1))*(8*VLOOKUP($A176,NumberofDaysTable,4))),0))</f>
        <v> </v>
      </c>
      <c r="AB176" s="282" t="str">
        <f aca="false">IF($A176="N/A"," ",IF(U176&lt;&gt;0,IF('Pricing Inputs'!$AN$3=2,8*VLOOKUP($A176,NumberofDaysTable,4),(xSPRDOPT(N176,$E176,$BU176,0,$BP176,$BS176,$BT176,$A176-Inputs!$D$1,1,1))*(8*VLOOKUP($A176,NumberofDaysTable,4))),0))</f>
        <v> </v>
      </c>
      <c r="AC176" s="282" t="str">
        <f aca="false">IF($A176="N/A"," ",(IF(V176&lt;&gt;0,(8*VLOOKUP($A176,NumberofDaysTable,6)),0)))</f>
        <v> </v>
      </c>
      <c r="AD176" s="298" t="str">
        <f aca="false">IF($A176="N/A"," ",RANK(P176,$P$172:$V$183))</f>
        <v> </v>
      </c>
      <c r="AE176" s="299" t="str">
        <f aca="false">IF($A176="N/A"," ",RANK(Q176,$P$172:$V$183))</f>
        <v> </v>
      </c>
      <c r="AF176" s="299" t="str">
        <f aca="false">IF($A176="N/A"," ",RANK(R176,$P$172:$V$183))</f>
        <v> </v>
      </c>
      <c r="AG176" s="299" t="str">
        <f aca="false">IF($A176="N/A"," ",RANK(S176,$P$172:$V$183))</f>
        <v> </v>
      </c>
      <c r="AH176" s="299" t="str">
        <f aca="false">IF($A176="N/A"," ",RANK(T176,$P$172:$V$183))</f>
        <v> </v>
      </c>
      <c r="AI176" s="299" t="str">
        <f aca="false">IF($A176="N/A"," ",RANK(U176,$P$172:$V$183))</f>
        <v> </v>
      </c>
      <c r="AJ176" s="300" t="str">
        <f aca="false">IF($A176="N/A"," ",RANK(V176,$P$172:$V$183))</f>
        <v> </v>
      </c>
      <c r="AK176" s="286" t="str">
        <f aca="false">IF($A176="N/A"," ",IF(AD176&lt;=$AJ$2,W176,0))</f>
        <v> </v>
      </c>
      <c r="AL176" s="301" t="str">
        <f aca="false">IF($A176="N/A"," ",IF(AE176&lt;=$AJ$2,X176,0))</f>
        <v> </v>
      </c>
      <c r="AM176" s="301" t="str">
        <f aca="false">IF($A176="N/A"," ",IF(AF176&lt;=$AJ$2,Y176,0))</f>
        <v> </v>
      </c>
      <c r="AN176" s="301" t="str">
        <f aca="false">IF($A176="N/A"," ",IF(AG176&lt;=$AJ$2,Z176,0))</f>
        <v> </v>
      </c>
      <c r="AO176" s="301" t="str">
        <f aca="false">IF($A176="N/A"," ",IF(AH176&lt;=$AJ$2,AA176,0))</f>
        <v> </v>
      </c>
      <c r="AP176" s="301" t="str">
        <f aca="false">IF($A176="N/A"," ",IF(AI176&lt;=$AJ$2,AB176,0))</f>
        <v> </v>
      </c>
      <c r="AQ176" s="301" t="str">
        <f aca="false">IF($A176="N/A"," ",IF(AJ176&lt;=$AJ$2,AC176,0))</f>
        <v> </v>
      </c>
      <c r="AR176" s="300"/>
      <c r="AS176" s="288" t="str">
        <f aca="false">IF($A176="N/A"," ",IF(AND(AD176=$AJ$2+1,AK176=0),MIN($AR$183,W176),0))</f>
        <v> </v>
      </c>
      <c r="AT176" s="302" t="str">
        <f aca="false">IF($A176="N/A"," ",IF(AND(AE176=$AJ$2+1,AL176=0),MIN($AR$183,X176),0))</f>
        <v> </v>
      </c>
      <c r="AU176" s="302" t="str">
        <f aca="false">IF($A176="N/A"," ",IF(AND(AF176=$AJ$2+1,AM176=0),MIN($AR$183,Y176),0))</f>
        <v> </v>
      </c>
      <c r="AV176" s="302" t="str">
        <f aca="false">IF($A176="N/A"," ",IF(AND(AG176=$AJ$2+1,AN176=0),MIN($AR$183,Z176),0))</f>
        <v> </v>
      </c>
      <c r="AW176" s="302" t="str">
        <f aca="false">IF($A176="N/A"," ",IF(AND(AH176=$AJ$2+1,AO176=0),MIN($AR$183,AA176),0))</f>
        <v> </v>
      </c>
      <c r="AX176" s="302" t="str">
        <f aca="false">IF($A176="N/A"," ",IF(AND(AI176=$AJ$2+1,AP176=0),MIN($AR$183,AB176),0))</f>
        <v> </v>
      </c>
      <c r="AY176" s="302" t="str">
        <f aca="false">IF($A176="N/A"," ",IF(AND(AJ176=$AJ$2+1,AQ176=0),MIN($AR$183,AC176),0))</f>
        <v> </v>
      </c>
      <c r="AZ176" s="300"/>
      <c r="BA176" s="291" t="str">
        <f aca="false">IF($A176="N/A"," ",(IF(MONTH(A176)&gt;=4,IF(MONTH(A176)&lt;=10,Inputs!$F$13,Inputs!$F$14),Inputs!$F$14))*$BW176)</f>
        <v> </v>
      </c>
      <c r="BB176" s="292" t="str">
        <f aca="false">IF($A176="N/A"," ",(IF(AK176&gt;0,($BA176*(8*(VLOOKUP($A176,NumberofDaysTable,2)))*P176),0)+IF(AS176&gt;0,($BA176*((AS176))*P176),0)))</f>
        <v> </v>
      </c>
      <c r="BC176" s="292" t="str">
        <f aca="false">IF($A176="N/A"," ",(IF(AL176&gt;0,($BA176*(8*(VLOOKUP($A176,NumberofDaysTable,2)))*Q176),0)+IF(AT176&gt;0,($BA176*((AT176))*Q176),0)))</f>
        <v> </v>
      </c>
      <c r="BD176" s="292" t="str">
        <f aca="false">IF($A176="N/A"," ",(IF(AM176&gt;0,($BA176*(8*(VLOOKUP($A176,NumberofDaysTable,3)))*R176),0)+IF(AU176&gt;0,($BA176*((AU176))*R176),0)))</f>
        <v> </v>
      </c>
      <c r="BE176" s="292" t="str">
        <f aca="false">IF($A176="N/A"," ",(IF(AN176&gt;0,($BA176*(8*(VLOOKUP($A176,NumberofDaysTable,3)))*S176),0)+IF(AV176&gt;0,($BA176*((AV176))*S176),0)))</f>
        <v> </v>
      </c>
      <c r="BF176" s="292" t="str">
        <f aca="false">IF($A176="N/A"," ",(IF(AO176&gt;0,($BA176*(8*(VLOOKUP($A176,NumberofDaysTable,4)+VLOOKUP($A176,NumberofDaysTable,5)))*T176),0)+IF(AW176&gt;0,($BA176*((AW176))*T176),0)))</f>
        <v> </v>
      </c>
      <c r="BG176" s="292" t="str">
        <f aca="false">IF($A176="N/A"," ",(IF(AP176&gt;0,($BA176*(8*(VLOOKUP($A176,NumberofDaysTable,4)+VLOOKUP($A176,NumberofDaysTable,5)))*U176),0)+IF(AX176&gt;0,($BA176*((AX176))*U176),0)))</f>
        <v> </v>
      </c>
      <c r="BH176" s="292" t="str">
        <f aca="false">IF($A176="N/A"," ",($BA176*AQ176*V176))</f>
        <v> </v>
      </c>
      <c r="BI176" s="292" t="str">
        <f aca="false">IF($A176="N/A"," ",SUM(BB176:BH176))</f>
        <v> </v>
      </c>
      <c r="BJ176" s="293" t="str">
        <f aca="false">IF($A176="N/A"," ",(H176*(SUM(AK176:AQ176)+SUM(AS176:AY176))*BA176))</f>
        <v> </v>
      </c>
      <c r="BK176" s="293" t="str">
        <f aca="false">IF($A176="N/A"," ",((C176*D176)*(SUM($AK176:$AQ176)+SUM($AS176:$AY176))*$BA176))</f>
        <v> </v>
      </c>
      <c r="BL176" s="293" t="str">
        <f aca="false">IF($A176="N/A"," ",(F176*(SUM($AK176:$AQ176)+SUM($AS176:$AY176))*$BA176))</f>
        <v> </v>
      </c>
      <c r="BM176" s="293" t="str">
        <f aca="false">IF($A176="N/A"," ",(G176*(SUM($AK176:$AQ176)+SUM($AS176:$AY176))*$BA176))</f>
        <v> </v>
      </c>
      <c r="BN176" s="294" t="str">
        <f aca="false">IF(A176="N/A"," ",(VLOOKUP(A176,PowerVolTable,(IF('Pricing Inputs'!$AT$3=2,7,IF('Pricing Inputs'!$AT$3=1,6,8))),FALSE())))</f>
        <v> </v>
      </c>
      <c r="BO176" s="294" t="str">
        <f aca="false">IF(A176="N/A"," ",(VLOOKUP(A176,IntraPowerVol,(IF('Pricing Inputs'!$AT$3=2,3,IF('Pricing Inputs'!$AT$3=1,2,4))),FALSE())*VLOOKUP(MONTH($A176),Inputs!$A$28:$B$39,2)))</f>
        <v> </v>
      </c>
      <c r="BP176" s="295" t="str">
        <f aca="false">IF($A176="N/A"," ",(IF(DateToday&gt;$A176,$BO176,((($BN176^2)*((($A176-1)-DateToday)/((EOMONTH($A176,0)+1)-DateToday-15)))+((($BO176)^2)*((15)/((EOMONTH($A176,0)+1)-DateToday-15))))^0.5)))</f>
        <v> </v>
      </c>
      <c r="BQ176" s="294" t="str">
        <f aca="false">IF($A176="N/A"," ",(VLOOKUP($A176,GasVolTable,(IF('Pricing Inputs'!$AT$3=2,6,IF('Pricing Inputs'!$AT$3=1,7,5))),FALSE())))</f>
        <v> </v>
      </c>
      <c r="BR176" s="294" t="str">
        <f aca="false">IF($A176="N/A"," ",(VLOOKUP($A176,OmicronVol,(IF('Pricing Inputs'!$AT$3=2,3,IF('Pricing Inputs'!$AT$3=1,4,2))),FALSE())))</f>
        <v> </v>
      </c>
      <c r="BS176" s="295" t="str">
        <f aca="false">IF($A176="N/A"," ",IF('Pricing Inputs'!$AN$3=1,(IF(DateToday&gt;$A176,$BR176,((($BQ176^2)*((($A176-1)-DateToday)/((EOMONTH($A176,0)+1)-DateToday-15)))+((($BR176)^2)*((15)/((EOMONTH($A176,0)+1)-DateToday-15))))^0.5)),0.0001))</f>
        <v> </v>
      </c>
      <c r="BT176" s="294" t="str">
        <f aca="false">IF($A176="N/A"," ",IF('Pricing Inputs'!$AN$3=1,(VLOOKUP($A176,CorrelationTable,2,FALSE())),0))</f>
        <v> </v>
      </c>
      <c r="BU176" s="296" t="str">
        <f aca="false">IF($A176="N/A"," ",F176+G176+(D176*(VLOOKUP($A176,'Gas Curves'!$B$17:$P$310,14,FALSE()))))</f>
        <v> </v>
      </c>
      <c r="BV176" s="294" t="str">
        <f aca="false">IF($A176="N/A"," ",IF('Pricing Inputs'!$AW$3=1,0,(VLOOKUP($A176,InterestRatesTable,2))))</f>
        <v> </v>
      </c>
      <c r="BW176" s="297" t="str">
        <f aca="false">IF($A176="N/A"," ",(1+BV176/2)^(-2*((EOMONTH(A176,0)+20)-DateToday)/365.25))</f>
        <v> </v>
      </c>
    </row>
    <row r="177" customFormat="false" ht="12.75" hidden="false" customHeight="false" outlineLevel="0" collapsed="false">
      <c r="A177" s="272" t="str">
        <f aca="false">IF(A176="N/A","N/A",IF(EDATE(A176,1)&gt;Inputs!$K$3,"N/A",EDATE(A176,1)))</f>
        <v>N/A</v>
      </c>
      <c r="B177" s="273" t="str">
        <f aca="false">IF(A177="N/A"," ",YEAR(A177))</f>
        <v> </v>
      </c>
      <c r="C177" s="274" t="str">
        <f aca="false">IF(A177="N/A"," ",VLOOKUP(A177,ScaledPrice,10))</f>
        <v> </v>
      </c>
      <c r="D177" s="275" t="str">
        <f aca="false">IF(A177="N/A"," ",(VLOOKUP(MONTH($A177),Inputs!$A$14:$B$25,2))/1000)</f>
        <v> </v>
      </c>
      <c r="E177" s="276" t="str">
        <f aca="false">IF($A177="N/A"," ",C177*D177)</f>
        <v> </v>
      </c>
      <c r="F177" s="277" t="str">
        <f aca="false">IF(A177="N/A"," ",Inputs!$F$6)</f>
        <v> </v>
      </c>
      <c r="G177" s="277" t="str">
        <f aca="false">IF(A177="N/A"," ",Inputs!$F$9/IF(AND('Pricing Inputs'!$AQ$3&gt;=4,'Pricing Inputs'!$AQ$3&lt;=6),16,IF(AND('Pricing Inputs'!$AQ$3&gt;=7,'Pricing Inputs'!$AQ$3&lt;=9),8,24))/(BA177/BW177))</f>
        <v> </v>
      </c>
      <c r="H177" s="278" t="str">
        <f aca="false">IF(A177="N/A"," ",(C177*D177)+F177+G177)</f>
        <v> </v>
      </c>
      <c r="I177" s="279" t="str">
        <f aca="false">VLOOKUP(A177,ScaledPrice,(IF(AND('Pricing Inputs'!$AQ$3&gt;=1,'Pricing Inputs'!$AQ$3&lt;=6),2,4)))</f>
        <v> </v>
      </c>
      <c r="J177" s="279" t="str">
        <f aca="false">IF(A177="N/A"," ",IF(AND('Pricing Inputs'!$AQ$3&gt;=1,'Pricing Inputs'!$AQ$3&lt;=6),I177,(VLOOKUP(A177,ScaledPrice,2))*(2-(VLOOKUP(A177,ScaledPrice,3)))))</f>
        <v> </v>
      </c>
      <c r="K177" s="279" t="str">
        <f aca="false">IF(A177="N/A"," ",IF(OR('Pricing Inputs'!$AQ$3=2,'Pricing Inputs'!$AQ$3=3,'Pricing Inputs'!$AQ$3=5,'Pricing Inputs'!$AQ$3=6,'Pricing Inputs'!$AQ$3=8,'Pricing Inputs'!$AQ$3=9),VLOOKUP(A177,ScaledPrice,IF(AND('Pricing Inputs'!$AQ$3&gt;=2,'Pricing Inputs'!$AQ$3&lt;=6),5,6)),0))</f>
        <v> </v>
      </c>
      <c r="L177" s="279" t="str">
        <f aca="false">IF(A177="N/A"," ",IF(OR('Pricing Inputs'!$AQ$3=2,'Pricing Inputs'!$AQ$3=3,'Pricing Inputs'!$AQ$3=5,'Pricing Inputs'!$AQ$3=6,'Pricing Inputs'!$AQ$3=8,'Pricing Inputs'!$AQ$3=9),IF(AND('Pricing Inputs'!$AQ$3&gt;=2,'Pricing Inputs'!$AQ$3&lt;=6),K177,(VLOOKUP(A177,ScaledPrice,5))*(2-(VLOOKUP(A177,ScaledPrice,3)))),0))</f>
        <v> </v>
      </c>
      <c r="M177" s="279" t="str">
        <f aca="false">IF(A177="N/A"," ",IF(OR('Pricing Inputs'!$AQ$3=3,'Pricing Inputs'!$AQ$3=6,'Pricing Inputs'!$AQ$3=9),(VLOOKUP(A177,ScaledPrice,IF(AND('Pricing Inputs'!$AQ$3&gt;=3,'Pricing Inputs'!$AQ$3&lt;=6),7,8))),0))</f>
        <v> </v>
      </c>
      <c r="N177" s="279" t="str">
        <f aca="false">IF(A177="N/A"," ",IF(OR('Pricing Inputs'!$AQ$3=3,'Pricing Inputs'!$AQ$3=6,'Pricing Inputs'!$AQ$3=9),IF(AND('Pricing Inputs'!$AQ$3&gt;=3,'Pricing Inputs'!$AQ$3&lt;=6),M177,(VLOOKUP(A177,ScaledPrice,7))*(2-(VLOOKUP(A177,ScaledPrice,3)))),0))</f>
        <v> </v>
      </c>
      <c r="O177" s="279" t="str">
        <f aca="false">IF(A177="N/A"," ",IF(AND('Pricing Inputs'!$AQ$3&gt;=1,'Pricing Inputs'!$AQ$3&lt;=3),VLOOKUP(A177,ScaledPrice,9),0))</f>
        <v> </v>
      </c>
      <c r="P177" s="280" t="str">
        <f aca="false">IF($A177="N/A"," ",IF('Pricing Inputs'!$AN$8=2,(I177-H177),IF('Pricing Inputs'!$AN$3=2,IF((I177-$H177)&gt;0,I177-$H177,0),(xSPRDOPT(I177,$E177,$BU177,0,$BP177,$BS177,$BT177,($A177-Inputs!$D$1)+15,1,0)))))</f>
        <v> </v>
      </c>
      <c r="Q177" s="280" t="str">
        <f aca="false">IF($A177="N/A"," ",IF('Pricing Inputs'!$AN$8=2,(J177-$H177),IF('Pricing Inputs'!$AN$3=2,IF((J177-$H177)&gt;0,J177-$H177,0),(xSPRDOPT(J177,$E177,$BU177,0,$BP177,$BS177,$BT177,($A177-Inputs!$D$1)+15,1,0)))))</f>
        <v> </v>
      </c>
      <c r="R177" s="280" t="str">
        <f aca="false">IF($A177="N/A"," ",IF('Pricing Inputs'!$AN$8=2,(K177-$H177),IF('Pricing Inputs'!$AN$3=2,IF((K177-$H177)&gt;0,K177-$H177,0),(xSPRDOPT(K177,$E177,$BU177,0,$BP177,$BS177,$BT177,($A177-Inputs!$D$1)+15,1,0)))))</f>
        <v> </v>
      </c>
      <c r="S177" s="280" t="str">
        <f aca="false">IF($A177="N/A"," ",IF('Pricing Inputs'!$AN$8=2,(L177-$H177),IF('Pricing Inputs'!$AN$3=2,IF((L177-$H177)&gt;0,L177-$H177,0),(xSPRDOPT(L177,$E177,$BU177,0,$BP177,$BS177,$BT177,($A177-Inputs!$D$1)+15,1,0)))))</f>
        <v> </v>
      </c>
      <c r="T177" s="280" t="str">
        <f aca="false">IF($A177="N/A"," ",IF('Pricing Inputs'!$AN$8=2,(M177-$H177),IF('Pricing Inputs'!$AN$3=2,IF((M177-$H177)&gt;0,M177-$H177,0),(xSPRDOPT(M177,$E177,$BU177,0,$BP177,$BS177,$BT177,($A177-Inputs!$D$1)+15,1,0)))))</f>
        <v> </v>
      </c>
      <c r="U177" s="280" t="str">
        <f aca="false">IF($A177="N/A"," ",IF('Pricing Inputs'!$AN$8=2,(N177-$H177),IF('Pricing Inputs'!$AN$3=2,IF((N177-$H177)&gt;0,N177-$H177,0),(xSPRDOPT(N177,$E177,$BU177,0,$BP177,$BS177,$BT177,($A177-Inputs!$D$1)+15,1,0)))))</f>
        <v> </v>
      </c>
      <c r="V177" s="281" t="str">
        <f aca="false">IF($A177="N/A"," ",(IF('Pricing Inputs'!$AN$8=2,(O177-$H177),IF((O177-$H177)&lt;=0,0,(O177-$H177)))))</f>
        <v> </v>
      </c>
      <c r="W177" s="282" t="str">
        <f aca="false">IF($A177="N/A"," ",IF(0&lt;&gt;P177,IF('Pricing Inputs'!$AN$3=2,8*VLOOKUP($A177,NumberofDaysTable,2),(xSPRDOPT(I177,$E177,$BU177,0,$BP177,$BS177,$BT177,$A177-Inputs!$D$1,1,1))*(8*VLOOKUP($A177,NumberofDaysTable,2))),0))</f>
        <v> </v>
      </c>
      <c r="X177" s="282" t="str">
        <f aca="false">IF($A177="N/A"," ",IF(Q177&lt;&gt;0,IF('Pricing Inputs'!$AN$3=2,8*VLOOKUP($A177,NumberofDaysTable,2),(xSPRDOPT(J177,$E177,$BU177,0,$BP177,$BS177,$BT177,$A177-Inputs!$D$1,1,1))*(8*VLOOKUP($A177,NumberofDaysTable,2))),0))</f>
        <v> </v>
      </c>
      <c r="Y177" s="282" t="str">
        <f aca="false">IF($A177="N/A"," ",IF(R177&lt;&gt;0,IF('Pricing Inputs'!$AN$3=2,8*VLOOKUP($A177,NumberofDaysTable,3),(xSPRDOPT(K177,$E177,$BU177,0,$BP177,$BS177,$BT177,$A177-Inputs!$D$1,1,1))*(8*VLOOKUP($A177,NumberofDaysTable,3))),0))</f>
        <v> </v>
      </c>
      <c r="Z177" s="282" t="str">
        <f aca="false">IF($A177="N/A"," ",IF(S177&lt;&gt;0,IF('Pricing Inputs'!$AN$3=2,8*VLOOKUP($A177,NumberofDaysTable,3),(xSPRDOPT(L177,$E177,$BU177,0,$BP177,$BS177,$BT177,$A177-Inputs!$D$1,1,1))*(8*VLOOKUP($A177,NumberofDaysTable,3))),0))</f>
        <v> </v>
      </c>
      <c r="AA177" s="282" t="str">
        <f aca="false">IF($A177="N/A"," ",IF(T177&lt;&gt;0,IF('Pricing Inputs'!$AN$3=2,8*VLOOKUP($A177,NumberofDaysTable,4),(xSPRDOPT(M177,$E177,$BU177,0,$BP177,$BS177,$BT177,$A177-Inputs!$D$1,1,1))*(8*VLOOKUP($A177,NumberofDaysTable,4))),0))</f>
        <v> </v>
      </c>
      <c r="AB177" s="282" t="str">
        <f aca="false">IF($A177="N/A"," ",IF(U177&lt;&gt;0,IF('Pricing Inputs'!$AN$3=2,8*VLOOKUP($A177,NumberofDaysTable,4),(xSPRDOPT(N177,$E177,$BU177,0,$BP177,$BS177,$BT177,$A177-Inputs!$D$1,1,1))*(8*VLOOKUP($A177,NumberofDaysTable,4))),0))</f>
        <v> </v>
      </c>
      <c r="AC177" s="282" t="str">
        <f aca="false">IF($A177="N/A"," ",(IF(V177&lt;&gt;0,(8*VLOOKUP($A177,NumberofDaysTable,6)),0)))</f>
        <v> </v>
      </c>
      <c r="AD177" s="298" t="str">
        <f aca="false">IF($A177="N/A"," ",RANK(P177,$P$172:$V$183))</f>
        <v> </v>
      </c>
      <c r="AE177" s="299" t="str">
        <f aca="false">IF($A177="N/A"," ",RANK(Q177,$P$172:$V$183))</f>
        <v> </v>
      </c>
      <c r="AF177" s="299" t="str">
        <f aca="false">IF($A177="N/A"," ",RANK(R177,$P$172:$V$183))</f>
        <v> </v>
      </c>
      <c r="AG177" s="299" t="str">
        <f aca="false">IF($A177="N/A"," ",RANK(S177,$P$172:$V$183))</f>
        <v> </v>
      </c>
      <c r="AH177" s="299" t="str">
        <f aca="false">IF($A177="N/A"," ",RANK(T177,$P$172:$V$183))</f>
        <v> </v>
      </c>
      <c r="AI177" s="299" t="str">
        <f aca="false">IF($A177="N/A"," ",RANK(U177,$P$172:$V$183))</f>
        <v> </v>
      </c>
      <c r="AJ177" s="300" t="str">
        <f aca="false">IF($A177="N/A"," ",RANK(V177,$P$172:$V$183))</f>
        <v> </v>
      </c>
      <c r="AK177" s="286" t="str">
        <f aca="false">IF($A177="N/A"," ",IF(AD177&lt;=$AJ$2,W177,0))</f>
        <v> </v>
      </c>
      <c r="AL177" s="301" t="str">
        <f aca="false">IF($A177="N/A"," ",IF(AE177&lt;=$AJ$2,X177,0))</f>
        <v> </v>
      </c>
      <c r="AM177" s="301" t="str">
        <f aca="false">IF($A177="N/A"," ",IF(AF177&lt;=$AJ$2,Y177,0))</f>
        <v> </v>
      </c>
      <c r="AN177" s="301" t="str">
        <f aca="false">IF($A177="N/A"," ",IF(AG177&lt;=$AJ$2,Z177,0))</f>
        <v> </v>
      </c>
      <c r="AO177" s="301" t="str">
        <f aca="false">IF($A177="N/A"," ",IF(AH177&lt;=$AJ$2,AA177,0))</f>
        <v> </v>
      </c>
      <c r="AP177" s="301" t="str">
        <f aca="false">IF($A177="N/A"," ",IF(AI177&lt;=$AJ$2,AB177,0))</f>
        <v> </v>
      </c>
      <c r="AQ177" s="301" t="str">
        <f aca="false">IF($A177="N/A"," ",IF(AJ177&lt;=$AJ$2,AC177,0))</f>
        <v> </v>
      </c>
      <c r="AR177" s="300"/>
      <c r="AS177" s="288" t="str">
        <f aca="false">IF($A177="N/A"," ",IF(AND(AD177=$AJ$2+1,AK177=0),MIN($AR$183,W177),0))</f>
        <v> </v>
      </c>
      <c r="AT177" s="302" t="str">
        <f aca="false">IF($A177="N/A"," ",IF(AND(AE177=$AJ$2+1,AL177=0),MIN($AR$183,X177),0))</f>
        <v> </v>
      </c>
      <c r="AU177" s="302" t="str">
        <f aca="false">IF($A177="N/A"," ",IF(AND(AF177=$AJ$2+1,AM177=0),MIN($AR$183,Y177),0))</f>
        <v> </v>
      </c>
      <c r="AV177" s="302" t="str">
        <f aca="false">IF($A177="N/A"," ",IF(AND(AG177=$AJ$2+1,AN177=0),MIN($AR$183,Z177),0))</f>
        <v> </v>
      </c>
      <c r="AW177" s="302" t="str">
        <f aca="false">IF($A177="N/A"," ",IF(AND(AH177=$AJ$2+1,AO177=0),MIN($AR$183,AA177),0))</f>
        <v> </v>
      </c>
      <c r="AX177" s="302" t="str">
        <f aca="false">IF($A177="N/A"," ",IF(AND(AI177=$AJ$2+1,AP177=0),MIN($AR$183,AB177),0))</f>
        <v> </v>
      </c>
      <c r="AY177" s="302" t="str">
        <f aca="false">IF($A177="N/A"," ",IF(AND(AJ177=$AJ$2+1,AQ177=0),MIN($AR$183,AC177),0))</f>
        <v> </v>
      </c>
      <c r="AZ177" s="300"/>
      <c r="BA177" s="291" t="str">
        <f aca="false">IF($A177="N/A"," ",(IF(MONTH(A177)&gt;=4,IF(MONTH(A177)&lt;=10,Inputs!$F$13,Inputs!$F$14),Inputs!$F$14))*$BW177)</f>
        <v> </v>
      </c>
      <c r="BB177" s="292" t="str">
        <f aca="false">IF($A177="N/A"," ",(IF(AK177&gt;0,($BA177*(8*(VLOOKUP($A177,NumberofDaysTable,2)))*P177),0)+IF(AS177&gt;0,($BA177*((AS177))*P177),0)))</f>
        <v> </v>
      </c>
      <c r="BC177" s="292" t="str">
        <f aca="false">IF($A177="N/A"," ",(IF(AL177&gt;0,($BA177*(8*(VLOOKUP($A177,NumberofDaysTable,2)))*Q177),0)+IF(AT177&gt;0,($BA177*((AT177))*Q177),0)))</f>
        <v> </v>
      </c>
      <c r="BD177" s="292" t="str">
        <f aca="false">IF($A177="N/A"," ",(IF(AM177&gt;0,($BA177*(8*(VLOOKUP($A177,NumberofDaysTable,3)))*R177),0)+IF(AU177&gt;0,($BA177*((AU177))*R177),0)))</f>
        <v> </v>
      </c>
      <c r="BE177" s="292" t="str">
        <f aca="false">IF($A177="N/A"," ",(IF(AN177&gt;0,($BA177*(8*(VLOOKUP($A177,NumberofDaysTable,3)))*S177),0)+IF(AV177&gt;0,($BA177*((AV177))*S177),0)))</f>
        <v> </v>
      </c>
      <c r="BF177" s="292" t="str">
        <f aca="false">IF($A177="N/A"," ",(IF(AO177&gt;0,($BA177*(8*(VLOOKUP($A177,NumberofDaysTable,4)+VLOOKUP($A177,NumberofDaysTable,5)))*T177),0)+IF(AW177&gt;0,($BA177*((AW177))*T177),0)))</f>
        <v> </v>
      </c>
      <c r="BG177" s="292" t="str">
        <f aca="false">IF($A177="N/A"," ",(IF(AP177&gt;0,($BA177*(8*(VLOOKUP($A177,NumberofDaysTable,4)+VLOOKUP($A177,NumberofDaysTable,5)))*U177),0)+IF(AX177&gt;0,($BA177*((AX177))*U177),0)))</f>
        <v> </v>
      </c>
      <c r="BH177" s="292" t="str">
        <f aca="false">IF($A177="N/A"," ",($BA177*AQ177*V177))</f>
        <v> </v>
      </c>
      <c r="BI177" s="292" t="str">
        <f aca="false">IF($A177="N/A"," ",SUM(BB177:BH177))</f>
        <v> </v>
      </c>
      <c r="BJ177" s="293" t="str">
        <f aca="false">IF($A177="N/A"," ",(H177*(SUM(AK177:AQ177)+SUM(AS177:AY177))*BA177))</f>
        <v> </v>
      </c>
      <c r="BK177" s="293" t="str">
        <f aca="false">IF($A177="N/A"," ",((C177*D177)*(SUM($AK177:$AQ177)+SUM($AS177:$AY177))*$BA177))</f>
        <v> </v>
      </c>
      <c r="BL177" s="293" t="str">
        <f aca="false">IF($A177="N/A"," ",(F177*(SUM($AK177:$AQ177)+SUM($AS177:$AY177))*$BA177))</f>
        <v> </v>
      </c>
      <c r="BM177" s="293" t="str">
        <f aca="false">IF($A177="N/A"," ",(G177*(SUM($AK177:$AQ177)+SUM($AS177:$AY177))*$BA177))</f>
        <v> </v>
      </c>
      <c r="BN177" s="294" t="str">
        <f aca="false">IF(A177="N/A"," ",(VLOOKUP(A177,PowerVolTable,(IF('Pricing Inputs'!$AT$3=2,7,IF('Pricing Inputs'!$AT$3=1,6,8))),FALSE())))</f>
        <v> </v>
      </c>
      <c r="BO177" s="294" t="str">
        <f aca="false">IF(A177="N/A"," ",(VLOOKUP(A177,IntraPowerVol,(IF('Pricing Inputs'!$AT$3=2,3,IF('Pricing Inputs'!$AT$3=1,2,4))),FALSE())*VLOOKUP(MONTH($A177),Inputs!$A$28:$B$39,2)))</f>
        <v> </v>
      </c>
      <c r="BP177" s="295" t="str">
        <f aca="false">IF($A177="N/A"," ",(IF(DateToday&gt;$A177,$BO177,((($BN177^2)*((($A177-1)-DateToday)/((EOMONTH($A177,0)+1)-DateToday-15)))+((($BO177)^2)*((15)/((EOMONTH($A177,0)+1)-DateToday-15))))^0.5)))</f>
        <v> </v>
      </c>
      <c r="BQ177" s="294" t="str">
        <f aca="false">IF($A177="N/A"," ",(VLOOKUP($A177,GasVolTable,(IF('Pricing Inputs'!$AT$3=2,6,IF('Pricing Inputs'!$AT$3=1,7,5))),FALSE())))</f>
        <v> </v>
      </c>
      <c r="BR177" s="294" t="str">
        <f aca="false">IF($A177="N/A"," ",(VLOOKUP($A177,OmicronVol,(IF('Pricing Inputs'!$AT$3=2,3,IF('Pricing Inputs'!$AT$3=1,4,2))),FALSE())))</f>
        <v> </v>
      </c>
      <c r="BS177" s="295" t="str">
        <f aca="false">IF($A177="N/A"," ",IF('Pricing Inputs'!$AN$3=1,(IF(DateToday&gt;$A177,$BR177,((($BQ177^2)*((($A177-1)-DateToday)/((EOMONTH($A177,0)+1)-DateToday-15)))+((($BR177)^2)*((15)/((EOMONTH($A177,0)+1)-DateToday-15))))^0.5)),0.0001))</f>
        <v> </v>
      </c>
      <c r="BT177" s="294" t="str">
        <f aca="false">IF($A177="N/A"," ",IF('Pricing Inputs'!$AN$3=1,(VLOOKUP($A177,CorrelationTable,2,FALSE())),0))</f>
        <v> </v>
      </c>
      <c r="BU177" s="296" t="str">
        <f aca="false">IF($A177="N/A"," ",F177+G177+(D177*(VLOOKUP($A177,'Gas Curves'!$B$17:$P$310,14,FALSE()))))</f>
        <v> </v>
      </c>
      <c r="BV177" s="294" t="str">
        <f aca="false">IF($A177="N/A"," ",IF('Pricing Inputs'!$AW$3=1,0,(VLOOKUP($A177,InterestRatesTable,2))))</f>
        <v> </v>
      </c>
      <c r="BW177" s="297" t="str">
        <f aca="false">IF($A177="N/A"," ",(1+BV177/2)^(-2*((EOMONTH(A177,0)+20)-DateToday)/365.25))</f>
        <v> </v>
      </c>
    </row>
    <row r="178" customFormat="false" ht="12.75" hidden="false" customHeight="false" outlineLevel="0" collapsed="false">
      <c r="A178" s="272" t="str">
        <f aca="false">IF(A177="N/A","N/A",IF(EDATE(A177,1)&gt;Inputs!$K$3,"N/A",EDATE(A177,1)))</f>
        <v>N/A</v>
      </c>
      <c r="B178" s="273" t="str">
        <f aca="false">IF(A178="N/A"," ",YEAR(A178))</f>
        <v> </v>
      </c>
      <c r="C178" s="274" t="str">
        <f aca="false">IF(A178="N/A"," ",VLOOKUP(A178,ScaledPrice,10))</f>
        <v> </v>
      </c>
      <c r="D178" s="275" t="str">
        <f aca="false">IF(A178="N/A"," ",(VLOOKUP(MONTH($A178),Inputs!$A$14:$B$25,2))/1000)</f>
        <v> </v>
      </c>
      <c r="E178" s="276" t="str">
        <f aca="false">IF($A178="N/A"," ",C178*D178)</f>
        <v> </v>
      </c>
      <c r="F178" s="277" t="str">
        <f aca="false">IF(A178="N/A"," ",Inputs!$F$6)</f>
        <v> </v>
      </c>
      <c r="G178" s="277" t="str">
        <f aca="false">IF(A178="N/A"," ",Inputs!$F$9/IF(AND('Pricing Inputs'!$AQ$3&gt;=4,'Pricing Inputs'!$AQ$3&lt;=6),16,IF(AND('Pricing Inputs'!$AQ$3&gt;=7,'Pricing Inputs'!$AQ$3&lt;=9),8,24))/(BA178/BW178))</f>
        <v> </v>
      </c>
      <c r="H178" s="278" t="str">
        <f aca="false">IF(A178="N/A"," ",(C178*D178)+F178+G178)</f>
        <v> </v>
      </c>
      <c r="I178" s="279" t="str">
        <f aca="false">VLOOKUP(A178,ScaledPrice,(IF(AND('Pricing Inputs'!$AQ$3&gt;=1,'Pricing Inputs'!$AQ$3&lt;=6),2,4)))</f>
        <v> </v>
      </c>
      <c r="J178" s="279" t="str">
        <f aca="false">IF(A178="N/A"," ",IF(AND('Pricing Inputs'!$AQ$3&gt;=1,'Pricing Inputs'!$AQ$3&lt;=6),I178,(VLOOKUP(A178,ScaledPrice,2))*(2-(VLOOKUP(A178,ScaledPrice,3)))))</f>
        <v> </v>
      </c>
      <c r="K178" s="279" t="str">
        <f aca="false">IF(A178="N/A"," ",IF(OR('Pricing Inputs'!$AQ$3=2,'Pricing Inputs'!$AQ$3=3,'Pricing Inputs'!$AQ$3=5,'Pricing Inputs'!$AQ$3=6,'Pricing Inputs'!$AQ$3=8,'Pricing Inputs'!$AQ$3=9),VLOOKUP(A178,ScaledPrice,IF(AND('Pricing Inputs'!$AQ$3&gt;=2,'Pricing Inputs'!$AQ$3&lt;=6),5,6)),0))</f>
        <v> </v>
      </c>
      <c r="L178" s="279" t="str">
        <f aca="false">IF(A178="N/A"," ",IF(OR('Pricing Inputs'!$AQ$3=2,'Pricing Inputs'!$AQ$3=3,'Pricing Inputs'!$AQ$3=5,'Pricing Inputs'!$AQ$3=6,'Pricing Inputs'!$AQ$3=8,'Pricing Inputs'!$AQ$3=9),IF(AND('Pricing Inputs'!$AQ$3&gt;=2,'Pricing Inputs'!$AQ$3&lt;=6),K178,(VLOOKUP(A178,ScaledPrice,5))*(2-(VLOOKUP(A178,ScaledPrice,3)))),0))</f>
        <v> </v>
      </c>
      <c r="M178" s="279" t="str">
        <f aca="false">IF(A178="N/A"," ",IF(OR('Pricing Inputs'!$AQ$3=3,'Pricing Inputs'!$AQ$3=6,'Pricing Inputs'!$AQ$3=9),(VLOOKUP(A178,ScaledPrice,IF(AND('Pricing Inputs'!$AQ$3&gt;=3,'Pricing Inputs'!$AQ$3&lt;=6),7,8))),0))</f>
        <v> </v>
      </c>
      <c r="N178" s="279" t="str">
        <f aca="false">IF(A178="N/A"," ",IF(OR('Pricing Inputs'!$AQ$3=3,'Pricing Inputs'!$AQ$3=6,'Pricing Inputs'!$AQ$3=9),IF(AND('Pricing Inputs'!$AQ$3&gt;=3,'Pricing Inputs'!$AQ$3&lt;=6),M178,(VLOOKUP(A178,ScaledPrice,7))*(2-(VLOOKUP(A178,ScaledPrice,3)))),0))</f>
        <v> </v>
      </c>
      <c r="O178" s="279" t="str">
        <f aca="false">IF(A178="N/A"," ",IF(AND('Pricing Inputs'!$AQ$3&gt;=1,'Pricing Inputs'!$AQ$3&lt;=3),VLOOKUP(A178,ScaledPrice,9),0))</f>
        <v> </v>
      </c>
      <c r="P178" s="280" t="str">
        <f aca="false">IF($A178="N/A"," ",IF('Pricing Inputs'!$AN$8=2,(I178-H178),IF('Pricing Inputs'!$AN$3=2,IF((I178-$H178)&gt;0,I178-$H178,0),(xSPRDOPT(I178,$E178,$BU178,0,$BP178,$BS178,$BT178,($A178-Inputs!$D$1)+15,1,0)))))</f>
        <v> </v>
      </c>
      <c r="Q178" s="280" t="str">
        <f aca="false">IF($A178="N/A"," ",IF('Pricing Inputs'!$AN$8=2,(J178-$H178),IF('Pricing Inputs'!$AN$3=2,IF((J178-$H178)&gt;0,J178-$H178,0),(xSPRDOPT(J178,$E178,$BU178,0,$BP178,$BS178,$BT178,($A178-Inputs!$D$1)+15,1,0)))))</f>
        <v> </v>
      </c>
      <c r="R178" s="280" t="str">
        <f aca="false">IF($A178="N/A"," ",IF('Pricing Inputs'!$AN$8=2,(K178-$H178),IF('Pricing Inputs'!$AN$3=2,IF((K178-$H178)&gt;0,K178-$H178,0),(xSPRDOPT(K178,$E178,$BU178,0,$BP178,$BS178,$BT178,($A178-Inputs!$D$1)+15,1,0)))))</f>
        <v> </v>
      </c>
      <c r="S178" s="280" t="str">
        <f aca="false">IF($A178="N/A"," ",IF('Pricing Inputs'!$AN$8=2,(L178-$H178),IF('Pricing Inputs'!$AN$3=2,IF((L178-$H178)&gt;0,L178-$H178,0),(xSPRDOPT(L178,$E178,$BU178,0,$BP178,$BS178,$BT178,($A178-Inputs!$D$1)+15,1,0)))))</f>
        <v> </v>
      </c>
      <c r="T178" s="280" t="str">
        <f aca="false">IF($A178="N/A"," ",IF('Pricing Inputs'!$AN$8=2,(M178-$H178),IF('Pricing Inputs'!$AN$3=2,IF((M178-$H178)&gt;0,M178-$H178,0),(xSPRDOPT(M178,$E178,$BU178,0,$BP178,$BS178,$BT178,($A178-Inputs!$D$1)+15,1,0)))))</f>
        <v> </v>
      </c>
      <c r="U178" s="280" t="str">
        <f aca="false">IF($A178="N/A"," ",IF('Pricing Inputs'!$AN$8=2,(N178-$H178),IF('Pricing Inputs'!$AN$3=2,IF((N178-$H178)&gt;0,N178-$H178,0),(xSPRDOPT(N178,$E178,$BU178,0,$BP178,$BS178,$BT178,($A178-Inputs!$D$1)+15,1,0)))))</f>
        <v> </v>
      </c>
      <c r="V178" s="281" t="str">
        <f aca="false">IF($A178="N/A"," ",(IF('Pricing Inputs'!$AN$8=2,(O178-$H178),IF((O178-$H178)&lt;=0,0,(O178-$H178)))))</f>
        <v> </v>
      </c>
      <c r="W178" s="282" t="str">
        <f aca="false">IF($A178="N/A"," ",IF(0&lt;&gt;P178,IF('Pricing Inputs'!$AN$3=2,8*VLOOKUP($A178,NumberofDaysTable,2),(xSPRDOPT(I178,$E178,$BU178,0,$BP178,$BS178,$BT178,$A178-Inputs!$D$1,1,1))*(8*VLOOKUP($A178,NumberofDaysTable,2))),0))</f>
        <v> </v>
      </c>
      <c r="X178" s="282" t="str">
        <f aca="false">IF($A178="N/A"," ",IF(Q178&lt;&gt;0,IF('Pricing Inputs'!$AN$3=2,8*VLOOKUP($A178,NumberofDaysTable,2),(xSPRDOPT(J178,$E178,$BU178,0,$BP178,$BS178,$BT178,$A178-Inputs!$D$1,1,1))*(8*VLOOKUP($A178,NumberofDaysTable,2))),0))</f>
        <v> </v>
      </c>
      <c r="Y178" s="282" t="str">
        <f aca="false">IF($A178="N/A"," ",IF(R178&lt;&gt;0,IF('Pricing Inputs'!$AN$3=2,8*VLOOKUP($A178,NumberofDaysTable,3),(xSPRDOPT(K178,$E178,$BU178,0,$BP178,$BS178,$BT178,$A178-Inputs!$D$1,1,1))*(8*VLOOKUP($A178,NumberofDaysTable,3))),0))</f>
        <v> </v>
      </c>
      <c r="Z178" s="282" t="str">
        <f aca="false">IF($A178="N/A"," ",IF(S178&lt;&gt;0,IF('Pricing Inputs'!$AN$3=2,8*VLOOKUP($A178,NumberofDaysTable,3),(xSPRDOPT(L178,$E178,$BU178,0,$BP178,$BS178,$BT178,$A178-Inputs!$D$1,1,1))*(8*VLOOKUP($A178,NumberofDaysTable,3))),0))</f>
        <v> </v>
      </c>
      <c r="AA178" s="282" t="str">
        <f aca="false">IF($A178="N/A"," ",IF(T178&lt;&gt;0,IF('Pricing Inputs'!$AN$3=2,8*VLOOKUP($A178,NumberofDaysTable,4),(xSPRDOPT(M178,$E178,$BU178,0,$BP178,$BS178,$BT178,$A178-Inputs!$D$1,1,1))*(8*VLOOKUP($A178,NumberofDaysTable,4))),0))</f>
        <v> </v>
      </c>
      <c r="AB178" s="282" t="str">
        <f aca="false">IF($A178="N/A"," ",IF(U178&lt;&gt;0,IF('Pricing Inputs'!$AN$3=2,8*VLOOKUP($A178,NumberofDaysTable,4),(xSPRDOPT(N178,$E178,$BU178,0,$BP178,$BS178,$BT178,$A178-Inputs!$D$1,1,1))*(8*VLOOKUP($A178,NumberofDaysTable,4))),0))</f>
        <v> </v>
      </c>
      <c r="AC178" s="282" t="str">
        <f aca="false">IF($A178="N/A"," ",(IF(V178&lt;&gt;0,(8*VLOOKUP($A178,NumberofDaysTable,6)),0)))</f>
        <v> </v>
      </c>
      <c r="AD178" s="298" t="str">
        <f aca="false">IF($A178="N/A"," ",RANK(P178,$P$172:$V$183))</f>
        <v> </v>
      </c>
      <c r="AE178" s="299" t="str">
        <f aca="false">IF($A178="N/A"," ",RANK(Q178,$P$172:$V$183))</f>
        <v> </v>
      </c>
      <c r="AF178" s="299" t="str">
        <f aca="false">IF($A178="N/A"," ",RANK(R178,$P$172:$V$183))</f>
        <v> </v>
      </c>
      <c r="AG178" s="299" t="str">
        <f aca="false">IF($A178="N/A"," ",RANK(S178,$P$172:$V$183))</f>
        <v> </v>
      </c>
      <c r="AH178" s="299" t="str">
        <f aca="false">IF($A178="N/A"," ",RANK(T178,$P$172:$V$183))</f>
        <v> </v>
      </c>
      <c r="AI178" s="299" t="str">
        <f aca="false">IF($A178="N/A"," ",RANK(U178,$P$172:$V$183))</f>
        <v> </v>
      </c>
      <c r="AJ178" s="300" t="str">
        <f aca="false">IF($A178="N/A"," ",RANK(V178,$P$172:$V$183))</f>
        <v> </v>
      </c>
      <c r="AK178" s="286" t="str">
        <f aca="false">IF($A178="N/A"," ",IF(AD178&lt;=$AJ$2,W178,0))</f>
        <v> </v>
      </c>
      <c r="AL178" s="301" t="str">
        <f aca="false">IF($A178="N/A"," ",IF(AE178&lt;=$AJ$2,X178,0))</f>
        <v> </v>
      </c>
      <c r="AM178" s="301" t="str">
        <f aca="false">IF($A178="N/A"," ",IF(AF178&lt;=$AJ$2,Y178,0))</f>
        <v> </v>
      </c>
      <c r="AN178" s="301" t="str">
        <f aca="false">IF($A178="N/A"," ",IF(AG178&lt;=$AJ$2,Z178,0))</f>
        <v> </v>
      </c>
      <c r="AO178" s="301" t="str">
        <f aca="false">IF($A178="N/A"," ",IF(AH178&lt;=$AJ$2,AA178,0))</f>
        <v> </v>
      </c>
      <c r="AP178" s="301" t="str">
        <f aca="false">IF($A178="N/A"," ",IF(AI178&lt;=$AJ$2,AB178,0))</f>
        <v> </v>
      </c>
      <c r="AQ178" s="301" t="str">
        <f aca="false">IF($A178="N/A"," ",IF(AJ178&lt;=$AJ$2,AC178,0))</f>
        <v> </v>
      </c>
      <c r="AR178" s="300"/>
      <c r="AS178" s="288" t="str">
        <f aca="false">IF($A178="N/A"," ",IF(AND(AD178=$AJ$2+1,AK178=0),MIN($AR$183,W178),0))</f>
        <v> </v>
      </c>
      <c r="AT178" s="302" t="str">
        <f aca="false">IF($A178="N/A"," ",IF(AND(AE178=$AJ$2+1,AL178=0),MIN($AR$183,X178),0))</f>
        <v> </v>
      </c>
      <c r="AU178" s="302" t="str">
        <f aca="false">IF($A178="N/A"," ",IF(AND(AF178=$AJ$2+1,AM178=0),MIN($AR$183,Y178),0))</f>
        <v> </v>
      </c>
      <c r="AV178" s="302" t="str">
        <f aca="false">IF($A178="N/A"," ",IF(AND(AG178=$AJ$2+1,AN178=0),MIN($AR$183,Z178),0))</f>
        <v> </v>
      </c>
      <c r="AW178" s="302" t="str">
        <f aca="false">IF($A178="N/A"," ",IF(AND(AH178=$AJ$2+1,AO178=0),MIN($AR$183,AA178),0))</f>
        <v> </v>
      </c>
      <c r="AX178" s="302" t="str">
        <f aca="false">IF($A178="N/A"," ",IF(AND(AI178=$AJ$2+1,AP178=0),MIN($AR$183,AB178),0))</f>
        <v> </v>
      </c>
      <c r="AY178" s="302" t="str">
        <f aca="false">IF($A178="N/A"," ",IF(AND(AJ178=$AJ$2+1,AQ178=0),MIN($AR$183,AC178),0))</f>
        <v> </v>
      </c>
      <c r="AZ178" s="300"/>
      <c r="BA178" s="291" t="str">
        <f aca="false">IF($A178="N/A"," ",(IF(MONTH(A178)&gt;=4,IF(MONTH(A178)&lt;=10,Inputs!$F$13,Inputs!$F$14),Inputs!$F$14))*$BW178)</f>
        <v> </v>
      </c>
      <c r="BB178" s="292" t="str">
        <f aca="false">IF($A178="N/A"," ",(IF(AK178&gt;0,($BA178*(8*(VLOOKUP($A178,NumberofDaysTable,2)))*P178),0)+IF(AS178&gt;0,($BA178*((AS178))*P178),0)))</f>
        <v> </v>
      </c>
      <c r="BC178" s="292" t="str">
        <f aca="false">IF($A178="N/A"," ",(IF(AL178&gt;0,($BA178*(8*(VLOOKUP($A178,NumberofDaysTable,2)))*Q178),0)+IF(AT178&gt;0,($BA178*((AT178))*Q178),0)))</f>
        <v> </v>
      </c>
      <c r="BD178" s="292" t="str">
        <f aca="false">IF($A178="N/A"," ",(IF(AM178&gt;0,($BA178*(8*(VLOOKUP($A178,NumberofDaysTable,3)))*R178),0)+IF(AU178&gt;0,($BA178*((AU178))*R178),0)))</f>
        <v> </v>
      </c>
      <c r="BE178" s="292" t="str">
        <f aca="false">IF($A178="N/A"," ",(IF(AN178&gt;0,($BA178*(8*(VLOOKUP($A178,NumberofDaysTable,3)))*S178),0)+IF(AV178&gt;0,($BA178*((AV178))*S178),0)))</f>
        <v> </v>
      </c>
      <c r="BF178" s="292" t="str">
        <f aca="false">IF($A178="N/A"," ",(IF(AO178&gt;0,($BA178*(8*(VLOOKUP($A178,NumberofDaysTable,4)+VLOOKUP($A178,NumberofDaysTable,5)))*T178),0)+IF(AW178&gt;0,($BA178*((AW178))*T178),0)))</f>
        <v> </v>
      </c>
      <c r="BG178" s="292" t="str">
        <f aca="false">IF($A178="N/A"," ",(IF(AP178&gt;0,($BA178*(8*(VLOOKUP($A178,NumberofDaysTable,4)+VLOOKUP($A178,NumberofDaysTable,5)))*U178),0)+IF(AX178&gt;0,($BA178*((AX178))*U178),0)))</f>
        <v> </v>
      </c>
      <c r="BH178" s="292" t="str">
        <f aca="false">IF($A178="N/A"," ",($BA178*AQ178*V178))</f>
        <v> </v>
      </c>
      <c r="BI178" s="292" t="str">
        <f aca="false">IF($A178="N/A"," ",SUM(BB178:BH178))</f>
        <v> </v>
      </c>
      <c r="BJ178" s="293" t="str">
        <f aca="false">IF($A178="N/A"," ",(H178*(SUM(AK178:AQ178)+SUM(AS178:AY178))*BA178))</f>
        <v> </v>
      </c>
      <c r="BK178" s="293" t="str">
        <f aca="false">IF($A178="N/A"," ",((C178*D178)*(SUM($AK178:$AQ178)+SUM($AS178:$AY178))*$BA178))</f>
        <v> </v>
      </c>
      <c r="BL178" s="293" t="str">
        <f aca="false">IF($A178="N/A"," ",(F178*(SUM($AK178:$AQ178)+SUM($AS178:$AY178))*$BA178))</f>
        <v> </v>
      </c>
      <c r="BM178" s="293" t="str">
        <f aca="false">IF($A178="N/A"," ",(G178*(SUM($AK178:$AQ178)+SUM($AS178:$AY178))*$BA178))</f>
        <v> </v>
      </c>
      <c r="BN178" s="294" t="str">
        <f aca="false">IF(A178="N/A"," ",(VLOOKUP(A178,PowerVolTable,(IF('Pricing Inputs'!$AT$3=2,7,IF('Pricing Inputs'!$AT$3=1,6,8))),FALSE())))</f>
        <v> </v>
      </c>
      <c r="BO178" s="294" t="str">
        <f aca="false">IF(A178="N/A"," ",(VLOOKUP(A178,IntraPowerVol,(IF('Pricing Inputs'!$AT$3=2,3,IF('Pricing Inputs'!$AT$3=1,2,4))),FALSE())*VLOOKUP(MONTH($A178),Inputs!$A$28:$B$39,2)))</f>
        <v> </v>
      </c>
      <c r="BP178" s="295" t="str">
        <f aca="false">IF($A178="N/A"," ",(IF(DateToday&gt;$A178,$BO178,((($BN178^2)*((($A178-1)-DateToday)/((EOMONTH($A178,0)+1)-DateToday-15)))+((($BO178)^2)*((15)/((EOMONTH($A178,0)+1)-DateToday-15))))^0.5)))</f>
        <v> </v>
      </c>
      <c r="BQ178" s="294" t="str">
        <f aca="false">IF($A178="N/A"," ",(VLOOKUP($A178,GasVolTable,(IF('Pricing Inputs'!$AT$3=2,6,IF('Pricing Inputs'!$AT$3=1,7,5))),FALSE())))</f>
        <v> </v>
      </c>
      <c r="BR178" s="294" t="str">
        <f aca="false">IF($A178="N/A"," ",(VLOOKUP($A178,OmicronVol,(IF('Pricing Inputs'!$AT$3=2,3,IF('Pricing Inputs'!$AT$3=1,4,2))),FALSE())))</f>
        <v> </v>
      </c>
      <c r="BS178" s="295" t="str">
        <f aca="false">IF($A178="N/A"," ",IF('Pricing Inputs'!$AN$3=1,(IF(DateToday&gt;$A178,$BR178,((($BQ178^2)*((($A178-1)-DateToday)/((EOMONTH($A178,0)+1)-DateToday-15)))+((($BR178)^2)*((15)/((EOMONTH($A178,0)+1)-DateToday-15))))^0.5)),0.0001))</f>
        <v> </v>
      </c>
      <c r="BT178" s="294" t="str">
        <f aca="false">IF($A178="N/A"," ",IF('Pricing Inputs'!$AN$3=1,(VLOOKUP($A178,CorrelationTable,2,FALSE())),0))</f>
        <v> </v>
      </c>
      <c r="BU178" s="296" t="str">
        <f aca="false">IF($A178="N/A"," ",F178+G178+(D178*(VLOOKUP($A178,'Gas Curves'!$B$17:$P$310,14,FALSE()))))</f>
        <v> </v>
      </c>
      <c r="BV178" s="294" t="str">
        <f aca="false">IF($A178="N/A"," ",IF('Pricing Inputs'!$AW$3=1,0,(VLOOKUP($A178,InterestRatesTable,2))))</f>
        <v> </v>
      </c>
      <c r="BW178" s="297" t="str">
        <f aca="false">IF($A178="N/A"," ",(1+BV178/2)^(-2*((EOMONTH(A178,0)+20)-DateToday)/365.25))</f>
        <v> </v>
      </c>
    </row>
    <row r="179" customFormat="false" ht="12.75" hidden="false" customHeight="false" outlineLevel="0" collapsed="false">
      <c r="A179" s="272" t="str">
        <f aca="false">IF(A178="N/A","N/A",IF(EDATE(A178,1)&gt;Inputs!$K$3,"N/A",EDATE(A178,1)))</f>
        <v>N/A</v>
      </c>
      <c r="B179" s="273" t="str">
        <f aca="false">IF(A179="N/A"," ",YEAR(A179))</f>
        <v> </v>
      </c>
      <c r="C179" s="274" t="str">
        <f aca="false">IF(A179="N/A"," ",VLOOKUP(A179,ScaledPrice,10))</f>
        <v> </v>
      </c>
      <c r="D179" s="275" t="str">
        <f aca="false">IF(A179="N/A"," ",(VLOOKUP(MONTH($A179),Inputs!$A$14:$B$25,2))/1000)</f>
        <v> </v>
      </c>
      <c r="E179" s="276" t="str">
        <f aca="false">IF($A179="N/A"," ",C179*D179)</f>
        <v> </v>
      </c>
      <c r="F179" s="277" t="str">
        <f aca="false">IF(A179="N/A"," ",Inputs!$F$6)</f>
        <v> </v>
      </c>
      <c r="G179" s="277" t="str">
        <f aca="false">IF(A179="N/A"," ",Inputs!$F$9/IF(AND('Pricing Inputs'!$AQ$3&gt;=4,'Pricing Inputs'!$AQ$3&lt;=6),16,IF(AND('Pricing Inputs'!$AQ$3&gt;=7,'Pricing Inputs'!$AQ$3&lt;=9),8,24))/(BA179/BW179))</f>
        <v> </v>
      </c>
      <c r="H179" s="278" t="str">
        <f aca="false">IF(A179="N/A"," ",(C179*D179)+F179+G179)</f>
        <v> </v>
      </c>
      <c r="I179" s="279" t="str">
        <f aca="false">VLOOKUP(A179,ScaledPrice,(IF(AND('Pricing Inputs'!$AQ$3&gt;=1,'Pricing Inputs'!$AQ$3&lt;=6),2,4)))</f>
        <v> </v>
      </c>
      <c r="J179" s="279" t="str">
        <f aca="false">IF(A179="N/A"," ",IF(AND('Pricing Inputs'!$AQ$3&gt;=1,'Pricing Inputs'!$AQ$3&lt;=6),I179,(VLOOKUP(A179,ScaledPrice,2))*(2-(VLOOKUP(A179,ScaledPrice,3)))))</f>
        <v> </v>
      </c>
      <c r="K179" s="279" t="str">
        <f aca="false">IF(A179="N/A"," ",IF(OR('Pricing Inputs'!$AQ$3=2,'Pricing Inputs'!$AQ$3=3,'Pricing Inputs'!$AQ$3=5,'Pricing Inputs'!$AQ$3=6,'Pricing Inputs'!$AQ$3=8,'Pricing Inputs'!$AQ$3=9),VLOOKUP(A179,ScaledPrice,IF(AND('Pricing Inputs'!$AQ$3&gt;=2,'Pricing Inputs'!$AQ$3&lt;=6),5,6)),0))</f>
        <v> </v>
      </c>
      <c r="L179" s="279" t="str">
        <f aca="false">IF(A179="N/A"," ",IF(OR('Pricing Inputs'!$AQ$3=2,'Pricing Inputs'!$AQ$3=3,'Pricing Inputs'!$AQ$3=5,'Pricing Inputs'!$AQ$3=6,'Pricing Inputs'!$AQ$3=8,'Pricing Inputs'!$AQ$3=9),IF(AND('Pricing Inputs'!$AQ$3&gt;=2,'Pricing Inputs'!$AQ$3&lt;=6),K179,(VLOOKUP(A179,ScaledPrice,5))*(2-(VLOOKUP(A179,ScaledPrice,3)))),0))</f>
        <v> </v>
      </c>
      <c r="M179" s="279" t="str">
        <f aca="false">IF(A179="N/A"," ",IF(OR('Pricing Inputs'!$AQ$3=3,'Pricing Inputs'!$AQ$3=6,'Pricing Inputs'!$AQ$3=9),(VLOOKUP(A179,ScaledPrice,IF(AND('Pricing Inputs'!$AQ$3&gt;=3,'Pricing Inputs'!$AQ$3&lt;=6),7,8))),0))</f>
        <v> </v>
      </c>
      <c r="N179" s="279" t="str">
        <f aca="false">IF(A179="N/A"," ",IF(OR('Pricing Inputs'!$AQ$3=3,'Pricing Inputs'!$AQ$3=6,'Pricing Inputs'!$AQ$3=9),IF(AND('Pricing Inputs'!$AQ$3&gt;=3,'Pricing Inputs'!$AQ$3&lt;=6),M179,(VLOOKUP(A179,ScaledPrice,7))*(2-(VLOOKUP(A179,ScaledPrice,3)))),0))</f>
        <v> </v>
      </c>
      <c r="O179" s="279" t="str">
        <f aca="false">IF(A179="N/A"," ",IF(AND('Pricing Inputs'!$AQ$3&gt;=1,'Pricing Inputs'!$AQ$3&lt;=3),VLOOKUP(A179,ScaledPrice,9),0))</f>
        <v> </v>
      </c>
      <c r="P179" s="280" t="str">
        <f aca="false">IF($A179="N/A"," ",IF('Pricing Inputs'!$AN$8=2,(I179-H179),IF('Pricing Inputs'!$AN$3=2,IF((I179-$H179)&gt;0,I179-$H179,0),(xSPRDOPT(I179,$E179,$BU179,0,$BP179,$BS179,$BT179,($A179-Inputs!$D$1)+15,1,0)))))</f>
        <v> </v>
      </c>
      <c r="Q179" s="280" t="str">
        <f aca="false">IF($A179="N/A"," ",IF('Pricing Inputs'!$AN$8=2,(J179-$H179),IF('Pricing Inputs'!$AN$3=2,IF((J179-$H179)&gt;0,J179-$H179,0),(xSPRDOPT(J179,$E179,$BU179,0,$BP179,$BS179,$BT179,($A179-Inputs!$D$1)+15,1,0)))))</f>
        <v> </v>
      </c>
      <c r="R179" s="280" t="str">
        <f aca="false">IF($A179="N/A"," ",IF('Pricing Inputs'!$AN$8=2,(K179-$H179),IF('Pricing Inputs'!$AN$3=2,IF((K179-$H179)&gt;0,K179-$H179,0),(xSPRDOPT(K179,$E179,$BU179,0,$BP179,$BS179,$BT179,($A179-Inputs!$D$1)+15,1,0)))))</f>
        <v> </v>
      </c>
      <c r="S179" s="280" t="str">
        <f aca="false">IF($A179="N/A"," ",IF('Pricing Inputs'!$AN$8=2,(L179-$H179),IF('Pricing Inputs'!$AN$3=2,IF((L179-$H179)&gt;0,L179-$H179,0),(xSPRDOPT(L179,$E179,$BU179,0,$BP179,$BS179,$BT179,($A179-Inputs!$D$1)+15,1,0)))))</f>
        <v> </v>
      </c>
      <c r="T179" s="280" t="str">
        <f aca="false">IF($A179="N/A"," ",IF('Pricing Inputs'!$AN$8=2,(M179-$H179),IF('Pricing Inputs'!$AN$3=2,IF((M179-$H179)&gt;0,M179-$H179,0),(xSPRDOPT(M179,$E179,$BU179,0,$BP179,$BS179,$BT179,($A179-Inputs!$D$1)+15,1,0)))))</f>
        <v> </v>
      </c>
      <c r="U179" s="280" t="str">
        <f aca="false">IF($A179="N/A"," ",IF('Pricing Inputs'!$AN$8=2,(N179-$H179),IF('Pricing Inputs'!$AN$3=2,IF((N179-$H179)&gt;0,N179-$H179,0),(xSPRDOPT(N179,$E179,$BU179,0,$BP179,$BS179,$BT179,($A179-Inputs!$D$1)+15,1,0)))))</f>
        <v> </v>
      </c>
      <c r="V179" s="281" t="str">
        <f aca="false">IF($A179="N/A"," ",(IF('Pricing Inputs'!$AN$8=2,(O179-$H179),IF((O179-$H179)&lt;=0,0,(O179-$H179)))))</f>
        <v> </v>
      </c>
      <c r="W179" s="282" t="str">
        <f aca="false">IF($A179="N/A"," ",IF(0&lt;&gt;P179,IF('Pricing Inputs'!$AN$3=2,8*VLOOKUP($A179,NumberofDaysTable,2),(xSPRDOPT(I179,$E179,$BU179,0,$BP179,$BS179,$BT179,$A179-Inputs!$D$1,1,1))*(8*VLOOKUP($A179,NumberofDaysTable,2))),0))</f>
        <v> </v>
      </c>
      <c r="X179" s="282" t="str">
        <f aca="false">IF($A179="N/A"," ",IF(Q179&lt;&gt;0,IF('Pricing Inputs'!$AN$3=2,8*VLOOKUP($A179,NumberofDaysTable,2),(xSPRDOPT(J179,$E179,$BU179,0,$BP179,$BS179,$BT179,$A179-Inputs!$D$1,1,1))*(8*VLOOKUP($A179,NumberofDaysTable,2))),0))</f>
        <v> </v>
      </c>
      <c r="Y179" s="282" t="str">
        <f aca="false">IF($A179="N/A"," ",IF(R179&lt;&gt;0,IF('Pricing Inputs'!$AN$3=2,8*VLOOKUP($A179,NumberofDaysTable,3),(xSPRDOPT(K179,$E179,$BU179,0,$BP179,$BS179,$BT179,$A179-Inputs!$D$1,1,1))*(8*VLOOKUP($A179,NumberofDaysTable,3))),0))</f>
        <v> </v>
      </c>
      <c r="Z179" s="282" t="str">
        <f aca="false">IF($A179="N/A"," ",IF(S179&lt;&gt;0,IF('Pricing Inputs'!$AN$3=2,8*VLOOKUP($A179,NumberofDaysTable,3),(xSPRDOPT(L179,$E179,$BU179,0,$BP179,$BS179,$BT179,$A179-Inputs!$D$1,1,1))*(8*VLOOKUP($A179,NumberofDaysTable,3))),0))</f>
        <v> </v>
      </c>
      <c r="AA179" s="282" t="str">
        <f aca="false">IF($A179="N/A"," ",IF(T179&lt;&gt;0,IF('Pricing Inputs'!$AN$3=2,8*VLOOKUP($A179,NumberofDaysTable,4),(xSPRDOPT(M179,$E179,$BU179,0,$BP179,$BS179,$BT179,$A179-Inputs!$D$1,1,1))*(8*VLOOKUP($A179,NumberofDaysTable,4))),0))</f>
        <v> </v>
      </c>
      <c r="AB179" s="282" t="str">
        <f aca="false">IF($A179="N/A"," ",IF(U179&lt;&gt;0,IF('Pricing Inputs'!$AN$3=2,8*VLOOKUP($A179,NumberofDaysTable,4),(xSPRDOPT(N179,$E179,$BU179,0,$BP179,$BS179,$BT179,$A179-Inputs!$D$1,1,1))*(8*VLOOKUP($A179,NumberofDaysTable,4))),0))</f>
        <v> </v>
      </c>
      <c r="AC179" s="282" t="str">
        <f aca="false">IF($A179="N/A"," ",(IF(V179&lt;&gt;0,(8*VLOOKUP($A179,NumberofDaysTable,6)),0)))</f>
        <v> </v>
      </c>
      <c r="AD179" s="298" t="str">
        <f aca="false">IF($A179="N/A"," ",RANK(P179,$P$172:$V$183))</f>
        <v> </v>
      </c>
      <c r="AE179" s="299" t="str">
        <f aca="false">IF($A179="N/A"," ",RANK(Q179,$P$172:$V$183))</f>
        <v> </v>
      </c>
      <c r="AF179" s="299" t="str">
        <f aca="false">IF($A179="N/A"," ",RANK(R179,$P$172:$V$183))</f>
        <v> </v>
      </c>
      <c r="AG179" s="299" t="str">
        <f aca="false">IF($A179="N/A"," ",RANK(S179,$P$172:$V$183))</f>
        <v> </v>
      </c>
      <c r="AH179" s="299" t="str">
        <f aca="false">IF($A179="N/A"," ",RANK(T179,$P$172:$V$183))</f>
        <v> </v>
      </c>
      <c r="AI179" s="299" t="str">
        <f aca="false">IF($A179="N/A"," ",RANK(U179,$P$172:$V$183))</f>
        <v> </v>
      </c>
      <c r="AJ179" s="300" t="str">
        <f aca="false">IF($A179="N/A"," ",RANK(V179,$P$172:$V$183))</f>
        <v> </v>
      </c>
      <c r="AK179" s="286" t="str">
        <f aca="false">IF($A179="N/A"," ",IF(AD179&lt;=$AJ$2,W179,0))</f>
        <v> </v>
      </c>
      <c r="AL179" s="301" t="str">
        <f aca="false">IF($A179="N/A"," ",IF(AE179&lt;=$AJ$2,X179,0))</f>
        <v> </v>
      </c>
      <c r="AM179" s="301" t="str">
        <f aca="false">IF($A179="N/A"," ",IF(AF179&lt;=$AJ$2,Y179,0))</f>
        <v> </v>
      </c>
      <c r="AN179" s="301" t="str">
        <f aca="false">IF($A179="N/A"," ",IF(AG179&lt;=$AJ$2,Z179,0))</f>
        <v> </v>
      </c>
      <c r="AO179" s="301" t="str">
        <f aca="false">IF($A179="N/A"," ",IF(AH179&lt;=$AJ$2,AA179,0))</f>
        <v> </v>
      </c>
      <c r="AP179" s="301" t="str">
        <f aca="false">IF($A179="N/A"," ",IF(AI179&lt;=$AJ$2,AB179,0))</f>
        <v> </v>
      </c>
      <c r="AQ179" s="301" t="str">
        <f aca="false">IF($A179="N/A"," ",IF(AJ179&lt;=$AJ$2,AC179,0))</f>
        <v> </v>
      </c>
      <c r="AR179" s="300"/>
      <c r="AS179" s="288" t="str">
        <f aca="false">IF($A179="N/A"," ",IF(AND(AD179=$AJ$2+1,AK179=0),MIN($AR$183,W179),0))</f>
        <v> </v>
      </c>
      <c r="AT179" s="302" t="str">
        <f aca="false">IF($A179="N/A"," ",IF(AND(AE179=$AJ$2+1,AL179=0),MIN($AR$183,X179),0))</f>
        <v> </v>
      </c>
      <c r="AU179" s="302" t="str">
        <f aca="false">IF($A179="N/A"," ",IF(AND(AF179=$AJ$2+1,AM179=0),MIN($AR$183,Y179),0))</f>
        <v> </v>
      </c>
      <c r="AV179" s="302" t="str">
        <f aca="false">IF($A179="N/A"," ",IF(AND(AG179=$AJ$2+1,AN179=0),MIN($AR$183,Z179),0))</f>
        <v> </v>
      </c>
      <c r="AW179" s="302" t="str">
        <f aca="false">IF($A179="N/A"," ",IF(AND(AH179=$AJ$2+1,AO179=0),MIN($AR$183,AA179),0))</f>
        <v> </v>
      </c>
      <c r="AX179" s="302" t="str">
        <f aca="false">IF($A179="N/A"," ",IF(AND(AI179=$AJ$2+1,AP179=0),MIN($AR$183,AB179),0))</f>
        <v> </v>
      </c>
      <c r="AY179" s="302" t="str">
        <f aca="false">IF($A179="N/A"," ",IF(AND(AJ179=$AJ$2+1,AQ179=0),MIN($AR$183,AC179),0))</f>
        <v> </v>
      </c>
      <c r="AZ179" s="300"/>
      <c r="BA179" s="291" t="str">
        <f aca="false">IF($A179="N/A"," ",(IF(MONTH(A179)&gt;=4,IF(MONTH(A179)&lt;=10,Inputs!$F$13,Inputs!$F$14),Inputs!$F$14))*$BW179)</f>
        <v> </v>
      </c>
      <c r="BB179" s="292" t="str">
        <f aca="false">IF($A179="N/A"," ",(IF(AK179&gt;0,($BA179*(8*(VLOOKUP($A179,NumberofDaysTable,2)))*P179),0)+IF(AS179&gt;0,($BA179*((AS179))*P179),0)))</f>
        <v> </v>
      </c>
      <c r="BC179" s="292" t="str">
        <f aca="false">IF($A179="N/A"," ",(IF(AL179&gt;0,($BA179*(8*(VLOOKUP($A179,NumberofDaysTable,2)))*Q179),0)+IF(AT179&gt;0,($BA179*((AT179))*Q179),0)))</f>
        <v> </v>
      </c>
      <c r="BD179" s="292" t="str">
        <f aca="false">IF($A179="N/A"," ",(IF(AM179&gt;0,($BA179*(8*(VLOOKUP($A179,NumberofDaysTable,3)))*R179),0)+IF(AU179&gt;0,($BA179*((AU179))*R179),0)))</f>
        <v> </v>
      </c>
      <c r="BE179" s="292" t="str">
        <f aca="false">IF($A179="N/A"," ",(IF(AN179&gt;0,($BA179*(8*(VLOOKUP($A179,NumberofDaysTable,3)))*S179),0)+IF(AV179&gt;0,($BA179*((AV179))*S179),0)))</f>
        <v> </v>
      </c>
      <c r="BF179" s="292" t="str">
        <f aca="false">IF($A179="N/A"," ",(IF(AO179&gt;0,($BA179*(8*(VLOOKUP($A179,NumberofDaysTable,4)+VLOOKUP($A179,NumberofDaysTable,5)))*T179),0)+IF(AW179&gt;0,($BA179*((AW179))*T179),0)))</f>
        <v> </v>
      </c>
      <c r="BG179" s="292" t="str">
        <f aca="false">IF($A179="N/A"," ",(IF(AP179&gt;0,($BA179*(8*(VLOOKUP($A179,NumberofDaysTable,4)+VLOOKUP($A179,NumberofDaysTable,5)))*U179),0)+IF(AX179&gt;0,($BA179*((AX179))*U179),0)))</f>
        <v> </v>
      </c>
      <c r="BH179" s="292" t="str">
        <f aca="false">IF($A179="N/A"," ",($BA179*AQ179*V179))</f>
        <v> </v>
      </c>
      <c r="BI179" s="292" t="str">
        <f aca="false">IF($A179="N/A"," ",SUM(BB179:BH179))</f>
        <v> </v>
      </c>
      <c r="BJ179" s="293" t="str">
        <f aca="false">IF($A179="N/A"," ",(H179*(SUM(AK179:AQ179)+SUM(AS179:AY179))*BA179))</f>
        <v> </v>
      </c>
      <c r="BK179" s="293" t="str">
        <f aca="false">IF($A179="N/A"," ",((C179*D179)*(SUM($AK179:$AQ179)+SUM($AS179:$AY179))*$BA179))</f>
        <v> </v>
      </c>
      <c r="BL179" s="293" t="str">
        <f aca="false">IF($A179="N/A"," ",(F179*(SUM($AK179:$AQ179)+SUM($AS179:$AY179))*$BA179))</f>
        <v> </v>
      </c>
      <c r="BM179" s="293" t="str">
        <f aca="false">IF($A179="N/A"," ",(G179*(SUM($AK179:$AQ179)+SUM($AS179:$AY179))*$BA179))</f>
        <v> </v>
      </c>
      <c r="BN179" s="294" t="str">
        <f aca="false">IF(A179="N/A"," ",(VLOOKUP(A179,PowerVolTable,(IF('Pricing Inputs'!$AT$3=2,7,IF('Pricing Inputs'!$AT$3=1,6,8))),FALSE())))</f>
        <v> </v>
      </c>
      <c r="BO179" s="294" t="str">
        <f aca="false">IF(A179="N/A"," ",(VLOOKUP(A179,IntraPowerVol,(IF('Pricing Inputs'!$AT$3=2,3,IF('Pricing Inputs'!$AT$3=1,2,4))),FALSE())*VLOOKUP(MONTH($A179),Inputs!$A$28:$B$39,2)))</f>
        <v> </v>
      </c>
      <c r="BP179" s="295" t="str">
        <f aca="false">IF($A179="N/A"," ",(IF(DateToday&gt;$A179,$BO179,((($BN179^2)*((($A179-1)-DateToday)/((EOMONTH($A179,0)+1)-DateToday-15)))+((($BO179)^2)*((15)/((EOMONTH($A179,0)+1)-DateToday-15))))^0.5)))</f>
        <v> </v>
      </c>
      <c r="BQ179" s="294" t="str">
        <f aca="false">IF($A179="N/A"," ",(VLOOKUP($A179,GasVolTable,(IF('Pricing Inputs'!$AT$3=2,6,IF('Pricing Inputs'!$AT$3=1,7,5))),FALSE())))</f>
        <v> </v>
      </c>
      <c r="BR179" s="294" t="str">
        <f aca="false">IF($A179="N/A"," ",(VLOOKUP($A179,OmicronVol,(IF('Pricing Inputs'!$AT$3=2,3,IF('Pricing Inputs'!$AT$3=1,4,2))),FALSE())))</f>
        <v> </v>
      </c>
      <c r="BS179" s="295" t="str">
        <f aca="false">IF($A179="N/A"," ",IF('Pricing Inputs'!$AN$3=1,(IF(DateToday&gt;$A179,$BR179,((($BQ179^2)*((($A179-1)-DateToday)/((EOMONTH($A179,0)+1)-DateToday-15)))+((($BR179)^2)*((15)/((EOMONTH($A179,0)+1)-DateToday-15))))^0.5)),0.0001))</f>
        <v> </v>
      </c>
      <c r="BT179" s="294" t="str">
        <f aca="false">IF($A179="N/A"," ",IF('Pricing Inputs'!$AN$3=1,(VLOOKUP($A179,CorrelationTable,2,FALSE())),0))</f>
        <v> </v>
      </c>
      <c r="BU179" s="296" t="str">
        <f aca="false">IF($A179="N/A"," ",F179+G179+(D179*(VLOOKUP($A179,'Gas Curves'!$B$17:$P$310,14,FALSE()))))</f>
        <v> </v>
      </c>
      <c r="BV179" s="294" t="str">
        <f aca="false">IF($A179="N/A"," ",IF('Pricing Inputs'!$AW$3=1,0,(VLOOKUP($A179,InterestRatesTable,2))))</f>
        <v> </v>
      </c>
      <c r="BW179" s="297" t="str">
        <f aca="false">IF($A179="N/A"," ",(1+BV179/2)^(-2*((EOMONTH(A179,0)+20)-DateToday)/365.25))</f>
        <v> </v>
      </c>
    </row>
    <row r="180" customFormat="false" ht="12.75" hidden="false" customHeight="false" outlineLevel="0" collapsed="false">
      <c r="A180" s="272" t="str">
        <f aca="false">IF(A179="N/A","N/A",IF(EDATE(A179,1)&gt;Inputs!$K$3,"N/A",EDATE(A179,1)))</f>
        <v>N/A</v>
      </c>
      <c r="B180" s="273" t="str">
        <f aca="false">IF(A180="N/A"," ",YEAR(A180))</f>
        <v> </v>
      </c>
      <c r="C180" s="274" t="str">
        <f aca="false">IF(A180="N/A"," ",VLOOKUP(A180,ScaledPrice,10))</f>
        <v> </v>
      </c>
      <c r="D180" s="275" t="str">
        <f aca="false">IF(A180="N/A"," ",(VLOOKUP(MONTH($A180),Inputs!$A$14:$B$25,2))/1000)</f>
        <v> </v>
      </c>
      <c r="E180" s="276" t="str">
        <f aca="false">IF($A180="N/A"," ",C180*D180)</f>
        <v> </v>
      </c>
      <c r="F180" s="277" t="str">
        <f aca="false">IF(A180="N/A"," ",Inputs!$F$6)</f>
        <v> </v>
      </c>
      <c r="G180" s="277" t="str">
        <f aca="false">IF(A180="N/A"," ",Inputs!$F$9/IF(AND('Pricing Inputs'!$AQ$3&gt;=4,'Pricing Inputs'!$AQ$3&lt;=6),16,IF(AND('Pricing Inputs'!$AQ$3&gt;=7,'Pricing Inputs'!$AQ$3&lt;=9),8,24))/(BA180/BW180))</f>
        <v> </v>
      </c>
      <c r="H180" s="278" t="str">
        <f aca="false">IF(A180="N/A"," ",(C180*D180)+F180+G180)</f>
        <v> </v>
      </c>
      <c r="I180" s="279" t="str">
        <f aca="false">VLOOKUP(A180,ScaledPrice,(IF(AND('Pricing Inputs'!$AQ$3&gt;=1,'Pricing Inputs'!$AQ$3&lt;=6),2,4)))</f>
        <v> </v>
      </c>
      <c r="J180" s="279" t="str">
        <f aca="false">IF(A180="N/A"," ",IF(AND('Pricing Inputs'!$AQ$3&gt;=1,'Pricing Inputs'!$AQ$3&lt;=6),I180,(VLOOKUP(A180,ScaledPrice,2))*(2-(VLOOKUP(A180,ScaledPrice,3)))))</f>
        <v> </v>
      </c>
      <c r="K180" s="279" t="str">
        <f aca="false">IF(A180="N/A"," ",IF(OR('Pricing Inputs'!$AQ$3=2,'Pricing Inputs'!$AQ$3=3,'Pricing Inputs'!$AQ$3=5,'Pricing Inputs'!$AQ$3=6,'Pricing Inputs'!$AQ$3=8,'Pricing Inputs'!$AQ$3=9),VLOOKUP(A180,ScaledPrice,IF(AND('Pricing Inputs'!$AQ$3&gt;=2,'Pricing Inputs'!$AQ$3&lt;=6),5,6)),0))</f>
        <v> </v>
      </c>
      <c r="L180" s="279" t="str">
        <f aca="false">IF(A180="N/A"," ",IF(OR('Pricing Inputs'!$AQ$3=2,'Pricing Inputs'!$AQ$3=3,'Pricing Inputs'!$AQ$3=5,'Pricing Inputs'!$AQ$3=6,'Pricing Inputs'!$AQ$3=8,'Pricing Inputs'!$AQ$3=9),IF(AND('Pricing Inputs'!$AQ$3&gt;=2,'Pricing Inputs'!$AQ$3&lt;=6),K180,(VLOOKUP(A180,ScaledPrice,5))*(2-(VLOOKUP(A180,ScaledPrice,3)))),0))</f>
        <v> </v>
      </c>
      <c r="M180" s="279" t="str">
        <f aca="false">IF(A180="N/A"," ",IF(OR('Pricing Inputs'!$AQ$3=3,'Pricing Inputs'!$AQ$3=6,'Pricing Inputs'!$AQ$3=9),(VLOOKUP(A180,ScaledPrice,IF(AND('Pricing Inputs'!$AQ$3&gt;=3,'Pricing Inputs'!$AQ$3&lt;=6),7,8))),0))</f>
        <v> </v>
      </c>
      <c r="N180" s="279" t="str">
        <f aca="false">IF(A180="N/A"," ",IF(OR('Pricing Inputs'!$AQ$3=3,'Pricing Inputs'!$AQ$3=6,'Pricing Inputs'!$AQ$3=9),IF(AND('Pricing Inputs'!$AQ$3&gt;=3,'Pricing Inputs'!$AQ$3&lt;=6),M180,(VLOOKUP(A180,ScaledPrice,7))*(2-(VLOOKUP(A180,ScaledPrice,3)))),0))</f>
        <v> </v>
      </c>
      <c r="O180" s="279" t="str">
        <f aca="false">IF(A180="N/A"," ",IF(AND('Pricing Inputs'!$AQ$3&gt;=1,'Pricing Inputs'!$AQ$3&lt;=3),VLOOKUP(A180,ScaledPrice,9),0))</f>
        <v> </v>
      </c>
      <c r="P180" s="280" t="str">
        <f aca="false">IF($A180="N/A"," ",IF('Pricing Inputs'!$AN$8=2,(I180-H180),IF('Pricing Inputs'!$AN$3=2,IF((I180-$H180)&gt;0,I180-$H180,0),(xSPRDOPT(I180,$E180,$BU180,0,$BP180,$BS180,$BT180,($A180-Inputs!$D$1)+15,1,0)))))</f>
        <v> </v>
      </c>
      <c r="Q180" s="280" t="str">
        <f aca="false">IF($A180="N/A"," ",IF('Pricing Inputs'!$AN$8=2,(J180-$H180),IF('Pricing Inputs'!$AN$3=2,IF((J180-$H180)&gt;0,J180-$H180,0),(xSPRDOPT(J180,$E180,$BU180,0,$BP180,$BS180,$BT180,($A180-Inputs!$D$1)+15,1,0)))))</f>
        <v> </v>
      </c>
      <c r="R180" s="280" t="str">
        <f aca="false">IF($A180="N/A"," ",IF('Pricing Inputs'!$AN$8=2,(K180-$H180),IF('Pricing Inputs'!$AN$3=2,IF((K180-$H180)&gt;0,K180-$H180,0),(xSPRDOPT(K180,$E180,$BU180,0,$BP180,$BS180,$BT180,($A180-Inputs!$D$1)+15,1,0)))))</f>
        <v> </v>
      </c>
      <c r="S180" s="280" t="str">
        <f aca="false">IF($A180="N/A"," ",IF('Pricing Inputs'!$AN$8=2,(L180-$H180),IF('Pricing Inputs'!$AN$3=2,IF((L180-$H180)&gt;0,L180-$H180,0),(xSPRDOPT(L180,$E180,$BU180,0,$BP180,$BS180,$BT180,($A180-Inputs!$D$1)+15,1,0)))))</f>
        <v> </v>
      </c>
      <c r="T180" s="280" t="str">
        <f aca="false">IF($A180="N/A"," ",IF('Pricing Inputs'!$AN$8=2,(M180-$H180),IF('Pricing Inputs'!$AN$3=2,IF((M180-$H180)&gt;0,M180-$H180,0),(xSPRDOPT(M180,$E180,$BU180,0,$BP180,$BS180,$BT180,($A180-Inputs!$D$1)+15,1,0)))))</f>
        <v> </v>
      </c>
      <c r="U180" s="280" t="str">
        <f aca="false">IF($A180="N/A"," ",IF('Pricing Inputs'!$AN$8=2,(N180-$H180),IF('Pricing Inputs'!$AN$3=2,IF((N180-$H180)&gt;0,N180-$H180,0),(xSPRDOPT(N180,$E180,$BU180,0,$BP180,$BS180,$BT180,($A180-Inputs!$D$1)+15,1,0)))))</f>
        <v> </v>
      </c>
      <c r="V180" s="281" t="str">
        <f aca="false">IF($A180="N/A"," ",(IF('Pricing Inputs'!$AN$8=2,(O180-$H180),IF((O180-$H180)&lt;=0,0,(O180-$H180)))))</f>
        <v> </v>
      </c>
      <c r="W180" s="282" t="str">
        <f aca="false">IF($A180="N/A"," ",IF(0&lt;&gt;P180,IF('Pricing Inputs'!$AN$3=2,8*VLOOKUP($A180,NumberofDaysTable,2),(xSPRDOPT(I180,$E180,$BU180,0,$BP180,$BS180,$BT180,$A180-Inputs!$D$1,1,1))*(8*VLOOKUP($A180,NumberofDaysTable,2))),0))</f>
        <v> </v>
      </c>
      <c r="X180" s="282" t="str">
        <f aca="false">IF($A180="N/A"," ",IF(Q180&lt;&gt;0,IF('Pricing Inputs'!$AN$3=2,8*VLOOKUP($A180,NumberofDaysTable,2),(xSPRDOPT(J180,$E180,$BU180,0,$BP180,$BS180,$BT180,$A180-Inputs!$D$1,1,1))*(8*VLOOKUP($A180,NumberofDaysTable,2))),0))</f>
        <v> </v>
      </c>
      <c r="Y180" s="282" t="str">
        <f aca="false">IF($A180="N/A"," ",IF(R180&lt;&gt;0,IF('Pricing Inputs'!$AN$3=2,8*VLOOKUP($A180,NumberofDaysTable,3),(xSPRDOPT(K180,$E180,$BU180,0,$BP180,$BS180,$BT180,$A180-Inputs!$D$1,1,1))*(8*VLOOKUP($A180,NumberofDaysTable,3))),0))</f>
        <v> </v>
      </c>
      <c r="Z180" s="282" t="str">
        <f aca="false">IF($A180="N/A"," ",IF(S180&lt;&gt;0,IF('Pricing Inputs'!$AN$3=2,8*VLOOKUP($A180,NumberofDaysTable,3),(xSPRDOPT(L180,$E180,$BU180,0,$BP180,$BS180,$BT180,$A180-Inputs!$D$1,1,1))*(8*VLOOKUP($A180,NumberofDaysTable,3))),0))</f>
        <v> </v>
      </c>
      <c r="AA180" s="282" t="str">
        <f aca="false">IF($A180="N/A"," ",IF(T180&lt;&gt;0,IF('Pricing Inputs'!$AN$3=2,8*VLOOKUP($A180,NumberofDaysTable,4),(xSPRDOPT(M180,$E180,$BU180,0,$BP180,$BS180,$BT180,$A180-Inputs!$D$1,1,1))*(8*VLOOKUP($A180,NumberofDaysTable,4))),0))</f>
        <v> </v>
      </c>
      <c r="AB180" s="282" t="str">
        <f aca="false">IF($A180="N/A"," ",IF(U180&lt;&gt;0,IF('Pricing Inputs'!$AN$3=2,8*VLOOKUP($A180,NumberofDaysTable,4),(xSPRDOPT(N180,$E180,$BU180,0,$BP180,$BS180,$BT180,$A180-Inputs!$D$1,1,1))*(8*VLOOKUP($A180,NumberofDaysTable,4))),0))</f>
        <v> </v>
      </c>
      <c r="AC180" s="282" t="str">
        <f aca="false">IF($A180="N/A"," ",(IF(V180&lt;&gt;0,(8*VLOOKUP($A180,NumberofDaysTable,6)),0)))</f>
        <v> </v>
      </c>
      <c r="AD180" s="298" t="str">
        <f aca="false">IF($A180="N/A"," ",RANK(P180,$P$172:$V$183))</f>
        <v> </v>
      </c>
      <c r="AE180" s="299" t="str">
        <f aca="false">IF($A180="N/A"," ",RANK(Q180,$P$172:$V$183))</f>
        <v> </v>
      </c>
      <c r="AF180" s="299" t="str">
        <f aca="false">IF($A180="N/A"," ",RANK(R180,$P$172:$V$183))</f>
        <v> </v>
      </c>
      <c r="AG180" s="299" t="str">
        <f aca="false">IF($A180="N/A"," ",RANK(S180,$P$172:$V$183))</f>
        <v> </v>
      </c>
      <c r="AH180" s="299" t="str">
        <f aca="false">IF($A180="N/A"," ",RANK(T180,$P$172:$V$183))</f>
        <v> </v>
      </c>
      <c r="AI180" s="299" t="str">
        <f aca="false">IF($A180="N/A"," ",RANK(U180,$P$172:$V$183))</f>
        <v> </v>
      </c>
      <c r="AJ180" s="300" t="str">
        <f aca="false">IF($A180="N/A"," ",RANK(V180,$P$172:$V$183))</f>
        <v> </v>
      </c>
      <c r="AK180" s="286" t="str">
        <f aca="false">IF($A180="N/A"," ",IF(AD180&lt;=$AJ$2,W180,0))</f>
        <v> </v>
      </c>
      <c r="AL180" s="301" t="str">
        <f aca="false">IF($A180="N/A"," ",IF(AE180&lt;=$AJ$2,X180,0))</f>
        <v> </v>
      </c>
      <c r="AM180" s="301" t="str">
        <f aca="false">IF($A180="N/A"," ",IF(AF180&lt;=$AJ$2,Y180,0))</f>
        <v> </v>
      </c>
      <c r="AN180" s="301" t="str">
        <f aca="false">IF($A180="N/A"," ",IF(AG180&lt;=$AJ$2,Z180,0))</f>
        <v> </v>
      </c>
      <c r="AO180" s="301" t="str">
        <f aca="false">IF($A180="N/A"," ",IF(AH180&lt;=$AJ$2,AA180,0))</f>
        <v> </v>
      </c>
      <c r="AP180" s="301" t="str">
        <f aca="false">IF($A180="N/A"," ",IF(AI180&lt;=$AJ$2,AB180,0))</f>
        <v> </v>
      </c>
      <c r="AQ180" s="301" t="str">
        <f aca="false">IF($A180="N/A"," ",IF(AJ180&lt;=$AJ$2,AC180,0))</f>
        <v> </v>
      </c>
      <c r="AR180" s="300"/>
      <c r="AS180" s="288" t="str">
        <f aca="false">IF($A180="N/A"," ",IF(AND(AD180=$AJ$2+1,AK180=0),MIN($AR$183,W180),0))</f>
        <v> </v>
      </c>
      <c r="AT180" s="302" t="str">
        <f aca="false">IF($A180="N/A"," ",IF(AND(AE180=$AJ$2+1,AL180=0),MIN($AR$183,X180),0))</f>
        <v> </v>
      </c>
      <c r="AU180" s="302" t="str">
        <f aca="false">IF($A180="N/A"," ",IF(AND(AF180=$AJ$2+1,AM180=0),MIN($AR$183,Y180),0))</f>
        <v> </v>
      </c>
      <c r="AV180" s="302" t="str">
        <f aca="false">IF($A180="N/A"," ",IF(AND(AG180=$AJ$2+1,AN180=0),MIN($AR$183,Z180),0))</f>
        <v> </v>
      </c>
      <c r="AW180" s="302" t="str">
        <f aca="false">IF($A180="N/A"," ",IF(AND(AH180=$AJ$2+1,AO180=0),MIN($AR$183,AA180),0))</f>
        <v> </v>
      </c>
      <c r="AX180" s="302" t="str">
        <f aca="false">IF($A180="N/A"," ",IF(AND(AI180=$AJ$2+1,AP180=0),MIN($AR$183,AB180),0))</f>
        <v> </v>
      </c>
      <c r="AY180" s="302" t="str">
        <f aca="false">IF($A180="N/A"," ",IF(AND(AJ180=$AJ$2+1,AQ180=0),MIN($AR$183,AC180),0))</f>
        <v> </v>
      </c>
      <c r="AZ180" s="300"/>
      <c r="BA180" s="291" t="str">
        <f aca="false">IF($A180="N/A"," ",(IF(MONTH(A180)&gt;=4,IF(MONTH(A180)&lt;=10,Inputs!$F$13,Inputs!$F$14),Inputs!$F$14))*$BW180)</f>
        <v> </v>
      </c>
      <c r="BB180" s="292" t="str">
        <f aca="false">IF($A180="N/A"," ",(IF(AK180&gt;0,($BA180*(8*(VLOOKUP($A180,NumberofDaysTable,2)))*P180),0)+IF(AS180&gt;0,($BA180*((AS180))*P180),0)))</f>
        <v> </v>
      </c>
      <c r="BC180" s="292" t="str">
        <f aca="false">IF($A180="N/A"," ",(IF(AL180&gt;0,($BA180*(8*(VLOOKUP($A180,NumberofDaysTable,2)))*Q180),0)+IF(AT180&gt;0,($BA180*((AT180))*Q180),0)))</f>
        <v> </v>
      </c>
      <c r="BD180" s="292" t="str">
        <f aca="false">IF($A180="N/A"," ",(IF(AM180&gt;0,($BA180*(8*(VLOOKUP($A180,NumberofDaysTable,3)))*R180),0)+IF(AU180&gt;0,($BA180*((AU180))*R180),0)))</f>
        <v> </v>
      </c>
      <c r="BE180" s="292" t="str">
        <f aca="false">IF($A180="N/A"," ",(IF(AN180&gt;0,($BA180*(8*(VLOOKUP($A180,NumberofDaysTable,3)))*S180),0)+IF(AV180&gt;0,($BA180*((AV180))*S180),0)))</f>
        <v> </v>
      </c>
      <c r="BF180" s="292" t="str">
        <f aca="false">IF($A180="N/A"," ",(IF(AO180&gt;0,($BA180*(8*(VLOOKUP($A180,NumberofDaysTable,4)+VLOOKUP($A180,NumberofDaysTable,5)))*T180),0)+IF(AW180&gt;0,($BA180*((AW180))*T180),0)))</f>
        <v> </v>
      </c>
      <c r="BG180" s="292" t="str">
        <f aca="false">IF($A180="N/A"," ",(IF(AP180&gt;0,($BA180*(8*(VLOOKUP($A180,NumberofDaysTable,4)+VLOOKUP($A180,NumberofDaysTable,5)))*U180),0)+IF(AX180&gt;0,($BA180*((AX180))*U180),0)))</f>
        <v> </v>
      </c>
      <c r="BH180" s="292" t="str">
        <f aca="false">IF($A180="N/A"," ",($BA180*AQ180*V180))</f>
        <v> </v>
      </c>
      <c r="BI180" s="292" t="str">
        <f aca="false">IF($A180="N/A"," ",SUM(BB180:BH180))</f>
        <v> </v>
      </c>
      <c r="BJ180" s="293" t="str">
        <f aca="false">IF($A180="N/A"," ",(H180*(SUM(AK180:AQ180)+SUM(AS180:AY180))*BA180))</f>
        <v> </v>
      </c>
      <c r="BK180" s="293" t="str">
        <f aca="false">IF($A180="N/A"," ",((C180*D180)*(SUM($AK180:$AQ180)+SUM($AS180:$AY180))*$BA180))</f>
        <v> </v>
      </c>
      <c r="BL180" s="293" t="str">
        <f aca="false">IF($A180="N/A"," ",(F180*(SUM($AK180:$AQ180)+SUM($AS180:$AY180))*$BA180))</f>
        <v> </v>
      </c>
      <c r="BM180" s="293" t="str">
        <f aca="false">IF($A180="N/A"," ",(G180*(SUM($AK180:$AQ180)+SUM($AS180:$AY180))*$BA180))</f>
        <v> </v>
      </c>
      <c r="BN180" s="294" t="str">
        <f aca="false">IF(A180="N/A"," ",(VLOOKUP(A180,PowerVolTable,(IF('Pricing Inputs'!$AT$3=2,7,IF('Pricing Inputs'!$AT$3=1,6,8))),FALSE())))</f>
        <v> </v>
      </c>
      <c r="BO180" s="294" t="str">
        <f aca="false">IF(A180="N/A"," ",(VLOOKUP(A180,IntraPowerVol,(IF('Pricing Inputs'!$AT$3=2,3,IF('Pricing Inputs'!$AT$3=1,2,4))),FALSE())*VLOOKUP(MONTH($A180),Inputs!$A$28:$B$39,2)))</f>
        <v> </v>
      </c>
      <c r="BP180" s="295" t="str">
        <f aca="false">IF($A180="N/A"," ",(IF(DateToday&gt;$A180,$BO180,((($BN180^2)*((($A180-1)-DateToday)/((EOMONTH($A180,0)+1)-DateToday-15)))+((($BO180)^2)*((15)/((EOMONTH($A180,0)+1)-DateToday-15))))^0.5)))</f>
        <v> </v>
      </c>
      <c r="BQ180" s="294" t="str">
        <f aca="false">IF($A180="N/A"," ",(VLOOKUP($A180,GasVolTable,(IF('Pricing Inputs'!$AT$3=2,6,IF('Pricing Inputs'!$AT$3=1,7,5))),FALSE())))</f>
        <v> </v>
      </c>
      <c r="BR180" s="294" t="str">
        <f aca="false">IF($A180="N/A"," ",(VLOOKUP($A180,OmicronVol,(IF('Pricing Inputs'!$AT$3=2,3,IF('Pricing Inputs'!$AT$3=1,4,2))),FALSE())))</f>
        <v> </v>
      </c>
      <c r="BS180" s="295" t="str">
        <f aca="false">IF($A180="N/A"," ",IF('Pricing Inputs'!$AN$3=1,(IF(DateToday&gt;$A180,$BR180,((($BQ180^2)*((($A180-1)-DateToday)/((EOMONTH($A180,0)+1)-DateToday-15)))+((($BR180)^2)*((15)/((EOMONTH($A180,0)+1)-DateToday-15))))^0.5)),0.0001))</f>
        <v> </v>
      </c>
      <c r="BT180" s="294" t="str">
        <f aca="false">IF($A180="N/A"," ",IF('Pricing Inputs'!$AN$3=1,(VLOOKUP($A180,CorrelationTable,2,FALSE())),0))</f>
        <v> </v>
      </c>
      <c r="BU180" s="296" t="str">
        <f aca="false">IF($A180="N/A"," ",F180+G180+(D180*(VLOOKUP($A180,'Gas Curves'!$B$17:$P$310,14,FALSE()))))</f>
        <v> </v>
      </c>
      <c r="BV180" s="294" t="str">
        <f aca="false">IF($A180="N/A"," ",IF('Pricing Inputs'!$AW$3=1,0,(VLOOKUP($A180,InterestRatesTable,2))))</f>
        <v> </v>
      </c>
      <c r="BW180" s="297" t="str">
        <f aca="false">IF($A180="N/A"," ",(1+BV180/2)^(-2*((EOMONTH(A180,0)+20)-DateToday)/365.25))</f>
        <v> </v>
      </c>
    </row>
    <row r="181" customFormat="false" ht="12.75" hidden="false" customHeight="false" outlineLevel="0" collapsed="false">
      <c r="A181" s="272" t="str">
        <f aca="false">IF(A180="N/A","N/A",IF(EDATE(A180,1)&gt;Inputs!$K$3,"N/A",EDATE(A180,1)))</f>
        <v>N/A</v>
      </c>
      <c r="B181" s="273" t="str">
        <f aca="false">IF(A181="N/A"," ",YEAR(A181))</f>
        <v> </v>
      </c>
      <c r="C181" s="274" t="str">
        <f aca="false">IF(A181="N/A"," ",VLOOKUP(A181,ScaledPrice,10))</f>
        <v> </v>
      </c>
      <c r="D181" s="275" t="str">
        <f aca="false">IF(A181="N/A"," ",(VLOOKUP(MONTH($A181),Inputs!$A$14:$B$25,2))/1000)</f>
        <v> </v>
      </c>
      <c r="E181" s="276" t="str">
        <f aca="false">IF($A181="N/A"," ",C181*D181)</f>
        <v> </v>
      </c>
      <c r="F181" s="277" t="str">
        <f aca="false">IF(A181="N/A"," ",Inputs!$F$6)</f>
        <v> </v>
      </c>
      <c r="G181" s="277" t="str">
        <f aca="false">IF(A181="N/A"," ",Inputs!$F$9/IF(AND('Pricing Inputs'!$AQ$3&gt;=4,'Pricing Inputs'!$AQ$3&lt;=6),16,IF(AND('Pricing Inputs'!$AQ$3&gt;=7,'Pricing Inputs'!$AQ$3&lt;=9),8,24))/(BA181/BW181))</f>
        <v> </v>
      </c>
      <c r="H181" s="278" t="str">
        <f aca="false">IF(A181="N/A"," ",(C181*D181)+F181+G181)</f>
        <v> </v>
      </c>
      <c r="I181" s="279" t="str">
        <f aca="false">VLOOKUP(A181,ScaledPrice,(IF(AND('Pricing Inputs'!$AQ$3&gt;=1,'Pricing Inputs'!$AQ$3&lt;=6),2,4)))</f>
        <v> </v>
      </c>
      <c r="J181" s="279" t="str">
        <f aca="false">IF(A181="N/A"," ",IF(AND('Pricing Inputs'!$AQ$3&gt;=1,'Pricing Inputs'!$AQ$3&lt;=6),I181,(VLOOKUP(A181,ScaledPrice,2))*(2-(VLOOKUP(A181,ScaledPrice,3)))))</f>
        <v> </v>
      </c>
      <c r="K181" s="279" t="str">
        <f aca="false">IF(A181="N/A"," ",IF(OR('Pricing Inputs'!$AQ$3=2,'Pricing Inputs'!$AQ$3=3,'Pricing Inputs'!$AQ$3=5,'Pricing Inputs'!$AQ$3=6,'Pricing Inputs'!$AQ$3=8,'Pricing Inputs'!$AQ$3=9),VLOOKUP(A181,ScaledPrice,IF(AND('Pricing Inputs'!$AQ$3&gt;=2,'Pricing Inputs'!$AQ$3&lt;=6),5,6)),0))</f>
        <v> </v>
      </c>
      <c r="L181" s="279" t="str">
        <f aca="false">IF(A181="N/A"," ",IF(OR('Pricing Inputs'!$AQ$3=2,'Pricing Inputs'!$AQ$3=3,'Pricing Inputs'!$AQ$3=5,'Pricing Inputs'!$AQ$3=6,'Pricing Inputs'!$AQ$3=8,'Pricing Inputs'!$AQ$3=9),IF(AND('Pricing Inputs'!$AQ$3&gt;=2,'Pricing Inputs'!$AQ$3&lt;=6),K181,(VLOOKUP(A181,ScaledPrice,5))*(2-(VLOOKUP(A181,ScaledPrice,3)))),0))</f>
        <v> </v>
      </c>
      <c r="M181" s="279" t="str">
        <f aca="false">IF(A181="N/A"," ",IF(OR('Pricing Inputs'!$AQ$3=3,'Pricing Inputs'!$AQ$3=6,'Pricing Inputs'!$AQ$3=9),(VLOOKUP(A181,ScaledPrice,IF(AND('Pricing Inputs'!$AQ$3&gt;=3,'Pricing Inputs'!$AQ$3&lt;=6),7,8))),0))</f>
        <v> </v>
      </c>
      <c r="N181" s="279" t="str">
        <f aca="false">IF(A181="N/A"," ",IF(OR('Pricing Inputs'!$AQ$3=3,'Pricing Inputs'!$AQ$3=6,'Pricing Inputs'!$AQ$3=9),IF(AND('Pricing Inputs'!$AQ$3&gt;=3,'Pricing Inputs'!$AQ$3&lt;=6),M181,(VLOOKUP(A181,ScaledPrice,7))*(2-(VLOOKUP(A181,ScaledPrice,3)))),0))</f>
        <v> </v>
      </c>
      <c r="O181" s="279" t="str">
        <f aca="false">IF(A181="N/A"," ",IF(AND('Pricing Inputs'!$AQ$3&gt;=1,'Pricing Inputs'!$AQ$3&lt;=3),VLOOKUP(A181,ScaledPrice,9),0))</f>
        <v> </v>
      </c>
      <c r="P181" s="280" t="str">
        <f aca="false">IF($A181="N/A"," ",IF('Pricing Inputs'!$AN$8=2,(I181-H181),IF('Pricing Inputs'!$AN$3=2,IF((I181-$H181)&gt;0,I181-$H181,0),(xSPRDOPT(I181,$E181,$BU181,0,$BP181,$BS181,$BT181,($A181-Inputs!$D$1)+15,1,0)))))</f>
        <v> </v>
      </c>
      <c r="Q181" s="280" t="str">
        <f aca="false">IF($A181="N/A"," ",IF('Pricing Inputs'!$AN$8=2,(J181-$H181),IF('Pricing Inputs'!$AN$3=2,IF((J181-$H181)&gt;0,J181-$H181,0),(xSPRDOPT(J181,$E181,$BU181,0,$BP181,$BS181,$BT181,($A181-Inputs!$D$1)+15,1,0)))))</f>
        <v> </v>
      </c>
      <c r="R181" s="280" t="str">
        <f aca="false">IF($A181="N/A"," ",IF('Pricing Inputs'!$AN$8=2,(K181-$H181),IF('Pricing Inputs'!$AN$3=2,IF((K181-$H181)&gt;0,K181-$H181,0),(xSPRDOPT(K181,$E181,$BU181,0,$BP181,$BS181,$BT181,($A181-Inputs!$D$1)+15,1,0)))))</f>
        <v> </v>
      </c>
      <c r="S181" s="280" t="str">
        <f aca="false">IF($A181="N/A"," ",IF('Pricing Inputs'!$AN$8=2,(L181-$H181),IF('Pricing Inputs'!$AN$3=2,IF((L181-$H181)&gt;0,L181-$H181,0),(xSPRDOPT(L181,$E181,$BU181,0,$BP181,$BS181,$BT181,($A181-Inputs!$D$1)+15,1,0)))))</f>
        <v> </v>
      </c>
      <c r="T181" s="280" t="str">
        <f aca="false">IF($A181="N/A"," ",IF('Pricing Inputs'!$AN$8=2,(M181-$H181),IF('Pricing Inputs'!$AN$3=2,IF((M181-$H181)&gt;0,M181-$H181,0),(xSPRDOPT(M181,$E181,$BU181,0,$BP181,$BS181,$BT181,($A181-Inputs!$D$1)+15,1,0)))))</f>
        <v> </v>
      </c>
      <c r="U181" s="280" t="str">
        <f aca="false">IF($A181="N/A"," ",IF('Pricing Inputs'!$AN$8=2,(N181-$H181),IF('Pricing Inputs'!$AN$3=2,IF((N181-$H181)&gt;0,N181-$H181,0),(xSPRDOPT(N181,$E181,$BU181,0,$BP181,$BS181,$BT181,($A181-Inputs!$D$1)+15,1,0)))))</f>
        <v> </v>
      </c>
      <c r="V181" s="281" t="str">
        <f aca="false">IF($A181="N/A"," ",(IF('Pricing Inputs'!$AN$8=2,(O181-$H181),IF((O181-$H181)&lt;=0,0,(O181-$H181)))))</f>
        <v> </v>
      </c>
      <c r="W181" s="282" t="str">
        <f aca="false">IF($A181="N/A"," ",IF(0&lt;&gt;P181,IF('Pricing Inputs'!$AN$3=2,8*VLOOKUP($A181,NumberofDaysTable,2),(xSPRDOPT(I181,$E181,$BU181,0,$BP181,$BS181,$BT181,$A181-Inputs!$D$1,1,1))*(8*VLOOKUP($A181,NumberofDaysTable,2))),0))</f>
        <v> </v>
      </c>
      <c r="X181" s="282" t="str">
        <f aca="false">IF($A181="N/A"," ",IF(Q181&lt;&gt;0,IF('Pricing Inputs'!$AN$3=2,8*VLOOKUP($A181,NumberofDaysTable,2),(xSPRDOPT(J181,$E181,$BU181,0,$BP181,$BS181,$BT181,$A181-Inputs!$D$1,1,1))*(8*VLOOKUP($A181,NumberofDaysTable,2))),0))</f>
        <v> </v>
      </c>
      <c r="Y181" s="282" t="str">
        <f aca="false">IF($A181="N/A"," ",IF(R181&lt;&gt;0,IF('Pricing Inputs'!$AN$3=2,8*VLOOKUP($A181,NumberofDaysTable,3),(xSPRDOPT(K181,$E181,$BU181,0,$BP181,$BS181,$BT181,$A181-Inputs!$D$1,1,1))*(8*VLOOKUP($A181,NumberofDaysTable,3))),0))</f>
        <v> </v>
      </c>
      <c r="Z181" s="282" t="str">
        <f aca="false">IF($A181="N/A"," ",IF(S181&lt;&gt;0,IF('Pricing Inputs'!$AN$3=2,8*VLOOKUP($A181,NumberofDaysTable,3),(xSPRDOPT(L181,$E181,$BU181,0,$BP181,$BS181,$BT181,$A181-Inputs!$D$1,1,1))*(8*VLOOKUP($A181,NumberofDaysTable,3))),0))</f>
        <v> </v>
      </c>
      <c r="AA181" s="282" t="str">
        <f aca="false">IF($A181="N/A"," ",IF(T181&lt;&gt;0,IF('Pricing Inputs'!$AN$3=2,8*VLOOKUP($A181,NumberofDaysTable,4),(xSPRDOPT(M181,$E181,$BU181,0,$BP181,$BS181,$BT181,$A181-Inputs!$D$1,1,1))*(8*VLOOKUP($A181,NumberofDaysTable,4))),0))</f>
        <v> </v>
      </c>
      <c r="AB181" s="282" t="str">
        <f aca="false">IF($A181="N/A"," ",IF(U181&lt;&gt;0,IF('Pricing Inputs'!$AN$3=2,8*VLOOKUP($A181,NumberofDaysTable,4),(xSPRDOPT(N181,$E181,$BU181,0,$BP181,$BS181,$BT181,$A181-Inputs!$D$1,1,1))*(8*VLOOKUP($A181,NumberofDaysTable,4))),0))</f>
        <v> </v>
      </c>
      <c r="AC181" s="282" t="str">
        <f aca="false">IF($A181="N/A"," ",(IF(V181&lt;&gt;0,(8*VLOOKUP($A181,NumberofDaysTable,6)),0)))</f>
        <v> </v>
      </c>
      <c r="AD181" s="298" t="str">
        <f aca="false">IF($A181="N/A"," ",RANK(P181,$P$172:$V$183))</f>
        <v> </v>
      </c>
      <c r="AE181" s="299" t="str">
        <f aca="false">IF($A181="N/A"," ",RANK(Q181,$P$172:$V$183))</f>
        <v> </v>
      </c>
      <c r="AF181" s="299" t="str">
        <f aca="false">IF($A181="N/A"," ",RANK(R181,$P$172:$V$183))</f>
        <v> </v>
      </c>
      <c r="AG181" s="299" t="str">
        <f aca="false">IF($A181="N/A"," ",RANK(S181,$P$172:$V$183))</f>
        <v> </v>
      </c>
      <c r="AH181" s="299" t="str">
        <f aca="false">IF($A181="N/A"," ",RANK(T181,$P$172:$V$183))</f>
        <v> </v>
      </c>
      <c r="AI181" s="299" t="str">
        <f aca="false">IF($A181="N/A"," ",RANK(U181,$P$172:$V$183))</f>
        <v> </v>
      </c>
      <c r="AJ181" s="300" t="str">
        <f aca="false">IF($A181="N/A"," ",RANK(V181,$P$172:$V$183))</f>
        <v> </v>
      </c>
      <c r="AK181" s="286" t="str">
        <f aca="false">IF($A181="N/A"," ",IF(AD181&lt;=$AJ$2,W181,0))</f>
        <v> </v>
      </c>
      <c r="AL181" s="301" t="str">
        <f aca="false">IF($A181="N/A"," ",IF(AE181&lt;=$AJ$2,X181,0))</f>
        <v> </v>
      </c>
      <c r="AM181" s="301" t="str">
        <f aca="false">IF($A181="N/A"," ",IF(AF181&lt;=$AJ$2,Y181,0))</f>
        <v> </v>
      </c>
      <c r="AN181" s="301" t="str">
        <f aca="false">IF($A181="N/A"," ",IF(AG181&lt;=$AJ$2,Z181,0))</f>
        <v> </v>
      </c>
      <c r="AO181" s="301" t="str">
        <f aca="false">IF($A181="N/A"," ",IF(AH181&lt;=$AJ$2,AA181,0))</f>
        <v> </v>
      </c>
      <c r="AP181" s="301" t="str">
        <f aca="false">IF($A181="N/A"," ",IF(AI181&lt;=$AJ$2,AB181,0))</f>
        <v> </v>
      </c>
      <c r="AQ181" s="301" t="str">
        <f aca="false">IF($A181="N/A"," ",IF(AJ181&lt;=$AJ$2,AC181,0))</f>
        <v> </v>
      </c>
      <c r="AR181" s="304" t="s">
        <v>1301</v>
      </c>
      <c r="AS181" s="288" t="str">
        <f aca="false">IF($A181="N/A"," ",IF(AND(AD181=$AJ$2+1,AK181=0),MIN($AR$183,W181),0))</f>
        <v> </v>
      </c>
      <c r="AT181" s="302" t="str">
        <f aca="false">IF($A181="N/A"," ",IF(AND(AE181=$AJ$2+1,AL181=0),MIN($AR$183,X181),0))</f>
        <v> </v>
      </c>
      <c r="AU181" s="302" t="str">
        <f aca="false">IF($A181="N/A"," ",IF(AND(AF181=$AJ$2+1,AM181=0),MIN($AR$183,Y181),0))</f>
        <v> </v>
      </c>
      <c r="AV181" s="302" t="str">
        <f aca="false">IF($A181="N/A"," ",IF(AND(AG181=$AJ$2+1,AN181=0),MIN($AR$183,Z181),0))</f>
        <v> </v>
      </c>
      <c r="AW181" s="302" t="str">
        <f aca="false">IF($A181="N/A"," ",IF(AND(AH181=$AJ$2+1,AO181=0),MIN($AR$183,AA181),0))</f>
        <v> </v>
      </c>
      <c r="AX181" s="302" t="str">
        <f aca="false">IF($A181="N/A"," ",IF(AND(AI181=$AJ$2+1,AP181=0),MIN($AR$183,AB181),0))</f>
        <v> </v>
      </c>
      <c r="AY181" s="302" t="str">
        <f aca="false">IF($A181="N/A"," ",IF(AND(AJ181=$AJ$2+1,AQ181=0),MIN($AR$183,AC181),0))</f>
        <v> </v>
      </c>
      <c r="AZ181" s="303" t="s">
        <v>1328</v>
      </c>
      <c r="BA181" s="291" t="str">
        <f aca="false">IF($A181="N/A"," ",(IF(MONTH(A181)&gt;=4,IF(MONTH(A181)&lt;=10,Inputs!$F$13,Inputs!$F$14),Inputs!$F$14))*$BW181)</f>
        <v> </v>
      </c>
      <c r="BB181" s="292" t="str">
        <f aca="false">IF($A181="N/A"," ",(IF(AK181&gt;0,($BA181*(8*(VLOOKUP($A181,NumberofDaysTable,2)))*P181),0)+IF(AS181&gt;0,($BA181*((AS181))*P181),0)))</f>
        <v> </v>
      </c>
      <c r="BC181" s="292" t="str">
        <f aca="false">IF($A181="N/A"," ",(IF(AL181&gt;0,($BA181*(8*(VLOOKUP($A181,NumberofDaysTable,2)))*Q181),0)+IF(AT181&gt;0,($BA181*((AT181))*Q181),0)))</f>
        <v> </v>
      </c>
      <c r="BD181" s="292" t="str">
        <f aca="false">IF($A181="N/A"," ",(IF(AM181&gt;0,($BA181*(8*(VLOOKUP($A181,NumberofDaysTable,3)))*R181),0)+IF(AU181&gt;0,($BA181*((AU181))*R181),0)))</f>
        <v> </v>
      </c>
      <c r="BE181" s="292" t="str">
        <f aca="false">IF($A181="N/A"," ",(IF(AN181&gt;0,($BA181*(8*(VLOOKUP($A181,NumberofDaysTable,3)))*S181),0)+IF(AV181&gt;0,($BA181*((AV181))*S181),0)))</f>
        <v> </v>
      </c>
      <c r="BF181" s="292" t="str">
        <f aca="false">IF($A181="N/A"," ",(IF(AO181&gt;0,($BA181*(8*(VLOOKUP($A181,NumberofDaysTable,4)+VLOOKUP($A181,NumberofDaysTable,5)))*T181),0)+IF(AW181&gt;0,($BA181*((AW181))*T181),0)))</f>
        <v> </v>
      </c>
      <c r="BG181" s="292" t="str">
        <f aca="false">IF($A181="N/A"," ",(IF(AP181&gt;0,($BA181*(8*(VLOOKUP($A181,NumberofDaysTable,4)+VLOOKUP($A181,NumberofDaysTable,5)))*U181),0)+IF(AX181&gt;0,($BA181*((AX181))*U181),0)))</f>
        <v> </v>
      </c>
      <c r="BH181" s="292" t="str">
        <f aca="false">IF($A181="N/A"," ",($BA181*AQ181*V181))</f>
        <v> </v>
      </c>
      <c r="BI181" s="292" t="str">
        <f aca="false">IF($A181="N/A"," ",SUM(BB181:BH181))</f>
        <v> </v>
      </c>
      <c r="BJ181" s="293" t="str">
        <f aca="false">IF($A181="N/A"," ",(H181*(SUM(AK181:AQ181)+SUM(AS181:AY181))*BA181))</f>
        <v> </v>
      </c>
      <c r="BK181" s="293" t="str">
        <f aca="false">IF($A181="N/A"," ",((C181*D181)*(SUM($AK181:$AQ181)+SUM($AS181:$AY181))*$BA181))</f>
        <v> </v>
      </c>
      <c r="BL181" s="293" t="str">
        <f aca="false">IF($A181="N/A"," ",(F181*(SUM($AK181:$AQ181)+SUM($AS181:$AY181))*$BA181))</f>
        <v> </v>
      </c>
      <c r="BM181" s="293" t="str">
        <f aca="false">IF($A181="N/A"," ",(G181*(SUM($AK181:$AQ181)+SUM($AS181:$AY181))*$BA181))</f>
        <v> </v>
      </c>
      <c r="BN181" s="294" t="str">
        <f aca="false">IF(A181="N/A"," ",(VLOOKUP(A181,PowerVolTable,(IF('Pricing Inputs'!$AT$3=2,7,IF('Pricing Inputs'!$AT$3=1,6,8))),FALSE())))</f>
        <v> </v>
      </c>
      <c r="BO181" s="294" t="str">
        <f aca="false">IF(A181="N/A"," ",(VLOOKUP(A181,IntraPowerVol,(IF('Pricing Inputs'!$AT$3=2,3,IF('Pricing Inputs'!$AT$3=1,2,4))),FALSE())*VLOOKUP(MONTH($A181),Inputs!$A$28:$B$39,2)))</f>
        <v> </v>
      </c>
      <c r="BP181" s="295" t="str">
        <f aca="false">IF($A181="N/A"," ",(IF(DateToday&gt;$A181,$BO181,((($BN181^2)*((($A181-1)-DateToday)/((EOMONTH($A181,0)+1)-DateToday-15)))+((($BO181)^2)*((15)/((EOMONTH($A181,0)+1)-DateToday-15))))^0.5)))</f>
        <v> </v>
      </c>
      <c r="BQ181" s="294" t="str">
        <f aca="false">IF($A181="N/A"," ",(VLOOKUP($A181,GasVolTable,(IF('Pricing Inputs'!$AT$3=2,6,IF('Pricing Inputs'!$AT$3=1,7,5))),FALSE())))</f>
        <v> </v>
      </c>
      <c r="BR181" s="294" t="str">
        <f aca="false">IF($A181="N/A"," ",(VLOOKUP($A181,OmicronVol,(IF('Pricing Inputs'!$AT$3=2,3,IF('Pricing Inputs'!$AT$3=1,4,2))),FALSE())))</f>
        <v> </v>
      </c>
      <c r="BS181" s="295" t="str">
        <f aca="false">IF($A181="N/A"," ",IF('Pricing Inputs'!$AN$3=1,(IF(DateToday&gt;$A181,$BR181,((($BQ181^2)*((($A181-1)-DateToday)/((EOMONTH($A181,0)+1)-DateToday-15)))+((($BR181)^2)*((15)/((EOMONTH($A181,0)+1)-DateToday-15))))^0.5)),0.0001))</f>
        <v> </v>
      </c>
      <c r="BT181" s="294" t="str">
        <f aca="false">IF($A181="N/A"," ",IF('Pricing Inputs'!$AN$3=1,(VLOOKUP($A181,CorrelationTable,2,FALSE())),0))</f>
        <v> </v>
      </c>
      <c r="BU181" s="296" t="str">
        <f aca="false">IF($A181="N/A"," ",F181+G181+(D181*(VLOOKUP($A181,'Gas Curves'!$B$17:$P$310,14,FALSE()))))</f>
        <v> </v>
      </c>
      <c r="BV181" s="294" t="str">
        <f aca="false">IF($A181="N/A"," ",IF('Pricing Inputs'!$AW$3=1,0,(VLOOKUP($A181,InterestRatesTable,2))))</f>
        <v> </v>
      </c>
      <c r="BW181" s="297" t="str">
        <f aca="false">IF($A181="N/A"," ",(1+BV181/2)^(-2*((EOMONTH(A181,0)+20)-DateToday)/365.25))</f>
        <v> </v>
      </c>
    </row>
    <row r="182" customFormat="false" ht="12.75" hidden="false" customHeight="false" outlineLevel="0" collapsed="false">
      <c r="A182" s="272" t="str">
        <f aca="false">IF(A181="N/A","N/A",IF(EDATE(A181,1)&gt;Inputs!$K$3,"N/A",EDATE(A181,1)))</f>
        <v>N/A</v>
      </c>
      <c r="B182" s="273" t="str">
        <f aca="false">IF(A182="N/A"," ",YEAR(A182))</f>
        <v> </v>
      </c>
      <c r="C182" s="274" t="str">
        <f aca="false">IF(A182="N/A"," ",VLOOKUP(A182,ScaledPrice,10))</f>
        <v> </v>
      </c>
      <c r="D182" s="275" t="str">
        <f aca="false">IF(A182="N/A"," ",(VLOOKUP(MONTH($A182),Inputs!$A$14:$B$25,2))/1000)</f>
        <v> </v>
      </c>
      <c r="E182" s="276" t="str">
        <f aca="false">IF($A182="N/A"," ",C182*D182)</f>
        <v> </v>
      </c>
      <c r="F182" s="277" t="str">
        <f aca="false">IF(A182="N/A"," ",Inputs!$F$6)</f>
        <v> </v>
      </c>
      <c r="G182" s="277" t="str">
        <f aca="false">IF(A182="N/A"," ",Inputs!$F$9/IF(AND('Pricing Inputs'!$AQ$3&gt;=4,'Pricing Inputs'!$AQ$3&lt;=6),16,IF(AND('Pricing Inputs'!$AQ$3&gt;=7,'Pricing Inputs'!$AQ$3&lt;=9),8,24))/(BA182/BW182))</f>
        <v> </v>
      </c>
      <c r="H182" s="278" t="str">
        <f aca="false">IF(A182="N/A"," ",(C182*D182)+F182+G182)</f>
        <v> </v>
      </c>
      <c r="I182" s="279" t="str">
        <f aca="false">VLOOKUP(A182,ScaledPrice,(IF(AND('Pricing Inputs'!$AQ$3&gt;=1,'Pricing Inputs'!$AQ$3&lt;=6),2,4)))</f>
        <v> </v>
      </c>
      <c r="J182" s="279" t="str">
        <f aca="false">IF(A182="N/A"," ",IF(AND('Pricing Inputs'!$AQ$3&gt;=1,'Pricing Inputs'!$AQ$3&lt;=6),I182,(VLOOKUP(A182,ScaledPrice,2))*(2-(VLOOKUP(A182,ScaledPrice,3)))))</f>
        <v> </v>
      </c>
      <c r="K182" s="279" t="str">
        <f aca="false">IF(A182="N/A"," ",IF(OR('Pricing Inputs'!$AQ$3=2,'Pricing Inputs'!$AQ$3=3,'Pricing Inputs'!$AQ$3=5,'Pricing Inputs'!$AQ$3=6,'Pricing Inputs'!$AQ$3=8,'Pricing Inputs'!$AQ$3=9),VLOOKUP(A182,ScaledPrice,IF(AND('Pricing Inputs'!$AQ$3&gt;=2,'Pricing Inputs'!$AQ$3&lt;=6),5,6)),0))</f>
        <v> </v>
      </c>
      <c r="L182" s="279" t="str">
        <f aca="false">IF(A182="N/A"," ",IF(OR('Pricing Inputs'!$AQ$3=2,'Pricing Inputs'!$AQ$3=3,'Pricing Inputs'!$AQ$3=5,'Pricing Inputs'!$AQ$3=6,'Pricing Inputs'!$AQ$3=8,'Pricing Inputs'!$AQ$3=9),IF(AND('Pricing Inputs'!$AQ$3&gt;=2,'Pricing Inputs'!$AQ$3&lt;=6),K182,(VLOOKUP(A182,ScaledPrice,5))*(2-(VLOOKUP(A182,ScaledPrice,3)))),0))</f>
        <v> </v>
      </c>
      <c r="M182" s="279" t="str">
        <f aca="false">IF(A182="N/A"," ",IF(OR('Pricing Inputs'!$AQ$3=3,'Pricing Inputs'!$AQ$3=6,'Pricing Inputs'!$AQ$3=9),(VLOOKUP(A182,ScaledPrice,IF(AND('Pricing Inputs'!$AQ$3&gt;=3,'Pricing Inputs'!$AQ$3&lt;=6),7,8))),0))</f>
        <v> </v>
      </c>
      <c r="N182" s="279" t="str">
        <f aca="false">IF(A182="N/A"," ",IF(OR('Pricing Inputs'!$AQ$3=3,'Pricing Inputs'!$AQ$3=6,'Pricing Inputs'!$AQ$3=9),IF(AND('Pricing Inputs'!$AQ$3&gt;=3,'Pricing Inputs'!$AQ$3&lt;=6),M182,(VLOOKUP(A182,ScaledPrice,7))*(2-(VLOOKUP(A182,ScaledPrice,3)))),0))</f>
        <v> </v>
      </c>
      <c r="O182" s="279" t="str">
        <f aca="false">IF(A182="N/A"," ",IF(AND('Pricing Inputs'!$AQ$3&gt;=1,'Pricing Inputs'!$AQ$3&lt;=3),VLOOKUP(A182,ScaledPrice,9),0))</f>
        <v> </v>
      </c>
      <c r="P182" s="280" t="str">
        <f aca="false">IF($A182="N/A"," ",IF('Pricing Inputs'!$AN$8=2,(I182-H182),IF('Pricing Inputs'!$AN$3=2,IF((I182-$H182)&gt;0,I182-$H182,0),(xSPRDOPT(I182,$E182,$BU182,0,$BP182,$BS182,$BT182,($A182-Inputs!$D$1)+15,1,0)))))</f>
        <v> </v>
      </c>
      <c r="Q182" s="280" t="str">
        <f aca="false">IF($A182="N/A"," ",IF('Pricing Inputs'!$AN$8=2,(J182-$H182),IF('Pricing Inputs'!$AN$3=2,IF((J182-$H182)&gt;0,J182-$H182,0),(xSPRDOPT(J182,$E182,$BU182,0,$BP182,$BS182,$BT182,($A182-Inputs!$D$1)+15,1,0)))))</f>
        <v> </v>
      </c>
      <c r="R182" s="280" t="str">
        <f aca="false">IF($A182="N/A"," ",IF('Pricing Inputs'!$AN$8=2,(K182-$H182),IF('Pricing Inputs'!$AN$3=2,IF((K182-$H182)&gt;0,K182-$H182,0),(xSPRDOPT(K182,$E182,$BU182,0,$BP182,$BS182,$BT182,($A182-Inputs!$D$1)+15,1,0)))))</f>
        <v> </v>
      </c>
      <c r="S182" s="280" t="str">
        <f aca="false">IF($A182="N/A"," ",IF('Pricing Inputs'!$AN$8=2,(L182-$H182),IF('Pricing Inputs'!$AN$3=2,IF((L182-$H182)&gt;0,L182-$H182,0),(xSPRDOPT(L182,$E182,$BU182,0,$BP182,$BS182,$BT182,($A182-Inputs!$D$1)+15,1,0)))))</f>
        <v> </v>
      </c>
      <c r="T182" s="280" t="str">
        <f aca="false">IF($A182="N/A"," ",IF('Pricing Inputs'!$AN$8=2,(M182-$H182),IF('Pricing Inputs'!$AN$3=2,IF((M182-$H182)&gt;0,M182-$H182,0),(xSPRDOPT(M182,$E182,$BU182,0,$BP182,$BS182,$BT182,($A182-Inputs!$D$1)+15,1,0)))))</f>
        <v> </v>
      </c>
      <c r="U182" s="280" t="str">
        <f aca="false">IF($A182="N/A"," ",IF('Pricing Inputs'!$AN$8=2,(N182-$H182),IF('Pricing Inputs'!$AN$3=2,IF((N182-$H182)&gt;0,N182-$H182,0),(xSPRDOPT(N182,$E182,$BU182,0,$BP182,$BS182,$BT182,($A182-Inputs!$D$1)+15,1,0)))))</f>
        <v> </v>
      </c>
      <c r="V182" s="281" t="str">
        <f aca="false">IF($A182="N/A"," ",(IF('Pricing Inputs'!$AN$8=2,(O182-$H182),IF((O182-$H182)&lt;=0,0,(O182-$H182)))))</f>
        <v> </v>
      </c>
      <c r="W182" s="282" t="str">
        <f aca="false">IF($A182="N/A"," ",IF(0&lt;&gt;P182,IF('Pricing Inputs'!$AN$3=2,8*VLOOKUP($A182,NumberofDaysTable,2),(xSPRDOPT(I182,$E182,$BU182,0,$BP182,$BS182,$BT182,$A182-Inputs!$D$1,1,1))*(8*VLOOKUP($A182,NumberofDaysTable,2))),0))</f>
        <v> </v>
      </c>
      <c r="X182" s="282" t="str">
        <f aca="false">IF($A182="N/A"," ",IF(Q182&lt;&gt;0,IF('Pricing Inputs'!$AN$3=2,8*VLOOKUP($A182,NumberofDaysTable,2),(xSPRDOPT(J182,$E182,$BU182,0,$BP182,$BS182,$BT182,$A182-Inputs!$D$1,1,1))*(8*VLOOKUP($A182,NumberofDaysTable,2))),0))</f>
        <v> </v>
      </c>
      <c r="Y182" s="282" t="str">
        <f aca="false">IF($A182="N/A"," ",IF(R182&lt;&gt;0,IF('Pricing Inputs'!$AN$3=2,8*VLOOKUP($A182,NumberofDaysTable,3),(xSPRDOPT(K182,$E182,$BU182,0,$BP182,$BS182,$BT182,$A182-Inputs!$D$1,1,1))*(8*VLOOKUP($A182,NumberofDaysTable,3))),0))</f>
        <v> </v>
      </c>
      <c r="Z182" s="282" t="str">
        <f aca="false">IF($A182="N/A"," ",IF(S182&lt;&gt;0,IF('Pricing Inputs'!$AN$3=2,8*VLOOKUP($A182,NumberofDaysTable,3),(xSPRDOPT(L182,$E182,$BU182,0,$BP182,$BS182,$BT182,$A182-Inputs!$D$1,1,1))*(8*VLOOKUP($A182,NumberofDaysTable,3))),0))</f>
        <v> </v>
      </c>
      <c r="AA182" s="282" t="str">
        <f aca="false">IF($A182="N/A"," ",IF(T182&lt;&gt;0,IF('Pricing Inputs'!$AN$3=2,8*VLOOKUP($A182,NumberofDaysTable,4),(xSPRDOPT(M182,$E182,$BU182,0,$BP182,$BS182,$BT182,$A182-Inputs!$D$1,1,1))*(8*VLOOKUP($A182,NumberofDaysTable,4))),0))</f>
        <v> </v>
      </c>
      <c r="AB182" s="282" t="str">
        <f aca="false">IF($A182="N/A"," ",IF(U182&lt;&gt;0,IF('Pricing Inputs'!$AN$3=2,8*VLOOKUP($A182,NumberofDaysTable,4),(xSPRDOPT(N182,$E182,$BU182,0,$BP182,$BS182,$BT182,$A182-Inputs!$D$1,1,1))*(8*VLOOKUP($A182,NumberofDaysTable,4))),0))</f>
        <v> </v>
      </c>
      <c r="AC182" s="282" t="str">
        <f aca="false">IF($A182="N/A"," ",(IF(V182&lt;&gt;0,(8*VLOOKUP($A182,NumberofDaysTable,6)),0)))</f>
        <v> </v>
      </c>
      <c r="AD182" s="298" t="str">
        <f aca="false">IF($A182="N/A"," ",RANK(P182,$P$172:$V$183))</f>
        <v> </v>
      </c>
      <c r="AE182" s="299" t="str">
        <f aca="false">IF($A182="N/A"," ",RANK(Q182,$P$172:$V$183))</f>
        <v> </v>
      </c>
      <c r="AF182" s="299" t="str">
        <f aca="false">IF($A182="N/A"," ",RANK(R182,$P$172:$V$183))</f>
        <v> </v>
      </c>
      <c r="AG182" s="299" t="str">
        <f aca="false">IF($A182="N/A"," ",RANK(S182,$P$172:$V$183))</f>
        <v> </v>
      </c>
      <c r="AH182" s="299" t="str">
        <f aca="false">IF($A182="N/A"," ",RANK(T182,$P$172:$V$183))</f>
        <v> </v>
      </c>
      <c r="AI182" s="299" t="str">
        <f aca="false">IF($A182="N/A"," ",RANK(U182,$P$172:$V$183))</f>
        <v> </v>
      </c>
      <c r="AJ182" s="300" t="str">
        <f aca="false">IF($A182="N/A"," ",RANK(V182,$P$172:$V$183))</f>
        <v> </v>
      </c>
      <c r="AK182" s="286" t="str">
        <f aca="false">IF($A182="N/A"," ",IF(AD182&lt;=$AJ$2,W182,0))</f>
        <v> </v>
      </c>
      <c r="AL182" s="301" t="str">
        <f aca="false">IF($A182="N/A"," ",IF(AE182&lt;=$AJ$2,X182,0))</f>
        <v> </v>
      </c>
      <c r="AM182" s="301" t="str">
        <f aca="false">IF($A182="N/A"," ",IF(AF182&lt;=$AJ$2,Y182,0))</f>
        <v> </v>
      </c>
      <c r="AN182" s="301" t="str">
        <f aca="false">IF($A182="N/A"," ",IF(AG182&lt;=$AJ$2,Z182,0))</f>
        <v> </v>
      </c>
      <c r="AO182" s="301" t="str">
        <f aca="false">IF($A182="N/A"," ",IF(AH182&lt;=$AJ$2,AA182,0))</f>
        <v> </v>
      </c>
      <c r="AP182" s="301" t="str">
        <f aca="false">IF($A182="N/A"," ",IF(AI182&lt;=$AJ$2,AB182,0))</f>
        <v> </v>
      </c>
      <c r="AQ182" s="301" t="str">
        <f aca="false">IF($A182="N/A"," ",IF(AJ182&lt;=$AJ$2,AC182,0))</f>
        <v> </v>
      </c>
      <c r="AR182" s="300" t="n">
        <f aca="false">SUM(AK172:AQ183)</f>
        <v>0</v>
      </c>
      <c r="AS182" s="288" t="str">
        <f aca="false">IF($A182="N/A"," ",IF(AND(AD182=$AJ$2+1,AK182=0),MIN($AR$183,W182),0))</f>
        <v> </v>
      </c>
      <c r="AT182" s="302" t="str">
        <f aca="false">IF($A182="N/A"," ",IF(AND(AE182=$AJ$2+1,AL182=0),MIN($AR$183,X182),0))</f>
        <v> </v>
      </c>
      <c r="AU182" s="302" t="str">
        <f aca="false">IF($A182="N/A"," ",IF(AND(AF182=$AJ$2+1,AM182=0),MIN($AR$183,Y182),0))</f>
        <v> </v>
      </c>
      <c r="AV182" s="302" t="str">
        <f aca="false">IF($A182="N/A"," ",IF(AND(AG182=$AJ$2+1,AN182=0),MIN($AR$183,Z182),0))</f>
        <v> </v>
      </c>
      <c r="AW182" s="302" t="str">
        <f aca="false">IF($A182="N/A"," ",IF(AND(AH182=$AJ$2+1,AO182=0),MIN($AR$183,AA182),0))</f>
        <v> </v>
      </c>
      <c r="AX182" s="302" t="str">
        <f aca="false">IF($A182="N/A"," ",IF(AND(AI182=$AJ$2+1,AP182=0),MIN($AR$183,AB182),0))</f>
        <v> </v>
      </c>
      <c r="AY182" s="302" t="str">
        <f aca="false">IF($A182="N/A"," ",IF(AND(AJ182=$AJ$2+1,AQ182=0),MIN($AR$183,AC182),0))</f>
        <v> </v>
      </c>
      <c r="AZ182" s="300" t="n">
        <f aca="false">SUM(AS172:AY183)</f>
        <v>0</v>
      </c>
      <c r="BA182" s="291" t="str">
        <f aca="false">IF($A182="N/A"," ",(IF(MONTH(A182)&gt;=4,IF(MONTH(A182)&lt;=10,Inputs!$F$13,Inputs!$F$14),Inputs!$F$14))*$BW182)</f>
        <v> </v>
      </c>
      <c r="BB182" s="292" t="str">
        <f aca="false">IF($A182="N/A"," ",(IF(AK182&gt;0,($BA182*(8*(VLOOKUP($A182,NumberofDaysTable,2)))*P182),0)+IF(AS182&gt;0,($BA182*((AS182))*P182),0)))</f>
        <v> </v>
      </c>
      <c r="BC182" s="292" t="str">
        <f aca="false">IF($A182="N/A"," ",(IF(AL182&gt;0,($BA182*(8*(VLOOKUP($A182,NumberofDaysTable,2)))*Q182),0)+IF(AT182&gt;0,($BA182*((AT182))*Q182),0)))</f>
        <v> </v>
      </c>
      <c r="BD182" s="292" t="str">
        <f aca="false">IF($A182="N/A"," ",(IF(AM182&gt;0,($BA182*(8*(VLOOKUP($A182,NumberofDaysTable,3)))*R182),0)+IF(AU182&gt;0,($BA182*((AU182))*R182),0)))</f>
        <v> </v>
      </c>
      <c r="BE182" s="292" t="str">
        <f aca="false">IF($A182="N/A"," ",(IF(AN182&gt;0,($BA182*(8*(VLOOKUP($A182,NumberofDaysTable,3)))*S182),0)+IF(AV182&gt;0,($BA182*((AV182))*S182),0)))</f>
        <v> </v>
      </c>
      <c r="BF182" s="292" t="str">
        <f aca="false">IF($A182="N/A"," ",(IF(AO182&gt;0,($BA182*(8*(VLOOKUP($A182,NumberofDaysTable,4)+VLOOKUP($A182,NumberofDaysTable,5)))*T182),0)+IF(AW182&gt;0,($BA182*((AW182))*T182),0)))</f>
        <v> </v>
      </c>
      <c r="BG182" s="292" t="str">
        <f aca="false">IF($A182="N/A"," ",(IF(AP182&gt;0,($BA182*(8*(VLOOKUP($A182,NumberofDaysTable,4)+VLOOKUP($A182,NumberofDaysTable,5)))*U182),0)+IF(AX182&gt;0,($BA182*((AX182))*U182),0)))</f>
        <v> </v>
      </c>
      <c r="BH182" s="292" t="str">
        <f aca="false">IF($A182="N/A"," ",($BA182*AQ182*V182))</f>
        <v> </v>
      </c>
      <c r="BI182" s="292" t="str">
        <f aca="false">IF($A182="N/A"," ",SUM(BB182:BH182))</f>
        <v> </v>
      </c>
      <c r="BJ182" s="293" t="str">
        <f aca="false">IF($A182="N/A"," ",(H182*(SUM(AK182:AQ182)+SUM(AS182:AY182))*BA182))</f>
        <v> </v>
      </c>
      <c r="BK182" s="293" t="str">
        <f aca="false">IF($A182="N/A"," ",((C182*D182)*(SUM($AK182:$AQ182)+SUM($AS182:$AY182))*$BA182))</f>
        <v> </v>
      </c>
      <c r="BL182" s="293" t="str">
        <f aca="false">IF($A182="N/A"," ",(F182*(SUM($AK182:$AQ182)+SUM($AS182:$AY182))*$BA182))</f>
        <v> </v>
      </c>
      <c r="BM182" s="293" t="str">
        <f aca="false">IF($A182="N/A"," ",(G182*(SUM($AK182:$AQ182)+SUM($AS182:$AY182))*$BA182))</f>
        <v> </v>
      </c>
      <c r="BN182" s="294" t="str">
        <f aca="false">IF(A182="N/A"," ",(VLOOKUP(A182,PowerVolTable,(IF('Pricing Inputs'!$AT$3=2,7,IF('Pricing Inputs'!$AT$3=1,6,8))),FALSE())))</f>
        <v> </v>
      </c>
      <c r="BO182" s="294" t="str">
        <f aca="false">IF(A182="N/A"," ",(VLOOKUP(A182,IntraPowerVol,(IF('Pricing Inputs'!$AT$3=2,3,IF('Pricing Inputs'!$AT$3=1,2,4))),FALSE())*VLOOKUP(MONTH($A182),Inputs!$A$28:$B$39,2)))</f>
        <v> </v>
      </c>
      <c r="BP182" s="295" t="str">
        <f aca="false">IF($A182="N/A"," ",(IF(DateToday&gt;$A182,$BO182,((($BN182^2)*((($A182-1)-DateToday)/((EOMONTH($A182,0)+1)-DateToday-15)))+((($BO182)^2)*((15)/((EOMONTH($A182,0)+1)-DateToday-15))))^0.5)))</f>
        <v> </v>
      </c>
      <c r="BQ182" s="294" t="str">
        <f aca="false">IF($A182="N/A"," ",(VLOOKUP($A182,GasVolTable,(IF('Pricing Inputs'!$AT$3=2,6,IF('Pricing Inputs'!$AT$3=1,7,5))),FALSE())))</f>
        <v> </v>
      </c>
      <c r="BR182" s="294" t="str">
        <f aca="false">IF($A182="N/A"," ",(VLOOKUP($A182,OmicronVol,(IF('Pricing Inputs'!$AT$3=2,3,IF('Pricing Inputs'!$AT$3=1,4,2))),FALSE())))</f>
        <v> </v>
      </c>
      <c r="BS182" s="295" t="str">
        <f aca="false">IF($A182="N/A"," ",IF('Pricing Inputs'!$AN$3=1,(IF(DateToday&gt;$A182,$BR182,((($BQ182^2)*((($A182-1)-DateToday)/((EOMONTH($A182,0)+1)-DateToday-15)))+((($BR182)^2)*((15)/((EOMONTH($A182,0)+1)-DateToday-15))))^0.5)),0.0001))</f>
        <v> </v>
      </c>
      <c r="BT182" s="294" t="str">
        <f aca="false">IF($A182="N/A"," ",IF('Pricing Inputs'!$AN$3=1,(VLOOKUP($A182,CorrelationTable,2,FALSE())),0))</f>
        <v> </v>
      </c>
      <c r="BU182" s="296" t="str">
        <f aca="false">IF($A182="N/A"," ",F182+G182+(D182*(VLOOKUP($A182,'Gas Curves'!$B$17:$P$310,14,FALSE()))))</f>
        <v> </v>
      </c>
      <c r="BV182" s="294" t="str">
        <f aca="false">IF($A182="N/A"," ",IF('Pricing Inputs'!$AW$3=1,0,(VLOOKUP($A182,InterestRatesTable,2))))</f>
        <v> </v>
      </c>
      <c r="BW182" s="297" t="str">
        <f aca="false">IF($A182="N/A"," ",(1+BV182/2)^(-2*((EOMONTH(A182,0)+20)-DateToday)/365.25))</f>
        <v> </v>
      </c>
    </row>
    <row r="183" customFormat="false" ht="12.75" hidden="false" customHeight="false" outlineLevel="0" collapsed="false">
      <c r="A183" s="272" t="str">
        <f aca="false">IF(A182="N/A","N/A",IF(EDATE(A182,1)&gt;Inputs!$K$3,"N/A",EDATE(A182,1)))</f>
        <v>N/A</v>
      </c>
      <c r="B183" s="273" t="str">
        <f aca="false">IF(A183="N/A"," ",YEAR(A183))</f>
        <v> </v>
      </c>
      <c r="C183" s="274" t="str">
        <f aca="false">IF(A183="N/A"," ",VLOOKUP(A183,ScaledPrice,10))</f>
        <v> </v>
      </c>
      <c r="D183" s="275" t="str">
        <f aca="false">IF(A183="N/A"," ",(VLOOKUP(MONTH($A183),Inputs!$A$14:$B$25,2))/1000)</f>
        <v> </v>
      </c>
      <c r="E183" s="276" t="str">
        <f aca="false">IF($A183="N/A"," ",C183*D183)</f>
        <v> </v>
      </c>
      <c r="F183" s="277" t="str">
        <f aca="false">IF(A183="N/A"," ",Inputs!$F$6)</f>
        <v> </v>
      </c>
      <c r="G183" s="277" t="str">
        <f aca="false">IF(A183="N/A"," ",Inputs!$F$9/IF(AND('Pricing Inputs'!$AQ$3&gt;=4,'Pricing Inputs'!$AQ$3&lt;=6),16,IF(AND('Pricing Inputs'!$AQ$3&gt;=7,'Pricing Inputs'!$AQ$3&lt;=9),8,24))/(BA183/BW183))</f>
        <v> </v>
      </c>
      <c r="H183" s="278" t="str">
        <f aca="false">IF(A183="N/A"," ",(C183*D183)+F183+G183)</f>
        <v> </v>
      </c>
      <c r="I183" s="279" t="str">
        <f aca="false">VLOOKUP(A183,ScaledPrice,(IF(AND('Pricing Inputs'!$AQ$3&gt;=1,'Pricing Inputs'!$AQ$3&lt;=6),2,4)))</f>
        <v> </v>
      </c>
      <c r="J183" s="279" t="str">
        <f aca="false">IF(A183="N/A"," ",IF(AND('Pricing Inputs'!$AQ$3&gt;=1,'Pricing Inputs'!$AQ$3&lt;=6),I183,(VLOOKUP(A183,ScaledPrice,2))*(2-(VLOOKUP(A183,ScaledPrice,3)))))</f>
        <v> </v>
      </c>
      <c r="K183" s="279" t="str">
        <f aca="false">IF(A183="N/A"," ",IF(OR('Pricing Inputs'!$AQ$3=2,'Pricing Inputs'!$AQ$3=3,'Pricing Inputs'!$AQ$3=5,'Pricing Inputs'!$AQ$3=6,'Pricing Inputs'!$AQ$3=8,'Pricing Inputs'!$AQ$3=9),VLOOKUP(A183,ScaledPrice,IF(AND('Pricing Inputs'!$AQ$3&gt;=2,'Pricing Inputs'!$AQ$3&lt;=6),5,6)),0))</f>
        <v> </v>
      </c>
      <c r="L183" s="279" t="str">
        <f aca="false">IF(A183="N/A"," ",IF(OR('Pricing Inputs'!$AQ$3=2,'Pricing Inputs'!$AQ$3=3,'Pricing Inputs'!$AQ$3=5,'Pricing Inputs'!$AQ$3=6,'Pricing Inputs'!$AQ$3=8,'Pricing Inputs'!$AQ$3=9),IF(AND('Pricing Inputs'!$AQ$3&gt;=2,'Pricing Inputs'!$AQ$3&lt;=6),K183,(VLOOKUP(A183,ScaledPrice,5))*(2-(VLOOKUP(A183,ScaledPrice,3)))),0))</f>
        <v> </v>
      </c>
      <c r="M183" s="279" t="str">
        <f aca="false">IF(A183="N/A"," ",IF(OR('Pricing Inputs'!$AQ$3=3,'Pricing Inputs'!$AQ$3=6,'Pricing Inputs'!$AQ$3=9),(VLOOKUP(A183,ScaledPrice,IF(AND('Pricing Inputs'!$AQ$3&gt;=3,'Pricing Inputs'!$AQ$3&lt;=6),7,8))),0))</f>
        <v> </v>
      </c>
      <c r="N183" s="279" t="str">
        <f aca="false">IF(A183="N/A"," ",IF(OR('Pricing Inputs'!$AQ$3=3,'Pricing Inputs'!$AQ$3=6,'Pricing Inputs'!$AQ$3=9),IF(AND('Pricing Inputs'!$AQ$3&gt;=3,'Pricing Inputs'!$AQ$3&lt;=6),M183,(VLOOKUP(A183,ScaledPrice,7))*(2-(VLOOKUP(A183,ScaledPrice,3)))),0))</f>
        <v> </v>
      </c>
      <c r="O183" s="279" t="str">
        <f aca="false">IF(A183="N/A"," ",IF(AND('Pricing Inputs'!$AQ$3&gt;=1,'Pricing Inputs'!$AQ$3&lt;=3),VLOOKUP(A183,ScaledPrice,9),0))</f>
        <v> </v>
      </c>
      <c r="P183" s="280" t="str">
        <f aca="false">IF($A183="N/A"," ",IF('Pricing Inputs'!$AN$8=2,(I183-H183),IF('Pricing Inputs'!$AN$3=2,IF((I183-$H183)&gt;0,I183-$H183,0),(xSPRDOPT(I183,$E183,$BU183,0,$BP183,$BS183,$BT183,($A183-Inputs!$D$1)+15,1,0)))))</f>
        <v> </v>
      </c>
      <c r="Q183" s="280" t="str">
        <f aca="false">IF($A183="N/A"," ",IF('Pricing Inputs'!$AN$8=2,(J183-$H183),IF('Pricing Inputs'!$AN$3=2,IF((J183-$H183)&gt;0,J183-$H183,0),(xSPRDOPT(J183,$E183,$BU183,0,$BP183,$BS183,$BT183,($A183-Inputs!$D$1)+15,1,0)))))</f>
        <v> </v>
      </c>
      <c r="R183" s="280" t="str">
        <f aca="false">IF($A183="N/A"," ",IF('Pricing Inputs'!$AN$8=2,(K183-$H183),IF('Pricing Inputs'!$AN$3=2,IF((K183-$H183)&gt;0,K183-$H183,0),(xSPRDOPT(K183,$E183,$BU183,0,$BP183,$BS183,$BT183,($A183-Inputs!$D$1)+15,1,0)))))</f>
        <v> </v>
      </c>
      <c r="S183" s="280" t="str">
        <f aca="false">IF($A183="N/A"," ",IF('Pricing Inputs'!$AN$8=2,(L183-$H183),IF('Pricing Inputs'!$AN$3=2,IF((L183-$H183)&gt;0,L183-$H183,0),(xSPRDOPT(L183,$E183,$BU183,0,$BP183,$BS183,$BT183,($A183-Inputs!$D$1)+15,1,0)))))</f>
        <v> </v>
      </c>
      <c r="T183" s="280" t="str">
        <f aca="false">IF($A183="N/A"," ",IF('Pricing Inputs'!$AN$8=2,(M183-$H183),IF('Pricing Inputs'!$AN$3=2,IF((M183-$H183)&gt;0,M183-$H183,0),(xSPRDOPT(M183,$E183,$BU183,0,$BP183,$BS183,$BT183,($A183-Inputs!$D$1)+15,1,0)))))</f>
        <v> </v>
      </c>
      <c r="U183" s="280" t="str">
        <f aca="false">IF($A183="N/A"," ",IF('Pricing Inputs'!$AN$8=2,(N183-$H183),IF('Pricing Inputs'!$AN$3=2,IF((N183-$H183)&gt;0,N183-$H183,0),(xSPRDOPT(N183,$E183,$BU183,0,$BP183,$BS183,$BT183,($A183-Inputs!$D$1)+15,1,0)))))</f>
        <v> </v>
      </c>
      <c r="V183" s="281" t="str">
        <f aca="false">IF($A183="N/A"," ",(IF('Pricing Inputs'!$AN$8=2,(O183-$H183),IF((O183-$H183)&lt;=0,0,(O183-$H183)))))</f>
        <v> </v>
      </c>
      <c r="W183" s="282" t="str">
        <f aca="false">IF($A183="N/A"," ",IF(0&lt;&gt;P183,IF('Pricing Inputs'!$AN$3=2,8*VLOOKUP($A183,NumberofDaysTable,2),(xSPRDOPT(I183,$E183,$BU183,0,$BP183,$BS183,$BT183,$A183-Inputs!$D$1,1,1))*(8*VLOOKUP($A183,NumberofDaysTable,2))),0))</f>
        <v> </v>
      </c>
      <c r="X183" s="282" t="str">
        <f aca="false">IF($A183="N/A"," ",IF(Q183&lt;&gt;0,IF('Pricing Inputs'!$AN$3=2,8*VLOOKUP($A183,NumberofDaysTable,2),(xSPRDOPT(J183,$E183,$BU183,0,$BP183,$BS183,$BT183,$A183-Inputs!$D$1,1,1))*(8*VLOOKUP($A183,NumberofDaysTable,2))),0))</f>
        <v> </v>
      </c>
      <c r="Y183" s="282" t="str">
        <f aca="false">IF($A183="N/A"," ",IF(R183&lt;&gt;0,IF('Pricing Inputs'!$AN$3=2,8*VLOOKUP($A183,NumberofDaysTable,3),(xSPRDOPT(K183,$E183,$BU183,0,$BP183,$BS183,$BT183,$A183-Inputs!$D$1,1,1))*(8*VLOOKUP($A183,NumberofDaysTable,3))),0))</f>
        <v> </v>
      </c>
      <c r="Z183" s="282" t="str">
        <f aca="false">IF($A183="N/A"," ",IF(S183&lt;&gt;0,IF('Pricing Inputs'!$AN$3=2,8*VLOOKUP($A183,NumberofDaysTable,3),(xSPRDOPT(L183,$E183,$BU183,0,$BP183,$BS183,$BT183,$A183-Inputs!$D$1,1,1))*(8*VLOOKUP($A183,NumberofDaysTable,3))),0))</f>
        <v> </v>
      </c>
      <c r="AA183" s="282" t="str">
        <f aca="false">IF($A183="N/A"," ",IF(T183&lt;&gt;0,IF('Pricing Inputs'!$AN$3=2,8*VLOOKUP($A183,NumberofDaysTable,4),(xSPRDOPT(M183,$E183,$BU183,0,$BP183,$BS183,$BT183,$A183-Inputs!$D$1,1,1))*(8*VLOOKUP($A183,NumberofDaysTable,4))),0))</f>
        <v> </v>
      </c>
      <c r="AB183" s="282" t="str">
        <f aca="false">IF($A183="N/A"," ",IF(U183&lt;&gt;0,IF('Pricing Inputs'!$AN$3=2,8*VLOOKUP($A183,NumberofDaysTable,4),(xSPRDOPT(N183,$E183,$BU183,0,$BP183,$BS183,$BT183,$A183-Inputs!$D$1,1,1))*(8*VLOOKUP($A183,NumberofDaysTable,4))),0))</f>
        <v> </v>
      </c>
      <c r="AC183" s="282" t="str">
        <f aca="false">IF($A183="N/A"," ",(IF(V183&lt;&gt;0,(8*VLOOKUP($A183,NumberofDaysTable,6)),0)))</f>
        <v> </v>
      </c>
      <c r="AD183" s="305" t="str">
        <f aca="false">IF($A183="N/A"," ",RANK(P183,$P$172:$V$183))</f>
        <v> </v>
      </c>
      <c r="AE183" s="306" t="str">
        <f aca="false">IF($A183="N/A"," ",RANK(Q183,$P$172:$V$183))</f>
        <v> </v>
      </c>
      <c r="AF183" s="306" t="str">
        <f aca="false">IF($A183="N/A"," ",RANK(R183,$P$172:$V$183))</f>
        <v> </v>
      </c>
      <c r="AG183" s="306" t="str">
        <f aca="false">IF($A183="N/A"," ",RANK(S183,$P$172:$V$183))</f>
        <v> </v>
      </c>
      <c r="AH183" s="306" t="str">
        <f aca="false">IF($A183="N/A"," ",RANK(T183,$P$172:$V$183))</f>
        <v> </v>
      </c>
      <c r="AI183" s="306" t="str">
        <f aca="false">IF($A183="N/A"," ",RANK(U183,$P$172:$V$183))</f>
        <v> </v>
      </c>
      <c r="AJ183" s="307" t="str">
        <f aca="false">IF($A183="N/A"," ",RANK(V183,$P$172:$V$183))</f>
        <v> </v>
      </c>
      <c r="AK183" s="308" t="str">
        <f aca="false">IF($A183="N/A"," ",IF(AD183&lt;=$AJ$2,W183,0))</f>
        <v> </v>
      </c>
      <c r="AL183" s="309" t="str">
        <f aca="false">IF($A183="N/A"," ",IF(AE183&lt;=$AJ$2,X183,0))</f>
        <v> </v>
      </c>
      <c r="AM183" s="309" t="str">
        <f aca="false">IF($A183="N/A"," ",IF(AF183&lt;=$AJ$2,Y183,0))</f>
        <v> </v>
      </c>
      <c r="AN183" s="309" t="str">
        <f aca="false">IF($A183="N/A"," ",IF(AG183&lt;=$AJ$2,Z183,0))</f>
        <v> </v>
      </c>
      <c r="AO183" s="309" t="str">
        <f aca="false">IF($A183="N/A"," ",IF(AH183&lt;=$AJ$2,AA183,0))</f>
        <v> </v>
      </c>
      <c r="AP183" s="309" t="str">
        <f aca="false">IF($A183="N/A"," ",IF(AI183&lt;=$AJ$2,AB183,0))</f>
        <v> </v>
      </c>
      <c r="AQ183" s="309" t="str">
        <f aca="false">IF($A183="N/A"," ",IF(AJ183&lt;=$AJ$2,AC183,0))</f>
        <v> </v>
      </c>
      <c r="AR183" s="307" t="n">
        <f aca="false">IF(($AP$2-AR182)&gt;=0,$AP$2-AR182,0)</f>
        <v>1400</v>
      </c>
      <c r="AS183" s="310" t="str">
        <f aca="false">IF($A183="N/A"," ",IF(AND(AD183=$AJ$2+1,AK183=0),MIN($AR$183,W183),0))</f>
        <v> </v>
      </c>
      <c r="AT183" s="311" t="str">
        <f aca="false">IF($A183="N/A"," ",IF(AND(AE183=$AJ$2+1,AL183=0),MIN($AR$183,X183),0))</f>
        <v> </v>
      </c>
      <c r="AU183" s="311" t="str">
        <f aca="false">IF($A183="N/A"," ",IF(AND(AF183=$AJ$2+1,AM183=0),MIN($AR$183,Y183),0))</f>
        <v> </v>
      </c>
      <c r="AV183" s="311" t="str">
        <f aca="false">IF($A183="N/A"," ",IF(AND(AG183=$AJ$2+1,AN183=0),MIN($AR$183,Z183),0))</f>
        <v> </v>
      </c>
      <c r="AW183" s="311" t="str">
        <f aca="false">IF($A183="N/A"," ",IF(AND(AH183=$AJ$2+1,AO183=0),MIN($AR$183,AA183),0))</f>
        <v> </v>
      </c>
      <c r="AX183" s="311" t="str">
        <f aca="false">IF($A183="N/A"," ",IF(AND(AI183=$AJ$2+1,AP183=0),MIN($AR$183,AB183),0))</f>
        <v> </v>
      </c>
      <c r="AY183" s="311" t="str">
        <f aca="false">IF($A183="N/A"," ",IF(AND(AJ183=$AJ$2+1,AQ183=0),MIN($AR$183,AC183),0))</f>
        <v> </v>
      </c>
      <c r="AZ183" s="312" t="n">
        <f aca="false">AR182+AZ182</f>
        <v>0</v>
      </c>
      <c r="BA183" s="291" t="str">
        <f aca="false">IF($A183="N/A"," ",(IF(MONTH(A183)&gt;=4,IF(MONTH(A183)&lt;=10,Inputs!$F$13,Inputs!$F$14),Inputs!$F$14))*$BW183)</f>
        <v> </v>
      </c>
      <c r="BB183" s="292" t="str">
        <f aca="false">IF($A183="N/A"," ",(IF(AK183&gt;0,($BA183*(8*(VLOOKUP($A183,NumberofDaysTable,2)))*P183),0)+IF(AS183&gt;0,($BA183*((AS183))*P183),0)))</f>
        <v> </v>
      </c>
      <c r="BC183" s="292" t="str">
        <f aca="false">IF($A183="N/A"," ",(IF(AL183&gt;0,($BA183*(8*(VLOOKUP($A183,NumberofDaysTable,2)))*Q183),0)+IF(AT183&gt;0,($BA183*((AT183))*Q183),0)))</f>
        <v> </v>
      </c>
      <c r="BD183" s="292" t="str">
        <f aca="false">IF($A183="N/A"," ",(IF(AM183&gt;0,($BA183*(8*(VLOOKUP($A183,NumberofDaysTable,3)))*R183),0)+IF(AU183&gt;0,($BA183*((AU183))*R183),0)))</f>
        <v> </v>
      </c>
      <c r="BE183" s="292" t="str">
        <f aca="false">IF($A183="N/A"," ",(IF(AN183&gt;0,($BA183*(8*(VLOOKUP($A183,NumberofDaysTable,3)))*S183),0)+IF(AV183&gt;0,($BA183*((AV183))*S183),0)))</f>
        <v> </v>
      </c>
      <c r="BF183" s="292" t="str">
        <f aca="false">IF($A183="N/A"," ",(IF(AO183&gt;0,($BA183*(8*(VLOOKUP($A183,NumberofDaysTable,4)+VLOOKUP($A183,NumberofDaysTable,5)))*T183),0)+IF(AW183&gt;0,($BA183*((AW183))*T183),0)))</f>
        <v> </v>
      </c>
      <c r="BG183" s="292" t="str">
        <f aca="false">IF($A183="N/A"," ",(IF(AP183&gt;0,($BA183*(8*(VLOOKUP($A183,NumberofDaysTable,4)+VLOOKUP($A183,NumberofDaysTable,5)))*U183),0)+IF(AX183&gt;0,($BA183*((AX183))*U183),0)))</f>
        <v> </v>
      </c>
      <c r="BH183" s="292" t="str">
        <f aca="false">IF($A183="N/A"," ",($BA183*AQ183*V183))</f>
        <v> </v>
      </c>
      <c r="BI183" s="292" t="str">
        <f aca="false">IF($A183="N/A"," ",SUM(BB183:BH183))</f>
        <v> </v>
      </c>
      <c r="BJ183" s="293" t="str">
        <f aca="false">IF($A183="N/A"," ",(H183*(SUM(AK183:AQ183)+SUM(AS183:AY183))*BA183))</f>
        <v> </v>
      </c>
      <c r="BK183" s="293" t="str">
        <f aca="false">IF($A183="N/A"," ",((C183*D183)*(SUM($AK183:$AQ183)+SUM($AS183:$AY183))*$BA183))</f>
        <v> </v>
      </c>
      <c r="BL183" s="293" t="str">
        <f aca="false">IF($A183="N/A"," ",(F183*(SUM($AK183:$AQ183)+SUM($AS183:$AY183))*$BA183))</f>
        <v> </v>
      </c>
      <c r="BM183" s="293" t="str">
        <f aca="false">IF($A183="N/A"," ",(G183*(SUM($AK183:$AQ183)+SUM($AS183:$AY183))*$BA183))</f>
        <v> </v>
      </c>
      <c r="BN183" s="294" t="str">
        <f aca="false">IF(A183="N/A"," ",(VLOOKUP(A183,PowerVolTable,(IF('Pricing Inputs'!$AT$3=2,7,IF('Pricing Inputs'!$AT$3=1,6,8))),FALSE())))</f>
        <v> </v>
      </c>
      <c r="BO183" s="294" t="str">
        <f aca="false">IF(A183="N/A"," ",(VLOOKUP(A183,IntraPowerVol,(IF('Pricing Inputs'!$AT$3=2,3,IF('Pricing Inputs'!$AT$3=1,2,4))),FALSE())*VLOOKUP(MONTH($A183),Inputs!$A$28:$B$39,2)))</f>
        <v> </v>
      </c>
      <c r="BP183" s="295" t="str">
        <f aca="false">IF($A183="N/A"," ",(IF(DateToday&gt;$A183,$BO183,((($BN183^2)*((($A183-1)-DateToday)/((EOMONTH($A183,0)+1)-DateToday-15)))+((($BO183)^2)*((15)/((EOMONTH($A183,0)+1)-DateToday-15))))^0.5)))</f>
        <v> </v>
      </c>
      <c r="BQ183" s="294" t="str">
        <f aca="false">IF($A183="N/A"," ",(VLOOKUP($A183,GasVolTable,(IF('Pricing Inputs'!$AT$3=2,6,IF('Pricing Inputs'!$AT$3=1,7,5))),FALSE())))</f>
        <v> </v>
      </c>
      <c r="BR183" s="294" t="str">
        <f aca="false">IF($A183="N/A"," ",(VLOOKUP($A183,OmicronVol,(IF('Pricing Inputs'!$AT$3=2,3,IF('Pricing Inputs'!$AT$3=1,4,2))),FALSE())))</f>
        <v> </v>
      </c>
      <c r="BS183" s="295" t="str">
        <f aca="false">IF($A183="N/A"," ",IF('Pricing Inputs'!$AN$3=1,(IF(DateToday&gt;$A183,$BR183,((($BQ183^2)*((($A183-1)-DateToday)/((EOMONTH($A183,0)+1)-DateToday-15)))+((($BR183)^2)*((15)/((EOMONTH($A183,0)+1)-DateToday-15))))^0.5)),0.0001))</f>
        <v> </v>
      </c>
      <c r="BT183" s="294" t="str">
        <f aca="false">IF($A183="N/A"," ",IF('Pricing Inputs'!$AN$3=1,(VLOOKUP($A183,CorrelationTable,2,FALSE())),0))</f>
        <v> </v>
      </c>
      <c r="BU183" s="296" t="str">
        <f aca="false">IF($A183="N/A"," ",F183+G183+(D183*(VLOOKUP($A183,'Gas Curves'!$B$17:$P$310,14,FALSE()))))</f>
        <v> </v>
      </c>
      <c r="BV183" s="294" t="str">
        <f aca="false">IF($A183="N/A"," ",IF('Pricing Inputs'!$AW$3=1,0,(VLOOKUP($A183,InterestRatesTable,2))))</f>
        <v> </v>
      </c>
      <c r="BW183" s="297" t="str">
        <f aca="false">IF($A183="N/A"," ",(1+BV183/2)^(-2*((EOMONTH(A183,0)+20)-DateToday)/365.25))</f>
        <v> </v>
      </c>
    </row>
    <row r="184" customFormat="false" ht="12.75" hidden="false" customHeight="false" outlineLevel="0" collapsed="false">
      <c r="A184" s="272" t="str">
        <f aca="false">IF(A183="N/A","N/A",IF(EDATE(A183,1)&gt;Inputs!$K$3,"N/A",EDATE(A183,1)))</f>
        <v>N/A</v>
      </c>
      <c r="B184" s="273" t="str">
        <f aca="false">IF(A184="N/A"," ",YEAR(A184))</f>
        <v> </v>
      </c>
      <c r="C184" s="274" t="str">
        <f aca="false">IF(A184="N/A"," ",VLOOKUP(A184,ScaledPrice,10))</f>
        <v> </v>
      </c>
      <c r="D184" s="275" t="str">
        <f aca="false">IF(A184="N/A"," ",(VLOOKUP(MONTH($A184),Inputs!$A$14:$B$25,2))/1000)</f>
        <v> </v>
      </c>
      <c r="E184" s="276" t="str">
        <f aca="false">IF($A184="N/A"," ",C184*D184)</f>
        <v> </v>
      </c>
      <c r="F184" s="277" t="str">
        <f aca="false">IF(A184="N/A"," ",Inputs!$F$6)</f>
        <v> </v>
      </c>
      <c r="G184" s="277" t="str">
        <f aca="false">IF(A184="N/A"," ",Inputs!$F$9/IF(AND('Pricing Inputs'!$AQ$3&gt;=4,'Pricing Inputs'!$AQ$3&lt;=6),16,IF(AND('Pricing Inputs'!$AQ$3&gt;=7,'Pricing Inputs'!$AQ$3&lt;=9),8,24))/(BA184/BW184))</f>
        <v> </v>
      </c>
      <c r="H184" s="278" t="str">
        <f aca="false">IF(A184="N/A"," ",(C184*D184)+F184+G184)</f>
        <v> </v>
      </c>
      <c r="I184" s="279" t="str">
        <f aca="false">VLOOKUP(A184,ScaledPrice,(IF(AND('Pricing Inputs'!$AQ$3&gt;=1,'Pricing Inputs'!$AQ$3&lt;=6),2,4)))</f>
        <v> </v>
      </c>
      <c r="J184" s="279" t="str">
        <f aca="false">IF(A184="N/A"," ",IF(AND('Pricing Inputs'!$AQ$3&gt;=1,'Pricing Inputs'!$AQ$3&lt;=6),I184,(VLOOKUP(A184,ScaledPrice,2))*(2-(VLOOKUP(A184,ScaledPrice,3)))))</f>
        <v> </v>
      </c>
      <c r="K184" s="279" t="str">
        <f aca="false">IF(A184="N/A"," ",IF(OR('Pricing Inputs'!$AQ$3=2,'Pricing Inputs'!$AQ$3=3,'Pricing Inputs'!$AQ$3=5,'Pricing Inputs'!$AQ$3=6,'Pricing Inputs'!$AQ$3=8,'Pricing Inputs'!$AQ$3=9),VLOOKUP(A184,ScaledPrice,IF(AND('Pricing Inputs'!$AQ$3&gt;=2,'Pricing Inputs'!$AQ$3&lt;=6),5,6)),0))</f>
        <v> </v>
      </c>
      <c r="L184" s="279" t="str">
        <f aca="false">IF(A184="N/A"," ",IF(OR('Pricing Inputs'!$AQ$3=2,'Pricing Inputs'!$AQ$3=3,'Pricing Inputs'!$AQ$3=5,'Pricing Inputs'!$AQ$3=6,'Pricing Inputs'!$AQ$3=8,'Pricing Inputs'!$AQ$3=9),IF(AND('Pricing Inputs'!$AQ$3&gt;=2,'Pricing Inputs'!$AQ$3&lt;=6),K184,(VLOOKUP(A184,ScaledPrice,5))*(2-(VLOOKUP(A184,ScaledPrice,3)))),0))</f>
        <v> </v>
      </c>
      <c r="M184" s="279" t="str">
        <f aca="false">IF(A184="N/A"," ",IF(OR('Pricing Inputs'!$AQ$3=3,'Pricing Inputs'!$AQ$3=6,'Pricing Inputs'!$AQ$3=9),(VLOOKUP(A184,ScaledPrice,IF(AND('Pricing Inputs'!$AQ$3&gt;=3,'Pricing Inputs'!$AQ$3&lt;=6),7,8))),0))</f>
        <v> </v>
      </c>
      <c r="N184" s="279" t="str">
        <f aca="false">IF(A184="N/A"," ",IF(OR('Pricing Inputs'!$AQ$3=3,'Pricing Inputs'!$AQ$3=6,'Pricing Inputs'!$AQ$3=9),IF(AND('Pricing Inputs'!$AQ$3&gt;=3,'Pricing Inputs'!$AQ$3&lt;=6),M184,(VLOOKUP(A184,ScaledPrice,7))*(2-(VLOOKUP(A184,ScaledPrice,3)))),0))</f>
        <v> </v>
      </c>
      <c r="O184" s="279" t="str">
        <f aca="false">IF(A184="N/A"," ",IF(AND('Pricing Inputs'!$AQ$3&gt;=1,'Pricing Inputs'!$AQ$3&lt;=3),VLOOKUP(A184,ScaledPrice,9),0))</f>
        <v> </v>
      </c>
      <c r="P184" s="280" t="str">
        <f aca="false">IF($A184="N/A"," ",IF('Pricing Inputs'!$AN$8=2,(I184-H184),IF('Pricing Inputs'!$AN$3=2,IF((I184-$H184)&gt;0,I184-$H184,0),(xSPRDOPT(I184,$E184,$BU184,0,$BP184,$BS184,$BT184,($A184-Inputs!$D$1)+15,1,0)))))</f>
        <v> </v>
      </c>
      <c r="Q184" s="280" t="str">
        <f aca="false">IF($A184="N/A"," ",IF('Pricing Inputs'!$AN$8=2,(J184-$H184),IF('Pricing Inputs'!$AN$3=2,IF((J184-$H184)&gt;0,J184-$H184,0),(xSPRDOPT(J184,$E184,$BU184,0,$BP184,$BS184,$BT184,($A184-Inputs!$D$1)+15,1,0)))))</f>
        <v> </v>
      </c>
      <c r="R184" s="280" t="str">
        <f aca="false">IF($A184="N/A"," ",IF('Pricing Inputs'!$AN$8=2,(K184-$H184),IF('Pricing Inputs'!$AN$3=2,IF((K184-$H184)&gt;0,K184-$H184,0),(xSPRDOPT(K184,$E184,$BU184,0,$BP184,$BS184,$BT184,($A184-Inputs!$D$1)+15,1,0)))))</f>
        <v> </v>
      </c>
      <c r="S184" s="280" t="str">
        <f aca="false">IF($A184="N/A"," ",IF('Pricing Inputs'!$AN$8=2,(L184-$H184),IF('Pricing Inputs'!$AN$3=2,IF((L184-$H184)&gt;0,L184-$H184,0),(xSPRDOPT(L184,$E184,$BU184,0,$BP184,$BS184,$BT184,($A184-Inputs!$D$1)+15,1,0)))))</f>
        <v> </v>
      </c>
      <c r="T184" s="280" t="str">
        <f aca="false">IF($A184="N/A"," ",IF('Pricing Inputs'!$AN$8=2,(M184-$H184),IF('Pricing Inputs'!$AN$3=2,IF((M184-$H184)&gt;0,M184-$H184,0),(xSPRDOPT(M184,$E184,$BU184,0,$BP184,$BS184,$BT184,($A184-Inputs!$D$1)+15,1,0)))))</f>
        <v> </v>
      </c>
      <c r="U184" s="280" t="str">
        <f aca="false">IF($A184="N/A"," ",IF('Pricing Inputs'!$AN$8=2,(N184-$H184),IF('Pricing Inputs'!$AN$3=2,IF((N184-$H184)&gt;0,N184-$H184,0),(xSPRDOPT(N184,$E184,$BU184,0,$BP184,$BS184,$BT184,($A184-Inputs!$D$1)+15,1,0)))))</f>
        <v> </v>
      </c>
      <c r="V184" s="281" t="str">
        <f aca="false">IF($A184="N/A"," ",(IF('Pricing Inputs'!$AN$8=2,(O184-$H184),IF((O184-$H184)&lt;=0,0,(O184-$H184)))))</f>
        <v> </v>
      </c>
      <c r="W184" s="282" t="str">
        <f aca="false">IF($A184="N/A"," ",IF(0&lt;&gt;P184,IF('Pricing Inputs'!$AN$3=2,8*VLOOKUP($A184,NumberofDaysTable,2),(xSPRDOPT(I184,$E184,$BU184,0,$BP184,$BS184,$BT184,$A184-Inputs!$D$1,1,1))*(8*VLOOKUP($A184,NumberofDaysTable,2))),0))</f>
        <v> </v>
      </c>
      <c r="X184" s="282" t="str">
        <f aca="false">IF($A184="N/A"," ",IF(Q184&lt;&gt;0,IF('Pricing Inputs'!$AN$3=2,8*VLOOKUP($A184,NumberofDaysTable,2),(xSPRDOPT(J184,$E184,$BU184,0,$BP184,$BS184,$BT184,$A184-Inputs!$D$1,1,1))*(8*VLOOKUP($A184,NumberofDaysTable,2))),0))</f>
        <v> </v>
      </c>
      <c r="Y184" s="282" t="str">
        <f aca="false">IF($A184="N/A"," ",IF(R184&lt;&gt;0,IF('Pricing Inputs'!$AN$3=2,8*VLOOKUP($A184,NumberofDaysTable,3),(xSPRDOPT(K184,$E184,$BU184,0,$BP184,$BS184,$BT184,$A184-Inputs!$D$1,1,1))*(8*VLOOKUP($A184,NumberofDaysTable,3))),0))</f>
        <v> </v>
      </c>
      <c r="Z184" s="282" t="str">
        <f aca="false">IF($A184="N/A"," ",IF(S184&lt;&gt;0,IF('Pricing Inputs'!$AN$3=2,8*VLOOKUP($A184,NumberofDaysTable,3),(xSPRDOPT(L184,$E184,$BU184,0,$BP184,$BS184,$BT184,$A184-Inputs!$D$1,1,1))*(8*VLOOKUP($A184,NumberofDaysTable,3))),0))</f>
        <v> </v>
      </c>
      <c r="AA184" s="282" t="str">
        <f aca="false">IF($A184="N/A"," ",IF(T184&lt;&gt;0,IF('Pricing Inputs'!$AN$3=2,8*VLOOKUP($A184,NumberofDaysTable,4),(xSPRDOPT(M184,$E184,$BU184,0,$BP184,$BS184,$BT184,$A184-Inputs!$D$1,1,1))*(8*VLOOKUP($A184,NumberofDaysTable,4))),0))</f>
        <v> </v>
      </c>
      <c r="AB184" s="282" t="str">
        <f aca="false">IF($A184="N/A"," ",IF(U184&lt;&gt;0,IF('Pricing Inputs'!$AN$3=2,8*VLOOKUP($A184,NumberofDaysTable,4),(xSPRDOPT(N184,$E184,$BU184,0,$BP184,$BS184,$BT184,$A184-Inputs!$D$1,1,1))*(8*VLOOKUP($A184,NumberofDaysTable,4))),0))</f>
        <v> </v>
      </c>
      <c r="AC184" s="282" t="str">
        <f aca="false">IF($A184="N/A"," ",(IF(V184&lt;&gt;0,(8*VLOOKUP($A184,NumberofDaysTable,6)),0)))</f>
        <v> </v>
      </c>
      <c r="AD184" s="283" t="str">
        <f aca="false">IF($A184="N/A"," ",RANK(P184,$P$184:$V$195))</f>
        <v> </v>
      </c>
      <c r="AE184" s="284" t="str">
        <f aca="false">IF($A184="N/A"," ",RANK(Q184,$P$184:$V$195))</f>
        <v> </v>
      </c>
      <c r="AF184" s="284" t="str">
        <f aca="false">IF($A184="N/A"," ",RANK(R184,$P$184:$V$195))</f>
        <v> </v>
      </c>
      <c r="AG184" s="284" t="str">
        <f aca="false">IF($A184="N/A"," ",RANK(S184,$P$184:$V$195))</f>
        <v> </v>
      </c>
      <c r="AH184" s="284" t="str">
        <f aca="false">IF($A184="N/A"," ",RANK(T184,$P$184:$V$195))</f>
        <v> </v>
      </c>
      <c r="AI184" s="284" t="str">
        <f aca="false">IF($A184="N/A"," ",RANK(U184,$P$184:$V$195))</f>
        <v> </v>
      </c>
      <c r="AJ184" s="285" t="str">
        <f aca="false">IF($A184="N/A"," ",RANK(V184,$P$184:$V$195))</f>
        <v> </v>
      </c>
      <c r="AK184" s="313" t="str">
        <f aca="false">IF($A184="N/A"," ",IF(AD184&lt;=$AJ$2,W184,0))</f>
        <v> </v>
      </c>
      <c r="AL184" s="287" t="str">
        <f aca="false">IF($A184="N/A"," ",IF(AE184&lt;=$AJ$2,X184,0))</f>
        <v> </v>
      </c>
      <c r="AM184" s="287" t="str">
        <f aca="false">IF($A184="N/A"," ",IF(AF184&lt;=$AJ$2,Y184,0))</f>
        <v> </v>
      </c>
      <c r="AN184" s="287" t="str">
        <f aca="false">IF($A184="N/A"," ",IF(AG184&lt;=$AJ$2,Z184,0))</f>
        <v> </v>
      </c>
      <c r="AO184" s="287" t="str">
        <f aca="false">IF($A184="N/A"," ",IF(AH184&lt;=$AJ$2,AA184,0))</f>
        <v> </v>
      </c>
      <c r="AP184" s="287" t="str">
        <f aca="false">IF($A184="N/A"," ",IF(AI184&lt;=$AJ$2,AB184,0))</f>
        <v> </v>
      </c>
      <c r="AQ184" s="287" t="str">
        <f aca="false">IF($A184="N/A"," ",IF(AJ184&lt;=$AJ$2,AC184,0))</f>
        <v> </v>
      </c>
      <c r="AR184" s="285"/>
      <c r="AS184" s="314" t="str">
        <f aca="false">IF($A184="N/A"," ",IF(AND(AD184=$AJ$2+1,AK184=0),MIN($AR$195,W184),0))</f>
        <v> </v>
      </c>
      <c r="AT184" s="289" t="str">
        <f aca="false">IF($A184="N/A"," ",IF(AND(AE184=$AJ$2+1,AL184=0),MIN($AR$195,X184),0))</f>
        <v> </v>
      </c>
      <c r="AU184" s="289" t="str">
        <f aca="false">IF($A184="N/A"," ",IF(AND(AF184=$AJ$2+1,AM184=0),MIN($AR$195,Y184),0))</f>
        <v> </v>
      </c>
      <c r="AV184" s="289" t="str">
        <f aca="false">IF($A184="N/A"," ",IF(AND(AG184=$AJ$2+1,AN184=0),MIN($AR$195,Z184),0))</f>
        <v> </v>
      </c>
      <c r="AW184" s="289" t="str">
        <f aca="false">IF($A184="N/A"," ",IF(AND(AH184=$AJ$2+1,AO184=0),MIN($AR$195,AA184),0))</f>
        <v> </v>
      </c>
      <c r="AX184" s="289" t="str">
        <f aca="false">IF($A184="N/A"," ",IF(AND(AI184=$AJ$2+1,AP184=0),MIN($AR$195,AB184),0))</f>
        <v> </v>
      </c>
      <c r="AY184" s="289" t="str">
        <f aca="false">IF($A184="N/A"," ",IF(AND(AJ184=$AJ$2+1,AQ184=0),MIN($AR$195,AC184),0))</f>
        <v> </v>
      </c>
      <c r="AZ184" s="285"/>
      <c r="BA184" s="291" t="str">
        <f aca="false">IF($A184="N/A"," ",(IF(MONTH(A184)&gt;=4,IF(MONTH(A184)&lt;=10,Inputs!$F$13,Inputs!$F$14),Inputs!$F$14))*$BW184)</f>
        <v> </v>
      </c>
      <c r="BB184" s="292" t="str">
        <f aca="false">IF($A184="N/A"," ",(IF(AK184&gt;0,($BA184*(8*(VLOOKUP($A184,NumberofDaysTable,2)))*P184),0)+IF(AS184&gt;0,($BA184*((AS184))*P184),0)))</f>
        <v> </v>
      </c>
      <c r="BC184" s="292" t="str">
        <f aca="false">IF($A184="N/A"," ",(IF(AL184&gt;0,($BA184*(8*(VLOOKUP($A184,NumberofDaysTable,2)))*Q184),0)+IF(AT184&gt;0,($BA184*((AT184))*Q184),0)))</f>
        <v> </v>
      </c>
      <c r="BD184" s="292" t="str">
        <f aca="false">IF($A184="N/A"," ",(IF(AM184&gt;0,($BA184*(8*(VLOOKUP($A184,NumberofDaysTable,3)))*R184),0)+IF(AU184&gt;0,($BA184*((AU184))*R184),0)))</f>
        <v> </v>
      </c>
      <c r="BE184" s="292" t="str">
        <f aca="false">IF($A184="N/A"," ",(IF(AN184&gt;0,($BA184*(8*(VLOOKUP($A184,NumberofDaysTable,3)))*S184),0)+IF(AV184&gt;0,($BA184*((AV184))*S184),0)))</f>
        <v> </v>
      </c>
      <c r="BF184" s="292" t="str">
        <f aca="false">IF($A184="N/A"," ",(IF(AO184&gt;0,($BA184*(8*(VLOOKUP($A184,NumberofDaysTable,4)+VLOOKUP($A184,NumberofDaysTable,5)))*T184),0)+IF(AW184&gt;0,($BA184*((AW184))*T184),0)))</f>
        <v> </v>
      </c>
      <c r="BG184" s="292" t="str">
        <f aca="false">IF($A184="N/A"," ",(IF(AP184&gt;0,($BA184*(8*(VLOOKUP($A184,NumberofDaysTable,4)+VLOOKUP($A184,NumberofDaysTable,5)))*U184),0)+IF(AX184&gt;0,($BA184*((AX184))*U184),0)))</f>
        <v> </v>
      </c>
      <c r="BH184" s="292" t="str">
        <f aca="false">IF($A184="N/A"," ",($BA184*AQ184*V184))</f>
        <v> </v>
      </c>
      <c r="BI184" s="292" t="str">
        <f aca="false">IF($A184="N/A"," ",SUM(BB184:BH184))</f>
        <v> </v>
      </c>
      <c r="BJ184" s="293" t="str">
        <f aca="false">IF($A184="N/A"," ",(H184*(SUM(AK184:AQ184)+SUM(AS184:AY184))*BA184))</f>
        <v> </v>
      </c>
      <c r="BK184" s="293" t="str">
        <f aca="false">IF($A184="N/A"," ",((C184*D184)*(SUM($AK184:$AQ184)+SUM($AS184:$AY184))*$BA184))</f>
        <v> </v>
      </c>
      <c r="BL184" s="293" t="str">
        <f aca="false">IF($A184="N/A"," ",(F184*(SUM($AK184:$AQ184)+SUM($AS184:$AY184))*$BA184))</f>
        <v> </v>
      </c>
      <c r="BM184" s="293" t="str">
        <f aca="false">IF($A184="N/A"," ",(G184*(SUM($AK184:$AQ184)+SUM($AS184:$AY184))*$BA184))</f>
        <v> </v>
      </c>
      <c r="BN184" s="294" t="str">
        <f aca="false">IF(A184="N/A"," ",(VLOOKUP(A184,PowerVolTable,(IF('Pricing Inputs'!$AT$3=2,7,IF('Pricing Inputs'!$AT$3=1,6,8))),FALSE())))</f>
        <v> </v>
      </c>
      <c r="BO184" s="294" t="str">
        <f aca="false">IF(A184="N/A"," ",(VLOOKUP(A184,IntraPowerVol,(IF('Pricing Inputs'!$AT$3=2,3,IF('Pricing Inputs'!$AT$3=1,2,4))),FALSE())*VLOOKUP(MONTH($A184),Inputs!$A$28:$B$39,2)))</f>
        <v> </v>
      </c>
      <c r="BP184" s="295" t="str">
        <f aca="false">IF($A184="N/A"," ",(IF(DateToday&gt;$A184,$BO184,((($BN184^2)*((($A184-1)-DateToday)/((EOMONTH($A184,0)+1)-DateToday-15)))+((($BO184)^2)*((15)/((EOMONTH($A184,0)+1)-DateToday-15))))^0.5)))</f>
        <v> </v>
      </c>
      <c r="BQ184" s="294" t="str">
        <f aca="false">IF($A184="N/A"," ",(VLOOKUP($A184,GasVolTable,(IF('Pricing Inputs'!$AT$3=2,6,IF('Pricing Inputs'!$AT$3=1,7,5))),FALSE())))</f>
        <v> </v>
      </c>
      <c r="BR184" s="294" t="str">
        <f aca="false">IF($A184="N/A"," ",(VLOOKUP($A184,OmicronVol,(IF('Pricing Inputs'!$AT$3=2,3,IF('Pricing Inputs'!$AT$3=1,4,2))),FALSE())))</f>
        <v> </v>
      </c>
      <c r="BS184" s="295" t="str">
        <f aca="false">IF($A184="N/A"," ",IF('Pricing Inputs'!$AN$3=1,(IF(DateToday&gt;$A184,$BR184,((($BQ184^2)*((($A184-1)-DateToday)/((EOMONTH($A184,0)+1)-DateToday-15)))+((($BR184)^2)*((15)/((EOMONTH($A184,0)+1)-DateToday-15))))^0.5)),0.0001))</f>
        <v> </v>
      </c>
      <c r="BT184" s="294" t="str">
        <f aca="false">IF($A184="N/A"," ",IF('Pricing Inputs'!$AN$3=1,(VLOOKUP($A184,CorrelationTable,2,FALSE())),0))</f>
        <v> </v>
      </c>
      <c r="BU184" s="296" t="str">
        <f aca="false">IF($A184="N/A"," ",F184+G184+(D184*(VLOOKUP($A184,'Gas Curves'!$B$17:$P$310,14,FALSE()))))</f>
        <v> </v>
      </c>
      <c r="BV184" s="294" t="str">
        <f aca="false">IF($A184="N/A"," ",IF('Pricing Inputs'!$AW$3=1,0,(VLOOKUP($A184,InterestRatesTable,2))))</f>
        <v> </v>
      </c>
      <c r="BW184" s="297" t="str">
        <f aca="false">IF($A184="N/A"," ",(1+BV184/2)^(-2*((EOMONTH(A184,0)+20)-DateToday)/365.25))</f>
        <v> </v>
      </c>
    </row>
    <row r="185" customFormat="false" ht="12.75" hidden="false" customHeight="false" outlineLevel="0" collapsed="false">
      <c r="A185" s="272" t="str">
        <f aca="false">IF(A184="N/A","N/A",IF(EDATE(A184,1)&gt;Inputs!$K$3,"N/A",EDATE(A184,1)))</f>
        <v>N/A</v>
      </c>
      <c r="B185" s="273" t="str">
        <f aca="false">IF(A185="N/A"," ",YEAR(A185))</f>
        <v> </v>
      </c>
      <c r="C185" s="274" t="str">
        <f aca="false">IF(A185="N/A"," ",VLOOKUP(A185,ScaledPrice,10))</f>
        <v> </v>
      </c>
      <c r="D185" s="275" t="str">
        <f aca="false">IF(A185="N/A"," ",(VLOOKUP(MONTH($A185),Inputs!$A$14:$B$25,2))/1000)</f>
        <v> </v>
      </c>
      <c r="E185" s="276" t="str">
        <f aca="false">IF($A185="N/A"," ",C185*D185)</f>
        <v> </v>
      </c>
      <c r="F185" s="277" t="str">
        <f aca="false">IF(A185="N/A"," ",Inputs!$F$6)</f>
        <v> </v>
      </c>
      <c r="G185" s="277" t="str">
        <f aca="false">IF(A185="N/A"," ",Inputs!$F$9/IF(AND('Pricing Inputs'!$AQ$3&gt;=4,'Pricing Inputs'!$AQ$3&lt;=6),16,IF(AND('Pricing Inputs'!$AQ$3&gt;=7,'Pricing Inputs'!$AQ$3&lt;=9),8,24))/(BA185/BW185))</f>
        <v> </v>
      </c>
      <c r="H185" s="278" t="str">
        <f aca="false">IF(A185="N/A"," ",(C185*D185)+F185+G185)</f>
        <v> </v>
      </c>
      <c r="I185" s="279" t="str">
        <f aca="false">VLOOKUP(A185,ScaledPrice,(IF(AND('Pricing Inputs'!$AQ$3&gt;=1,'Pricing Inputs'!$AQ$3&lt;=6),2,4)))</f>
        <v> </v>
      </c>
      <c r="J185" s="279" t="str">
        <f aca="false">IF(A185="N/A"," ",IF(AND('Pricing Inputs'!$AQ$3&gt;=1,'Pricing Inputs'!$AQ$3&lt;=6),I185,(VLOOKUP(A185,ScaledPrice,2))*(2-(VLOOKUP(A185,ScaledPrice,3)))))</f>
        <v> </v>
      </c>
      <c r="K185" s="279" t="str">
        <f aca="false">IF(A185="N/A"," ",IF(OR('Pricing Inputs'!$AQ$3=2,'Pricing Inputs'!$AQ$3=3,'Pricing Inputs'!$AQ$3=5,'Pricing Inputs'!$AQ$3=6,'Pricing Inputs'!$AQ$3=8,'Pricing Inputs'!$AQ$3=9),VLOOKUP(A185,ScaledPrice,IF(AND('Pricing Inputs'!$AQ$3&gt;=2,'Pricing Inputs'!$AQ$3&lt;=6),5,6)),0))</f>
        <v> </v>
      </c>
      <c r="L185" s="279" t="str">
        <f aca="false">IF(A185="N/A"," ",IF(OR('Pricing Inputs'!$AQ$3=2,'Pricing Inputs'!$AQ$3=3,'Pricing Inputs'!$AQ$3=5,'Pricing Inputs'!$AQ$3=6,'Pricing Inputs'!$AQ$3=8,'Pricing Inputs'!$AQ$3=9),IF(AND('Pricing Inputs'!$AQ$3&gt;=2,'Pricing Inputs'!$AQ$3&lt;=6),K185,(VLOOKUP(A185,ScaledPrice,5))*(2-(VLOOKUP(A185,ScaledPrice,3)))),0))</f>
        <v> </v>
      </c>
      <c r="M185" s="279" t="str">
        <f aca="false">IF(A185="N/A"," ",IF(OR('Pricing Inputs'!$AQ$3=3,'Pricing Inputs'!$AQ$3=6,'Pricing Inputs'!$AQ$3=9),(VLOOKUP(A185,ScaledPrice,IF(AND('Pricing Inputs'!$AQ$3&gt;=3,'Pricing Inputs'!$AQ$3&lt;=6),7,8))),0))</f>
        <v> </v>
      </c>
      <c r="N185" s="279" t="str">
        <f aca="false">IF(A185="N/A"," ",IF(OR('Pricing Inputs'!$AQ$3=3,'Pricing Inputs'!$AQ$3=6,'Pricing Inputs'!$AQ$3=9),IF(AND('Pricing Inputs'!$AQ$3&gt;=3,'Pricing Inputs'!$AQ$3&lt;=6),M185,(VLOOKUP(A185,ScaledPrice,7))*(2-(VLOOKUP(A185,ScaledPrice,3)))),0))</f>
        <v> </v>
      </c>
      <c r="O185" s="279" t="str">
        <f aca="false">IF(A185="N/A"," ",IF(AND('Pricing Inputs'!$AQ$3&gt;=1,'Pricing Inputs'!$AQ$3&lt;=3),VLOOKUP(A185,ScaledPrice,9),0))</f>
        <v> </v>
      </c>
      <c r="P185" s="280" t="str">
        <f aca="false">IF($A185="N/A"," ",IF('Pricing Inputs'!$AN$8=2,(I185-H185),IF('Pricing Inputs'!$AN$3=2,IF((I185-$H185)&gt;0,I185-$H185,0),(xSPRDOPT(I185,$E185,$BU185,0,$BP185,$BS185,$BT185,($A185-Inputs!$D$1)+15,1,0)))))</f>
        <v> </v>
      </c>
      <c r="Q185" s="280" t="str">
        <f aca="false">IF($A185="N/A"," ",IF('Pricing Inputs'!$AN$8=2,(J185-$H185),IF('Pricing Inputs'!$AN$3=2,IF((J185-$H185)&gt;0,J185-$H185,0),(xSPRDOPT(J185,$E185,$BU185,0,$BP185,$BS185,$BT185,($A185-Inputs!$D$1)+15,1,0)))))</f>
        <v> </v>
      </c>
      <c r="R185" s="280" t="str">
        <f aca="false">IF($A185="N/A"," ",IF('Pricing Inputs'!$AN$8=2,(K185-$H185),IF('Pricing Inputs'!$AN$3=2,IF((K185-$H185)&gt;0,K185-$H185,0),(xSPRDOPT(K185,$E185,$BU185,0,$BP185,$BS185,$BT185,($A185-Inputs!$D$1)+15,1,0)))))</f>
        <v> </v>
      </c>
      <c r="S185" s="280" t="str">
        <f aca="false">IF($A185="N/A"," ",IF('Pricing Inputs'!$AN$8=2,(L185-$H185),IF('Pricing Inputs'!$AN$3=2,IF((L185-$H185)&gt;0,L185-$H185,0),(xSPRDOPT(L185,$E185,$BU185,0,$BP185,$BS185,$BT185,($A185-Inputs!$D$1)+15,1,0)))))</f>
        <v> </v>
      </c>
      <c r="T185" s="280" t="str">
        <f aca="false">IF($A185="N/A"," ",IF('Pricing Inputs'!$AN$8=2,(M185-$H185),IF('Pricing Inputs'!$AN$3=2,IF((M185-$H185)&gt;0,M185-$H185,0),(xSPRDOPT(M185,$E185,$BU185,0,$BP185,$BS185,$BT185,($A185-Inputs!$D$1)+15,1,0)))))</f>
        <v> </v>
      </c>
      <c r="U185" s="280" t="str">
        <f aca="false">IF($A185="N/A"," ",IF('Pricing Inputs'!$AN$8=2,(N185-$H185),IF('Pricing Inputs'!$AN$3=2,IF((N185-$H185)&gt;0,N185-$H185,0),(xSPRDOPT(N185,$E185,$BU185,0,$BP185,$BS185,$BT185,($A185-Inputs!$D$1)+15,1,0)))))</f>
        <v> </v>
      </c>
      <c r="V185" s="281" t="str">
        <f aca="false">IF($A185="N/A"," ",(IF('Pricing Inputs'!$AN$8=2,(O185-$H185),IF((O185-$H185)&lt;=0,0,(O185-$H185)))))</f>
        <v> </v>
      </c>
      <c r="W185" s="282" t="str">
        <f aca="false">IF($A185="N/A"," ",IF(0&lt;&gt;P185,IF('Pricing Inputs'!$AN$3=2,8*VLOOKUP($A185,NumberofDaysTable,2),(xSPRDOPT(I185,$E185,$BU185,0,$BP185,$BS185,$BT185,$A185-Inputs!$D$1,1,1))*(8*VLOOKUP($A185,NumberofDaysTable,2))),0))</f>
        <v> </v>
      </c>
      <c r="X185" s="282" t="str">
        <f aca="false">IF($A185="N/A"," ",IF(Q185&lt;&gt;0,IF('Pricing Inputs'!$AN$3=2,8*VLOOKUP($A185,NumberofDaysTable,2),(xSPRDOPT(J185,$E185,$BU185,0,$BP185,$BS185,$BT185,$A185-Inputs!$D$1,1,1))*(8*VLOOKUP($A185,NumberofDaysTable,2))),0))</f>
        <v> </v>
      </c>
      <c r="Y185" s="282" t="str">
        <f aca="false">IF($A185="N/A"," ",IF(R185&lt;&gt;0,IF('Pricing Inputs'!$AN$3=2,8*VLOOKUP($A185,NumberofDaysTable,3),(xSPRDOPT(K185,$E185,$BU185,0,$BP185,$BS185,$BT185,$A185-Inputs!$D$1,1,1))*(8*VLOOKUP($A185,NumberofDaysTable,3))),0))</f>
        <v> </v>
      </c>
      <c r="Z185" s="282" t="str">
        <f aca="false">IF($A185="N/A"," ",IF(S185&lt;&gt;0,IF('Pricing Inputs'!$AN$3=2,8*VLOOKUP($A185,NumberofDaysTable,3),(xSPRDOPT(L185,$E185,$BU185,0,$BP185,$BS185,$BT185,$A185-Inputs!$D$1,1,1))*(8*VLOOKUP($A185,NumberofDaysTable,3))),0))</f>
        <v> </v>
      </c>
      <c r="AA185" s="282" t="str">
        <f aca="false">IF($A185="N/A"," ",IF(T185&lt;&gt;0,IF('Pricing Inputs'!$AN$3=2,8*VLOOKUP($A185,NumberofDaysTable,4),(xSPRDOPT(M185,$E185,$BU185,0,$BP185,$BS185,$BT185,$A185-Inputs!$D$1,1,1))*(8*VLOOKUP($A185,NumberofDaysTable,4))),0))</f>
        <v> </v>
      </c>
      <c r="AB185" s="282" t="str">
        <f aca="false">IF($A185="N/A"," ",IF(U185&lt;&gt;0,IF('Pricing Inputs'!$AN$3=2,8*VLOOKUP($A185,NumberofDaysTable,4),(xSPRDOPT(N185,$E185,$BU185,0,$BP185,$BS185,$BT185,$A185-Inputs!$D$1,1,1))*(8*VLOOKUP($A185,NumberofDaysTable,4))),0))</f>
        <v> </v>
      </c>
      <c r="AC185" s="282" t="str">
        <f aca="false">IF($A185="N/A"," ",(IF(V185&lt;&gt;0,(8*VLOOKUP($A185,NumberofDaysTable,6)),0)))</f>
        <v> </v>
      </c>
      <c r="AD185" s="298" t="str">
        <f aca="false">IF($A185="N/A"," ",RANK(P185,$P$184:$V$195))</f>
        <v> </v>
      </c>
      <c r="AE185" s="299" t="str">
        <f aca="false">IF($A185="N/A"," ",RANK(Q185,$P$184:$V$195))</f>
        <v> </v>
      </c>
      <c r="AF185" s="299" t="str">
        <f aca="false">IF($A185="N/A"," ",RANK(R185,$P$184:$V$195))</f>
        <v> </v>
      </c>
      <c r="AG185" s="299" t="str">
        <f aca="false">IF($A185="N/A"," ",RANK(S185,$P$184:$V$195))</f>
        <v> </v>
      </c>
      <c r="AH185" s="299" t="str">
        <f aca="false">IF($A185="N/A"," ",RANK(T185,$P$184:$V$195))</f>
        <v> </v>
      </c>
      <c r="AI185" s="299" t="str">
        <f aca="false">IF($A185="N/A"," ",RANK(U185,$P$184:$V$195))</f>
        <v> </v>
      </c>
      <c r="AJ185" s="300" t="str">
        <f aca="false">IF($A185="N/A"," ",RANK(V185,$P$184:$V$195))</f>
        <v> </v>
      </c>
      <c r="AK185" s="286" t="str">
        <f aca="false">IF($A185="N/A"," ",IF(AD185&lt;=$AJ$2,W185,0))</f>
        <v> </v>
      </c>
      <c r="AL185" s="301" t="str">
        <f aca="false">IF($A185="N/A"," ",IF(AE185&lt;=$AJ$2,X185,0))</f>
        <v> </v>
      </c>
      <c r="AM185" s="301" t="str">
        <f aca="false">IF($A185="N/A"," ",IF(AF185&lt;=$AJ$2,Y185,0))</f>
        <v> </v>
      </c>
      <c r="AN185" s="301" t="str">
        <f aca="false">IF($A185="N/A"," ",IF(AG185&lt;=$AJ$2,Z185,0))</f>
        <v> </v>
      </c>
      <c r="AO185" s="301" t="str">
        <f aca="false">IF($A185="N/A"," ",IF(AH185&lt;=$AJ$2,AA185,0))</f>
        <v> </v>
      </c>
      <c r="AP185" s="301" t="str">
        <f aca="false">IF($A185="N/A"," ",IF(AI185&lt;=$AJ$2,AB185,0))</f>
        <v> </v>
      </c>
      <c r="AQ185" s="301" t="str">
        <f aca="false">IF($A185="N/A"," ",IF(AJ185&lt;=$AJ$2,AC185,0))</f>
        <v> </v>
      </c>
      <c r="AR185" s="300"/>
      <c r="AS185" s="288" t="str">
        <f aca="false">IF($A185="N/A"," ",IF(AND(AD185=$AJ$2+1,AK185=0),MIN($AR$195,W185),0))</f>
        <v> </v>
      </c>
      <c r="AT185" s="302" t="str">
        <f aca="false">IF($A185="N/A"," ",IF(AND(AE185=$AJ$2+1,AL185=0),MIN($AR$195,X185),0))</f>
        <v> </v>
      </c>
      <c r="AU185" s="302" t="str">
        <f aca="false">IF($A185="N/A"," ",IF(AND(AF185=$AJ$2+1,AM185=0),MIN($AR$195,Y185),0))</f>
        <v> </v>
      </c>
      <c r="AV185" s="302" t="str">
        <f aca="false">IF($A185="N/A"," ",IF(AND(AG185=$AJ$2+1,AN185=0),MIN($AR$195,Z185),0))</f>
        <v> </v>
      </c>
      <c r="AW185" s="302" t="str">
        <f aca="false">IF($A185="N/A"," ",IF(AND(AH185=$AJ$2+1,AO185=0),MIN($AR$195,AA185),0))</f>
        <v> </v>
      </c>
      <c r="AX185" s="302" t="str">
        <f aca="false">IF($A185="N/A"," ",IF(AND(AI185=$AJ$2+1,AP185=0),MIN($AR$195,AB185),0))</f>
        <v> </v>
      </c>
      <c r="AY185" s="302" t="str">
        <f aca="false">IF($A185="N/A"," ",IF(AND(AJ185=$AJ$2+1,AQ185=0),MIN($AR$195,AC185),0))</f>
        <v> </v>
      </c>
      <c r="AZ185" s="300"/>
      <c r="BA185" s="291" t="str">
        <f aca="false">IF($A185="N/A"," ",(IF(MONTH(A185)&gt;=4,IF(MONTH(A185)&lt;=10,Inputs!$F$13,Inputs!$F$14),Inputs!$F$14))*$BW185)</f>
        <v> </v>
      </c>
      <c r="BB185" s="292" t="str">
        <f aca="false">IF($A185="N/A"," ",(IF(AK185&gt;0,($BA185*(8*(VLOOKUP($A185,NumberofDaysTable,2)))*P185),0)+IF(AS185&gt;0,($BA185*((AS185))*P185),0)))</f>
        <v> </v>
      </c>
      <c r="BC185" s="292" t="str">
        <f aca="false">IF($A185="N/A"," ",(IF(AL185&gt;0,($BA185*(8*(VLOOKUP($A185,NumberofDaysTable,2)))*Q185),0)+IF(AT185&gt;0,($BA185*((AT185))*Q185),0)))</f>
        <v> </v>
      </c>
      <c r="BD185" s="292" t="str">
        <f aca="false">IF($A185="N/A"," ",(IF(AM185&gt;0,($BA185*(8*(VLOOKUP($A185,NumberofDaysTable,3)))*R185),0)+IF(AU185&gt;0,($BA185*((AU185))*R185),0)))</f>
        <v> </v>
      </c>
      <c r="BE185" s="292" t="str">
        <f aca="false">IF($A185="N/A"," ",(IF(AN185&gt;0,($BA185*(8*(VLOOKUP($A185,NumberofDaysTable,3)))*S185),0)+IF(AV185&gt;0,($BA185*((AV185))*S185),0)))</f>
        <v> </v>
      </c>
      <c r="BF185" s="292" t="str">
        <f aca="false">IF($A185="N/A"," ",(IF(AO185&gt;0,($BA185*(8*(VLOOKUP($A185,NumberofDaysTable,4)+VLOOKUP($A185,NumberofDaysTable,5)))*T185),0)+IF(AW185&gt;0,($BA185*((AW185))*T185),0)))</f>
        <v> </v>
      </c>
      <c r="BG185" s="292" t="str">
        <f aca="false">IF($A185="N/A"," ",(IF(AP185&gt;0,($BA185*(8*(VLOOKUP($A185,NumberofDaysTable,4)+VLOOKUP($A185,NumberofDaysTable,5)))*U185),0)+IF(AX185&gt;0,($BA185*((AX185))*U185),0)))</f>
        <v> </v>
      </c>
      <c r="BH185" s="292" t="str">
        <f aca="false">IF($A185="N/A"," ",($BA185*AQ185*V185))</f>
        <v> </v>
      </c>
      <c r="BI185" s="292" t="str">
        <f aca="false">IF($A185="N/A"," ",SUM(BB185:BH185))</f>
        <v> </v>
      </c>
      <c r="BJ185" s="293" t="str">
        <f aca="false">IF($A185="N/A"," ",(H185*(SUM(AK185:AQ185)+SUM(AS185:AY185))*BA185))</f>
        <v> </v>
      </c>
      <c r="BK185" s="293" t="str">
        <f aca="false">IF($A185="N/A"," ",((C185*D185)*(SUM($AK185:$AQ185)+SUM($AS185:$AY185))*$BA185))</f>
        <v> </v>
      </c>
      <c r="BL185" s="293" t="str">
        <f aca="false">IF($A185="N/A"," ",(F185*(SUM($AK185:$AQ185)+SUM($AS185:$AY185))*$BA185))</f>
        <v> </v>
      </c>
      <c r="BM185" s="293" t="str">
        <f aca="false">IF($A185="N/A"," ",(G185*(SUM($AK185:$AQ185)+SUM($AS185:$AY185))*$BA185))</f>
        <v> </v>
      </c>
      <c r="BN185" s="294" t="str">
        <f aca="false">IF(A185="N/A"," ",(VLOOKUP(A185,PowerVolTable,(IF('Pricing Inputs'!$AT$3=2,7,IF('Pricing Inputs'!$AT$3=1,6,8))),FALSE())))</f>
        <v> </v>
      </c>
      <c r="BO185" s="294" t="str">
        <f aca="false">IF(A185="N/A"," ",(VLOOKUP(A185,IntraPowerVol,(IF('Pricing Inputs'!$AT$3=2,3,IF('Pricing Inputs'!$AT$3=1,2,4))),FALSE())*VLOOKUP(MONTH($A185),Inputs!$A$28:$B$39,2)))</f>
        <v> </v>
      </c>
      <c r="BP185" s="295" t="str">
        <f aca="false">IF($A185="N/A"," ",(IF(DateToday&gt;$A185,$BO185,((($BN185^2)*((($A185-1)-DateToday)/((EOMONTH($A185,0)+1)-DateToday-15)))+((($BO185)^2)*((15)/((EOMONTH($A185,0)+1)-DateToday-15))))^0.5)))</f>
        <v> </v>
      </c>
      <c r="BQ185" s="294" t="str">
        <f aca="false">IF($A185="N/A"," ",(VLOOKUP($A185,GasVolTable,(IF('Pricing Inputs'!$AT$3=2,6,IF('Pricing Inputs'!$AT$3=1,7,5))),FALSE())))</f>
        <v> </v>
      </c>
      <c r="BR185" s="294" t="str">
        <f aca="false">IF($A185="N/A"," ",(VLOOKUP($A185,OmicronVol,(IF('Pricing Inputs'!$AT$3=2,3,IF('Pricing Inputs'!$AT$3=1,4,2))),FALSE())))</f>
        <v> </v>
      </c>
      <c r="BS185" s="295" t="str">
        <f aca="false">IF($A185="N/A"," ",IF('Pricing Inputs'!$AN$3=1,(IF(DateToday&gt;$A185,$BR185,((($BQ185^2)*((($A185-1)-DateToday)/((EOMONTH($A185,0)+1)-DateToday-15)))+((($BR185)^2)*((15)/((EOMONTH($A185,0)+1)-DateToday-15))))^0.5)),0.0001))</f>
        <v> </v>
      </c>
      <c r="BT185" s="294" t="str">
        <f aca="false">IF($A185="N/A"," ",IF('Pricing Inputs'!$AN$3=1,(VLOOKUP($A185,CorrelationTable,2,FALSE())),0))</f>
        <v> </v>
      </c>
      <c r="BU185" s="296" t="str">
        <f aca="false">IF($A185="N/A"," ",F185+G185+(D185*(VLOOKUP($A185,'Gas Curves'!$B$17:$P$310,14,FALSE()))))</f>
        <v> </v>
      </c>
      <c r="BV185" s="294" t="str">
        <f aca="false">IF($A185="N/A"," ",IF('Pricing Inputs'!$AW$3=1,0,(VLOOKUP($A185,InterestRatesTable,2))))</f>
        <v> </v>
      </c>
      <c r="BW185" s="297" t="str">
        <f aca="false">IF($A185="N/A"," ",(1+BV185/2)^(-2*((EOMONTH(A185,0)+20)-DateToday)/365.25))</f>
        <v> </v>
      </c>
    </row>
    <row r="186" customFormat="false" ht="12.75" hidden="false" customHeight="false" outlineLevel="0" collapsed="false">
      <c r="A186" s="272" t="str">
        <f aca="false">IF(A185="N/A","N/A",IF(EDATE(A185,1)&gt;Inputs!$K$3,"N/A",EDATE(A185,1)))</f>
        <v>N/A</v>
      </c>
      <c r="B186" s="273" t="str">
        <f aca="false">IF(A186="N/A"," ",YEAR(A186))</f>
        <v> </v>
      </c>
      <c r="C186" s="274" t="str">
        <f aca="false">IF(A186="N/A"," ",VLOOKUP(A186,ScaledPrice,10))</f>
        <v> </v>
      </c>
      <c r="D186" s="275" t="str">
        <f aca="false">IF(A186="N/A"," ",(VLOOKUP(MONTH($A186),Inputs!$A$14:$B$25,2))/1000)</f>
        <v> </v>
      </c>
      <c r="E186" s="276" t="str">
        <f aca="false">IF($A186="N/A"," ",C186*D186)</f>
        <v> </v>
      </c>
      <c r="F186" s="277" t="str">
        <f aca="false">IF(A186="N/A"," ",Inputs!$F$6)</f>
        <v> </v>
      </c>
      <c r="G186" s="277" t="str">
        <f aca="false">IF(A186="N/A"," ",Inputs!$F$9/IF(AND('Pricing Inputs'!$AQ$3&gt;=4,'Pricing Inputs'!$AQ$3&lt;=6),16,IF(AND('Pricing Inputs'!$AQ$3&gt;=7,'Pricing Inputs'!$AQ$3&lt;=9),8,24))/(BA186/BW186))</f>
        <v> </v>
      </c>
      <c r="H186" s="278" t="str">
        <f aca="false">IF(A186="N/A"," ",(C186*D186)+F186+G186)</f>
        <v> </v>
      </c>
      <c r="I186" s="279" t="str">
        <f aca="false">VLOOKUP(A186,ScaledPrice,(IF(AND('Pricing Inputs'!$AQ$3&gt;=1,'Pricing Inputs'!$AQ$3&lt;=6),2,4)))</f>
        <v> </v>
      </c>
      <c r="J186" s="279" t="str">
        <f aca="false">IF(A186="N/A"," ",IF(AND('Pricing Inputs'!$AQ$3&gt;=1,'Pricing Inputs'!$AQ$3&lt;=6),I186,(VLOOKUP(A186,ScaledPrice,2))*(2-(VLOOKUP(A186,ScaledPrice,3)))))</f>
        <v> </v>
      </c>
      <c r="K186" s="279" t="str">
        <f aca="false">IF(A186="N/A"," ",IF(OR('Pricing Inputs'!$AQ$3=2,'Pricing Inputs'!$AQ$3=3,'Pricing Inputs'!$AQ$3=5,'Pricing Inputs'!$AQ$3=6,'Pricing Inputs'!$AQ$3=8,'Pricing Inputs'!$AQ$3=9),VLOOKUP(A186,ScaledPrice,IF(AND('Pricing Inputs'!$AQ$3&gt;=2,'Pricing Inputs'!$AQ$3&lt;=6),5,6)),0))</f>
        <v> </v>
      </c>
      <c r="L186" s="279" t="str">
        <f aca="false">IF(A186="N/A"," ",IF(OR('Pricing Inputs'!$AQ$3=2,'Pricing Inputs'!$AQ$3=3,'Pricing Inputs'!$AQ$3=5,'Pricing Inputs'!$AQ$3=6,'Pricing Inputs'!$AQ$3=8,'Pricing Inputs'!$AQ$3=9),IF(AND('Pricing Inputs'!$AQ$3&gt;=2,'Pricing Inputs'!$AQ$3&lt;=6),K186,(VLOOKUP(A186,ScaledPrice,5))*(2-(VLOOKUP(A186,ScaledPrice,3)))),0))</f>
        <v> </v>
      </c>
      <c r="M186" s="279" t="str">
        <f aca="false">IF(A186="N/A"," ",IF(OR('Pricing Inputs'!$AQ$3=3,'Pricing Inputs'!$AQ$3=6,'Pricing Inputs'!$AQ$3=9),(VLOOKUP(A186,ScaledPrice,IF(AND('Pricing Inputs'!$AQ$3&gt;=3,'Pricing Inputs'!$AQ$3&lt;=6),7,8))),0))</f>
        <v> </v>
      </c>
      <c r="N186" s="279" t="str">
        <f aca="false">IF(A186="N/A"," ",IF(OR('Pricing Inputs'!$AQ$3=3,'Pricing Inputs'!$AQ$3=6,'Pricing Inputs'!$AQ$3=9),IF(AND('Pricing Inputs'!$AQ$3&gt;=3,'Pricing Inputs'!$AQ$3&lt;=6),M186,(VLOOKUP(A186,ScaledPrice,7))*(2-(VLOOKUP(A186,ScaledPrice,3)))),0))</f>
        <v> </v>
      </c>
      <c r="O186" s="279" t="str">
        <f aca="false">IF(A186="N/A"," ",IF(AND('Pricing Inputs'!$AQ$3&gt;=1,'Pricing Inputs'!$AQ$3&lt;=3),VLOOKUP(A186,ScaledPrice,9),0))</f>
        <v> </v>
      </c>
      <c r="P186" s="280" t="str">
        <f aca="false">IF($A186="N/A"," ",IF('Pricing Inputs'!$AN$8=2,(I186-H186),IF('Pricing Inputs'!$AN$3=2,IF((I186-$H186)&gt;0,I186-$H186,0),(xSPRDOPT(I186,$E186,$BU186,0,$BP186,$BS186,$BT186,($A186-Inputs!$D$1)+15,1,0)))))</f>
        <v> </v>
      </c>
      <c r="Q186" s="280" t="str">
        <f aca="false">IF($A186="N/A"," ",IF('Pricing Inputs'!$AN$8=2,(J186-$H186),IF('Pricing Inputs'!$AN$3=2,IF((J186-$H186)&gt;0,J186-$H186,0),(xSPRDOPT(J186,$E186,$BU186,0,$BP186,$BS186,$BT186,($A186-Inputs!$D$1)+15,1,0)))))</f>
        <v> </v>
      </c>
      <c r="R186" s="280" t="str">
        <f aca="false">IF($A186="N/A"," ",IF('Pricing Inputs'!$AN$8=2,(K186-$H186),IF('Pricing Inputs'!$AN$3=2,IF((K186-$H186)&gt;0,K186-$H186,0),(xSPRDOPT(K186,$E186,$BU186,0,$BP186,$BS186,$BT186,($A186-Inputs!$D$1)+15,1,0)))))</f>
        <v> </v>
      </c>
      <c r="S186" s="280" t="str">
        <f aca="false">IF($A186="N/A"," ",IF('Pricing Inputs'!$AN$8=2,(L186-$H186),IF('Pricing Inputs'!$AN$3=2,IF((L186-$H186)&gt;0,L186-$H186,0),(xSPRDOPT(L186,$E186,$BU186,0,$BP186,$BS186,$BT186,($A186-Inputs!$D$1)+15,1,0)))))</f>
        <v> </v>
      </c>
      <c r="T186" s="280" t="str">
        <f aca="false">IF($A186="N/A"," ",IF('Pricing Inputs'!$AN$8=2,(M186-$H186),IF('Pricing Inputs'!$AN$3=2,IF((M186-$H186)&gt;0,M186-$H186,0),(xSPRDOPT(M186,$E186,$BU186,0,$BP186,$BS186,$BT186,($A186-Inputs!$D$1)+15,1,0)))))</f>
        <v> </v>
      </c>
      <c r="U186" s="280" t="str">
        <f aca="false">IF($A186="N/A"," ",IF('Pricing Inputs'!$AN$8=2,(N186-$H186),IF('Pricing Inputs'!$AN$3=2,IF((N186-$H186)&gt;0,N186-$H186,0),(xSPRDOPT(N186,$E186,$BU186,0,$BP186,$BS186,$BT186,($A186-Inputs!$D$1)+15,1,0)))))</f>
        <v> </v>
      </c>
      <c r="V186" s="281" t="str">
        <f aca="false">IF($A186="N/A"," ",(IF('Pricing Inputs'!$AN$8=2,(O186-$H186),IF((O186-$H186)&lt;=0,0,(O186-$H186)))))</f>
        <v> </v>
      </c>
      <c r="W186" s="282" t="str">
        <f aca="false">IF($A186="N/A"," ",IF(0&lt;&gt;P186,IF('Pricing Inputs'!$AN$3=2,8*VLOOKUP($A186,NumberofDaysTable,2),(xSPRDOPT(I186,$E186,$BU186,0,$BP186,$BS186,$BT186,$A186-Inputs!$D$1,1,1))*(8*VLOOKUP($A186,NumberofDaysTable,2))),0))</f>
        <v> </v>
      </c>
      <c r="X186" s="282" t="str">
        <f aca="false">IF($A186="N/A"," ",IF(Q186&lt;&gt;0,IF('Pricing Inputs'!$AN$3=2,8*VLOOKUP($A186,NumberofDaysTable,2),(xSPRDOPT(J186,$E186,$BU186,0,$BP186,$BS186,$BT186,$A186-Inputs!$D$1,1,1))*(8*VLOOKUP($A186,NumberofDaysTable,2))),0))</f>
        <v> </v>
      </c>
      <c r="Y186" s="282" t="str">
        <f aca="false">IF($A186="N/A"," ",IF(R186&lt;&gt;0,IF('Pricing Inputs'!$AN$3=2,8*VLOOKUP($A186,NumberofDaysTable,3),(xSPRDOPT(K186,$E186,$BU186,0,$BP186,$BS186,$BT186,$A186-Inputs!$D$1,1,1))*(8*VLOOKUP($A186,NumberofDaysTable,3))),0))</f>
        <v> </v>
      </c>
      <c r="Z186" s="282" t="str">
        <f aca="false">IF($A186="N/A"," ",IF(S186&lt;&gt;0,IF('Pricing Inputs'!$AN$3=2,8*VLOOKUP($A186,NumberofDaysTable,3),(xSPRDOPT(L186,$E186,$BU186,0,$BP186,$BS186,$BT186,$A186-Inputs!$D$1,1,1))*(8*VLOOKUP($A186,NumberofDaysTable,3))),0))</f>
        <v> </v>
      </c>
      <c r="AA186" s="282" t="str">
        <f aca="false">IF($A186="N/A"," ",IF(T186&lt;&gt;0,IF('Pricing Inputs'!$AN$3=2,8*VLOOKUP($A186,NumberofDaysTable,4),(xSPRDOPT(M186,$E186,$BU186,0,$BP186,$BS186,$BT186,$A186-Inputs!$D$1,1,1))*(8*VLOOKUP($A186,NumberofDaysTable,4))),0))</f>
        <v> </v>
      </c>
      <c r="AB186" s="282" t="str">
        <f aca="false">IF($A186="N/A"," ",IF(U186&lt;&gt;0,IF('Pricing Inputs'!$AN$3=2,8*VLOOKUP($A186,NumberofDaysTable,4),(xSPRDOPT(N186,$E186,$BU186,0,$BP186,$BS186,$BT186,$A186-Inputs!$D$1,1,1))*(8*VLOOKUP($A186,NumberofDaysTable,4))),0))</f>
        <v> </v>
      </c>
      <c r="AC186" s="282" t="str">
        <f aca="false">IF($A186="N/A"," ",(IF(V186&lt;&gt;0,(8*VLOOKUP($A186,NumberofDaysTable,6)),0)))</f>
        <v> </v>
      </c>
      <c r="AD186" s="298" t="str">
        <f aca="false">IF($A186="N/A"," ",RANK(P186,$P$184:$V$195))</f>
        <v> </v>
      </c>
      <c r="AE186" s="299" t="str">
        <f aca="false">IF($A186="N/A"," ",RANK(Q186,$P$184:$V$195))</f>
        <v> </v>
      </c>
      <c r="AF186" s="299" t="str">
        <f aca="false">IF($A186="N/A"," ",RANK(R186,$P$184:$V$195))</f>
        <v> </v>
      </c>
      <c r="AG186" s="299" t="str">
        <f aca="false">IF($A186="N/A"," ",RANK(S186,$P$184:$V$195))</f>
        <v> </v>
      </c>
      <c r="AH186" s="299" t="str">
        <f aca="false">IF($A186="N/A"," ",RANK(T186,$P$184:$V$195))</f>
        <v> </v>
      </c>
      <c r="AI186" s="299" t="str">
        <f aca="false">IF($A186="N/A"," ",RANK(U186,$P$184:$V$195))</f>
        <v> </v>
      </c>
      <c r="AJ186" s="300" t="str">
        <f aca="false">IF($A186="N/A"," ",RANK(V186,$P$184:$V$195))</f>
        <v> </v>
      </c>
      <c r="AK186" s="286" t="str">
        <f aca="false">IF($A186="N/A"," ",IF(AD186&lt;=$AJ$2,W186,0))</f>
        <v> </v>
      </c>
      <c r="AL186" s="301" t="str">
        <f aca="false">IF($A186="N/A"," ",IF(AE186&lt;=$AJ$2,X186,0))</f>
        <v> </v>
      </c>
      <c r="AM186" s="301" t="str">
        <f aca="false">IF($A186="N/A"," ",IF(AF186&lt;=$AJ$2,Y186,0))</f>
        <v> </v>
      </c>
      <c r="AN186" s="301" t="str">
        <f aca="false">IF($A186="N/A"," ",IF(AG186&lt;=$AJ$2,Z186,0))</f>
        <v> </v>
      </c>
      <c r="AO186" s="301" t="str">
        <f aca="false">IF($A186="N/A"," ",IF(AH186&lt;=$AJ$2,AA186,0))</f>
        <v> </v>
      </c>
      <c r="AP186" s="301" t="str">
        <f aca="false">IF($A186="N/A"," ",IF(AI186&lt;=$AJ$2,AB186,0))</f>
        <v> </v>
      </c>
      <c r="AQ186" s="301" t="str">
        <f aca="false">IF($A186="N/A"," ",IF(AJ186&lt;=$AJ$2,AC186,0))</f>
        <v> </v>
      </c>
      <c r="AR186" s="300"/>
      <c r="AS186" s="288" t="str">
        <f aca="false">IF($A186="N/A"," ",IF(AND(AD186=$AJ$2+1,AK186=0),MIN($AR$195,W186),0))</f>
        <v> </v>
      </c>
      <c r="AT186" s="302" t="str">
        <f aca="false">IF($A186="N/A"," ",IF(AND(AE186=$AJ$2+1,AL186=0),MIN($AR$195,X186),0))</f>
        <v> </v>
      </c>
      <c r="AU186" s="302" t="str">
        <f aca="false">IF($A186="N/A"," ",IF(AND(AF186=$AJ$2+1,AM186=0),MIN($AR$195,Y186),0))</f>
        <v> </v>
      </c>
      <c r="AV186" s="302" t="str">
        <f aca="false">IF($A186="N/A"," ",IF(AND(AG186=$AJ$2+1,AN186=0),MIN($AR$195,Z186),0))</f>
        <v> </v>
      </c>
      <c r="AW186" s="302" t="str">
        <f aca="false">IF($A186="N/A"," ",IF(AND(AH186=$AJ$2+1,AO186=0),MIN($AR$195,AA186),0))</f>
        <v> </v>
      </c>
      <c r="AX186" s="302" t="str">
        <f aca="false">IF($A186="N/A"," ",IF(AND(AI186=$AJ$2+1,AP186=0),MIN($AR$195,AB186),0))</f>
        <v> </v>
      </c>
      <c r="AY186" s="302" t="str">
        <f aca="false">IF($A186="N/A"," ",IF(AND(AJ186=$AJ$2+1,AQ186=0),MIN($AR$195,AC186),0))</f>
        <v> </v>
      </c>
      <c r="AZ186" s="300"/>
      <c r="BA186" s="291" t="str">
        <f aca="false">IF($A186="N/A"," ",(IF(MONTH(A186)&gt;=4,IF(MONTH(A186)&lt;=10,Inputs!$F$13,Inputs!$F$14),Inputs!$F$14))*$BW186)</f>
        <v> </v>
      </c>
      <c r="BB186" s="292" t="str">
        <f aca="false">IF($A186="N/A"," ",(IF(AK186&gt;0,($BA186*(8*(VLOOKUP($A186,NumberofDaysTable,2)))*P186),0)+IF(AS186&gt;0,($BA186*((AS186))*P186),0)))</f>
        <v> </v>
      </c>
      <c r="BC186" s="292" t="str">
        <f aca="false">IF($A186="N/A"," ",(IF(AL186&gt;0,($BA186*(8*(VLOOKUP($A186,NumberofDaysTable,2)))*Q186),0)+IF(AT186&gt;0,($BA186*((AT186))*Q186),0)))</f>
        <v> </v>
      </c>
      <c r="BD186" s="292" t="str">
        <f aca="false">IF($A186="N/A"," ",(IF(AM186&gt;0,($BA186*(8*(VLOOKUP($A186,NumberofDaysTable,3)))*R186),0)+IF(AU186&gt;0,($BA186*((AU186))*R186),0)))</f>
        <v> </v>
      </c>
      <c r="BE186" s="292" t="str">
        <f aca="false">IF($A186="N/A"," ",(IF(AN186&gt;0,($BA186*(8*(VLOOKUP($A186,NumberofDaysTable,3)))*S186),0)+IF(AV186&gt;0,($BA186*((AV186))*S186),0)))</f>
        <v> </v>
      </c>
      <c r="BF186" s="292" t="str">
        <f aca="false">IF($A186="N/A"," ",(IF(AO186&gt;0,($BA186*(8*(VLOOKUP($A186,NumberofDaysTable,4)+VLOOKUP($A186,NumberofDaysTable,5)))*T186),0)+IF(AW186&gt;0,($BA186*((AW186))*T186),0)))</f>
        <v> </v>
      </c>
      <c r="BG186" s="292" t="str">
        <f aca="false">IF($A186="N/A"," ",(IF(AP186&gt;0,($BA186*(8*(VLOOKUP($A186,NumberofDaysTable,4)+VLOOKUP($A186,NumberofDaysTable,5)))*U186),0)+IF(AX186&gt;0,($BA186*((AX186))*U186),0)))</f>
        <v> </v>
      </c>
      <c r="BH186" s="292" t="str">
        <f aca="false">IF($A186="N/A"," ",($BA186*AQ186*V186))</f>
        <v> </v>
      </c>
      <c r="BI186" s="292" t="str">
        <f aca="false">IF($A186="N/A"," ",SUM(BB186:BH186))</f>
        <v> </v>
      </c>
      <c r="BJ186" s="293" t="str">
        <f aca="false">IF($A186="N/A"," ",(H186*(SUM(AK186:AQ186)+SUM(AS186:AY186))*BA186))</f>
        <v> </v>
      </c>
      <c r="BK186" s="293" t="str">
        <f aca="false">IF($A186="N/A"," ",((C186*D186)*(SUM($AK186:$AQ186)+SUM($AS186:$AY186))*$BA186))</f>
        <v> </v>
      </c>
      <c r="BL186" s="293" t="str">
        <f aca="false">IF($A186="N/A"," ",(F186*(SUM($AK186:$AQ186)+SUM($AS186:$AY186))*$BA186))</f>
        <v> </v>
      </c>
      <c r="BM186" s="293" t="str">
        <f aca="false">IF($A186="N/A"," ",(G186*(SUM($AK186:$AQ186)+SUM($AS186:$AY186))*$BA186))</f>
        <v> </v>
      </c>
      <c r="BN186" s="294" t="str">
        <f aca="false">IF(A186="N/A"," ",(VLOOKUP(A186,PowerVolTable,(IF('Pricing Inputs'!$AT$3=2,7,IF('Pricing Inputs'!$AT$3=1,6,8))),FALSE())))</f>
        <v> </v>
      </c>
      <c r="BO186" s="294" t="str">
        <f aca="false">IF(A186="N/A"," ",(VLOOKUP(A186,IntraPowerVol,(IF('Pricing Inputs'!$AT$3=2,3,IF('Pricing Inputs'!$AT$3=1,2,4))),FALSE())*VLOOKUP(MONTH($A186),Inputs!$A$28:$B$39,2)))</f>
        <v> </v>
      </c>
      <c r="BP186" s="295" t="str">
        <f aca="false">IF($A186="N/A"," ",(IF(DateToday&gt;$A186,$BO186,((($BN186^2)*((($A186-1)-DateToday)/((EOMONTH($A186,0)+1)-DateToday-15)))+((($BO186)^2)*((15)/((EOMONTH($A186,0)+1)-DateToday-15))))^0.5)))</f>
        <v> </v>
      </c>
      <c r="BQ186" s="294" t="str">
        <f aca="false">IF($A186="N/A"," ",(VLOOKUP($A186,GasVolTable,(IF('Pricing Inputs'!$AT$3=2,6,IF('Pricing Inputs'!$AT$3=1,7,5))),FALSE())))</f>
        <v> </v>
      </c>
      <c r="BR186" s="294" t="str">
        <f aca="false">IF($A186="N/A"," ",(VLOOKUP($A186,OmicronVol,(IF('Pricing Inputs'!$AT$3=2,3,IF('Pricing Inputs'!$AT$3=1,4,2))),FALSE())))</f>
        <v> </v>
      </c>
      <c r="BS186" s="295" t="str">
        <f aca="false">IF($A186="N/A"," ",IF('Pricing Inputs'!$AN$3=1,(IF(DateToday&gt;$A186,$BR186,((($BQ186^2)*((($A186-1)-DateToday)/((EOMONTH($A186,0)+1)-DateToday-15)))+((($BR186)^2)*((15)/((EOMONTH($A186,0)+1)-DateToday-15))))^0.5)),0.0001))</f>
        <v> </v>
      </c>
      <c r="BT186" s="294" t="str">
        <f aca="false">IF($A186="N/A"," ",IF('Pricing Inputs'!$AN$3=1,(VLOOKUP($A186,CorrelationTable,2,FALSE())),0))</f>
        <v> </v>
      </c>
      <c r="BU186" s="296" t="str">
        <f aca="false">IF($A186="N/A"," ",F186+G186+(D186*(VLOOKUP($A186,'Gas Curves'!$B$17:$P$310,14,FALSE()))))</f>
        <v> </v>
      </c>
      <c r="BV186" s="294" t="str">
        <f aca="false">IF($A186="N/A"," ",IF('Pricing Inputs'!$AW$3=1,0,(VLOOKUP($A186,InterestRatesTable,2))))</f>
        <v> </v>
      </c>
      <c r="BW186" s="297" t="str">
        <f aca="false">IF($A186="N/A"," ",(1+BV186/2)^(-2*((EOMONTH(A186,0)+20)-DateToday)/365.25))</f>
        <v> </v>
      </c>
    </row>
    <row r="187" customFormat="false" ht="12.75" hidden="false" customHeight="false" outlineLevel="0" collapsed="false">
      <c r="A187" s="272" t="str">
        <f aca="false">IF(A186="N/A","N/A",IF(EDATE(A186,1)&gt;Inputs!$K$3,"N/A",EDATE(A186,1)))</f>
        <v>N/A</v>
      </c>
      <c r="B187" s="273" t="str">
        <f aca="false">IF(A187="N/A"," ",YEAR(A187))</f>
        <v> </v>
      </c>
      <c r="C187" s="274" t="str">
        <f aca="false">IF(A187="N/A"," ",VLOOKUP(A187,ScaledPrice,10))</f>
        <v> </v>
      </c>
      <c r="D187" s="275" t="str">
        <f aca="false">IF(A187="N/A"," ",(VLOOKUP(MONTH($A187),Inputs!$A$14:$B$25,2))/1000)</f>
        <v> </v>
      </c>
      <c r="E187" s="276" t="str">
        <f aca="false">IF($A187="N/A"," ",C187*D187)</f>
        <v> </v>
      </c>
      <c r="F187" s="277" t="str">
        <f aca="false">IF(A187="N/A"," ",Inputs!$F$6)</f>
        <v> </v>
      </c>
      <c r="G187" s="277" t="str">
        <f aca="false">IF(A187="N/A"," ",Inputs!$F$9/IF(AND('Pricing Inputs'!$AQ$3&gt;=4,'Pricing Inputs'!$AQ$3&lt;=6),16,IF(AND('Pricing Inputs'!$AQ$3&gt;=7,'Pricing Inputs'!$AQ$3&lt;=9),8,24))/(BA187/BW187))</f>
        <v> </v>
      </c>
      <c r="H187" s="278" t="str">
        <f aca="false">IF(A187="N/A"," ",(C187*D187)+F187+G187)</f>
        <v> </v>
      </c>
      <c r="I187" s="279" t="str">
        <f aca="false">VLOOKUP(A187,ScaledPrice,(IF(AND('Pricing Inputs'!$AQ$3&gt;=1,'Pricing Inputs'!$AQ$3&lt;=6),2,4)))</f>
        <v> </v>
      </c>
      <c r="J187" s="279" t="str">
        <f aca="false">IF(A187="N/A"," ",IF(AND('Pricing Inputs'!$AQ$3&gt;=1,'Pricing Inputs'!$AQ$3&lt;=6),I187,(VLOOKUP(A187,ScaledPrice,2))*(2-(VLOOKUP(A187,ScaledPrice,3)))))</f>
        <v> </v>
      </c>
      <c r="K187" s="279" t="str">
        <f aca="false">IF(A187="N/A"," ",IF(OR('Pricing Inputs'!$AQ$3=2,'Pricing Inputs'!$AQ$3=3,'Pricing Inputs'!$AQ$3=5,'Pricing Inputs'!$AQ$3=6,'Pricing Inputs'!$AQ$3=8,'Pricing Inputs'!$AQ$3=9),VLOOKUP(A187,ScaledPrice,IF(AND('Pricing Inputs'!$AQ$3&gt;=2,'Pricing Inputs'!$AQ$3&lt;=6),5,6)),0))</f>
        <v> </v>
      </c>
      <c r="L187" s="279" t="str">
        <f aca="false">IF(A187="N/A"," ",IF(OR('Pricing Inputs'!$AQ$3=2,'Pricing Inputs'!$AQ$3=3,'Pricing Inputs'!$AQ$3=5,'Pricing Inputs'!$AQ$3=6,'Pricing Inputs'!$AQ$3=8,'Pricing Inputs'!$AQ$3=9),IF(AND('Pricing Inputs'!$AQ$3&gt;=2,'Pricing Inputs'!$AQ$3&lt;=6),K187,(VLOOKUP(A187,ScaledPrice,5))*(2-(VLOOKUP(A187,ScaledPrice,3)))),0))</f>
        <v> </v>
      </c>
      <c r="M187" s="279" t="str">
        <f aca="false">IF(A187="N/A"," ",IF(OR('Pricing Inputs'!$AQ$3=3,'Pricing Inputs'!$AQ$3=6,'Pricing Inputs'!$AQ$3=9),(VLOOKUP(A187,ScaledPrice,IF(AND('Pricing Inputs'!$AQ$3&gt;=3,'Pricing Inputs'!$AQ$3&lt;=6),7,8))),0))</f>
        <v> </v>
      </c>
      <c r="N187" s="279" t="str">
        <f aca="false">IF(A187="N/A"," ",IF(OR('Pricing Inputs'!$AQ$3=3,'Pricing Inputs'!$AQ$3=6,'Pricing Inputs'!$AQ$3=9),IF(AND('Pricing Inputs'!$AQ$3&gt;=3,'Pricing Inputs'!$AQ$3&lt;=6),M187,(VLOOKUP(A187,ScaledPrice,7))*(2-(VLOOKUP(A187,ScaledPrice,3)))),0))</f>
        <v> </v>
      </c>
      <c r="O187" s="279" t="str">
        <f aca="false">IF(A187="N/A"," ",IF(AND('Pricing Inputs'!$AQ$3&gt;=1,'Pricing Inputs'!$AQ$3&lt;=3),VLOOKUP(A187,ScaledPrice,9),0))</f>
        <v> </v>
      </c>
      <c r="P187" s="280" t="str">
        <f aca="false">IF($A187="N/A"," ",IF('Pricing Inputs'!$AN$8=2,(I187-H187),IF('Pricing Inputs'!$AN$3=2,IF((I187-$H187)&gt;0,I187-$H187,0),(xSPRDOPT(I187,$E187,$BU187,0,$BP187,$BS187,$BT187,($A187-Inputs!$D$1)+15,1,0)))))</f>
        <v> </v>
      </c>
      <c r="Q187" s="280" t="str">
        <f aca="false">IF($A187="N/A"," ",IF('Pricing Inputs'!$AN$8=2,(J187-$H187),IF('Pricing Inputs'!$AN$3=2,IF((J187-$H187)&gt;0,J187-$H187,0),(xSPRDOPT(J187,$E187,$BU187,0,$BP187,$BS187,$BT187,($A187-Inputs!$D$1)+15,1,0)))))</f>
        <v> </v>
      </c>
      <c r="R187" s="280" t="str">
        <f aca="false">IF($A187="N/A"," ",IF('Pricing Inputs'!$AN$8=2,(K187-$H187),IF('Pricing Inputs'!$AN$3=2,IF((K187-$H187)&gt;0,K187-$H187,0),(xSPRDOPT(K187,$E187,$BU187,0,$BP187,$BS187,$BT187,($A187-Inputs!$D$1)+15,1,0)))))</f>
        <v> </v>
      </c>
      <c r="S187" s="280" t="str">
        <f aca="false">IF($A187="N/A"," ",IF('Pricing Inputs'!$AN$8=2,(L187-$H187),IF('Pricing Inputs'!$AN$3=2,IF((L187-$H187)&gt;0,L187-$H187,0),(xSPRDOPT(L187,$E187,$BU187,0,$BP187,$BS187,$BT187,($A187-Inputs!$D$1)+15,1,0)))))</f>
        <v> </v>
      </c>
      <c r="T187" s="280" t="str">
        <f aca="false">IF($A187="N/A"," ",IF('Pricing Inputs'!$AN$8=2,(M187-$H187),IF('Pricing Inputs'!$AN$3=2,IF((M187-$H187)&gt;0,M187-$H187,0),(xSPRDOPT(M187,$E187,$BU187,0,$BP187,$BS187,$BT187,($A187-Inputs!$D$1)+15,1,0)))))</f>
        <v> </v>
      </c>
      <c r="U187" s="280" t="str">
        <f aca="false">IF($A187="N/A"," ",IF('Pricing Inputs'!$AN$8=2,(N187-$H187),IF('Pricing Inputs'!$AN$3=2,IF((N187-$H187)&gt;0,N187-$H187,0),(xSPRDOPT(N187,$E187,$BU187,0,$BP187,$BS187,$BT187,($A187-Inputs!$D$1)+15,1,0)))))</f>
        <v> </v>
      </c>
      <c r="V187" s="281" t="str">
        <f aca="false">IF($A187="N/A"," ",(IF('Pricing Inputs'!$AN$8=2,(O187-$H187),IF((O187-$H187)&lt;=0,0,(O187-$H187)))))</f>
        <v> </v>
      </c>
      <c r="W187" s="282" t="str">
        <f aca="false">IF($A187="N/A"," ",IF(0&lt;&gt;P187,IF('Pricing Inputs'!$AN$3=2,8*VLOOKUP($A187,NumberofDaysTable,2),(xSPRDOPT(I187,$E187,$BU187,0,$BP187,$BS187,$BT187,$A187-Inputs!$D$1,1,1))*(8*VLOOKUP($A187,NumberofDaysTable,2))),0))</f>
        <v> </v>
      </c>
      <c r="X187" s="282" t="str">
        <f aca="false">IF($A187="N/A"," ",IF(Q187&lt;&gt;0,IF('Pricing Inputs'!$AN$3=2,8*VLOOKUP($A187,NumberofDaysTable,2),(xSPRDOPT(J187,$E187,$BU187,0,$BP187,$BS187,$BT187,$A187-Inputs!$D$1,1,1))*(8*VLOOKUP($A187,NumberofDaysTable,2))),0))</f>
        <v> </v>
      </c>
      <c r="Y187" s="282" t="str">
        <f aca="false">IF($A187="N/A"," ",IF(R187&lt;&gt;0,IF('Pricing Inputs'!$AN$3=2,8*VLOOKUP($A187,NumberofDaysTable,3),(xSPRDOPT(K187,$E187,$BU187,0,$BP187,$BS187,$BT187,$A187-Inputs!$D$1,1,1))*(8*VLOOKUP($A187,NumberofDaysTable,3))),0))</f>
        <v> </v>
      </c>
      <c r="Z187" s="282" t="str">
        <f aca="false">IF($A187="N/A"," ",IF(S187&lt;&gt;0,IF('Pricing Inputs'!$AN$3=2,8*VLOOKUP($A187,NumberofDaysTable,3),(xSPRDOPT(L187,$E187,$BU187,0,$BP187,$BS187,$BT187,$A187-Inputs!$D$1,1,1))*(8*VLOOKUP($A187,NumberofDaysTable,3))),0))</f>
        <v> </v>
      </c>
      <c r="AA187" s="282" t="str">
        <f aca="false">IF($A187="N/A"," ",IF(T187&lt;&gt;0,IF('Pricing Inputs'!$AN$3=2,8*VLOOKUP($A187,NumberofDaysTable,4),(xSPRDOPT(M187,$E187,$BU187,0,$BP187,$BS187,$BT187,$A187-Inputs!$D$1,1,1))*(8*VLOOKUP($A187,NumberofDaysTable,4))),0))</f>
        <v> </v>
      </c>
      <c r="AB187" s="282" t="str">
        <f aca="false">IF($A187="N/A"," ",IF(U187&lt;&gt;0,IF('Pricing Inputs'!$AN$3=2,8*VLOOKUP($A187,NumberofDaysTable,4),(xSPRDOPT(N187,$E187,$BU187,0,$BP187,$BS187,$BT187,$A187-Inputs!$D$1,1,1))*(8*VLOOKUP($A187,NumberofDaysTable,4))),0))</f>
        <v> </v>
      </c>
      <c r="AC187" s="282" t="str">
        <f aca="false">IF($A187="N/A"," ",(IF(V187&lt;&gt;0,(8*VLOOKUP($A187,NumberofDaysTable,6)),0)))</f>
        <v> </v>
      </c>
      <c r="AD187" s="298" t="str">
        <f aca="false">IF($A187="N/A"," ",RANK(P187,$P$184:$V$195))</f>
        <v> </v>
      </c>
      <c r="AE187" s="299" t="str">
        <f aca="false">IF($A187="N/A"," ",RANK(Q187,$P$184:$V$195))</f>
        <v> </v>
      </c>
      <c r="AF187" s="299" t="str">
        <f aca="false">IF($A187="N/A"," ",RANK(R187,$P$184:$V$195))</f>
        <v> </v>
      </c>
      <c r="AG187" s="299" t="str">
        <f aca="false">IF($A187="N/A"," ",RANK(S187,$P$184:$V$195))</f>
        <v> </v>
      </c>
      <c r="AH187" s="299" t="str">
        <f aca="false">IF($A187="N/A"," ",RANK(T187,$P$184:$V$195))</f>
        <v> </v>
      </c>
      <c r="AI187" s="299" t="str">
        <f aca="false">IF($A187="N/A"," ",RANK(U187,$P$184:$V$195))</f>
        <v> </v>
      </c>
      <c r="AJ187" s="300" t="str">
        <f aca="false">IF($A187="N/A"," ",RANK(V187,$P$184:$V$195))</f>
        <v> </v>
      </c>
      <c r="AK187" s="286" t="str">
        <f aca="false">IF($A187="N/A"," ",IF(AD187&lt;=$AJ$2,W187,0))</f>
        <v> </v>
      </c>
      <c r="AL187" s="301" t="str">
        <f aca="false">IF($A187="N/A"," ",IF(AE187&lt;=$AJ$2,X187,0))</f>
        <v> </v>
      </c>
      <c r="AM187" s="301" t="str">
        <f aca="false">IF($A187="N/A"," ",IF(AF187&lt;=$AJ$2,Y187,0))</f>
        <v> </v>
      </c>
      <c r="AN187" s="301" t="str">
        <f aca="false">IF($A187="N/A"," ",IF(AG187&lt;=$AJ$2,Z187,0))</f>
        <v> </v>
      </c>
      <c r="AO187" s="301" t="str">
        <f aca="false">IF($A187="N/A"," ",IF(AH187&lt;=$AJ$2,AA187,0))</f>
        <v> </v>
      </c>
      <c r="AP187" s="301" t="str">
        <f aca="false">IF($A187="N/A"," ",IF(AI187&lt;=$AJ$2,AB187,0))</f>
        <v> </v>
      </c>
      <c r="AQ187" s="301" t="str">
        <f aca="false">IF($A187="N/A"," ",IF(AJ187&lt;=$AJ$2,AC187,0))</f>
        <v> </v>
      </c>
      <c r="AR187" s="300"/>
      <c r="AS187" s="288" t="str">
        <f aca="false">IF($A187="N/A"," ",IF(AND(AD187=$AJ$2+1,AK187=0),MIN($AR$195,W187),0))</f>
        <v> </v>
      </c>
      <c r="AT187" s="302" t="str">
        <f aca="false">IF($A187="N/A"," ",IF(AND(AE187=$AJ$2+1,AL187=0),MIN($AR$195,X187),0))</f>
        <v> </v>
      </c>
      <c r="AU187" s="302" t="str">
        <f aca="false">IF($A187="N/A"," ",IF(AND(AF187=$AJ$2+1,AM187=0),MIN($AR$195,Y187),0))</f>
        <v> </v>
      </c>
      <c r="AV187" s="302" t="str">
        <f aca="false">IF($A187="N/A"," ",IF(AND(AG187=$AJ$2+1,AN187=0),MIN($AR$195,Z187),0))</f>
        <v> </v>
      </c>
      <c r="AW187" s="302" t="str">
        <f aca="false">IF($A187="N/A"," ",IF(AND(AH187=$AJ$2+1,AO187=0),MIN($AR$195,AA187),0))</f>
        <v> </v>
      </c>
      <c r="AX187" s="302" t="str">
        <f aca="false">IF($A187="N/A"," ",IF(AND(AI187=$AJ$2+1,AP187=0),MIN($AR$195,AB187),0))</f>
        <v> </v>
      </c>
      <c r="AY187" s="302" t="str">
        <f aca="false">IF($A187="N/A"," ",IF(AND(AJ187=$AJ$2+1,AQ187=0),MIN($AR$195,AC187),0))</f>
        <v> </v>
      </c>
      <c r="AZ187" s="300"/>
      <c r="BA187" s="291" t="str">
        <f aca="false">IF($A187="N/A"," ",(IF(MONTH(A187)&gt;=4,IF(MONTH(A187)&lt;=10,Inputs!$F$13,Inputs!$F$14),Inputs!$F$14))*$BW187)</f>
        <v> </v>
      </c>
      <c r="BB187" s="292" t="str">
        <f aca="false">IF($A187="N/A"," ",(IF(AK187&gt;0,($BA187*(8*(VLOOKUP($A187,NumberofDaysTable,2)))*P187),0)+IF(AS187&gt;0,($BA187*((AS187))*P187),0)))</f>
        <v> </v>
      </c>
      <c r="BC187" s="292" t="str">
        <f aca="false">IF($A187="N/A"," ",(IF(AL187&gt;0,($BA187*(8*(VLOOKUP($A187,NumberofDaysTable,2)))*Q187),0)+IF(AT187&gt;0,($BA187*((AT187))*Q187),0)))</f>
        <v> </v>
      </c>
      <c r="BD187" s="292" t="str">
        <f aca="false">IF($A187="N/A"," ",(IF(AM187&gt;0,($BA187*(8*(VLOOKUP($A187,NumberofDaysTable,3)))*R187),0)+IF(AU187&gt;0,($BA187*((AU187))*R187),0)))</f>
        <v> </v>
      </c>
      <c r="BE187" s="292" t="str">
        <f aca="false">IF($A187="N/A"," ",(IF(AN187&gt;0,($BA187*(8*(VLOOKUP($A187,NumberofDaysTable,3)))*S187),0)+IF(AV187&gt;0,($BA187*((AV187))*S187),0)))</f>
        <v> </v>
      </c>
      <c r="BF187" s="292" t="str">
        <f aca="false">IF($A187="N/A"," ",(IF(AO187&gt;0,($BA187*(8*(VLOOKUP($A187,NumberofDaysTable,4)+VLOOKUP($A187,NumberofDaysTable,5)))*T187),0)+IF(AW187&gt;0,($BA187*((AW187))*T187),0)))</f>
        <v> </v>
      </c>
      <c r="BG187" s="292" t="str">
        <f aca="false">IF($A187="N/A"," ",(IF(AP187&gt;0,($BA187*(8*(VLOOKUP($A187,NumberofDaysTable,4)+VLOOKUP($A187,NumberofDaysTable,5)))*U187),0)+IF(AX187&gt;0,($BA187*((AX187))*U187),0)))</f>
        <v> </v>
      </c>
      <c r="BH187" s="292" t="str">
        <f aca="false">IF($A187="N/A"," ",($BA187*AQ187*V187))</f>
        <v> </v>
      </c>
      <c r="BI187" s="292" t="str">
        <f aca="false">IF($A187="N/A"," ",SUM(BB187:BH187))</f>
        <v> </v>
      </c>
      <c r="BJ187" s="293" t="str">
        <f aca="false">IF($A187="N/A"," ",(H187*(SUM(AK187:AQ187)+SUM(AS187:AY187))*BA187))</f>
        <v> </v>
      </c>
      <c r="BK187" s="293" t="str">
        <f aca="false">IF($A187="N/A"," ",((C187*D187)*(SUM($AK187:$AQ187)+SUM($AS187:$AY187))*$BA187))</f>
        <v> </v>
      </c>
      <c r="BL187" s="293" t="str">
        <f aca="false">IF($A187="N/A"," ",(F187*(SUM($AK187:$AQ187)+SUM($AS187:$AY187))*$BA187))</f>
        <v> </v>
      </c>
      <c r="BM187" s="293" t="str">
        <f aca="false">IF($A187="N/A"," ",(G187*(SUM($AK187:$AQ187)+SUM($AS187:$AY187))*$BA187))</f>
        <v> </v>
      </c>
      <c r="BN187" s="294" t="str">
        <f aca="false">IF(A187="N/A"," ",(VLOOKUP(A187,PowerVolTable,(IF('Pricing Inputs'!$AT$3=2,7,IF('Pricing Inputs'!$AT$3=1,6,8))),FALSE())))</f>
        <v> </v>
      </c>
      <c r="BO187" s="294" t="str">
        <f aca="false">IF(A187="N/A"," ",(VLOOKUP(A187,IntraPowerVol,(IF('Pricing Inputs'!$AT$3=2,3,IF('Pricing Inputs'!$AT$3=1,2,4))),FALSE())*VLOOKUP(MONTH($A187),Inputs!$A$28:$B$39,2)))</f>
        <v> </v>
      </c>
      <c r="BP187" s="295" t="str">
        <f aca="false">IF($A187="N/A"," ",(IF(DateToday&gt;$A187,$BO187,((($BN187^2)*((($A187-1)-DateToday)/((EOMONTH($A187,0)+1)-DateToday-15)))+((($BO187)^2)*((15)/((EOMONTH($A187,0)+1)-DateToday-15))))^0.5)))</f>
        <v> </v>
      </c>
      <c r="BQ187" s="294" t="str">
        <f aca="false">IF($A187="N/A"," ",(VLOOKUP($A187,GasVolTable,(IF('Pricing Inputs'!$AT$3=2,6,IF('Pricing Inputs'!$AT$3=1,7,5))),FALSE())))</f>
        <v> </v>
      </c>
      <c r="BR187" s="294" t="str">
        <f aca="false">IF($A187="N/A"," ",(VLOOKUP($A187,OmicronVol,(IF('Pricing Inputs'!$AT$3=2,3,IF('Pricing Inputs'!$AT$3=1,4,2))),FALSE())))</f>
        <v> </v>
      </c>
      <c r="BS187" s="295" t="str">
        <f aca="false">IF($A187="N/A"," ",IF('Pricing Inputs'!$AN$3=1,(IF(DateToday&gt;$A187,$BR187,((($BQ187^2)*((($A187-1)-DateToday)/((EOMONTH($A187,0)+1)-DateToday-15)))+((($BR187)^2)*((15)/((EOMONTH($A187,0)+1)-DateToday-15))))^0.5)),0.0001))</f>
        <v> </v>
      </c>
      <c r="BT187" s="294" t="str">
        <f aca="false">IF($A187="N/A"," ",IF('Pricing Inputs'!$AN$3=1,(VLOOKUP($A187,CorrelationTable,2,FALSE())),0))</f>
        <v> </v>
      </c>
      <c r="BU187" s="296" t="str">
        <f aca="false">IF($A187="N/A"," ",F187+G187+(D187*(VLOOKUP($A187,'Gas Curves'!$B$17:$P$310,14,FALSE()))))</f>
        <v> </v>
      </c>
      <c r="BV187" s="294" t="str">
        <f aca="false">IF($A187="N/A"," ",IF('Pricing Inputs'!$AW$3=1,0,(VLOOKUP($A187,InterestRatesTable,2))))</f>
        <v> </v>
      </c>
      <c r="BW187" s="297" t="str">
        <f aca="false">IF($A187="N/A"," ",(1+BV187/2)^(-2*((EOMONTH(A187,0)+20)-DateToday)/365.25))</f>
        <v> </v>
      </c>
    </row>
    <row r="188" customFormat="false" ht="12.75" hidden="false" customHeight="false" outlineLevel="0" collapsed="false">
      <c r="A188" s="272" t="str">
        <f aca="false">IF(A187="N/A","N/A",IF(EDATE(A187,1)&gt;Inputs!$K$3,"N/A",EDATE(A187,1)))</f>
        <v>N/A</v>
      </c>
      <c r="B188" s="273" t="str">
        <f aca="false">IF(A188="N/A"," ",YEAR(A188))</f>
        <v> </v>
      </c>
      <c r="C188" s="274" t="str">
        <f aca="false">IF(A188="N/A"," ",VLOOKUP(A188,ScaledPrice,10))</f>
        <v> </v>
      </c>
      <c r="D188" s="275" t="str">
        <f aca="false">IF(A188="N/A"," ",(VLOOKUP(MONTH($A188),Inputs!$A$14:$B$25,2))/1000)</f>
        <v> </v>
      </c>
      <c r="E188" s="276" t="str">
        <f aca="false">IF($A188="N/A"," ",C188*D188)</f>
        <v> </v>
      </c>
      <c r="F188" s="277" t="str">
        <f aca="false">IF(A188="N/A"," ",Inputs!$F$6)</f>
        <v> </v>
      </c>
      <c r="G188" s="277" t="str">
        <f aca="false">IF(A188="N/A"," ",Inputs!$F$9/IF(AND('Pricing Inputs'!$AQ$3&gt;=4,'Pricing Inputs'!$AQ$3&lt;=6),16,IF(AND('Pricing Inputs'!$AQ$3&gt;=7,'Pricing Inputs'!$AQ$3&lt;=9),8,24))/(BA188/BW188))</f>
        <v> </v>
      </c>
      <c r="H188" s="278" t="str">
        <f aca="false">IF(A188="N/A"," ",(C188*D188)+F188+G188)</f>
        <v> </v>
      </c>
      <c r="I188" s="279" t="str">
        <f aca="false">VLOOKUP(A188,ScaledPrice,(IF(AND('Pricing Inputs'!$AQ$3&gt;=1,'Pricing Inputs'!$AQ$3&lt;=6),2,4)))</f>
        <v> </v>
      </c>
      <c r="J188" s="279" t="str">
        <f aca="false">IF(A188="N/A"," ",IF(AND('Pricing Inputs'!$AQ$3&gt;=1,'Pricing Inputs'!$AQ$3&lt;=6),I188,(VLOOKUP(A188,ScaledPrice,2))*(2-(VLOOKUP(A188,ScaledPrice,3)))))</f>
        <v> </v>
      </c>
      <c r="K188" s="279" t="str">
        <f aca="false">IF(A188="N/A"," ",IF(OR('Pricing Inputs'!$AQ$3=2,'Pricing Inputs'!$AQ$3=3,'Pricing Inputs'!$AQ$3=5,'Pricing Inputs'!$AQ$3=6,'Pricing Inputs'!$AQ$3=8,'Pricing Inputs'!$AQ$3=9),VLOOKUP(A188,ScaledPrice,IF(AND('Pricing Inputs'!$AQ$3&gt;=2,'Pricing Inputs'!$AQ$3&lt;=6),5,6)),0))</f>
        <v> </v>
      </c>
      <c r="L188" s="279" t="str">
        <f aca="false">IF(A188="N/A"," ",IF(OR('Pricing Inputs'!$AQ$3=2,'Pricing Inputs'!$AQ$3=3,'Pricing Inputs'!$AQ$3=5,'Pricing Inputs'!$AQ$3=6,'Pricing Inputs'!$AQ$3=8,'Pricing Inputs'!$AQ$3=9),IF(AND('Pricing Inputs'!$AQ$3&gt;=2,'Pricing Inputs'!$AQ$3&lt;=6),K188,(VLOOKUP(A188,ScaledPrice,5))*(2-(VLOOKUP(A188,ScaledPrice,3)))),0))</f>
        <v> </v>
      </c>
      <c r="M188" s="279" t="str">
        <f aca="false">IF(A188="N/A"," ",IF(OR('Pricing Inputs'!$AQ$3=3,'Pricing Inputs'!$AQ$3=6,'Pricing Inputs'!$AQ$3=9),(VLOOKUP(A188,ScaledPrice,IF(AND('Pricing Inputs'!$AQ$3&gt;=3,'Pricing Inputs'!$AQ$3&lt;=6),7,8))),0))</f>
        <v> </v>
      </c>
      <c r="N188" s="279" t="str">
        <f aca="false">IF(A188="N/A"," ",IF(OR('Pricing Inputs'!$AQ$3=3,'Pricing Inputs'!$AQ$3=6,'Pricing Inputs'!$AQ$3=9),IF(AND('Pricing Inputs'!$AQ$3&gt;=3,'Pricing Inputs'!$AQ$3&lt;=6),M188,(VLOOKUP(A188,ScaledPrice,7))*(2-(VLOOKUP(A188,ScaledPrice,3)))),0))</f>
        <v> </v>
      </c>
      <c r="O188" s="279" t="str">
        <f aca="false">IF(A188="N/A"," ",IF(AND('Pricing Inputs'!$AQ$3&gt;=1,'Pricing Inputs'!$AQ$3&lt;=3),VLOOKUP(A188,ScaledPrice,9),0))</f>
        <v> </v>
      </c>
      <c r="P188" s="280" t="str">
        <f aca="false">IF($A188="N/A"," ",IF('Pricing Inputs'!$AN$8=2,(I188-H188),IF('Pricing Inputs'!$AN$3=2,IF((I188-$H188)&gt;0,I188-$H188,0),(xSPRDOPT(I188,$E188,$BU188,0,$BP188,$BS188,$BT188,($A188-Inputs!$D$1)+15,1,0)))))</f>
        <v> </v>
      </c>
      <c r="Q188" s="280" t="str">
        <f aca="false">IF($A188="N/A"," ",IF('Pricing Inputs'!$AN$8=2,(J188-$H188),IF('Pricing Inputs'!$AN$3=2,IF((J188-$H188)&gt;0,J188-$H188,0),(xSPRDOPT(J188,$E188,$BU188,0,$BP188,$BS188,$BT188,($A188-Inputs!$D$1)+15,1,0)))))</f>
        <v> </v>
      </c>
      <c r="R188" s="280" t="str">
        <f aca="false">IF($A188="N/A"," ",IF('Pricing Inputs'!$AN$8=2,(K188-$H188),IF('Pricing Inputs'!$AN$3=2,IF((K188-$H188)&gt;0,K188-$H188,0),(xSPRDOPT(K188,$E188,$BU188,0,$BP188,$BS188,$BT188,($A188-Inputs!$D$1)+15,1,0)))))</f>
        <v> </v>
      </c>
      <c r="S188" s="280" t="str">
        <f aca="false">IF($A188="N/A"," ",IF('Pricing Inputs'!$AN$8=2,(L188-$H188),IF('Pricing Inputs'!$AN$3=2,IF((L188-$H188)&gt;0,L188-$H188,0),(xSPRDOPT(L188,$E188,$BU188,0,$BP188,$BS188,$BT188,($A188-Inputs!$D$1)+15,1,0)))))</f>
        <v> </v>
      </c>
      <c r="T188" s="280" t="str">
        <f aca="false">IF($A188="N/A"," ",IF('Pricing Inputs'!$AN$8=2,(M188-$H188),IF('Pricing Inputs'!$AN$3=2,IF((M188-$H188)&gt;0,M188-$H188,0),(xSPRDOPT(M188,$E188,$BU188,0,$BP188,$BS188,$BT188,($A188-Inputs!$D$1)+15,1,0)))))</f>
        <v> </v>
      </c>
      <c r="U188" s="280" t="str">
        <f aca="false">IF($A188="N/A"," ",IF('Pricing Inputs'!$AN$8=2,(N188-$H188),IF('Pricing Inputs'!$AN$3=2,IF((N188-$H188)&gt;0,N188-$H188,0),(xSPRDOPT(N188,$E188,$BU188,0,$BP188,$BS188,$BT188,($A188-Inputs!$D$1)+15,1,0)))))</f>
        <v> </v>
      </c>
      <c r="V188" s="281" t="str">
        <f aca="false">IF($A188="N/A"," ",(IF('Pricing Inputs'!$AN$8=2,(O188-$H188),IF((O188-$H188)&lt;=0,0,(O188-$H188)))))</f>
        <v> </v>
      </c>
      <c r="W188" s="282" t="str">
        <f aca="false">IF($A188="N/A"," ",IF(0&lt;&gt;P188,IF('Pricing Inputs'!$AN$3=2,8*VLOOKUP($A188,NumberofDaysTable,2),(xSPRDOPT(I188,$E188,$BU188,0,$BP188,$BS188,$BT188,$A188-Inputs!$D$1,1,1))*(8*VLOOKUP($A188,NumberofDaysTable,2))),0))</f>
        <v> </v>
      </c>
      <c r="X188" s="282" t="str">
        <f aca="false">IF($A188="N/A"," ",IF(Q188&lt;&gt;0,IF('Pricing Inputs'!$AN$3=2,8*VLOOKUP($A188,NumberofDaysTable,2),(xSPRDOPT(J188,$E188,$BU188,0,$BP188,$BS188,$BT188,$A188-Inputs!$D$1,1,1))*(8*VLOOKUP($A188,NumberofDaysTable,2))),0))</f>
        <v> </v>
      </c>
      <c r="Y188" s="282" t="str">
        <f aca="false">IF($A188="N/A"," ",IF(R188&lt;&gt;0,IF('Pricing Inputs'!$AN$3=2,8*VLOOKUP($A188,NumberofDaysTable,3),(xSPRDOPT(K188,$E188,$BU188,0,$BP188,$BS188,$BT188,$A188-Inputs!$D$1,1,1))*(8*VLOOKUP($A188,NumberofDaysTable,3))),0))</f>
        <v> </v>
      </c>
      <c r="Z188" s="282" t="str">
        <f aca="false">IF($A188="N/A"," ",IF(S188&lt;&gt;0,IF('Pricing Inputs'!$AN$3=2,8*VLOOKUP($A188,NumberofDaysTable,3),(xSPRDOPT(L188,$E188,$BU188,0,$BP188,$BS188,$BT188,$A188-Inputs!$D$1,1,1))*(8*VLOOKUP($A188,NumberofDaysTable,3))),0))</f>
        <v> </v>
      </c>
      <c r="AA188" s="282" t="str">
        <f aca="false">IF($A188="N/A"," ",IF(T188&lt;&gt;0,IF('Pricing Inputs'!$AN$3=2,8*VLOOKUP($A188,NumberofDaysTable,4),(xSPRDOPT(M188,$E188,$BU188,0,$BP188,$BS188,$BT188,$A188-Inputs!$D$1,1,1))*(8*VLOOKUP($A188,NumberofDaysTable,4))),0))</f>
        <v> </v>
      </c>
      <c r="AB188" s="282" t="str">
        <f aca="false">IF($A188="N/A"," ",IF(U188&lt;&gt;0,IF('Pricing Inputs'!$AN$3=2,8*VLOOKUP($A188,NumberofDaysTable,4),(xSPRDOPT(N188,$E188,$BU188,0,$BP188,$BS188,$BT188,$A188-Inputs!$D$1,1,1))*(8*VLOOKUP($A188,NumberofDaysTable,4))),0))</f>
        <v> </v>
      </c>
      <c r="AC188" s="282" t="str">
        <f aca="false">IF($A188="N/A"," ",(IF(V188&lt;&gt;0,(8*VLOOKUP($A188,NumberofDaysTable,6)),0)))</f>
        <v> </v>
      </c>
      <c r="AD188" s="298" t="str">
        <f aca="false">IF($A188="N/A"," ",RANK(P188,$P$184:$V$195))</f>
        <v> </v>
      </c>
      <c r="AE188" s="299" t="str">
        <f aca="false">IF($A188="N/A"," ",RANK(Q188,$P$184:$V$195))</f>
        <v> </v>
      </c>
      <c r="AF188" s="299" t="str">
        <f aca="false">IF($A188="N/A"," ",RANK(R188,$P$184:$V$195))</f>
        <v> </v>
      </c>
      <c r="AG188" s="299" t="str">
        <f aca="false">IF($A188="N/A"," ",RANK(S188,$P$184:$V$195))</f>
        <v> </v>
      </c>
      <c r="AH188" s="299" t="str">
        <f aca="false">IF($A188="N/A"," ",RANK(T188,$P$184:$V$195))</f>
        <v> </v>
      </c>
      <c r="AI188" s="299" t="str">
        <f aca="false">IF($A188="N/A"," ",RANK(U188,$P$184:$V$195))</f>
        <v> </v>
      </c>
      <c r="AJ188" s="300" t="str">
        <f aca="false">IF($A188="N/A"," ",RANK(V188,$P$184:$V$195))</f>
        <v> </v>
      </c>
      <c r="AK188" s="286" t="str">
        <f aca="false">IF($A188="N/A"," ",IF(AD188&lt;=$AJ$2,W188,0))</f>
        <v> </v>
      </c>
      <c r="AL188" s="301" t="str">
        <f aca="false">IF($A188="N/A"," ",IF(AE188&lt;=$AJ$2,X188,0))</f>
        <v> </v>
      </c>
      <c r="AM188" s="301" t="str">
        <f aca="false">IF($A188="N/A"," ",IF(AF188&lt;=$AJ$2,Y188,0))</f>
        <v> </v>
      </c>
      <c r="AN188" s="301" t="str">
        <f aca="false">IF($A188="N/A"," ",IF(AG188&lt;=$AJ$2,Z188,0))</f>
        <v> </v>
      </c>
      <c r="AO188" s="301" t="str">
        <f aca="false">IF($A188="N/A"," ",IF(AH188&lt;=$AJ$2,AA188,0))</f>
        <v> </v>
      </c>
      <c r="AP188" s="301" t="str">
        <f aca="false">IF($A188="N/A"," ",IF(AI188&lt;=$AJ$2,AB188,0))</f>
        <v> </v>
      </c>
      <c r="AQ188" s="301" t="str">
        <f aca="false">IF($A188="N/A"," ",IF(AJ188&lt;=$AJ$2,AC188,0))</f>
        <v> </v>
      </c>
      <c r="AR188" s="300"/>
      <c r="AS188" s="288" t="str">
        <f aca="false">IF($A188="N/A"," ",IF(AND(AD188=$AJ$2+1,AK188=0),MIN($AR$195,W188),0))</f>
        <v> </v>
      </c>
      <c r="AT188" s="302" t="str">
        <f aca="false">IF($A188="N/A"," ",IF(AND(AE188=$AJ$2+1,AL188=0),MIN($AR$195,X188),0))</f>
        <v> </v>
      </c>
      <c r="AU188" s="302" t="str">
        <f aca="false">IF($A188="N/A"," ",IF(AND(AF188=$AJ$2+1,AM188=0),MIN($AR$195,Y188),0))</f>
        <v> </v>
      </c>
      <c r="AV188" s="302" t="str">
        <f aca="false">IF($A188="N/A"," ",IF(AND(AG188=$AJ$2+1,AN188=0),MIN($AR$195,Z188),0))</f>
        <v> </v>
      </c>
      <c r="AW188" s="302" t="str">
        <f aca="false">IF($A188="N/A"," ",IF(AND(AH188=$AJ$2+1,AO188=0),MIN($AR$195,AA188),0))</f>
        <v> </v>
      </c>
      <c r="AX188" s="302" t="str">
        <f aca="false">IF($A188="N/A"," ",IF(AND(AI188=$AJ$2+1,AP188=0),MIN($AR$195,AB188),0))</f>
        <v> </v>
      </c>
      <c r="AY188" s="302" t="str">
        <f aca="false">IF($A188="N/A"," ",IF(AND(AJ188=$AJ$2+1,AQ188=0),MIN($AR$195,AC188),0))</f>
        <v> </v>
      </c>
      <c r="AZ188" s="300"/>
      <c r="BA188" s="291" t="str">
        <f aca="false">IF($A188="N/A"," ",(IF(MONTH(A188)&gt;=4,IF(MONTH(A188)&lt;=10,Inputs!$F$13,Inputs!$F$14),Inputs!$F$14))*$BW188)</f>
        <v> </v>
      </c>
      <c r="BB188" s="292" t="str">
        <f aca="false">IF($A188="N/A"," ",(IF(AK188&gt;0,($BA188*(8*(VLOOKUP($A188,NumberofDaysTable,2)))*P188),0)+IF(AS188&gt;0,($BA188*((AS188))*P188),0)))</f>
        <v> </v>
      </c>
      <c r="BC188" s="292" t="str">
        <f aca="false">IF($A188="N/A"," ",(IF(AL188&gt;0,($BA188*(8*(VLOOKUP($A188,NumberofDaysTable,2)))*Q188),0)+IF(AT188&gt;0,($BA188*((AT188))*Q188),0)))</f>
        <v> </v>
      </c>
      <c r="BD188" s="292" t="str">
        <f aca="false">IF($A188="N/A"," ",(IF(AM188&gt;0,($BA188*(8*(VLOOKUP($A188,NumberofDaysTable,3)))*R188),0)+IF(AU188&gt;0,($BA188*((AU188))*R188),0)))</f>
        <v> </v>
      </c>
      <c r="BE188" s="292" t="str">
        <f aca="false">IF($A188="N/A"," ",(IF(AN188&gt;0,($BA188*(8*(VLOOKUP($A188,NumberofDaysTable,3)))*S188),0)+IF(AV188&gt;0,($BA188*((AV188))*S188),0)))</f>
        <v> </v>
      </c>
      <c r="BF188" s="292" t="str">
        <f aca="false">IF($A188="N/A"," ",(IF(AO188&gt;0,($BA188*(8*(VLOOKUP($A188,NumberofDaysTable,4)+VLOOKUP($A188,NumberofDaysTable,5)))*T188),0)+IF(AW188&gt;0,($BA188*((AW188))*T188),0)))</f>
        <v> </v>
      </c>
      <c r="BG188" s="292" t="str">
        <f aca="false">IF($A188="N/A"," ",(IF(AP188&gt;0,($BA188*(8*(VLOOKUP($A188,NumberofDaysTable,4)+VLOOKUP($A188,NumberofDaysTable,5)))*U188),0)+IF(AX188&gt;0,($BA188*((AX188))*U188),0)))</f>
        <v> </v>
      </c>
      <c r="BH188" s="292" t="str">
        <f aca="false">IF($A188="N/A"," ",($BA188*AQ188*V188))</f>
        <v> </v>
      </c>
      <c r="BI188" s="292" t="str">
        <f aca="false">IF($A188="N/A"," ",SUM(BB188:BH188))</f>
        <v> </v>
      </c>
      <c r="BJ188" s="293" t="str">
        <f aca="false">IF($A188="N/A"," ",(H188*(SUM(AK188:AQ188)+SUM(AS188:AY188))*BA188))</f>
        <v> </v>
      </c>
      <c r="BK188" s="293" t="str">
        <f aca="false">IF($A188="N/A"," ",((C188*D188)*(SUM($AK188:$AQ188)+SUM($AS188:$AY188))*$BA188))</f>
        <v> </v>
      </c>
      <c r="BL188" s="293" t="str">
        <f aca="false">IF($A188="N/A"," ",(F188*(SUM($AK188:$AQ188)+SUM($AS188:$AY188))*$BA188))</f>
        <v> </v>
      </c>
      <c r="BM188" s="293" t="str">
        <f aca="false">IF($A188="N/A"," ",(G188*(SUM($AK188:$AQ188)+SUM($AS188:$AY188))*$BA188))</f>
        <v> </v>
      </c>
      <c r="BN188" s="294" t="str">
        <f aca="false">IF(A188="N/A"," ",(VLOOKUP(A188,PowerVolTable,(IF('Pricing Inputs'!$AT$3=2,7,IF('Pricing Inputs'!$AT$3=1,6,8))),FALSE())))</f>
        <v> </v>
      </c>
      <c r="BO188" s="294" t="str">
        <f aca="false">IF(A188="N/A"," ",(VLOOKUP(A188,IntraPowerVol,(IF('Pricing Inputs'!$AT$3=2,3,IF('Pricing Inputs'!$AT$3=1,2,4))),FALSE())*VLOOKUP(MONTH($A188),Inputs!$A$28:$B$39,2)))</f>
        <v> </v>
      </c>
      <c r="BP188" s="295" t="str">
        <f aca="false">IF($A188="N/A"," ",(IF(DateToday&gt;$A188,$BO188,((($BN188^2)*((($A188-1)-DateToday)/((EOMONTH($A188,0)+1)-DateToday-15)))+((($BO188)^2)*((15)/((EOMONTH($A188,0)+1)-DateToday-15))))^0.5)))</f>
        <v> </v>
      </c>
      <c r="BQ188" s="294" t="str">
        <f aca="false">IF($A188="N/A"," ",(VLOOKUP($A188,GasVolTable,(IF('Pricing Inputs'!$AT$3=2,6,IF('Pricing Inputs'!$AT$3=1,7,5))),FALSE())))</f>
        <v> </v>
      </c>
      <c r="BR188" s="294" t="str">
        <f aca="false">IF($A188="N/A"," ",(VLOOKUP($A188,OmicronVol,(IF('Pricing Inputs'!$AT$3=2,3,IF('Pricing Inputs'!$AT$3=1,4,2))),FALSE())))</f>
        <v> </v>
      </c>
      <c r="BS188" s="295" t="str">
        <f aca="false">IF($A188="N/A"," ",IF('Pricing Inputs'!$AN$3=1,(IF(DateToday&gt;$A188,$BR188,((($BQ188^2)*((($A188-1)-DateToday)/((EOMONTH($A188,0)+1)-DateToday-15)))+((($BR188)^2)*((15)/((EOMONTH($A188,0)+1)-DateToday-15))))^0.5)),0.0001))</f>
        <v> </v>
      </c>
      <c r="BT188" s="294" t="str">
        <f aca="false">IF($A188="N/A"," ",IF('Pricing Inputs'!$AN$3=1,(VLOOKUP($A188,CorrelationTable,2,FALSE())),0))</f>
        <v> </v>
      </c>
      <c r="BU188" s="296" t="str">
        <f aca="false">IF($A188="N/A"," ",F188+G188+(D188*(VLOOKUP($A188,'Gas Curves'!$B$17:$P$310,14,FALSE()))))</f>
        <v> </v>
      </c>
      <c r="BV188" s="294" t="str">
        <f aca="false">IF($A188="N/A"," ",IF('Pricing Inputs'!$AW$3=1,0,(VLOOKUP($A188,InterestRatesTable,2))))</f>
        <v> </v>
      </c>
      <c r="BW188" s="297" t="str">
        <f aca="false">IF($A188="N/A"," ",(1+BV188/2)^(-2*((EOMONTH(A188,0)+20)-DateToday)/365.25))</f>
        <v> </v>
      </c>
    </row>
    <row r="189" customFormat="false" ht="12.75" hidden="false" customHeight="false" outlineLevel="0" collapsed="false">
      <c r="A189" s="272" t="str">
        <f aca="false">IF(A188="N/A","N/A",IF(EDATE(A188,1)&gt;Inputs!$K$3,"N/A",EDATE(A188,1)))</f>
        <v>N/A</v>
      </c>
      <c r="B189" s="273" t="str">
        <f aca="false">IF(A189="N/A"," ",YEAR(A189))</f>
        <v> </v>
      </c>
      <c r="C189" s="274" t="str">
        <f aca="false">IF(A189="N/A"," ",VLOOKUP(A189,ScaledPrice,10))</f>
        <v> </v>
      </c>
      <c r="D189" s="275" t="str">
        <f aca="false">IF(A189="N/A"," ",(VLOOKUP(MONTH($A189),Inputs!$A$14:$B$25,2))/1000)</f>
        <v> </v>
      </c>
      <c r="E189" s="276" t="str">
        <f aca="false">IF($A189="N/A"," ",C189*D189)</f>
        <v> </v>
      </c>
      <c r="F189" s="277" t="str">
        <f aca="false">IF(A189="N/A"," ",Inputs!$F$6)</f>
        <v> </v>
      </c>
      <c r="G189" s="277" t="str">
        <f aca="false">IF(A189="N/A"," ",Inputs!$F$9/IF(AND('Pricing Inputs'!$AQ$3&gt;=4,'Pricing Inputs'!$AQ$3&lt;=6),16,IF(AND('Pricing Inputs'!$AQ$3&gt;=7,'Pricing Inputs'!$AQ$3&lt;=9),8,24))/(BA189/BW189))</f>
        <v> </v>
      </c>
      <c r="H189" s="278" t="str">
        <f aca="false">IF(A189="N/A"," ",(C189*D189)+F189+G189)</f>
        <v> </v>
      </c>
      <c r="I189" s="279" t="str">
        <f aca="false">VLOOKUP(A189,ScaledPrice,(IF(AND('Pricing Inputs'!$AQ$3&gt;=1,'Pricing Inputs'!$AQ$3&lt;=6),2,4)))</f>
        <v> </v>
      </c>
      <c r="J189" s="279" t="str">
        <f aca="false">IF(A189="N/A"," ",IF(AND('Pricing Inputs'!$AQ$3&gt;=1,'Pricing Inputs'!$AQ$3&lt;=6),I189,(VLOOKUP(A189,ScaledPrice,2))*(2-(VLOOKUP(A189,ScaledPrice,3)))))</f>
        <v> </v>
      </c>
      <c r="K189" s="279" t="str">
        <f aca="false">IF(A189="N/A"," ",IF(OR('Pricing Inputs'!$AQ$3=2,'Pricing Inputs'!$AQ$3=3,'Pricing Inputs'!$AQ$3=5,'Pricing Inputs'!$AQ$3=6,'Pricing Inputs'!$AQ$3=8,'Pricing Inputs'!$AQ$3=9),VLOOKUP(A189,ScaledPrice,IF(AND('Pricing Inputs'!$AQ$3&gt;=2,'Pricing Inputs'!$AQ$3&lt;=6),5,6)),0))</f>
        <v> </v>
      </c>
      <c r="L189" s="279" t="str">
        <f aca="false">IF(A189="N/A"," ",IF(OR('Pricing Inputs'!$AQ$3=2,'Pricing Inputs'!$AQ$3=3,'Pricing Inputs'!$AQ$3=5,'Pricing Inputs'!$AQ$3=6,'Pricing Inputs'!$AQ$3=8,'Pricing Inputs'!$AQ$3=9),IF(AND('Pricing Inputs'!$AQ$3&gt;=2,'Pricing Inputs'!$AQ$3&lt;=6),K189,(VLOOKUP(A189,ScaledPrice,5))*(2-(VLOOKUP(A189,ScaledPrice,3)))),0))</f>
        <v> </v>
      </c>
      <c r="M189" s="279" t="str">
        <f aca="false">IF(A189="N/A"," ",IF(OR('Pricing Inputs'!$AQ$3=3,'Pricing Inputs'!$AQ$3=6,'Pricing Inputs'!$AQ$3=9),(VLOOKUP(A189,ScaledPrice,IF(AND('Pricing Inputs'!$AQ$3&gt;=3,'Pricing Inputs'!$AQ$3&lt;=6),7,8))),0))</f>
        <v> </v>
      </c>
      <c r="N189" s="279" t="str">
        <f aca="false">IF(A189="N/A"," ",IF(OR('Pricing Inputs'!$AQ$3=3,'Pricing Inputs'!$AQ$3=6,'Pricing Inputs'!$AQ$3=9),IF(AND('Pricing Inputs'!$AQ$3&gt;=3,'Pricing Inputs'!$AQ$3&lt;=6),M189,(VLOOKUP(A189,ScaledPrice,7))*(2-(VLOOKUP(A189,ScaledPrice,3)))),0))</f>
        <v> </v>
      </c>
      <c r="O189" s="279" t="str">
        <f aca="false">IF(A189="N/A"," ",IF(AND('Pricing Inputs'!$AQ$3&gt;=1,'Pricing Inputs'!$AQ$3&lt;=3),VLOOKUP(A189,ScaledPrice,9),0))</f>
        <v> </v>
      </c>
      <c r="P189" s="280" t="str">
        <f aca="false">IF($A189="N/A"," ",IF('Pricing Inputs'!$AN$8=2,(I189-H189),IF('Pricing Inputs'!$AN$3=2,IF((I189-$H189)&gt;0,I189-$H189,0),(xSPRDOPT(I189,$E189,$BU189,0,$BP189,$BS189,$BT189,($A189-Inputs!$D$1)+15,1,0)))))</f>
        <v> </v>
      </c>
      <c r="Q189" s="280" t="str">
        <f aca="false">IF($A189="N/A"," ",IF('Pricing Inputs'!$AN$8=2,(J189-$H189),IF('Pricing Inputs'!$AN$3=2,IF((J189-$H189)&gt;0,J189-$H189,0),(xSPRDOPT(J189,$E189,$BU189,0,$BP189,$BS189,$BT189,($A189-Inputs!$D$1)+15,1,0)))))</f>
        <v> </v>
      </c>
      <c r="R189" s="280" t="str">
        <f aca="false">IF($A189="N/A"," ",IF('Pricing Inputs'!$AN$8=2,(K189-$H189),IF('Pricing Inputs'!$AN$3=2,IF((K189-$H189)&gt;0,K189-$H189,0),(xSPRDOPT(K189,$E189,$BU189,0,$BP189,$BS189,$BT189,($A189-Inputs!$D$1)+15,1,0)))))</f>
        <v> </v>
      </c>
      <c r="S189" s="280" t="str">
        <f aca="false">IF($A189="N/A"," ",IF('Pricing Inputs'!$AN$8=2,(L189-$H189),IF('Pricing Inputs'!$AN$3=2,IF((L189-$H189)&gt;0,L189-$H189,0),(xSPRDOPT(L189,$E189,$BU189,0,$BP189,$BS189,$BT189,($A189-Inputs!$D$1)+15,1,0)))))</f>
        <v> </v>
      </c>
      <c r="T189" s="280" t="str">
        <f aca="false">IF($A189="N/A"," ",IF('Pricing Inputs'!$AN$8=2,(M189-$H189),IF('Pricing Inputs'!$AN$3=2,IF((M189-$H189)&gt;0,M189-$H189,0),(xSPRDOPT(M189,$E189,$BU189,0,$BP189,$BS189,$BT189,($A189-Inputs!$D$1)+15,1,0)))))</f>
        <v> </v>
      </c>
      <c r="U189" s="280" t="str">
        <f aca="false">IF($A189="N/A"," ",IF('Pricing Inputs'!$AN$8=2,(N189-$H189),IF('Pricing Inputs'!$AN$3=2,IF((N189-$H189)&gt;0,N189-$H189,0),(xSPRDOPT(N189,$E189,$BU189,0,$BP189,$BS189,$BT189,($A189-Inputs!$D$1)+15,1,0)))))</f>
        <v> </v>
      </c>
      <c r="V189" s="281" t="str">
        <f aca="false">IF($A189="N/A"," ",(IF('Pricing Inputs'!$AN$8=2,(O189-$H189),IF((O189-$H189)&lt;=0,0,(O189-$H189)))))</f>
        <v> </v>
      </c>
      <c r="W189" s="282" t="str">
        <f aca="false">IF($A189="N/A"," ",IF(0&lt;&gt;P189,IF('Pricing Inputs'!$AN$3=2,8*VLOOKUP($A189,NumberofDaysTable,2),(xSPRDOPT(I189,$E189,$BU189,0,$BP189,$BS189,$BT189,$A189-Inputs!$D$1,1,1))*(8*VLOOKUP($A189,NumberofDaysTable,2))),0))</f>
        <v> </v>
      </c>
      <c r="X189" s="282" t="str">
        <f aca="false">IF($A189="N/A"," ",IF(Q189&lt;&gt;0,IF('Pricing Inputs'!$AN$3=2,8*VLOOKUP($A189,NumberofDaysTable,2),(xSPRDOPT(J189,$E189,$BU189,0,$BP189,$BS189,$BT189,$A189-Inputs!$D$1,1,1))*(8*VLOOKUP($A189,NumberofDaysTable,2))),0))</f>
        <v> </v>
      </c>
      <c r="Y189" s="282" t="str">
        <f aca="false">IF($A189="N/A"," ",IF(R189&lt;&gt;0,IF('Pricing Inputs'!$AN$3=2,8*VLOOKUP($A189,NumberofDaysTable,3),(xSPRDOPT(K189,$E189,$BU189,0,$BP189,$BS189,$BT189,$A189-Inputs!$D$1,1,1))*(8*VLOOKUP($A189,NumberofDaysTable,3))),0))</f>
        <v> </v>
      </c>
      <c r="Z189" s="282" t="str">
        <f aca="false">IF($A189="N/A"," ",IF(S189&lt;&gt;0,IF('Pricing Inputs'!$AN$3=2,8*VLOOKUP($A189,NumberofDaysTable,3),(xSPRDOPT(L189,$E189,$BU189,0,$BP189,$BS189,$BT189,$A189-Inputs!$D$1,1,1))*(8*VLOOKUP($A189,NumberofDaysTable,3))),0))</f>
        <v> </v>
      </c>
      <c r="AA189" s="282" t="str">
        <f aca="false">IF($A189="N/A"," ",IF(T189&lt;&gt;0,IF('Pricing Inputs'!$AN$3=2,8*VLOOKUP($A189,NumberofDaysTable,4),(xSPRDOPT(M189,$E189,$BU189,0,$BP189,$BS189,$BT189,$A189-Inputs!$D$1,1,1))*(8*VLOOKUP($A189,NumberofDaysTable,4))),0))</f>
        <v> </v>
      </c>
      <c r="AB189" s="282" t="str">
        <f aca="false">IF($A189="N/A"," ",IF(U189&lt;&gt;0,IF('Pricing Inputs'!$AN$3=2,8*VLOOKUP($A189,NumberofDaysTable,4),(xSPRDOPT(N189,$E189,$BU189,0,$BP189,$BS189,$BT189,$A189-Inputs!$D$1,1,1))*(8*VLOOKUP($A189,NumberofDaysTable,4))),0))</f>
        <v> </v>
      </c>
      <c r="AC189" s="282" t="str">
        <f aca="false">IF($A189="N/A"," ",(IF(V189&lt;&gt;0,(8*VLOOKUP($A189,NumberofDaysTable,6)),0)))</f>
        <v> </v>
      </c>
      <c r="AD189" s="298" t="str">
        <f aca="false">IF($A189="N/A"," ",RANK(P189,$P$184:$V$195))</f>
        <v> </v>
      </c>
      <c r="AE189" s="299" t="str">
        <f aca="false">IF($A189="N/A"," ",RANK(Q189,$P$184:$V$195))</f>
        <v> </v>
      </c>
      <c r="AF189" s="299" t="str">
        <f aca="false">IF($A189="N/A"," ",RANK(R189,$P$184:$V$195))</f>
        <v> </v>
      </c>
      <c r="AG189" s="299" t="str">
        <f aca="false">IF($A189="N/A"," ",RANK(S189,$P$184:$V$195))</f>
        <v> </v>
      </c>
      <c r="AH189" s="299" t="str">
        <f aca="false">IF($A189="N/A"," ",RANK(T189,$P$184:$V$195))</f>
        <v> </v>
      </c>
      <c r="AI189" s="299" t="str">
        <f aca="false">IF($A189="N/A"," ",RANK(U189,$P$184:$V$195))</f>
        <v> </v>
      </c>
      <c r="AJ189" s="300" t="str">
        <f aca="false">IF($A189="N/A"," ",RANK(V189,$P$184:$V$195))</f>
        <v> </v>
      </c>
      <c r="AK189" s="286" t="str">
        <f aca="false">IF($A189="N/A"," ",IF(AD189&lt;=$AJ$2,W189,0))</f>
        <v> </v>
      </c>
      <c r="AL189" s="301" t="str">
        <f aca="false">IF($A189="N/A"," ",IF(AE189&lt;=$AJ$2,X189,0))</f>
        <v> </v>
      </c>
      <c r="AM189" s="301" t="str">
        <f aca="false">IF($A189="N/A"," ",IF(AF189&lt;=$AJ$2,Y189,0))</f>
        <v> </v>
      </c>
      <c r="AN189" s="301" t="str">
        <f aca="false">IF($A189="N/A"," ",IF(AG189&lt;=$AJ$2,Z189,0))</f>
        <v> </v>
      </c>
      <c r="AO189" s="301" t="str">
        <f aca="false">IF($A189="N/A"," ",IF(AH189&lt;=$AJ$2,AA189,0))</f>
        <v> </v>
      </c>
      <c r="AP189" s="301" t="str">
        <f aca="false">IF($A189="N/A"," ",IF(AI189&lt;=$AJ$2,AB189,0))</f>
        <v> </v>
      </c>
      <c r="AQ189" s="301" t="str">
        <f aca="false">IF($A189="N/A"," ",IF(AJ189&lt;=$AJ$2,AC189,0))</f>
        <v> </v>
      </c>
      <c r="AR189" s="300"/>
      <c r="AS189" s="288" t="str">
        <f aca="false">IF($A189="N/A"," ",IF(AND(AD189=$AJ$2+1,AK189=0),MIN($AR$195,W189),0))</f>
        <v> </v>
      </c>
      <c r="AT189" s="302" t="str">
        <f aca="false">IF($A189="N/A"," ",IF(AND(AE189=$AJ$2+1,AL189=0),MIN($AR$195,X189),0))</f>
        <v> </v>
      </c>
      <c r="AU189" s="302" t="str">
        <f aca="false">IF($A189="N/A"," ",IF(AND(AF189=$AJ$2+1,AM189=0),MIN($AR$195,Y189),0))</f>
        <v> </v>
      </c>
      <c r="AV189" s="302" t="str">
        <f aca="false">IF($A189="N/A"," ",IF(AND(AG189=$AJ$2+1,AN189=0),MIN($AR$195,Z189),0))</f>
        <v> </v>
      </c>
      <c r="AW189" s="302" t="str">
        <f aca="false">IF($A189="N/A"," ",IF(AND(AH189=$AJ$2+1,AO189=0),MIN($AR$195,AA189),0))</f>
        <v> </v>
      </c>
      <c r="AX189" s="302" t="str">
        <f aca="false">IF($A189="N/A"," ",IF(AND(AI189=$AJ$2+1,AP189=0),MIN($AR$195,AB189),0))</f>
        <v> </v>
      </c>
      <c r="AY189" s="302" t="str">
        <f aca="false">IF($A189="N/A"," ",IF(AND(AJ189=$AJ$2+1,AQ189=0),MIN($AR$195,AC189),0))</f>
        <v> </v>
      </c>
      <c r="AZ189" s="300"/>
      <c r="BA189" s="291" t="str">
        <f aca="false">IF($A189="N/A"," ",(IF(MONTH(A189)&gt;=4,IF(MONTH(A189)&lt;=10,Inputs!$F$13,Inputs!$F$14),Inputs!$F$14))*$BW189)</f>
        <v> </v>
      </c>
      <c r="BB189" s="292" t="str">
        <f aca="false">IF($A189="N/A"," ",(IF(AK189&gt;0,($BA189*(8*(VLOOKUP($A189,NumberofDaysTable,2)))*P189),0)+IF(AS189&gt;0,($BA189*((AS189))*P189),0)))</f>
        <v> </v>
      </c>
      <c r="BC189" s="292" t="str">
        <f aca="false">IF($A189="N/A"," ",(IF(AL189&gt;0,($BA189*(8*(VLOOKUP($A189,NumberofDaysTable,2)))*Q189),0)+IF(AT189&gt;0,($BA189*((AT189))*Q189),0)))</f>
        <v> </v>
      </c>
      <c r="BD189" s="292" t="str">
        <f aca="false">IF($A189="N/A"," ",(IF(AM189&gt;0,($BA189*(8*(VLOOKUP($A189,NumberofDaysTable,3)))*R189),0)+IF(AU189&gt;0,($BA189*((AU189))*R189),0)))</f>
        <v> </v>
      </c>
      <c r="BE189" s="292" t="str">
        <f aca="false">IF($A189="N/A"," ",(IF(AN189&gt;0,($BA189*(8*(VLOOKUP($A189,NumberofDaysTable,3)))*S189),0)+IF(AV189&gt;0,($BA189*((AV189))*S189),0)))</f>
        <v> </v>
      </c>
      <c r="BF189" s="292" t="str">
        <f aca="false">IF($A189="N/A"," ",(IF(AO189&gt;0,($BA189*(8*(VLOOKUP($A189,NumberofDaysTable,4)+VLOOKUP($A189,NumberofDaysTable,5)))*T189),0)+IF(AW189&gt;0,($BA189*((AW189))*T189),0)))</f>
        <v> </v>
      </c>
      <c r="BG189" s="292" t="str">
        <f aca="false">IF($A189="N/A"," ",(IF(AP189&gt;0,($BA189*(8*(VLOOKUP($A189,NumberofDaysTable,4)+VLOOKUP($A189,NumberofDaysTable,5)))*U189),0)+IF(AX189&gt;0,($BA189*((AX189))*U189),0)))</f>
        <v> </v>
      </c>
      <c r="BH189" s="292" t="str">
        <f aca="false">IF($A189="N/A"," ",($BA189*AQ189*V189))</f>
        <v> </v>
      </c>
      <c r="BI189" s="292" t="str">
        <f aca="false">IF($A189="N/A"," ",SUM(BB189:BH189))</f>
        <v> </v>
      </c>
      <c r="BJ189" s="293" t="str">
        <f aca="false">IF($A189="N/A"," ",(H189*(SUM(AK189:AQ189)+SUM(AS189:AY189))*BA189))</f>
        <v> </v>
      </c>
      <c r="BK189" s="293" t="str">
        <f aca="false">IF($A189="N/A"," ",((C189*D189)*(SUM($AK189:$AQ189)+SUM($AS189:$AY189))*$BA189))</f>
        <v> </v>
      </c>
      <c r="BL189" s="293" t="str">
        <f aca="false">IF($A189="N/A"," ",(F189*(SUM($AK189:$AQ189)+SUM($AS189:$AY189))*$BA189))</f>
        <v> </v>
      </c>
      <c r="BM189" s="293" t="str">
        <f aca="false">IF($A189="N/A"," ",(G189*(SUM($AK189:$AQ189)+SUM($AS189:$AY189))*$BA189))</f>
        <v> </v>
      </c>
      <c r="BN189" s="294" t="str">
        <f aca="false">IF(A189="N/A"," ",(VLOOKUP(A189,PowerVolTable,(IF('Pricing Inputs'!$AT$3=2,7,IF('Pricing Inputs'!$AT$3=1,6,8))),FALSE())))</f>
        <v> </v>
      </c>
      <c r="BO189" s="294" t="str">
        <f aca="false">IF(A189="N/A"," ",(VLOOKUP(A189,IntraPowerVol,(IF('Pricing Inputs'!$AT$3=2,3,IF('Pricing Inputs'!$AT$3=1,2,4))),FALSE())*VLOOKUP(MONTH($A189),Inputs!$A$28:$B$39,2)))</f>
        <v> </v>
      </c>
      <c r="BP189" s="295" t="str">
        <f aca="false">IF($A189="N/A"," ",(IF(DateToday&gt;$A189,$BO189,((($BN189^2)*((($A189-1)-DateToday)/((EOMONTH($A189,0)+1)-DateToday-15)))+((($BO189)^2)*((15)/((EOMONTH($A189,0)+1)-DateToday-15))))^0.5)))</f>
        <v> </v>
      </c>
      <c r="BQ189" s="294" t="str">
        <f aca="false">IF($A189="N/A"," ",(VLOOKUP($A189,GasVolTable,(IF('Pricing Inputs'!$AT$3=2,6,IF('Pricing Inputs'!$AT$3=1,7,5))),FALSE())))</f>
        <v> </v>
      </c>
      <c r="BR189" s="294" t="str">
        <f aca="false">IF($A189="N/A"," ",(VLOOKUP($A189,OmicronVol,(IF('Pricing Inputs'!$AT$3=2,3,IF('Pricing Inputs'!$AT$3=1,4,2))),FALSE())))</f>
        <v> </v>
      </c>
      <c r="BS189" s="295" t="str">
        <f aca="false">IF($A189="N/A"," ",IF('Pricing Inputs'!$AN$3=1,(IF(DateToday&gt;$A189,$BR189,((($BQ189^2)*((($A189-1)-DateToday)/((EOMONTH($A189,0)+1)-DateToday-15)))+((($BR189)^2)*((15)/((EOMONTH($A189,0)+1)-DateToday-15))))^0.5)),0.0001))</f>
        <v> </v>
      </c>
      <c r="BT189" s="294" t="str">
        <f aca="false">IF($A189="N/A"," ",IF('Pricing Inputs'!$AN$3=1,(VLOOKUP($A189,CorrelationTable,2,FALSE())),0))</f>
        <v> </v>
      </c>
      <c r="BU189" s="296" t="str">
        <f aca="false">IF($A189="N/A"," ",F189+G189+(D189*(VLOOKUP($A189,'Gas Curves'!$B$17:$P$310,14,FALSE()))))</f>
        <v> </v>
      </c>
      <c r="BV189" s="294" t="str">
        <f aca="false">IF($A189="N/A"," ",IF('Pricing Inputs'!$AW$3=1,0,(VLOOKUP($A189,InterestRatesTable,2))))</f>
        <v> </v>
      </c>
      <c r="BW189" s="297" t="str">
        <f aca="false">IF($A189="N/A"," ",(1+BV189/2)^(-2*((EOMONTH(A189,0)+20)-DateToday)/365.25))</f>
        <v> </v>
      </c>
    </row>
    <row r="190" customFormat="false" ht="12.75" hidden="false" customHeight="false" outlineLevel="0" collapsed="false">
      <c r="A190" s="272" t="str">
        <f aca="false">IF(A189="N/A","N/A",IF(EDATE(A189,1)&gt;Inputs!$K$3,"N/A",EDATE(A189,1)))</f>
        <v>N/A</v>
      </c>
      <c r="B190" s="273" t="str">
        <f aca="false">IF(A190="N/A"," ",YEAR(A190))</f>
        <v> </v>
      </c>
      <c r="C190" s="274" t="str">
        <f aca="false">IF(A190="N/A"," ",VLOOKUP(A190,ScaledPrice,10))</f>
        <v> </v>
      </c>
      <c r="D190" s="275" t="str">
        <f aca="false">IF(A190="N/A"," ",(VLOOKUP(MONTH($A190),Inputs!$A$14:$B$25,2))/1000)</f>
        <v> </v>
      </c>
      <c r="E190" s="276" t="str">
        <f aca="false">IF($A190="N/A"," ",C190*D190)</f>
        <v> </v>
      </c>
      <c r="F190" s="277" t="str">
        <f aca="false">IF(A190="N/A"," ",Inputs!$F$6)</f>
        <v> </v>
      </c>
      <c r="G190" s="277" t="str">
        <f aca="false">IF(A190="N/A"," ",Inputs!$F$9/IF(AND('Pricing Inputs'!$AQ$3&gt;=4,'Pricing Inputs'!$AQ$3&lt;=6),16,IF(AND('Pricing Inputs'!$AQ$3&gt;=7,'Pricing Inputs'!$AQ$3&lt;=9),8,24))/(BA190/BW190))</f>
        <v> </v>
      </c>
      <c r="H190" s="278" t="str">
        <f aca="false">IF(A190="N/A"," ",(C190*D190)+F190+G190)</f>
        <v> </v>
      </c>
      <c r="I190" s="279" t="str">
        <f aca="false">VLOOKUP(A190,ScaledPrice,(IF(AND('Pricing Inputs'!$AQ$3&gt;=1,'Pricing Inputs'!$AQ$3&lt;=6),2,4)))</f>
        <v> </v>
      </c>
      <c r="J190" s="279" t="str">
        <f aca="false">IF(A190="N/A"," ",IF(AND('Pricing Inputs'!$AQ$3&gt;=1,'Pricing Inputs'!$AQ$3&lt;=6),I190,(VLOOKUP(A190,ScaledPrice,2))*(2-(VLOOKUP(A190,ScaledPrice,3)))))</f>
        <v> </v>
      </c>
      <c r="K190" s="279" t="str">
        <f aca="false">IF(A190="N/A"," ",IF(OR('Pricing Inputs'!$AQ$3=2,'Pricing Inputs'!$AQ$3=3,'Pricing Inputs'!$AQ$3=5,'Pricing Inputs'!$AQ$3=6,'Pricing Inputs'!$AQ$3=8,'Pricing Inputs'!$AQ$3=9),VLOOKUP(A190,ScaledPrice,IF(AND('Pricing Inputs'!$AQ$3&gt;=2,'Pricing Inputs'!$AQ$3&lt;=6),5,6)),0))</f>
        <v> </v>
      </c>
      <c r="L190" s="279" t="str">
        <f aca="false">IF(A190="N/A"," ",IF(OR('Pricing Inputs'!$AQ$3=2,'Pricing Inputs'!$AQ$3=3,'Pricing Inputs'!$AQ$3=5,'Pricing Inputs'!$AQ$3=6,'Pricing Inputs'!$AQ$3=8,'Pricing Inputs'!$AQ$3=9),IF(AND('Pricing Inputs'!$AQ$3&gt;=2,'Pricing Inputs'!$AQ$3&lt;=6),K190,(VLOOKUP(A190,ScaledPrice,5))*(2-(VLOOKUP(A190,ScaledPrice,3)))),0))</f>
        <v> </v>
      </c>
      <c r="M190" s="279" t="str">
        <f aca="false">IF(A190="N/A"," ",IF(OR('Pricing Inputs'!$AQ$3=3,'Pricing Inputs'!$AQ$3=6,'Pricing Inputs'!$AQ$3=9),(VLOOKUP(A190,ScaledPrice,IF(AND('Pricing Inputs'!$AQ$3&gt;=3,'Pricing Inputs'!$AQ$3&lt;=6),7,8))),0))</f>
        <v> </v>
      </c>
      <c r="N190" s="279" t="str">
        <f aca="false">IF(A190="N/A"," ",IF(OR('Pricing Inputs'!$AQ$3=3,'Pricing Inputs'!$AQ$3=6,'Pricing Inputs'!$AQ$3=9),IF(AND('Pricing Inputs'!$AQ$3&gt;=3,'Pricing Inputs'!$AQ$3&lt;=6),M190,(VLOOKUP(A190,ScaledPrice,7))*(2-(VLOOKUP(A190,ScaledPrice,3)))),0))</f>
        <v> </v>
      </c>
      <c r="O190" s="279" t="str">
        <f aca="false">IF(A190="N/A"," ",IF(AND('Pricing Inputs'!$AQ$3&gt;=1,'Pricing Inputs'!$AQ$3&lt;=3),VLOOKUP(A190,ScaledPrice,9),0))</f>
        <v> </v>
      </c>
      <c r="P190" s="280" t="str">
        <f aca="false">IF($A190="N/A"," ",IF('Pricing Inputs'!$AN$8=2,(I190-H190),IF('Pricing Inputs'!$AN$3=2,IF((I190-$H190)&gt;0,I190-$H190,0),(xSPRDOPT(I190,$E190,$BU190,0,$BP190,$BS190,$BT190,($A190-Inputs!$D$1)+15,1,0)))))</f>
        <v> </v>
      </c>
      <c r="Q190" s="280" t="str">
        <f aca="false">IF($A190="N/A"," ",IF('Pricing Inputs'!$AN$8=2,(J190-$H190),IF('Pricing Inputs'!$AN$3=2,IF((J190-$H190)&gt;0,J190-$H190,0),(xSPRDOPT(J190,$E190,$BU190,0,$BP190,$BS190,$BT190,($A190-Inputs!$D$1)+15,1,0)))))</f>
        <v> </v>
      </c>
      <c r="R190" s="280" t="str">
        <f aca="false">IF($A190="N/A"," ",IF('Pricing Inputs'!$AN$8=2,(K190-$H190),IF('Pricing Inputs'!$AN$3=2,IF((K190-$H190)&gt;0,K190-$H190,0),(xSPRDOPT(K190,$E190,$BU190,0,$BP190,$BS190,$BT190,($A190-Inputs!$D$1)+15,1,0)))))</f>
        <v> </v>
      </c>
      <c r="S190" s="280" t="str">
        <f aca="false">IF($A190="N/A"," ",IF('Pricing Inputs'!$AN$8=2,(L190-$H190),IF('Pricing Inputs'!$AN$3=2,IF((L190-$H190)&gt;0,L190-$H190,0),(xSPRDOPT(L190,$E190,$BU190,0,$BP190,$BS190,$BT190,($A190-Inputs!$D$1)+15,1,0)))))</f>
        <v> </v>
      </c>
      <c r="T190" s="280" t="str">
        <f aca="false">IF($A190="N/A"," ",IF('Pricing Inputs'!$AN$8=2,(M190-$H190),IF('Pricing Inputs'!$AN$3=2,IF((M190-$H190)&gt;0,M190-$H190,0),(xSPRDOPT(M190,$E190,$BU190,0,$BP190,$BS190,$BT190,($A190-Inputs!$D$1)+15,1,0)))))</f>
        <v> </v>
      </c>
      <c r="U190" s="280" t="str">
        <f aca="false">IF($A190="N/A"," ",IF('Pricing Inputs'!$AN$8=2,(N190-$H190),IF('Pricing Inputs'!$AN$3=2,IF((N190-$H190)&gt;0,N190-$H190,0),(xSPRDOPT(N190,$E190,$BU190,0,$BP190,$BS190,$BT190,($A190-Inputs!$D$1)+15,1,0)))))</f>
        <v> </v>
      </c>
      <c r="V190" s="281" t="str">
        <f aca="false">IF($A190="N/A"," ",(IF('Pricing Inputs'!$AN$8=2,(O190-$H190),IF((O190-$H190)&lt;=0,0,(O190-$H190)))))</f>
        <v> </v>
      </c>
      <c r="W190" s="282" t="str">
        <f aca="false">IF($A190="N/A"," ",IF(0&lt;&gt;P190,IF('Pricing Inputs'!$AN$3=2,8*VLOOKUP($A190,NumberofDaysTable,2),(xSPRDOPT(I190,$E190,$BU190,0,$BP190,$BS190,$BT190,$A190-Inputs!$D$1,1,1))*(8*VLOOKUP($A190,NumberofDaysTable,2))),0))</f>
        <v> </v>
      </c>
      <c r="X190" s="282" t="str">
        <f aca="false">IF($A190="N/A"," ",IF(Q190&lt;&gt;0,IF('Pricing Inputs'!$AN$3=2,8*VLOOKUP($A190,NumberofDaysTable,2),(xSPRDOPT(J190,$E190,$BU190,0,$BP190,$BS190,$BT190,$A190-Inputs!$D$1,1,1))*(8*VLOOKUP($A190,NumberofDaysTable,2))),0))</f>
        <v> </v>
      </c>
      <c r="Y190" s="282" t="str">
        <f aca="false">IF($A190="N/A"," ",IF(R190&lt;&gt;0,IF('Pricing Inputs'!$AN$3=2,8*VLOOKUP($A190,NumberofDaysTable,3),(xSPRDOPT(K190,$E190,$BU190,0,$BP190,$BS190,$BT190,$A190-Inputs!$D$1,1,1))*(8*VLOOKUP($A190,NumberofDaysTable,3))),0))</f>
        <v> </v>
      </c>
      <c r="Z190" s="282" t="str">
        <f aca="false">IF($A190="N/A"," ",IF(S190&lt;&gt;0,IF('Pricing Inputs'!$AN$3=2,8*VLOOKUP($A190,NumberofDaysTable,3),(xSPRDOPT(L190,$E190,$BU190,0,$BP190,$BS190,$BT190,$A190-Inputs!$D$1,1,1))*(8*VLOOKUP($A190,NumberofDaysTable,3))),0))</f>
        <v> </v>
      </c>
      <c r="AA190" s="282" t="str">
        <f aca="false">IF($A190="N/A"," ",IF(T190&lt;&gt;0,IF('Pricing Inputs'!$AN$3=2,8*VLOOKUP($A190,NumberofDaysTable,4),(xSPRDOPT(M190,$E190,$BU190,0,$BP190,$BS190,$BT190,$A190-Inputs!$D$1,1,1))*(8*VLOOKUP($A190,NumberofDaysTable,4))),0))</f>
        <v> </v>
      </c>
      <c r="AB190" s="282" t="str">
        <f aca="false">IF($A190="N/A"," ",IF(U190&lt;&gt;0,IF('Pricing Inputs'!$AN$3=2,8*VLOOKUP($A190,NumberofDaysTable,4),(xSPRDOPT(N190,$E190,$BU190,0,$BP190,$BS190,$BT190,$A190-Inputs!$D$1,1,1))*(8*VLOOKUP($A190,NumberofDaysTable,4))),0))</f>
        <v> </v>
      </c>
      <c r="AC190" s="282" t="str">
        <f aca="false">IF($A190="N/A"," ",(IF(V190&lt;&gt;0,(8*VLOOKUP($A190,NumberofDaysTable,6)),0)))</f>
        <v> </v>
      </c>
      <c r="AD190" s="298" t="str">
        <f aca="false">IF($A190="N/A"," ",RANK(P190,$P$184:$V$195))</f>
        <v> </v>
      </c>
      <c r="AE190" s="299" t="str">
        <f aca="false">IF($A190="N/A"," ",RANK(Q190,$P$184:$V$195))</f>
        <v> </v>
      </c>
      <c r="AF190" s="299" t="str">
        <f aca="false">IF($A190="N/A"," ",RANK(R190,$P$184:$V$195))</f>
        <v> </v>
      </c>
      <c r="AG190" s="299" t="str">
        <f aca="false">IF($A190="N/A"," ",RANK(S190,$P$184:$V$195))</f>
        <v> </v>
      </c>
      <c r="AH190" s="299" t="str">
        <f aca="false">IF($A190="N/A"," ",RANK(T190,$P$184:$V$195))</f>
        <v> </v>
      </c>
      <c r="AI190" s="299" t="str">
        <f aca="false">IF($A190="N/A"," ",RANK(U190,$P$184:$V$195))</f>
        <v> </v>
      </c>
      <c r="AJ190" s="300" t="str">
        <f aca="false">IF($A190="N/A"," ",RANK(V190,$P$184:$V$195))</f>
        <v> </v>
      </c>
      <c r="AK190" s="286" t="str">
        <f aca="false">IF($A190="N/A"," ",IF(AD190&lt;=$AJ$2,W190,0))</f>
        <v> </v>
      </c>
      <c r="AL190" s="301" t="str">
        <f aca="false">IF($A190="N/A"," ",IF(AE190&lt;=$AJ$2,X190,0))</f>
        <v> </v>
      </c>
      <c r="AM190" s="301" t="str">
        <f aca="false">IF($A190="N/A"," ",IF(AF190&lt;=$AJ$2,Y190,0))</f>
        <v> </v>
      </c>
      <c r="AN190" s="301" t="str">
        <f aca="false">IF($A190="N/A"," ",IF(AG190&lt;=$AJ$2,Z190,0))</f>
        <v> </v>
      </c>
      <c r="AO190" s="301" t="str">
        <f aca="false">IF($A190="N/A"," ",IF(AH190&lt;=$AJ$2,AA190,0))</f>
        <v> </v>
      </c>
      <c r="AP190" s="301" t="str">
        <f aca="false">IF($A190="N/A"," ",IF(AI190&lt;=$AJ$2,AB190,0))</f>
        <v> </v>
      </c>
      <c r="AQ190" s="301" t="str">
        <f aca="false">IF($A190="N/A"," ",IF(AJ190&lt;=$AJ$2,AC190,0))</f>
        <v> </v>
      </c>
      <c r="AR190" s="300"/>
      <c r="AS190" s="288" t="str">
        <f aca="false">IF($A190="N/A"," ",IF(AND(AD190=$AJ$2+1,AK190=0),MIN($AR$195,W190),0))</f>
        <v> </v>
      </c>
      <c r="AT190" s="302" t="str">
        <f aca="false">IF($A190="N/A"," ",IF(AND(AE190=$AJ$2+1,AL190=0),MIN($AR$195,X190),0))</f>
        <v> </v>
      </c>
      <c r="AU190" s="302" t="str">
        <f aca="false">IF($A190="N/A"," ",IF(AND(AF190=$AJ$2+1,AM190=0),MIN($AR$195,Y190),0))</f>
        <v> </v>
      </c>
      <c r="AV190" s="302" t="str">
        <f aca="false">IF($A190="N/A"," ",IF(AND(AG190=$AJ$2+1,AN190=0),MIN($AR$195,Z190),0))</f>
        <v> </v>
      </c>
      <c r="AW190" s="302" t="str">
        <f aca="false">IF($A190="N/A"," ",IF(AND(AH190=$AJ$2+1,AO190=0),MIN($AR$195,AA190),0))</f>
        <v> </v>
      </c>
      <c r="AX190" s="302" t="str">
        <f aca="false">IF($A190="N/A"," ",IF(AND(AI190=$AJ$2+1,AP190=0),MIN($AR$195,AB190),0))</f>
        <v> </v>
      </c>
      <c r="AY190" s="302" t="str">
        <f aca="false">IF($A190="N/A"," ",IF(AND(AJ190=$AJ$2+1,AQ190=0),MIN($AR$195,AC190),0))</f>
        <v> </v>
      </c>
      <c r="AZ190" s="300"/>
      <c r="BA190" s="291" t="str">
        <f aca="false">IF($A190="N/A"," ",(IF(MONTH(A190)&gt;=4,IF(MONTH(A190)&lt;=10,Inputs!$F$13,Inputs!$F$14),Inputs!$F$14))*$BW190)</f>
        <v> </v>
      </c>
      <c r="BB190" s="292" t="str">
        <f aca="false">IF($A190="N/A"," ",(IF(AK190&gt;0,($BA190*(8*(VLOOKUP($A190,NumberofDaysTable,2)))*P190),0)+IF(AS190&gt;0,($BA190*((AS190))*P190),0)))</f>
        <v> </v>
      </c>
      <c r="BC190" s="292" t="str">
        <f aca="false">IF($A190="N/A"," ",(IF(AL190&gt;0,($BA190*(8*(VLOOKUP($A190,NumberofDaysTable,2)))*Q190),0)+IF(AT190&gt;0,($BA190*((AT190))*Q190),0)))</f>
        <v> </v>
      </c>
      <c r="BD190" s="292" t="str">
        <f aca="false">IF($A190="N/A"," ",(IF(AM190&gt;0,($BA190*(8*(VLOOKUP($A190,NumberofDaysTable,3)))*R190),0)+IF(AU190&gt;0,($BA190*((AU190))*R190),0)))</f>
        <v> </v>
      </c>
      <c r="BE190" s="292" t="str">
        <f aca="false">IF($A190="N/A"," ",(IF(AN190&gt;0,($BA190*(8*(VLOOKUP($A190,NumberofDaysTable,3)))*S190),0)+IF(AV190&gt;0,($BA190*((AV190))*S190),0)))</f>
        <v> </v>
      </c>
      <c r="BF190" s="292" t="str">
        <f aca="false">IF($A190="N/A"," ",(IF(AO190&gt;0,($BA190*(8*(VLOOKUP($A190,NumberofDaysTable,4)+VLOOKUP($A190,NumberofDaysTable,5)))*T190),0)+IF(AW190&gt;0,($BA190*((AW190))*T190),0)))</f>
        <v> </v>
      </c>
      <c r="BG190" s="292" t="str">
        <f aca="false">IF($A190="N/A"," ",(IF(AP190&gt;0,($BA190*(8*(VLOOKUP($A190,NumberofDaysTable,4)+VLOOKUP($A190,NumberofDaysTable,5)))*U190),0)+IF(AX190&gt;0,($BA190*((AX190))*U190),0)))</f>
        <v> </v>
      </c>
      <c r="BH190" s="292" t="str">
        <f aca="false">IF($A190="N/A"," ",($BA190*AQ190*V190))</f>
        <v> </v>
      </c>
      <c r="BI190" s="292" t="str">
        <f aca="false">IF($A190="N/A"," ",SUM(BB190:BH190))</f>
        <v> </v>
      </c>
      <c r="BJ190" s="293" t="str">
        <f aca="false">IF($A190="N/A"," ",(H190*(SUM(AK190:AQ190)+SUM(AS190:AY190))*BA190))</f>
        <v> </v>
      </c>
      <c r="BK190" s="293" t="str">
        <f aca="false">IF($A190="N/A"," ",((C190*D190)*(SUM($AK190:$AQ190)+SUM($AS190:$AY190))*$BA190))</f>
        <v> </v>
      </c>
      <c r="BL190" s="293" t="str">
        <f aca="false">IF($A190="N/A"," ",(F190*(SUM($AK190:$AQ190)+SUM($AS190:$AY190))*$BA190))</f>
        <v> </v>
      </c>
      <c r="BM190" s="293" t="str">
        <f aca="false">IF($A190="N/A"," ",(G190*(SUM($AK190:$AQ190)+SUM($AS190:$AY190))*$BA190))</f>
        <v> </v>
      </c>
      <c r="BN190" s="294" t="str">
        <f aca="false">IF(A190="N/A"," ",(VLOOKUP(A190,PowerVolTable,(IF('Pricing Inputs'!$AT$3=2,7,IF('Pricing Inputs'!$AT$3=1,6,8))),FALSE())))</f>
        <v> </v>
      </c>
      <c r="BO190" s="294" t="str">
        <f aca="false">IF(A190="N/A"," ",(VLOOKUP(A190,IntraPowerVol,(IF('Pricing Inputs'!$AT$3=2,3,IF('Pricing Inputs'!$AT$3=1,2,4))),FALSE())*VLOOKUP(MONTH($A190),Inputs!$A$28:$B$39,2)))</f>
        <v> </v>
      </c>
      <c r="BP190" s="295" t="str">
        <f aca="false">IF($A190="N/A"," ",(IF(DateToday&gt;$A190,$BO190,((($BN190^2)*((($A190-1)-DateToday)/((EOMONTH($A190,0)+1)-DateToday-15)))+((($BO190)^2)*((15)/((EOMONTH($A190,0)+1)-DateToday-15))))^0.5)))</f>
        <v> </v>
      </c>
      <c r="BQ190" s="294" t="str">
        <f aca="false">IF($A190="N/A"," ",(VLOOKUP($A190,GasVolTable,(IF('Pricing Inputs'!$AT$3=2,6,IF('Pricing Inputs'!$AT$3=1,7,5))),FALSE())))</f>
        <v> </v>
      </c>
      <c r="BR190" s="294" t="str">
        <f aca="false">IF($A190="N/A"," ",(VLOOKUP($A190,OmicronVol,(IF('Pricing Inputs'!$AT$3=2,3,IF('Pricing Inputs'!$AT$3=1,4,2))),FALSE())))</f>
        <v> </v>
      </c>
      <c r="BS190" s="295" t="str">
        <f aca="false">IF($A190="N/A"," ",IF('Pricing Inputs'!$AN$3=1,(IF(DateToday&gt;$A190,$BR190,((($BQ190^2)*((($A190-1)-DateToday)/((EOMONTH($A190,0)+1)-DateToday-15)))+((($BR190)^2)*((15)/((EOMONTH($A190,0)+1)-DateToday-15))))^0.5)),0.0001))</f>
        <v> </v>
      </c>
      <c r="BT190" s="294" t="str">
        <f aca="false">IF($A190="N/A"," ",IF('Pricing Inputs'!$AN$3=1,(VLOOKUP($A190,CorrelationTable,2,FALSE())),0))</f>
        <v> </v>
      </c>
      <c r="BU190" s="296" t="str">
        <f aca="false">IF($A190="N/A"," ",F190+G190+(D190*(VLOOKUP($A190,'Gas Curves'!$B$17:$P$310,14,FALSE()))))</f>
        <v> </v>
      </c>
      <c r="BV190" s="294" t="str">
        <f aca="false">IF($A190="N/A"," ",IF('Pricing Inputs'!$AW$3=1,0,(VLOOKUP($A190,InterestRatesTable,2))))</f>
        <v> </v>
      </c>
      <c r="BW190" s="297" t="str">
        <f aca="false">IF($A190="N/A"," ",(1+BV190/2)^(-2*((EOMONTH(A190,0)+20)-DateToday)/365.25))</f>
        <v> </v>
      </c>
    </row>
    <row r="191" customFormat="false" ht="12.75" hidden="false" customHeight="false" outlineLevel="0" collapsed="false">
      <c r="A191" s="272" t="str">
        <f aca="false">IF(A190="N/A","N/A",IF(EDATE(A190,1)&gt;Inputs!$K$3,"N/A",EDATE(A190,1)))</f>
        <v>N/A</v>
      </c>
      <c r="B191" s="273" t="str">
        <f aca="false">IF(A191="N/A"," ",YEAR(A191))</f>
        <v> </v>
      </c>
      <c r="C191" s="274" t="str">
        <f aca="false">IF(A191="N/A"," ",VLOOKUP(A191,ScaledPrice,10))</f>
        <v> </v>
      </c>
      <c r="D191" s="275" t="str">
        <f aca="false">IF(A191="N/A"," ",(VLOOKUP(MONTH($A191),Inputs!$A$14:$B$25,2))/1000)</f>
        <v> </v>
      </c>
      <c r="E191" s="276" t="str">
        <f aca="false">IF($A191="N/A"," ",C191*D191)</f>
        <v> </v>
      </c>
      <c r="F191" s="277" t="str">
        <f aca="false">IF(A191="N/A"," ",Inputs!$F$6)</f>
        <v> </v>
      </c>
      <c r="G191" s="277" t="str">
        <f aca="false">IF(A191="N/A"," ",Inputs!$F$9/IF(AND('Pricing Inputs'!$AQ$3&gt;=4,'Pricing Inputs'!$AQ$3&lt;=6),16,IF(AND('Pricing Inputs'!$AQ$3&gt;=7,'Pricing Inputs'!$AQ$3&lt;=9),8,24))/(BA191/BW191))</f>
        <v> </v>
      </c>
      <c r="H191" s="278" t="str">
        <f aca="false">IF(A191="N/A"," ",(C191*D191)+F191+G191)</f>
        <v> </v>
      </c>
      <c r="I191" s="279" t="str">
        <f aca="false">VLOOKUP(A191,ScaledPrice,(IF(AND('Pricing Inputs'!$AQ$3&gt;=1,'Pricing Inputs'!$AQ$3&lt;=6),2,4)))</f>
        <v> </v>
      </c>
      <c r="J191" s="279" t="str">
        <f aca="false">IF(A191="N/A"," ",IF(AND('Pricing Inputs'!$AQ$3&gt;=1,'Pricing Inputs'!$AQ$3&lt;=6),I191,(VLOOKUP(A191,ScaledPrice,2))*(2-(VLOOKUP(A191,ScaledPrice,3)))))</f>
        <v> </v>
      </c>
      <c r="K191" s="279" t="str">
        <f aca="false">IF(A191="N/A"," ",IF(OR('Pricing Inputs'!$AQ$3=2,'Pricing Inputs'!$AQ$3=3,'Pricing Inputs'!$AQ$3=5,'Pricing Inputs'!$AQ$3=6,'Pricing Inputs'!$AQ$3=8,'Pricing Inputs'!$AQ$3=9),VLOOKUP(A191,ScaledPrice,IF(AND('Pricing Inputs'!$AQ$3&gt;=2,'Pricing Inputs'!$AQ$3&lt;=6),5,6)),0))</f>
        <v> </v>
      </c>
      <c r="L191" s="279" t="str">
        <f aca="false">IF(A191="N/A"," ",IF(OR('Pricing Inputs'!$AQ$3=2,'Pricing Inputs'!$AQ$3=3,'Pricing Inputs'!$AQ$3=5,'Pricing Inputs'!$AQ$3=6,'Pricing Inputs'!$AQ$3=8,'Pricing Inputs'!$AQ$3=9),IF(AND('Pricing Inputs'!$AQ$3&gt;=2,'Pricing Inputs'!$AQ$3&lt;=6),K191,(VLOOKUP(A191,ScaledPrice,5))*(2-(VLOOKUP(A191,ScaledPrice,3)))),0))</f>
        <v> </v>
      </c>
      <c r="M191" s="279" t="str">
        <f aca="false">IF(A191="N/A"," ",IF(OR('Pricing Inputs'!$AQ$3=3,'Pricing Inputs'!$AQ$3=6,'Pricing Inputs'!$AQ$3=9),(VLOOKUP(A191,ScaledPrice,IF(AND('Pricing Inputs'!$AQ$3&gt;=3,'Pricing Inputs'!$AQ$3&lt;=6),7,8))),0))</f>
        <v> </v>
      </c>
      <c r="N191" s="279" t="str">
        <f aca="false">IF(A191="N/A"," ",IF(OR('Pricing Inputs'!$AQ$3=3,'Pricing Inputs'!$AQ$3=6,'Pricing Inputs'!$AQ$3=9),IF(AND('Pricing Inputs'!$AQ$3&gt;=3,'Pricing Inputs'!$AQ$3&lt;=6),M191,(VLOOKUP(A191,ScaledPrice,7))*(2-(VLOOKUP(A191,ScaledPrice,3)))),0))</f>
        <v> </v>
      </c>
      <c r="O191" s="279" t="str">
        <f aca="false">IF(A191="N/A"," ",IF(AND('Pricing Inputs'!$AQ$3&gt;=1,'Pricing Inputs'!$AQ$3&lt;=3),VLOOKUP(A191,ScaledPrice,9),0))</f>
        <v> </v>
      </c>
      <c r="P191" s="280" t="str">
        <f aca="false">IF($A191="N/A"," ",IF('Pricing Inputs'!$AN$8=2,(I191-H191),IF('Pricing Inputs'!$AN$3=2,IF((I191-$H191)&gt;0,I191-$H191,0),(xSPRDOPT(I191,$E191,$BU191,0,$BP191,$BS191,$BT191,($A191-Inputs!$D$1)+15,1,0)))))</f>
        <v> </v>
      </c>
      <c r="Q191" s="280" t="str">
        <f aca="false">IF($A191="N/A"," ",IF('Pricing Inputs'!$AN$8=2,(J191-$H191),IF('Pricing Inputs'!$AN$3=2,IF((J191-$H191)&gt;0,J191-$H191,0),(xSPRDOPT(J191,$E191,$BU191,0,$BP191,$BS191,$BT191,($A191-Inputs!$D$1)+15,1,0)))))</f>
        <v> </v>
      </c>
      <c r="R191" s="280" t="str">
        <f aca="false">IF($A191="N/A"," ",IF('Pricing Inputs'!$AN$8=2,(K191-$H191),IF('Pricing Inputs'!$AN$3=2,IF((K191-$H191)&gt;0,K191-$H191,0),(xSPRDOPT(K191,$E191,$BU191,0,$BP191,$BS191,$BT191,($A191-Inputs!$D$1)+15,1,0)))))</f>
        <v> </v>
      </c>
      <c r="S191" s="280" t="str">
        <f aca="false">IF($A191="N/A"," ",IF('Pricing Inputs'!$AN$8=2,(L191-$H191),IF('Pricing Inputs'!$AN$3=2,IF((L191-$H191)&gt;0,L191-$H191,0),(xSPRDOPT(L191,$E191,$BU191,0,$BP191,$BS191,$BT191,($A191-Inputs!$D$1)+15,1,0)))))</f>
        <v> </v>
      </c>
      <c r="T191" s="280" t="str">
        <f aca="false">IF($A191="N/A"," ",IF('Pricing Inputs'!$AN$8=2,(M191-$H191),IF('Pricing Inputs'!$AN$3=2,IF((M191-$H191)&gt;0,M191-$H191,0),(xSPRDOPT(M191,$E191,$BU191,0,$BP191,$BS191,$BT191,($A191-Inputs!$D$1)+15,1,0)))))</f>
        <v> </v>
      </c>
      <c r="U191" s="280" t="str">
        <f aca="false">IF($A191="N/A"," ",IF('Pricing Inputs'!$AN$8=2,(N191-$H191),IF('Pricing Inputs'!$AN$3=2,IF((N191-$H191)&gt;0,N191-$H191,0),(xSPRDOPT(N191,$E191,$BU191,0,$BP191,$BS191,$BT191,($A191-Inputs!$D$1)+15,1,0)))))</f>
        <v> </v>
      </c>
      <c r="V191" s="281" t="str">
        <f aca="false">IF($A191="N/A"," ",(IF('Pricing Inputs'!$AN$8=2,(O191-$H191),IF((O191-$H191)&lt;=0,0,(O191-$H191)))))</f>
        <v> </v>
      </c>
      <c r="W191" s="282" t="str">
        <f aca="false">IF($A191="N/A"," ",IF(0&lt;&gt;P191,IF('Pricing Inputs'!$AN$3=2,8*VLOOKUP($A191,NumberofDaysTable,2),(xSPRDOPT(I191,$E191,$BU191,0,$BP191,$BS191,$BT191,$A191-Inputs!$D$1,1,1))*(8*VLOOKUP($A191,NumberofDaysTable,2))),0))</f>
        <v> </v>
      </c>
      <c r="X191" s="282" t="str">
        <f aca="false">IF($A191="N/A"," ",IF(Q191&lt;&gt;0,IF('Pricing Inputs'!$AN$3=2,8*VLOOKUP($A191,NumberofDaysTable,2),(xSPRDOPT(J191,$E191,$BU191,0,$BP191,$BS191,$BT191,$A191-Inputs!$D$1,1,1))*(8*VLOOKUP($A191,NumberofDaysTable,2))),0))</f>
        <v> </v>
      </c>
      <c r="Y191" s="282" t="str">
        <f aca="false">IF($A191="N/A"," ",IF(R191&lt;&gt;0,IF('Pricing Inputs'!$AN$3=2,8*VLOOKUP($A191,NumberofDaysTable,3),(xSPRDOPT(K191,$E191,$BU191,0,$BP191,$BS191,$BT191,$A191-Inputs!$D$1,1,1))*(8*VLOOKUP($A191,NumberofDaysTable,3))),0))</f>
        <v> </v>
      </c>
      <c r="Z191" s="282" t="str">
        <f aca="false">IF($A191="N/A"," ",IF(S191&lt;&gt;0,IF('Pricing Inputs'!$AN$3=2,8*VLOOKUP($A191,NumberofDaysTable,3),(xSPRDOPT(L191,$E191,$BU191,0,$BP191,$BS191,$BT191,$A191-Inputs!$D$1,1,1))*(8*VLOOKUP($A191,NumberofDaysTable,3))),0))</f>
        <v> </v>
      </c>
      <c r="AA191" s="282" t="str">
        <f aca="false">IF($A191="N/A"," ",IF(T191&lt;&gt;0,IF('Pricing Inputs'!$AN$3=2,8*VLOOKUP($A191,NumberofDaysTable,4),(xSPRDOPT(M191,$E191,$BU191,0,$BP191,$BS191,$BT191,$A191-Inputs!$D$1,1,1))*(8*VLOOKUP($A191,NumberofDaysTable,4))),0))</f>
        <v> </v>
      </c>
      <c r="AB191" s="282" t="str">
        <f aca="false">IF($A191="N/A"," ",IF(U191&lt;&gt;0,IF('Pricing Inputs'!$AN$3=2,8*VLOOKUP($A191,NumberofDaysTable,4),(xSPRDOPT(N191,$E191,$BU191,0,$BP191,$BS191,$BT191,$A191-Inputs!$D$1,1,1))*(8*VLOOKUP($A191,NumberofDaysTable,4))),0))</f>
        <v> </v>
      </c>
      <c r="AC191" s="282" t="str">
        <f aca="false">IF($A191="N/A"," ",(IF(V191&lt;&gt;0,(8*VLOOKUP($A191,NumberofDaysTable,6)),0)))</f>
        <v> </v>
      </c>
      <c r="AD191" s="298" t="str">
        <f aca="false">IF($A191="N/A"," ",RANK(P191,$P$184:$V$195))</f>
        <v> </v>
      </c>
      <c r="AE191" s="299" t="str">
        <f aca="false">IF($A191="N/A"," ",RANK(Q191,$P$184:$V$195))</f>
        <v> </v>
      </c>
      <c r="AF191" s="299" t="str">
        <f aca="false">IF($A191="N/A"," ",RANK(R191,$P$184:$V$195))</f>
        <v> </v>
      </c>
      <c r="AG191" s="299" t="str">
        <f aca="false">IF($A191="N/A"," ",RANK(S191,$P$184:$V$195))</f>
        <v> </v>
      </c>
      <c r="AH191" s="299" t="str">
        <f aca="false">IF($A191="N/A"," ",RANK(T191,$P$184:$V$195))</f>
        <v> </v>
      </c>
      <c r="AI191" s="299" t="str">
        <f aca="false">IF($A191="N/A"," ",RANK(U191,$P$184:$V$195))</f>
        <v> </v>
      </c>
      <c r="AJ191" s="300" t="str">
        <f aca="false">IF($A191="N/A"," ",RANK(V191,$P$184:$V$195))</f>
        <v> </v>
      </c>
      <c r="AK191" s="286" t="str">
        <f aca="false">IF($A191="N/A"," ",IF(AD191&lt;=$AJ$2,W191,0))</f>
        <v> </v>
      </c>
      <c r="AL191" s="301" t="str">
        <f aca="false">IF($A191="N/A"," ",IF(AE191&lt;=$AJ$2,X191,0))</f>
        <v> </v>
      </c>
      <c r="AM191" s="301" t="str">
        <f aca="false">IF($A191="N/A"," ",IF(AF191&lt;=$AJ$2,Y191,0))</f>
        <v> </v>
      </c>
      <c r="AN191" s="301" t="str">
        <f aca="false">IF($A191="N/A"," ",IF(AG191&lt;=$AJ$2,Z191,0))</f>
        <v> </v>
      </c>
      <c r="AO191" s="301" t="str">
        <f aca="false">IF($A191="N/A"," ",IF(AH191&lt;=$AJ$2,AA191,0))</f>
        <v> </v>
      </c>
      <c r="AP191" s="301" t="str">
        <f aca="false">IF($A191="N/A"," ",IF(AI191&lt;=$AJ$2,AB191,0))</f>
        <v> </v>
      </c>
      <c r="AQ191" s="301" t="str">
        <f aca="false">IF($A191="N/A"," ",IF(AJ191&lt;=$AJ$2,AC191,0))</f>
        <v> </v>
      </c>
      <c r="AR191" s="300"/>
      <c r="AS191" s="288" t="str">
        <f aca="false">IF($A191="N/A"," ",IF(AND(AD191=$AJ$2+1,AK191=0),MIN($AR$195,W191),0))</f>
        <v> </v>
      </c>
      <c r="AT191" s="302" t="str">
        <f aca="false">IF($A191="N/A"," ",IF(AND(AE191=$AJ$2+1,AL191=0),MIN($AR$195,X191),0))</f>
        <v> </v>
      </c>
      <c r="AU191" s="302" t="str">
        <f aca="false">IF($A191="N/A"," ",IF(AND(AF191=$AJ$2+1,AM191=0),MIN($AR$195,Y191),0))</f>
        <v> </v>
      </c>
      <c r="AV191" s="302" t="str">
        <f aca="false">IF($A191="N/A"," ",IF(AND(AG191=$AJ$2+1,AN191=0),MIN($AR$195,Z191),0))</f>
        <v> </v>
      </c>
      <c r="AW191" s="302" t="str">
        <f aca="false">IF($A191="N/A"," ",IF(AND(AH191=$AJ$2+1,AO191=0),MIN($AR$195,AA191),0))</f>
        <v> </v>
      </c>
      <c r="AX191" s="302" t="str">
        <f aca="false">IF($A191="N/A"," ",IF(AND(AI191=$AJ$2+1,AP191=0),MIN($AR$195,AB191),0))</f>
        <v> </v>
      </c>
      <c r="AY191" s="302" t="str">
        <f aca="false">IF($A191="N/A"," ",IF(AND(AJ191=$AJ$2+1,AQ191=0),MIN($AR$195,AC191),0))</f>
        <v> </v>
      </c>
      <c r="AZ191" s="300"/>
      <c r="BA191" s="291" t="str">
        <f aca="false">IF($A191="N/A"," ",(IF(MONTH(A191)&gt;=4,IF(MONTH(A191)&lt;=10,Inputs!$F$13,Inputs!$F$14),Inputs!$F$14))*$BW191)</f>
        <v> </v>
      </c>
      <c r="BB191" s="292" t="str">
        <f aca="false">IF($A191="N/A"," ",(IF(AK191&gt;0,($BA191*(8*(VLOOKUP($A191,NumberofDaysTable,2)))*P191),0)+IF(AS191&gt;0,($BA191*((AS191))*P191),0)))</f>
        <v> </v>
      </c>
      <c r="BC191" s="292" t="str">
        <f aca="false">IF($A191="N/A"," ",(IF(AL191&gt;0,($BA191*(8*(VLOOKUP($A191,NumberofDaysTable,2)))*Q191),0)+IF(AT191&gt;0,($BA191*((AT191))*Q191),0)))</f>
        <v> </v>
      </c>
      <c r="BD191" s="292" t="str">
        <f aca="false">IF($A191="N/A"," ",(IF(AM191&gt;0,($BA191*(8*(VLOOKUP($A191,NumberofDaysTable,3)))*R191),0)+IF(AU191&gt;0,($BA191*((AU191))*R191),0)))</f>
        <v> </v>
      </c>
      <c r="BE191" s="292" t="str">
        <f aca="false">IF($A191="N/A"," ",(IF(AN191&gt;0,($BA191*(8*(VLOOKUP($A191,NumberofDaysTable,3)))*S191),0)+IF(AV191&gt;0,($BA191*((AV191))*S191),0)))</f>
        <v> </v>
      </c>
      <c r="BF191" s="292" t="str">
        <f aca="false">IF($A191="N/A"," ",(IF(AO191&gt;0,($BA191*(8*(VLOOKUP($A191,NumberofDaysTable,4)+VLOOKUP($A191,NumberofDaysTable,5)))*T191),0)+IF(AW191&gt;0,($BA191*((AW191))*T191),0)))</f>
        <v> </v>
      </c>
      <c r="BG191" s="292" t="str">
        <f aca="false">IF($A191="N/A"," ",(IF(AP191&gt;0,($BA191*(8*(VLOOKUP($A191,NumberofDaysTable,4)+VLOOKUP($A191,NumberofDaysTable,5)))*U191),0)+IF(AX191&gt;0,($BA191*((AX191))*U191),0)))</f>
        <v> </v>
      </c>
      <c r="BH191" s="292" t="str">
        <f aca="false">IF($A191="N/A"," ",($BA191*AQ191*V191))</f>
        <v> </v>
      </c>
      <c r="BI191" s="292" t="str">
        <f aca="false">IF($A191="N/A"," ",SUM(BB191:BH191))</f>
        <v> </v>
      </c>
      <c r="BJ191" s="293" t="str">
        <f aca="false">IF($A191="N/A"," ",(H191*(SUM(AK191:AQ191)+SUM(AS191:AY191))*BA191))</f>
        <v> </v>
      </c>
      <c r="BK191" s="293" t="str">
        <f aca="false">IF($A191="N/A"," ",((C191*D191)*(SUM($AK191:$AQ191)+SUM($AS191:$AY191))*$BA191))</f>
        <v> </v>
      </c>
      <c r="BL191" s="293" t="str">
        <f aca="false">IF($A191="N/A"," ",(F191*(SUM($AK191:$AQ191)+SUM($AS191:$AY191))*$BA191))</f>
        <v> </v>
      </c>
      <c r="BM191" s="293" t="str">
        <f aca="false">IF($A191="N/A"," ",(G191*(SUM($AK191:$AQ191)+SUM($AS191:$AY191))*$BA191))</f>
        <v> </v>
      </c>
      <c r="BN191" s="294" t="str">
        <f aca="false">IF(A191="N/A"," ",(VLOOKUP(A191,PowerVolTable,(IF('Pricing Inputs'!$AT$3=2,7,IF('Pricing Inputs'!$AT$3=1,6,8))),FALSE())))</f>
        <v> </v>
      </c>
      <c r="BO191" s="294" t="str">
        <f aca="false">IF(A191="N/A"," ",(VLOOKUP(A191,IntraPowerVol,(IF('Pricing Inputs'!$AT$3=2,3,IF('Pricing Inputs'!$AT$3=1,2,4))),FALSE())*VLOOKUP(MONTH($A191),Inputs!$A$28:$B$39,2)))</f>
        <v> </v>
      </c>
      <c r="BP191" s="295" t="str">
        <f aca="false">IF($A191="N/A"," ",(IF(DateToday&gt;$A191,$BO191,((($BN191^2)*((($A191-1)-DateToday)/((EOMONTH($A191,0)+1)-DateToday-15)))+((($BO191)^2)*((15)/((EOMONTH($A191,0)+1)-DateToday-15))))^0.5)))</f>
        <v> </v>
      </c>
      <c r="BQ191" s="294" t="str">
        <f aca="false">IF($A191="N/A"," ",(VLOOKUP($A191,GasVolTable,(IF('Pricing Inputs'!$AT$3=2,6,IF('Pricing Inputs'!$AT$3=1,7,5))),FALSE())))</f>
        <v> </v>
      </c>
      <c r="BR191" s="294" t="str">
        <f aca="false">IF($A191="N/A"," ",(VLOOKUP($A191,OmicronVol,(IF('Pricing Inputs'!$AT$3=2,3,IF('Pricing Inputs'!$AT$3=1,4,2))),FALSE())))</f>
        <v> </v>
      </c>
      <c r="BS191" s="295" t="str">
        <f aca="false">IF($A191="N/A"," ",IF('Pricing Inputs'!$AN$3=1,(IF(DateToday&gt;$A191,$BR191,((($BQ191^2)*((($A191-1)-DateToday)/((EOMONTH($A191,0)+1)-DateToday-15)))+((($BR191)^2)*((15)/((EOMONTH($A191,0)+1)-DateToday-15))))^0.5)),0.0001))</f>
        <v> </v>
      </c>
      <c r="BT191" s="294" t="str">
        <f aca="false">IF($A191="N/A"," ",IF('Pricing Inputs'!$AN$3=1,(VLOOKUP($A191,CorrelationTable,2,FALSE())),0))</f>
        <v> </v>
      </c>
      <c r="BU191" s="296" t="str">
        <f aca="false">IF($A191="N/A"," ",F191+G191+(D191*(VLOOKUP($A191,'Gas Curves'!$B$17:$P$310,14,FALSE()))))</f>
        <v> </v>
      </c>
      <c r="BV191" s="294" t="str">
        <f aca="false">IF($A191="N/A"," ",IF('Pricing Inputs'!$AW$3=1,0,(VLOOKUP($A191,InterestRatesTable,2))))</f>
        <v> </v>
      </c>
      <c r="BW191" s="297" t="str">
        <f aca="false">IF($A191="N/A"," ",(1+BV191/2)^(-2*((EOMONTH(A191,0)+20)-DateToday)/365.25))</f>
        <v> </v>
      </c>
    </row>
    <row r="192" customFormat="false" ht="12.75" hidden="false" customHeight="false" outlineLevel="0" collapsed="false">
      <c r="A192" s="272" t="str">
        <f aca="false">IF(A191="N/A","N/A",IF(EDATE(A191,1)&gt;Inputs!$K$3,"N/A",EDATE(A191,1)))</f>
        <v>N/A</v>
      </c>
      <c r="B192" s="273" t="str">
        <f aca="false">IF(A192="N/A"," ",YEAR(A192))</f>
        <v> </v>
      </c>
      <c r="C192" s="274" t="str">
        <f aca="false">IF(A192="N/A"," ",VLOOKUP(A192,ScaledPrice,10))</f>
        <v> </v>
      </c>
      <c r="D192" s="275" t="str">
        <f aca="false">IF(A192="N/A"," ",(VLOOKUP(MONTH($A192),Inputs!$A$14:$B$25,2))/1000)</f>
        <v> </v>
      </c>
      <c r="E192" s="276" t="str">
        <f aca="false">IF($A192="N/A"," ",C192*D192)</f>
        <v> </v>
      </c>
      <c r="F192" s="277" t="str">
        <f aca="false">IF(A192="N/A"," ",Inputs!$F$6)</f>
        <v> </v>
      </c>
      <c r="G192" s="277" t="str">
        <f aca="false">IF(A192="N/A"," ",Inputs!$F$9/IF(AND('Pricing Inputs'!$AQ$3&gt;=4,'Pricing Inputs'!$AQ$3&lt;=6),16,IF(AND('Pricing Inputs'!$AQ$3&gt;=7,'Pricing Inputs'!$AQ$3&lt;=9),8,24))/(BA192/BW192))</f>
        <v> </v>
      </c>
      <c r="H192" s="278" t="str">
        <f aca="false">IF(A192="N/A"," ",(C192*D192)+F192+G192)</f>
        <v> </v>
      </c>
      <c r="I192" s="279" t="str">
        <f aca="false">VLOOKUP(A192,ScaledPrice,(IF(AND('Pricing Inputs'!$AQ$3&gt;=1,'Pricing Inputs'!$AQ$3&lt;=6),2,4)))</f>
        <v> </v>
      </c>
      <c r="J192" s="279" t="str">
        <f aca="false">IF(A192="N/A"," ",IF(AND('Pricing Inputs'!$AQ$3&gt;=1,'Pricing Inputs'!$AQ$3&lt;=6),I192,(VLOOKUP(A192,ScaledPrice,2))*(2-(VLOOKUP(A192,ScaledPrice,3)))))</f>
        <v> </v>
      </c>
      <c r="K192" s="279" t="str">
        <f aca="false">IF(A192="N/A"," ",IF(OR('Pricing Inputs'!$AQ$3=2,'Pricing Inputs'!$AQ$3=3,'Pricing Inputs'!$AQ$3=5,'Pricing Inputs'!$AQ$3=6,'Pricing Inputs'!$AQ$3=8,'Pricing Inputs'!$AQ$3=9),VLOOKUP(A192,ScaledPrice,IF(AND('Pricing Inputs'!$AQ$3&gt;=2,'Pricing Inputs'!$AQ$3&lt;=6),5,6)),0))</f>
        <v> </v>
      </c>
      <c r="L192" s="279" t="str">
        <f aca="false">IF(A192="N/A"," ",IF(OR('Pricing Inputs'!$AQ$3=2,'Pricing Inputs'!$AQ$3=3,'Pricing Inputs'!$AQ$3=5,'Pricing Inputs'!$AQ$3=6,'Pricing Inputs'!$AQ$3=8,'Pricing Inputs'!$AQ$3=9),IF(AND('Pricing Inputs'!$AQ$3&gt;=2,'Pricing Inputs'!$AQ$3&lt;=6),K192,(VLOOKUP(A192,ScaledPrice,5))*(2-(VLOOKUP(A192,ScaledPrice,3)))),0))</f>
        <v> </v>
      </c>
      <c r="M192" s="279" t="str">
        <f aca="false">IF(A192="N/A"," ",IF(OR('Pricing Inputs'!$AQ$3=3,'Pricing Inputs'!$AQ$3=6,'Pricing Inputs'!$AQ$3=9),(VLOOKUP(A192,ScaledPrice,IF(AND('Pricing Inputs'!$AQ$3&gt;=3,'Pricing Inputs'!$AQ$3&lt;=6),7,8))),0))</f>
        <v> </v>
      </c>
      <c r="N192" s="279" t="str">
        <f aca="false">IF(A192="N/A"," ",IF(OR('Pricing Inputs'!$AQ$3=3,'Pricing Inputs'!$AQ$3=6,'Pricing Inputs'!$AQ$3=9),IF(AND('Pricing Inputs'!$AQ$3&gt;=3,'Pricing Inputs'!$AQ$3&lt;=6),M192,(VLOOKUP(A192,ScaledPrice,7))*(2-(VLOOKUP(A192,ScaledPrice,3)))),0))</f>
        <v> </v>
      </c>
      <c r="O192" s="279" t="str">
        <f aca="false">IF(A192="N/A"," ",IF(AND('Pricing Inputs'!$AQ$3&gt;=1,'Pricing Inputs'!$AQ$3&lt;=3),VLOOKUP(A192,ScaledPrice,9),0))</f>
        <v> </v>
      </c>
      <c r="P192" s="280" t="str">
        <f aca="false">IF($A192="N/A"," ",IF('Pricing Inputs'!$AN$8=2,(I192-H192),IF('Pricing Inputs'!$AN$3=2,IF((I192-$H192)&gt;0,I192-$H192,0),(xSPRDOPT(I192,$E192,$BU192,0,$BP192,$BS192,$BT192,($A192-Inputs!$D$1)+15,1,0)))))</f>
        <v> </v>
      </c>
      <c r="Q192" s="280" t="str">
        <f aca="false">IF($A192="N/A"," ",IF('Pricing Inputs'!$AN$8=2,(J192-$H192),IF('Pricing Inputs'!$AN$3=2,IF((J192-$H192)&gt;0,J192-$H192,0),(xSPRDOPT(J192,$E192,$BU192,0,$BP192,$BS192,$BT192,($A192-Inputs!$D$1)+15,1,0)))))</f>
        <v> </v>
      </c>
      <c r="R192" s="280" t="str">
        <f aca="false">IF($A192="N/A"," ",IF('Pricing Inputs'!$AN$8=2,(K192-$H192),IF('Pricing Inputs'!$AN$3=2,IF((K192-$H192)&gt;0,K192-$H192,0),(xSPRDOPT(K192,$E192,$BU192,0,$BP192,$BS192,$BT192,($A192-Inputs!$D$1)+15,1,0)))))</f>
        <v> </v>
      </c>
      <c r="S192" s="280" t="str">
        <f aca="false">IF($A192="N/A"," ",IF('Pricing Inputs'!$AN$8=2,(L192-$H192),IF('Pricing Inputs'!$AN$3=2,IF((L192-$H192)&gt;0,L192-$H192,0),(xSPRDOPT(L192,$E192,$BU192,0,$BP192,$BS192,$BT192,($A192-Inputs!$D$1)+15,1,0)))))</f>
        <v> </v>
      </c>
      <c r="T192" s="280" t="str">
        <f aca="false">IF($A192="N/A"," ",IF('Pricing Inputs'!$AN$8=2,(M192-$H192),IF('Pricing Inputs'!$AN$3=2,IF((M192-$H192)&gt;0,M192-$H192,0),(xSPRDOPT(M192,$E192,$BU192,0,$BP192,$BS192,$BT192,($A192-Inputs!$D$1)+15,1,0)))))</f>
        <v> </v>
      </c>
      <c r="U192" s="280" t="str">
        <f aca="false">IF($A192="N/A"," ",IF('Pricing Inputs'!$AN$8=2,(N192-$H192),IF('Pricing Inputs'!$AN$3=2,IF((N192-$H192)&gt;0,N192-$H192,0),(xSPRDOPT(N192,$E192,$BU192,0,$BP192,$BS192,$BT192,($A192-Inputs!$D$1)+15,1,0)))))</f>
        <v> </v>
      </c>
      <c r="V192" s="281" t="str">
        <f aca="false">IF($A192="N/A"," ",(IF('Pricing Inputs'!$AN$8=2,(O192-$H192),IF((O192-$H192)&lt;=0,0,(O192-$H192)))))</f>
        <v> </v>
      </c>
      <c r="W192" s="282" t="str">
        <f aca="false">IF($A192="N/A"," ",IF(0&lt;&gt;P192,IF('Pricing Inputs'!$AN$3=2,8*VLOOKUP($A192,NumberofDaysTable,2),(xSPRDOPT(I192,$E192,$BU192,0,$BP192,$BS192,$BT192,$A192-Inputs!$D$1,1,1))*(8*VLOOKUP($A192,NumberofDaysTable,2))),0))</f>
        <v> </v>
      </c>
      <c r="X192" s="282" t="str">
        <f aca="false">IF($A192="N/A"," ",IF(Q192&lt;&gt;0,IF('Pricing Inputs'!$AN$3=2,8*VLOOKUP($A192,NumberofDaysTable,2),(xSPRDOPT(J192,$E192,$BU192,0,$BP192,$BS192,$BT192,$A192-Inputs!$D$1,1,1))*(8*VLOOKUP($A192,NumberofDaysTable,2))),0))</f>
        <v> </v>
      </c>
      <c r="Y192" s="282" t="str">
        <f aca="false">IF($A192="N/A"," ",IF(R192&lt;&gt;0,IF('Pricing Inputs'!$AN$3=2,8*VLOOKUP($A192,NumberofDaysTable,3),(xSPRDOPT(K192,$E192,$BU192,0,$BP192,$BS192,$BT192,$A192-Inputs!$D$1,1,1))*(8*VLOOKUP($A192,NumberofDaysTable,3))),0))</f>
        <v> </v>
      </c>
      <c r="Z192" s="282" t="str">
        <f aca="false">IF($A192="N/A"," ",IF(S192&lt;&gt;0,IF('Pricing Inputs'!$AN$3=2,8*VLOOKUP($A192,NumberofDaysTable,3),(xSPRDOPT(L192,$E192,$BU192,0,$BP192,$BS192,$BT192,$A192-Inputs!$D$1,1,1))*(8*VLOOKUP($A192,NumberofDaysTable,3))),0))</f>
        <v> </v>
      </c>
      <c r="AA192" s="282" t="str">
        <f aca="false">IF($A192="N/A"," ",IF(T192&lt;&gt;0,IF('Pricing Inputs'!$AN$3=2,8*VLOOKUP($A192,NumberofDaysTable,4),(xSPRDOPT(M192,$E192,$BU192,0,$BP192,$BS192,$BT192,$A192-Inputs!$D$1,1,1))*(8*VLOOKUP($A192,NumberofDaysTable,4))),0))</f>
        <v> </v>
      </c>
      <c r="AB192" s="282" t="str">
        <f aca="false">IF($A192="N/A"," ",IF(U192&lt;&gt;0,IF('Pricing Inputs'!$AN$3=2,8*VLOOKUP($A192,NumberofDaysTable,4),(xSPRDOPT(N192,$E192,$BU192,0,$BP192,$BS192,$BT192,$A192-Inputs!$D$1,1,1))*(8*VLOOKUP($A192,NumberofDaysTable,4))),0))</f>
        <v> </v>
      </c>
      <c r="AC192" s="282" t="str">
        <f aca="false">IF($A192="N/A"," ",(IF(V192&lt;&gt;0,(8*VLOOKUP($A192,NumberofDaysTable,6)),0)))</f>
        <v> </v>
      </c>
      <c r="AD192" s="298" t="str">
        <f aca="false">IF($A192="N/A"," ",RANK(P192,$P$184:$V$195))</f>
        <v> </v>
      </c>
      <c r="AE192" s="299" t="str">
        <f aca="false">IF($A192="N/A"," ",RANK(Q192,$P$184:$V$195))</f>
        <v> </v>
      </c>
      <c r="AF192" s="299" t="str">
        <f aca="false">IF($A192="N/A"," ",RANK(R192,$P$184:$V$195))</f>
        <v> </v>
      </c>
      <c r="AG192" s="299" t="str">
        <f aca="false">IF($A192="N/A"," ",RANK(S192,$P$184:$V$195))</f>
        <v> </v>
      </c>
      <c r="AH192" s="299" t="str">
        <f aca="false">IF($A192="N/A"," ",RANK(T192,$P$184:$V$195))</f>
        <v> </v>
      </c>
      <c r="AI192" s="299" t="str">
        <f aca="false">IF($A192="N/A"," ",RANK(U192,$P$184:$V$195))</f>
        <v> </v>
      </c>
      <c r="AJ192" s="300" t="str">
        <f aca="false">IF($A192="N/A"," ",RANK(V192,$P$184:$V$195))</f>
        <v> </v>
      </c>
      <c r="AK192" s="286" t="str">
        <f aca="false">IF($A192="N/A"," ",IF(AD192&lt;=$AJ$2,W192,0))</f>
        <v> </v>
      </c>
      <c r="AL192" s="301" t="str">
        <f aca="false">IF($A192="N/A"," ",IF(AE192&lt;=$AJ$2,X192,0))</f>
        <v> </v>
      </c>
      <c r="AM192" s="301" t="str">
        <f aca="false">IF($A192="N/A"," ",IF(AF192&lt;=$AJ$2,Y192,0))</f>
        <v> </v>
      </c>
      <c r="AN192" s="301" t="str">
        <f aca="false">IF($A192="N/A"," ",IF(AG192&lt;=$AJ$2,Z192,0))</f>
        <v> </v>
      </c>
      <c r="AO192" s="301" t="str">
        <f aca="false">IF($A192="N/A"," ",IF(AH192&lt;=$AJ$2,AA192,0))</f>
        <v> </v>
      </c>
      <c r="AP192" s="301" t="str">
        <f aca="false">IF($A192="N/A"," ",IF(AI192&lt;=$AJ$2,AB192,0))</f>
        <v> </v>
      </c>
      <c r="AQ192" s="301" t="str">
        <f aca="false">IF($A192="N/A"," ",IF(AJ192&lt;=$AJ$2,AC192,0))</f>
        <v> </v>
      </c>
      <c r="AR192" s="300"/>
      <c r="AS192" s="288" t="str">
        <f aca="false">IF($A192="N/A"," ",IF(AND(AD192=$AJ$2+1,AK192=0),MIN($AR$195,W192),0))</f>
        <v> </v>
      </c>
      <c r="AT192" s="302" t="str">
        <f aca="false">IF($A192="N/A"," ",IF(AND(AE192=$AJ$2+1,AL192=0),MIN($AR$195,X192),0))</f>
        <v> </v>
      </c>
      <c r="AU192" s="302" t="str">
        <f aca="false">IF($A192="N/A"," ",IF(AND(AF192=$AJ$2+1,AM192=0),MIN($AR$195,Y192),0))</f>
        <v> </v>
      </c>
      <c r="AV192" s="302" t="str">
        <f aca="false">IF($A192="N/A"," ",IF(AND(AG192=$AJ$2+1,AN192=0),MIN($AR$195,Z192),0))</f>
        <v> </v>
      </c>
      <c r="AW192" s="302" t="str">
        <f aca="false">IF($A192="N/A"," ",IF(AND(AH192=$AJ$2+1,AO192=0),MIN($AR$195,AA192),0))</f>
        <v> </v>
      </c>
      <c r="AX192" s="302" t="str">
        <f aca="false">IF($A192="N/A"," ",IF(AND(AI192=$AJ$2+1,AP192=0),MIN($AR$195,AB192),0))</f>
        <v> </v>
      </c>
      <c r="AY192" s="302" t="str">
        <f aca="false">IF($A192="N/A"," ",IF(AND(AJ192=$AJ$2+1,AQ192=0),MIN($AR$195,AC192),0))</f>
        <v> </v>
      </c>
      <c r="AZ192" s="300"/>
      <c r="BA192" s="291" t="str">
        <f aca="false">IF($A192="N/A"," ",(IF(MONTH(A192)&gt;=4,IF(MONTH(A192)&lt;=10,Inputs!$F$13,Inputs!$F$14),Inputs!$F$14))*$BW192)</f>
        <v> </v>
      </c>
      <c r="BB192" s="292" t="str">
        <f aca="false">IF($A192="N/A"," ",(IF(AK192&gt;0,($BA192*(8*(VLOOKUP($A192,NumberofDaysTable,2)))*P192),0)+IF(AS192&gt;0,($BA192*((AS192))*P192),0)))</f>
        <v> </v>
      </c>
      <c r="BC192" s="292" t="str">
        <f aca="false">IF($A192="N/A"," ",(IF(AL192&gt;0,($BA192*(8*(VLOOKUP($A192,NumberofDaysTable,2)))*Q192),0)+IF(AT192&gt;0,($BA192*((AT192))*Q192),0)))</f>
        <v> </v>
      </c>
      <c r="BD192" s="292" t="str">
        <f aca="false">IF($A192="N/A"," ",(IF(AM192&gt;0,($BA192*(8*(VLOOKUP($A192,NumberofDaysTable,3)))*R192),0)+IF(AU192&gt;0,($BA192*((AU192))*R192),0)))</f>
        <v> </v>
      </c>
      <c r="BE192" s="292" t="str">
        <f aca="false">IF($A192="N/A"," ",(IF(AN192&gt;0,($BA192*(8*(VLOOKUP($A192,NumberofDaysTable,3)))*S192),0)+IF(AV192&gt;0,($BA192*((AV192))*S192),0)))</f>
        <v> </v>
      </c>
      <c r="BF192" s="292" t="str">
        <f aca="false">IF($A192="N/A"," ",(IF(AO192&gt;0,($BA192*(8*(VLOOKUP($A192,NumberofDaysTable,4)+VLOOKUP($A192,NumberofDaysTable,5)))*T192),0)+IF(AW192&gt;0,($BA192*((AW192))*T192),0)))</f>
        <v> </v>
      </c>
      <c r="BG192" s="292" t="str">
        <f aca="false">IF($A192="N/A"," ",(IF(AP192&gt;0,($BA192*(8*(VLOOKUP($A192,NumberofDaysTable,4)+VLOOKUP($A192,NumberofDaysTable,5)))*U192),0)+IF(AX192&gt;0,($BA192*((AX192))*U192),0)))</f>
        <v> </v>
      </c>
      <c r="BH192" s="292" t="str">
        <f aca="false">IF($A192="N/A"," ",($BA192*AQ192*V192))</f>
        <v> </v>
      </c>
      <c r="BI192" s="292" t="str">
        <f aca="false">IF($A192="N/A"," ",SUM(BB192:BH192))</f>
        <v> </v>
      </c>
      <c r="BJ192" s="293" t="str">
        <f aca="false">IF($A192="N/A"," ",(H192*(SUM(AK192:AQ192)+SUM(AS192:AY192))*BA192))</f>
        <v> </v>
      </c>
      <c r="BK192" s="293" t="str">
        <f aca="false">IF($A192="N/A"," ",((C192*D192)*(SUM($AK192:$AQ192)+SUM($AS192:$AY192))*$BA192))</f>
        <v> </v>
      </c>
      <c r="BL192" s="293" t="str">
        <f aca="false">IF($A192="N/A"," ",(F192*(SUM($AK192:$AQ192)+SUM($AS192:$AY192))*$BA192))</f>
        <v> </v>
      </c>
      <c r="BM192" s="293" t="str">
        <f aca="false">IF($A192="N/A"," ",(G192*(SUM($AK192:$AQ192)+SUM($AS192:$AY192))*$BA192))</f>
        <v> </v>
      </c>
      <c r="BN192" s="294" t="str">
        <f aca="false">IF(A192="N/A"," ",(VLOOKUP(A192,PowerVolTable,(IF('Pricing Inputs'!$AT$3=2,7,IF('Pricing Inputs'!$AT$3=1,6,8))),FALSE())))</f>
        <v> </v>
      </c>
      <c r="BO192" s="294" t="str">
        <f aca="false">IF(A192="N/A"," ",(VLOOKUP(A192,IntraPowerVol,(IF('Pricing Inputs'!$AT$3=2,3,IF('Pricing Inputs'!$AT$3=1,2,4))),FALSE())*VLOOKUP(MONTH($A192),Inputs!$A$28:$B$39,2)))</f>
        <v> </v>
      </c>
      <c r="BP192" s="295" t="str">
        <f aca="false">IF($A192="N/A"," ",(IF(DateToday&gt;$A192,$BO192,((($BN192^2)*((($A192-1)-DateToday)/((EOMONTH($A192,0)+1)-DateToday-15)))+((($BO192)^2)*((15)/((EOMONTH($A192,0)+1)-DateToday-15))))^0.5)))</f>
        <v> </v>
      </c>
      <c r="BQ192" s="294" t="str">
        <f aca="false">IF($A192="N/A"," ",(VLOOKUP($A192,GasVolTable,(IF('Pricing Inputs'!$AT$3=2,6,IF('Pricing Inputs'!$AT$3=1,7,5))),FALSE())))</f>
        <v> </v>
      </c>
      <c r="BR192" s="294" t="str">
        <f aca="false">IF($A192="N/A"," ",(VLOOKUP($A192,OmicronVol,(IF('Pricing Inputs'!$AT$3=2,3,IF('Pricing Inputs'!$AT$3=1,4,2))),FALSE())))</f>
        <v> </v>
      </c>
      <c r="BS192" s="295" t="str">
        <f aca="false">IF($A192="N/A"," ",IF('Pricing Inputs'!$AN$3=1,(IF(DateToday&gt;$A192,$BR192,((($BQ192^2)*((($A192-1)-DateToday)/((EOMONTH($A192,0)+1)-DateToday-15)))+((($BR192)^2)*((15)/((EOMONTH($A192,0)+1)-DateToday-15))))^0.5)),0.0001))</f>
        <v> </v>
      </c>
      <c r="BT192" s="294" t="str">
        <f aca="false">IF($A192="N/A"," ",IF('Pricing Inputs'!$AN$3=1,(VLOOKUP($A192,CorrelationTable,2,FALSE())),0))</f>
        <v> </v>
      </c>
      <c r="BU192" s="296" t="str">
        <f aca="false">IF($A192="N/A"," ",F192+G192+(D192*(VLOOKUP($A192,'Gas Curves'!$B$17:$P$310,14,FALSE()))))</f>
        <v> </v>
      </c>
      <c r="BV192" s="294" t="str">
        <f aca="false">IF($A192="N/A"," ",IF('Pricing Inputs'!$AW$3=1,0,(VLOOKUP($A192,InterestRatesTable,2))))</f>
        <v> </v>
      </c>
      <c r="BW192" s="297" t="str">
        <f aca="false">IF($A192="N/A"," ",(1+BV192/2)^(-2*((EOMONTH(A192,0)+20)-DateToday)/365.25))</f>
        <v> </v>
      </c>
    </row>
    <row r="193" customFormat="false" ht="12.75" hidden="false" customHeight="false" outlineLevel="0" collapsed="false">
      <c r="A193" s="272" t="str">
        <f aca="false">IF(A192="N/A","N/A",IF(EDATE(A192,1)&gt;Inputs!$K$3,"N/A",EDATE(A192,1)))</f>
        <v>N/A</v>
      </c>
      <c r="B193" s="273" t="str">
        <f aca="false">IF(A193="N/A"," ",YEAR(A193))</f>
        <v> </v>
      </c>
      <c r="C193" s="274" t="str">
        <f aca="false">IF(A193="N/A"," ",VLOOKUP(A193,ScaledPrice,10))</f>
        <v> </v>
      </c>
      <c r="D193" s="275" t="str">
        <f aca="false">IF(A193="N/A"," ",(VLOOKUP(MONTH($A193),Inputs!$A$14:$B$25,2))/1000)</f>
        <v> </v>
      </c>
      <c r="E193" s="276" t="str">
        <f aca="false">IF($A193="N/A"," ",C193*D193)</f>
        <v> </v>
      </c>
      <c r="F193" s="277" t="str">
        <f aca="false">IF(A193="N/A"," ",Inputs!$F$6)</f>
        <v> </v>
      </c>
      <c r="G193" s="277" t="str">
        <f aca="false">IF(A193="N/A"," ",Inputs!$F$9/IF(AND('Pricing Inputs'!$AQ$3&gt;=4,'Pricing Inputs'!$AQ$3&lt;=6),16,IF(AND('Pricing Inputs'!$AQ$3&gt;=7,'Pricing Inputs'!$AQ$3&lt;=9),8,24))/(BA193/BW193))</f>
        <v> </v>
      </c>
      <c r="H193" s="278" t="str">
        <f aca="false">IF(A193="N/A"," ",(C193*D193)+F193+G193)</f>
        <v> </v>
      </c>
      <c r="I193" s="279" t="str">
        <f aca="false">VLOOKUP(A193,ScaledPrice,(IF(AND('Pricing Inputs'!$AQ$3&gt;=1,'Pricing Inputs'!$AQ$3&lt;=6),2,4)))</f>
        <v> </v>
      </c>
      <c r="J193" s="279" t="str">
        <f aca="false">IF(A193="N/A"," ",IF(AND('Pricing Inputs'!$AQ$3&gt;=1,'Pricing Inputs'!$AQ$3&lt;=6),I193,(VLOOKUP(A193,ScaledPrice,2))*(2-(VLOOKUP(A193,ScaledPrice,3)))))</f>
        <v> </v>
      </c>
      <c r="K193" s="279" t="str">
        <f aca="false">IF(A193="N/A"," ",IF(OR('Pricing Inputs'!$AQ$3=2,'Pricing Inputs'!$AQ$3=3,'Pricing Inputs'!$AQ$3=5,'Pricing Inputs'!$AQ$3=6,'Pricing Inputs'!$AQ$3=8,'Pricing Inputs'!$AQ$3=9),VLOOKUP(A193,ScaledPrice,IF(AND('Pricing Inputs'!$AQ$3&gt;=2,'Pricing Inputs'!$AQ$3&lt;=6),5,6)),0))</f>
        <v> </v>
      </c>
      <c r="L193" s="279" t="str">
        <f aca="false">IF(A193="N/A"," ",IF(OR('Pricing Inputs'!$AQ$3=2,'Pricing Inputs'!$AQ$3=3,'Pricing Inputs'!$AQ$3=5,'Pricing Inputs'!$AQ$3=6,'Pricing Inputs'!$AQ$3=8,'Pricing Inputs'!$AQ$3=9),IF(AND('Pricing Inputs'!$AQ$3&gt;=2,'Pricing Inputs'!$AQ$3&lt;=6),K193,(VLOOKUP(A193,ScaledPrice,5))*(2-(VLOOKUP(A193,ScaledPrice,3)))),0))</f>
        <v> </v>
      </c>
      <c r="M193" s="279" t="str">
        <f aca="false">IF(A193="N/A"," ",IF(OR('Pricing Inputs'!$AQ$3=3,'Pricing Inputs'!$AQ$3=6,'Pricing Inputs'!$AQ$3=9),(VLOOKUP(A193,ScaledPrice,IF(AND('Pricing Inputs'!$AQ$3&gt;=3,'Pricing Inputs'!$AQ$3&lt;=6),7,8))),0))</f>
        <v> </v>
      </c>
      <c r="N193" s="279" t="str">
        <f aca="false">IF(A193="N/A"," ",IF(OR('Pricing Inputs'!$AQ$3=3,'Pricing Inputs'!$AQ$3=6,'Pricing Inputs'!$AQ$3=9),IF(AND('Pricing Inputs'!$AQ$3&gt;=3,'Pricing Inputs'!$AQ$3&lt;=6),M193,(VLOOKUP(A193,ScaledPrice,7))*(2-(VLOOKUP(A193,ScaledPrice,3)))),0))</f>
        <v> </v>
      </c>
      <c r="O193" s="279" t="str">
        <f aca="false">IF(A193="N/A"," ",IF(AND('Pricing Inputs'!$AQ$3&gt;=1,'Pricing Inputs'!$AQ$3&lt;=3),VLOOKUP(A193,ScaledPrice,9),0))</f>
        <v> </v>
      </c>
      <c r="P193" s="280" t="str">
        <f aca="false">IF($A193="N/A"," ",IF('Pricing Inputs'!$AN$8=2,(I193-H193),IF('Pricing Inputs'!$AN$3=2,IF((I193-$H193)&gt;0,I193-$H193,0),(xSPRDOPT(I193,$E193,$BU193,0,$BP193,$BS193,$BT193,($A193-Inputs!$D$1)+15,1,0)))))</f>
        <v> </v>
      </c>
      <c r="Q193" s="280" t="str">
        <f aca="false">IF($A193="N/A"," ",IF('Pricing Inputs'!$AN$8=2,(J193-$H193),IF('Pricing Inputs'!$AN$3=2,IF((J193-$H193)&gt;0,J193-$H193,0),(xSPRDOPT(J193,$E193,$BU193,0,$BP193,$BS193,$BT193,($A193-Inputs!$D$1)+15,1,0)))))</f>
        <v> </v>
      </c>
      <c r="R193" s="280" t="str">
        <f aca="false">IF($A193="N/A"," ",IF('Pricing Inputs'!$AN$8=2,(K193-$H193),IF('Pricing Inputs'!$AN$3=2,IF((K193-$H193)&gt;0,K193-$H193,0),(xSPRDOPT(K193,$E193,$BU193,0,$BP193,$BS193,$BT193,($A193-Inputs!$D$1)+15,1,0)))))</f>
        <v> </v>
      </c>
      <c r="S193" s="280" t="str">
        <f aca="false">IF($A193="N/A"," ",IF('Pricing Inputs'!$AN$8=2,(L193-$H193),IF('Pricing Inputs'!$AN$3=2,IF((L193-$H193)&gt;0,L193-$H193,0),(xSPRDOPT(L193,$E193,$BU193,0,$BP193,$BS193,$BT193,($A193-Inputs!$D$1)+15,1,0)))))</f>
        <v> </v>
      </c>
      <c r="T193" s="280" t="str">
        <f aca="false">IF($A193="N/A"," ",IF('Pricing Inputs'!$AN$8=2,(M193-$H193),IF('Pricing Inputs'!$AN$3=2,IF((M193-$H193)&gt;0,M193-$H193,0),(xSPRDOPT(M193,$E193,$BU193,0,$BP193,$BS193,$BT193,($A193-Inputs!$D$1)+15,1,0)))))</f>
        <v> </v>
      </c>
      <c r="U193" s="280" t="str">
        <f aca="false">IF($A193="N/A"," ",IF('Pricing Inputs'!$AN$8=2,(N193-$H193),IF('Pricing Inputs'!$AN$3=2,IF((N193-$H193)&gt;0,N193-$H193,0),(xSPRDOPT(N193,$E193,$BU193,0,$BP193,$BS193,$BT193,($A193-Inputs!$D$1)+15,1,0)))))</f>
        <v> </v>
      </c>
      <c r="V193" s="281" t="str">
        <f aca="false">IF($A193="N/A"," ",(IF('Pricing Inputs'!$AN$8=2,(O193-$H193),IF((O193-$H193)&lt;=0,0,(O193-$H193)))))</f>
        <v> </v>
      </c>
      <c r="W193" s="282" t="str">
        <f aca="false">IF($A193="N/A"," ",IF(0&lt;&gt;P193,IF('Pricing Inputs'!$AN$3=2,8*VLOOKUP($A193,NumberofDaysTable,2),(xSPRDOPT(I193,$E193,$BU193,0,$BP193,$BS193,$BT193,$A193-Inputs!$D$1,1,1))*(8*VLOOKUP($A193,NumberofDaysTable,2))),0))</f>
        <v> </v>
      </c>
      <c r="X193" s="282" t="str">
        <f aca="false">IF($A193="N/A"," ",IF(Q193&lt;&gt;0,IF('Pricing Inputs'!$AN$3=2,8*VLOOKUP($A193,NumberofDaysTable,2),(xSPRDOPT(J193,$E193,$BU193,0,$BP193,$BS193,$BT193,$A193-Inputs!$D$1,1,1))*(8*VLOOKUP($A193,NumberofDaysTable,2))),0))</f>
        <v> </v>
      </c>
      <c r="Y193" s="282" t="str">
        <f aca="false">IF($A193="N/A"," ",IF(R193&lt;&gt;0,IF('Pricing Inputs'!$AN$3=2,8*VLOOKUP($A193,NumberofDaysTable,3),(xSPRDOPT(K193,$E193,$BU193,0,$BP193,$BS193,$BT193,$A193-Inputs!$D$1,1,1))*(8*VLOOKUP($A193,NumberofDaysTable,3))),0))</f>
        <v> </v>
      </c>
      <c r="Z193" s="282" t="str">
        <f aca="false">IF($A193="N/A"," ",IF(S193&lt;&gt;0,IF('Pricing Inputs'!$AN$3=2,8*VLOOKUP($A193,NumberofDaysTable,3),(xSPRDOPT(L193,$E193,$BU193,0,$BP193,$BS193,$BT193,$A193-Inputs!$D$1,1,1))*(8*VLOOKUP($A193,NumberofDaysTable,3))),0))</f>
        <v> </v>
      </c>
      <c r="AA193" s="282" t="str">
        <f aca="false">IF($A193="N/A"," ",IF(T193&lt;&gt;0,IF('Pricing Inputs'!$AN$3=2,8*VLOOKUP($A193,NumberofDaysTable,4),(xSPRDOPT(M193,$E193,$BU193,0,$BP193,$BS193,$BT193,$A193-Inputs!$D$1,1,1))*(8*VLOOKUP($A193,NumberofDaysTable,4))),0))</f>
        <v> </v>
      </c>
      <c r="AB193" s="282" t="str">
        <f aca="false">IF($A193="N/A"," ",IF(U193&lt;&gt;0,IF('Pricing Inputs'!$AN$3=2,8*VLOOKUP($A193,NumberofDaysTable,4),(xSPRDOPT(N193,$E193,$BU193,0,$BP193,$BS193,$BT193,$A193-Inputs!$D$1,1,1))*(8*VLOOKUP($A193,NumberofDaysTable,4))),0))</f>
        <v> </v>
      </c>
      <c r="AC193" s="282" t="str">
        <f aca="false">IF($A193="N/A"," ",(IF(V193&lt;&gt;0,(8*VLOOKUP($A193,NumberofDaysTable,6)),0)))</f>
        <v> </v>
      </c>
      <c r="AD193" s="298" t="str">
        <f aca="false">IF($A193="N/A"," ",RANK(P193,$P$184:$V$195))</f>
        <v> </v>
      </c>
      <c r="AE193" s="299" t="str">
        <f aca="false">IF($A193="N/A"," ",RANK(Q193,$P$184:$V$195))</f>
        <v> </v>
      </c>
      <c r="AF193" s="299" t="str">
        <f aca="false">IF($A193="N/A"," ",RANK(R193,$P$184:$V$195))</f>
        <v> </v>
      </c>
      <c r="AG193" s="299" t="str">
        <f aca="false">IF($A193="N/A"," ",RANK(S193,$P$184:$V$195))</f>
        <v> </v>
      </c>
      <c r="AH193" s="299" t="str">
        <f aca="false">IF($A193="N/A"," ",RANK(T193,$P$184:$V$195))</f>
        <v> </v>
      </c>
      <c r="AI193" s="299" t="str">
        <f aca="false">IF($A193="N/A"," ",RANK(U193,$P$184:$V$195))</f>
        <v> </v>
      </c>
      <c r="AJ193" s="300" t="str">
        <f aca="false">IF($A193="N/A"," ",RANK(V193,$P$184:$V$195))</f>
        <v> </v>
      </c>
      <c r="AK193" s="286" t="str">
        <f aca="false">IF($A193="N/A"," ",IF(AD193&lt;=$AJ$2,W193,0))</f>
        <v> </v>
      </c>
      <c r="AL193" s="301" t="str">
        <f aca="false">IF($A193="N/A"," ",IF(AE193&lt;=$AJ$2,X193,0))</f>
        <v> </v>
      </c>
      <c r="AM193" s="301" t="str">
        <f aca="false">IF($A193="N/A"," ",IF(AF193&lt;=$AJ$2,Y193,0))</f>
        <v> </v>
      </c>
      <c r="AN193" s="301" t="str">
        <f aca="false">IF($A193="N/A"," ",IF(AG193&lt;=$AJ$2,Z193,0))</f>
        <v> </v>
      </c>
      <c r="AO193" s="301" t="str">
        <f aca="false">IF($A193="N/A"," ",IF(AH193&lt;=$AJ$2,AA193,0))</f>
        <v> </v>
      </c>
      <c r="AP193" s="301" t="str">
        <f aca="false">IF($A193="N/A"," ",IF(AI193&lt;=$AJ$2,AB193,0))</f>
        <v> </v>
      </c>
      <c r="AQ193" s="301" t="str">
        <f aca="false">IF($A193="N/A"," ",IF(AJ193&lt;=$AJ$2,AC193,0))</f>
        <v> </v>
      </c>
      <c r="AR193" s="304" t="s">
        <v>1301</v>
      </c>
      <c r="AS193" s="288" t="str">
        <f aca="false">IF($A193="N/A"," ",IF(AND(AD193=$AJ$2+1,AK193=0),MIN($AR$195,W193),0))</f>
        <v> </v>
      </c>
      <c r="AT193" s="302" t="str">
        <f aca="false">IF($A193="N/A"," ",IF(AND(AE193=$AJ$2+1,AL193=0),MIN($AR$195,X193),0))</f>
        <v> </v>
      </c>
      <c r="AU193" s="302" t="str">
        <f aca="false">IF($A193="N/A"," ",IF(AND(AF193=$AJ$2+1,AM193=0),MIN($AR$195,Y193),0))</f>
        <v> </v>
      </c>
      <c r="AV193" s="302" t="str">
        <f aca="false">IF($A193="N/A"," ",IF(AND(AG193=$AJ$2+1,AN193=0),MIN($AR$195,Z193),0))</f>
        <v> </v>
      </c>
      <c r="AW193" s="302" t="str">
        <f aca="false">IF($A193="N/A"," ",IF(AND(AH193=$AJ$2+1,AO193=0),MIN($AR$195,AA193),0))</f>
        <v> </v>
      </c>
      <c r="AX193" s="302" t="str">
        <f aca="false">IF($A193="N/A"," ",IF(AND(AI193=$AJ$2+1,AP193=0),MIN($AR$195,AB193),0))</f>
        <v> </v>
      </c>
      <c r="AY193" s="302" t="str">
        <f aca="false">IF($A193="N/A"," ",IF(AND(AJ193=$AJ$2+1,AQ193=0),MIN($AR$195,AC193),0))</f>
        <v> </v>
      </c>
      <c r="AZ193" s="303" t="s">
        <v>1328</v>
      </c>
      <c r="BA193" s="291" t="str">
        <f aca="false">IF($A193="N/A"," ",(IF(MONTH(A193)&gt;=4,IF(MONTH(A193)&lt;=10,Inputs!$F$13,Inputs!$F$14),Inputs!$F$14))*$BW193)</f>
        <v> </v>
      </c>
      <c r="BB193" s="292" t="str">
        <f aca="false">IF($A193="N/A"," ",(IF(AK193&gt;0,($BA193*(8*(VLOOKUP($A193,NumberofDaysTable,2)))*P193),0)+IF(AS193&gt;0,($BA193*((AS193))*P193),0)))</f>
        <v> </v>
      </c>
      <c r="BC193" s="292" t="str">
        <f aca="false">IF($A193="N/A"," ",(IF(AL193&gt;0,($BA193*(8*(VLOOKUP($A193,NumberofDaysTable,2)))*Q193),0)+IF(AT193&gt;0,($BA193*((AT193))*Q193),0)))</f>
        <v> </v>
      </c>
      <c r="BD193" s="292" t="str">
        <f aca="false">IF($A193="N/A"," ",(IF(AM193&gt;0,($BA193*(8*(VLOOKUP($A193,NumberofDaysTable,3)))*R193),0)+IF(AU193&gt;0,($BA193*((AU193))*R193),0)))</f>
        <v> </v>
      </c>
      <c r="BE193" s="292" t="str">
        <f aca="false">IF($A193="N/A"," ",(IF(AN193&gt;0,($BA193*(8*(VLOOKUP($A193,NumberofDaysTable,3)))*S193),0)+IF(AV193&gt;0,($BA193*((AV193))*S193),0)))</f>
        <v> </v>
      </c>
      <c r="BF193" s="292" t="str">
        <f aca="false">IF($A193="N/A"," ",(IF(AO193&gt;0,($BA193*(8*(VLOOKUP($A193,NumberofDaysTable,4)+VLOOKUP($A193,NumberofDaysTable,5)))*T193),0)+IF(AW193&gt;0,($BA193*((AW193))*T193),0)))</f>
        <v> </v>
      </c>
      <c r="BG193" s="292" t="str">
        <f aca="false">IF($A193="N/A"," ",(IF(AP193&gt;0,($BA193*(8*(VLOOKUP($A193,NumberofDaysTable,4)+VLOOKUP($A193,NumberofDaysTable,5)))*U193),0)+IF(AX193&gt;0,($BA193*((AX193))*U193),0)))</f>
        <v> </v>
      </c>
      <c r="BH193" s="292" t="str">
        <f aca="false">IF($A193="N/A"," ",($BA193*AQ193*V193))</f>
        <v> </v>
      </c>
      <c r="BI193" s="292" t="str">
        <f aca="false">IF($A193="N/A"," ",SUM(BB193:BH193))</f>
        <v> </v>
      </c>
      <c r="BJ193" s="293" t="str">
        <f aca="false">IF($A193="N/A"," ",(H193*(SUM(AK193:AQ193)+SUM(AS193:AY193))*BA193))</f>
        <v> </v>
      </c>
      <c r="BK193" s="293" t="str">
        <f aca="false">IF($A193="N/A"," ",((C193*D193)*(SUM($AK193:$AQ193)+SUM($AS193:$AY193))*$BA193))</f>
        <v> </v>
      </c>
      <c r="BL193" s="293" t="str">
        <f aca="false">IF($A193="N/A"," ",(F193*(SUM($AK193:$AQ193)+SUM($AS193:$AY193))*$BA193))</f>
        <v> </v>
      </c>
      <c r="BM193" s="293" t="str">
        <f aca="false">IF($A193="N/A"," ",(G193*(SUM($AK193:$AQ193)+SUM($AS193:$AY193))*$BA193))</f>
        <v> </v>
      </c>
      <c r="BN193" s="294" t="str">
        <f aca="false">IF(A193="N/A"," ",(VLOOKUP(A193,PowerVolTable,(IF('Pricing Inputs'!$AT$3=2,7,IF('Pricing Inputs'!$AT$3=1,6,8))),FALSE())))</f>
        <v> </v>
      </c>
      <c r="BO193" s="294" t="str">
        <f aca="false">IF(A193="N/A"," ",(VLOOKUP(A193,IntraPowerVol,(IF('Pricing Inputs'!$AT$3=2,3,IF('Pricing Inputs'!$AT$3=1,2,4))),FALSE())*VLOOKUP(MONTH($A193),Inputs!$A$28:$B$39,2)))</f>
        <v> </v>
      </c>
      <c r="BP193" s="295" t="str">
        <f aca="false">IF($A193="N/A"," ",(IF(DateToday&gt;$A193,$BO193,((($BN193^2)*((($A193-1)-DateToday)/((EOMONTH($A193,0)+1)-DateToday-15)))+((($BO193)^2)*((15)/((EOMONTH($A193,0)+1)-DateToday-15))))^0.5)))</f>
        <v> </v>
      </c>
      <c r="BQ193" s="294" t="str">
        <f aca="false">IF($A193="N/A"," ",(VLOOKUP($A193,GasVolTable,(IF('Pricing Inputs'!$AT$3=2,6,IF('Pricing Inputs'!$AT$3=1,7,5))),FALSE())))</f>
        <v> </v>
      </c>
      <c r="BR193" s="294" t="str">
        <f aca="false">IF($A193="N/A"," ",(VLOOKUP($A193,OmicronVol,(IF('Pricing Inputs'!$AT$3=2,3,IF('Pricing Inputs'!$AT$3=1,4,2))),FALSE())))</f>
        <v> </v>
      </c>
      <c r="BS193" s="295" t="str">
        <f aca="false">IF($A193="N/A"," ",IF('Pricing Inputs'!$AN$3=1,(IF(DateToday&gt;$A193,$BR193,((($BQ193^2)*((($A193-1)-DateToday)/((EOMONTH($A193,0)+1)-DateToday-15)))+((($BR193)^2)*((15)/((EOMONTH($A193,0)+1)-DateToday-15))))^0.5)),0.0001))</f>
        <v> </v>
      </c>
      <c r="BT193" s="294" t="str">
        <f aca="false">IF($A193="N/A"," ",IF('Pricing Inputs'!$AN$3=1,(VLOOKUP($A193,CorrelationTable,2,FALSE())),0))</f>
        <v> </v>
      </c>
      <c r="BU193" s="296" t="str">
        <f aca="false">IF($A193="N/A"," ",F193+G193+(D193*(VLOOKUP($A193,'Gas Curves'!$B$17:$P$310,14,FALSE()))))</f>
        <v> </v>
      </c>
      <c r="BV193" s="294" t="str">
        <f aca="false">IF($A193="N/A"," ",IF('Pricing Inputs'!$AW$3=1,0,(VLOOKUP($A193,InterestRatesTable,2))))</f>
        <v> </v>
      </c>
      <c r="BW193" s="297" t="str">
        <f aca="false">IF($A193="N/A"," ",(1+BV193/2)^(-2*((EOMONTH(A193,0)+20)-DateToday)/365.25))</f>
        <v> </v>
      </c>
    </row>
    <row r="194" customFormat="false" ht="12.75" hidden="false" customHeight="false" outlineLevel="0" collapsed="false">
      <c r="A194" s="272" t="str">
        <f aca="false">IF(A193="N/A","N/A",IF(EDATE(A193,1)&gt;Inputs!$K$3,"N/A",EDATE(A193,1)))</f>
        <v>N/A</v>
      </c>
      <c r="B194" s="273" t="str">
        <f aca="false">IF(A194="N/A"," ",YEAR(A194))</f>
        <v> </v>
      </c>
      <c r="C194" s="274" t="str">
        <f aca="false">IF(A194="N/A"," ",VLOOKUP(A194,ScaledPrice,10))</f>
        <v> </v>
      </c>
      <c r="D194" s="275" t="str">
        <f aca="false">IF(A194="N/A"," ",(VLOOKUP(MONTH($A194),Inputs!$A$14:$B$25,2))/1000)</f>
        <v> </v>
      </c>
      <c r="E194" s="276" t="str">
        <f aca="false">IF($A194="N/A"," ",C194*D194)</f>
        <v> </v>
      </c>
      <c r="F194" s="277" t="str">
        <f aca="false">IF(A194="N/A"," ",Inputs!$F$6)</f>
        <v> </v>
      </c>
      <c r="G194" s="277" t="str">
        <f aca="false">IF(A194="N/A"," ",Inputs!$F$9/IF(AND('Pricing Inputs'!$AQ$3&gt;=4,'Pricing Inputs'!$AQ$3&lt;=6),16,IF(AND('Pricing Inputs'!$AQ$3&gt;=7,'Pricing Inputs'!$AQ$3&lt;=9),8,24))/(BA194/BW194))</f>
        <v> </v>
      </c>
      <c r="H194" s="278" t="str">
        <f aca="false">IF(A194="N/A"," ",(C194*D194)+F194+G194)</f>
        <v> </v>
      </c>
      <c r="I194" s="279" t="str">
        <f aca="false">VLOOKUP(A194,ScaledPrice,(IF(AND('Pricing Inputs'!$AQ$3&gt;=1,'Pricing Inputs'!$AQ$3&lt;=6),2,4)))</f>
        <v> </v>
      </c>
      <c r="J194" s="279" t="str">
        <f aca="false">IF(A194="N/A"," ",IF(AND('Pricing Inputs'!$AQ$3&gt;=1,'Pricing Inputs'!$AQ$3&lt;=6),I194,(VLOOKUP(A194,ScaledPrice,2))*(2-(VLOOKUP(A194,ScaledPrice,3)))))</f>
        <v> </v>
      </c>
      <c r="K194" s="279" t="str">
        <f aca="false">IF(A194="N/A"," ",IF(OR('Pricing Inputs'!$AQ$3=2,'Pricing Inputs'!$AQ$3=3,'Pricing Inputs'!$AQ$3=5,'Pricing Inputs'!$AQ$3=6,'Pricing Inputs'!$AQ$3=8,'Pricing Inputs'!$AQ$3=9),VLOOKUP(A194,ScaledPrice,IF(AND('Pricing Inputs'!$AQ$3&gt;=2,'Pricing Inputs'!$AQ$3&lt;=6),5,6)),0))</f>
        <v> </v>
      </c>
      <c r="L194" s="279" t="str">
        <f aca="false">IF(A194="N/A"," ",IF(OR('Pricing Inputs'!$AQ$3=2,'Pricing Inputs'!$AQ$3=3,'Pricing Inputs'!$AQ$3=5,'Pricing Inputs'!$AQ$3=6,'Pricing Inputs'!$AQ$3=8,'Pricing Inputs'!$AQ$3=9),IF(AND('Pricing Inputs'!$AQ$3&gt;=2,'Pricing Inputs'!$AQ$3&lt;=6),K194,(VLOOKUP(A194,ScaledPrice,5))*(2-(VLOOKUP(A194,ScaledPrice,3)))),0))</f>
        <v> </v>
      </c>
      <c r="M194" s="279" t="str">
        <f aca="false">IF(A194="N/A"," ",IF(OR('Pricing Inputs'!$AQ$3=3,'Pricing Inputs'!$AQ$3=6,'Pricing Inputs'!$AQ$3=9),(VLOOKUP(A194,ScaledPrice,IF(AND('Pricing Inputs'!$AQ$3&gt;=3,'Pricing Inputs'!$AQ$3&lt;=6),7,8))),0))</f>
        <v> </v>
      </c>
      <c r="N194" s="279" t="str">
        <f aca="false">IF(A194="N/A"," ",IF(OR('Pricing Inputs'!$AQ$3=3,'Pricing Inputs'!$AQ$3=6,'Pricing Inputs'!$AQ$3=9),IF(AND('Pricing Inputs'!$AQ$3&gt;=3,'Pricing Inputs'!$AQ$3&lt;=6),M194,(VLOOKUP(A194,ScaledPrice,7))*(2-(VLOOKUP(A194,ScaledPrice,3)))),0))</f>
        <v> </v>
      </c>
      <c r="O194" s="279" t="str">
        <f aca="false">IF(A194="N/A"," ",IF(AND('Pricing Inputs'!$AQ$3&gt;=1,'Pricing Inputs'!$AQ$3&lt;=3),VLOOKUP(A194,ScaledPrice,9),0))</f>
        <v> </v>
      </c>
      <c r="P194" s="280" t="str">
        <f aca="false">IF($A194="N/A"," ",IF('Pricing Inputs'!$AN$8=2,(I194-H194),IF('Pricing Inputs'!$AN$3=2,IF((I194-$H194)&gt;0,I194-$H194,0),(xSPRDOPT(I194,$E194,$BU194,0,$BP194,$BS194,$BT194,($A194-Inputs!$D$1)+15,1,0)))))</f>
        <v> </v>
      </c>
      <c r="Q194" s="280" t="str">
        <f aca="false">IF($A194="N/A"," ",IF('Pricing Inputs'!$AN$8=2,(J194-$H194),IF('Pricing Inputs'!$AN$3=2,IF((J194-$H194)&gt;0,J194-$H194,0),(xSPRDOPT(J194,$E194,$BU194,0,$BP194,$BS194,$BT194,($A194-Inputs!$D$1)+15,1,0)))))</f>
        <v> </v>
      </c>
      <c r="R194" s="280" t="str">
        <f aca="false">IF($A194="N/A"," ",IF('Pricing Inputs'!$AN$8=2,(K194-$H194),IF('Pricing Inputs'!$AN$3=2,IF((K194-$H194)&gt;0,K194-$H194,0),(xSPRDOPT(K194,$E194,$BU194,0,$BP194,$BS194,$BT194,($A194-Inputs!$D$1)+15,1,0)))))</f>
        <v> </v>
      </c>
      <c r="S194" s="280" t="str">
        <f aca="false">IF($A194="N/A"," ",IF('Pricing Inputs'!$AN$8=2,(L194-$H194),IF('Pricing Inputs'!$AN$3=2,IF((L194-$H194)&gt;0,L194-$H194,0),(xSPRDOPT(L194,$E194,$BU194,0,$BP194,$BS194,$BT194,($A194-Inputs!$D$1)+15,1,0)))))</f>
        <v> </v>
      </c>
      <c r="T194" s="280" t="str">
        <f aca="false">IF($A194="N/A"," ",IF('Pricing Inputs'!$AN$8=2,(M194-$H194),IF('Pricing Inputs'!$AN$3=2,IF((M194-$H194)&gt;0,M194-$H194,0),(xSPRDOPT(M194,$E194,$BU194,0,$BP194,$BS194,$BT194,($A194-Inputs!$D$1)+15,1,0)))))</f>
        <v> </v>
      </c>
      <c r="U194" s="280" t="str">
        <f aca="false">IF($A194="N/A"," ",IF('Pricing Inputs'!$AN$8=2,(N194-$H194),IF('Pricing Inputs'!$AN$3=2,IF((N194-$H194)&gt;0,N194-$H194,0),(xSPRDOPT(N194,$E194,$BU194,0,$BP194,$BS194,$BT194,($A194-Inputs!$D$1)+15,1,0)))))</f>
        <v> </v>
      </c>
      <c r="V194" s="281" t="str">
        <f aca="false">IF($A194="N/A"," ",(IF('Pricing Inputs'!$AN$8=2,(O194-$H194),IF((O194-$H194)&lt;=0,0,(O194-$H194)))))</f>
        <v> </v>
      </c>
      <c r="W194" s="282" t="str">
        <f aca="false">IF($A194="N/A"," ",IF(0&lt;&gt;P194,IF('Pricing Inputs'!$AN$3=2,8*VLOOKUP($A194,NumberofDaysTable,2),(xSPRDOPT(I194,$E194,$BU194,0,$BP194,$BS194,$BT194,$A194-Inputs!$D$1,1,1))*(8*VLOOKUP($A194,NumberofDaysTable,2))),0))</f>
        <v> </v>
      </c>
      <c r="X194" s="282" t="str">
        <f aca="false">IF($A194="N/A"," ",IF(Q194&lt;&gt;0,IF('Pricing Inputs'!$AN$3=2,8*VLOOKUP($A194,NumberofDaysTable,2),(xSPRDOPT(J194,$E194,$BU194,0,$BP194,$BS194,$BT194,$A194-Inputs!$D$1,1,1))*(8*VLOOKUP($A194,NumberofDaysTable,2))),0))</f>
        <v> </v>
      </c>
      <c r="Y194" s="282" t="str">
        <f aca="false">IF($A194="N/A"," ",IF(R194&lt;&gt;0,IF('Pricing Inputs'!$AN$3=2,8*VLOOKUP($A194,NumberofDaysTable,3),(xSPRDOPT(K194,$E194,$BU194,0,$BP194,$BS194,$BT194,$A194-Inputs!$D$1,1,1))*(8*VLOOKUP($A194,NumberofDaysTable,3))),0))</f>
        <v> </v>
      </c>
      <c r="Z194" s="282" t="str">
        <f aca="false">IF($A194="N/A"," ",IF(S194&lt;&gt;0,IF('Pricing Inputs'!$AN$3=2,8*VLOOKUP($A194,NumberofDaysTable,3),(xSPRDOPT(L194,$E194,$BU194,0,$BP194,$BS194,$BT194,$A194-Inputs!$D$1,1,1))*(8*VLOOKUP($A194,NumberofDaysTable,3))),0))</f>
        <v> </v>
      </c>
      <c r="AA194" s="282" t="str">
        <f aca="false">IF($A194="N/A"," ",IF(T194&lt;&gt;0,IF('Pricing Inputs'!$AN$3=2,8*VLOOKUP($A194,NumberofDaysTable,4),(xSPRDOPT(M194,$E194,$BU194,0,$BP194,$BS194,$BT194,$A194-Inputs!$D$1,1,1))*(8*VLOOKUP($A194,NumberofDaysTable,4))),0))</f>
        <v> </v>
      </c>
      <c r="AB194" s="282" t="str">
        <f aca="false">IF($A194="N/A"," ",IF(U194&lt;&gt;0,IF('Pricing Inputs'!$AN$3=2,8*VLOOKUP($A194,NumberofDaysTable,4),(xSPRDOPT(N194,$E194,$BU194,0,$BP194,$BS194,$BT194,$A194-Inputs!$D$1,1,1))*(8*VLOOKUP($A194,NumberofDaysTable,4))),0))</f>
        <v> </v>
      </c>
      <c r="AC194" s="282" t="str">
        <f aca="false">IF($A194="N/A"," ",(IF(V194&lt;&gt;0,(8*VLOOKUP($A194,NumberofDaysTable,6)),0)))</f>
        <v> </v>
      </c>
      <c r="AD194" s="298" t="str">
        <f aca="false">IF($A194="N/A"," ",RANK(P194,$P$184:$V$195))</f>
        <v> </v>
      </c>
      <c r="AE194" s="299" t="str">
        <f aca="false">IF($A194="N/A"," ",RANK(Q194,$P$184:$V$195))</f>
        <v> </v>
      </c>
      <c r="AF194" s="299" t="str">
        <f aca="false">IF($A194="N/A"," ",RANK(R194,$P$184:$V$195))</f>
        <v> </v>
      </c>
      <c r="AG194" s="299" t="str">
        <f aca="false">IF($A194="N/A"," ",RANK(S194,$P$184:$V$195))</f>
        <v> </v>
      </c>
      <c r="AH194" s="299" t="str">
        <f aca="false">IF($A194="N/A"," ",RANK(T194,$P$184:$V$195))</f>
        <v> </v>
      </c>
      <c r="AI194" s="299" t="str">
        <f aca="false">IF($A194="N/A"," ",RANK(U194,$P$184:$V$195))</f>
        <v> </v>
      </c>
      <c r="AJ194" s="300" t="str">
        <f aca="false">IF($A194="N/A"," ",RANK(V194,$P$184:$V$195))</f>
        <v> </v>
      </c>
      <c r="AK194" s="286" t="str">
        <f aca="false">IF($A194="N/A"," ",IF(AD194&lt;=$AJ$2,W194,0))</f>
        <v> </v>
      </c>
      <c r="AL194" s="301" t="str">
        <f aca="false">IF($A194="N/A"," ",IF(AE194&lt;=$AJ$2,X194,0))</f>
        <v> </v>
      </c>
      <c r="AM194" s="301" t="str">
        <f aca="false">IF($A194="N/A"," ",IF(AF194&lt;=$AJ$2,Y194,0))</f>
        <v> </v>
      </c>
      <c r="AN194" s="301" t="str">
        <f aca="false">IF($A194="N/A"," ",IF(AG194&lt;=$AJ$2,Z194,0))</f>
        <v> </v>
      </c>
      <c r="AO194" s="301" t="str">
        <f aca="false">IF($A194="N/A"," ",IF(AH194&lt;=$AJ$2,AA194,0))</f>
        <v> </v>
      </c>
      <c r="AP194" s="301" t="str">
        <f aca="false">IF($A194="N/A"," ",IF(AI194&lt;=$AJ$2,AB194,0))</f>
        <v> </v>
      </c>
      <c r="AQ194" s="301" t="str">
        <f aca="false">IF($A194="N/A"," ",IF(AJ194&lt;=$AJ$2,AC194,0))</f>
        <v> </v>
      </c>
      <c r="AR194" s="300" t="n">
        <f aca="false">SUM(AK184:AQ195)</f>
        <v>0</v>
      </c>
      <c r="AS194" s="288" t="str">
        <f aca="false">IF($A194="N/A"," ",IF(AND(AD194=$AJ$2+1,AK194=0),MIN($AR$195,W194),0))</f>
        <v> </v>
      </c>
      <c r="AT194" s="302" t="str">
        <f aca="false">IF($A194="N/A"," ",IF(AND(AE194=$AJ$2+1,AL194=0),MIN($AR$195,X194),0))</f>
        <v> </v>
      </c>
      <c r="AU194" s="302" t="str">
        <f aca="false">IF($A194="N/A"," ",IF(AND(AF194=$AJ$2+1,AM194=0),MIN($AR$195,Y194),0))</f>
        <v> </v>
      </c>
      <c r="AV194" s="302" t="str">
        <f aca="false">IF($A194="N/A"," ",IF(AND(AG194=$AJ$2+1,AN194=0),MIN($AR$195,Z194),0))</f>
        <v> </v>
      </c>
      <c r="AW194" s="302" t="str">
        <f aca="false">IF($A194="N/A"," ",IF(AND(AH194=$AJ$2+1,AO194=0),MIN($AR$195,AA194),0))</f>
        <v> </v>
      </c>
      <c r="AX194" s="302" t="str">
        <f aca="false">IF($A194="N/A"," ",IF(AND(AI194=$AJ$2+1,AP194=0),MIN($AR$195,AB194),0))</f>
        <v> </v>
      </c>
      <c r="AY194" s="302" t="str">
        <f aca="false">IF($A194="N/A"," ",IF(AND(AJ194=$AJ$2+1,AQ194=0),MIN($AR$195,AC194),0))</f>
        <v> </v>
      </c>
      <c r="AZ194" s="300" t="n">
        <f aca="false">SUM(AS184:AY195)</f>
        <v>0</v>
      </c>
      <c r="BA194" s="291" t="str">
        <f aca="false">IF($A194="N/A"," ",(IF(MONTH(A194)&gt;=4,IF(MONTH(A194)&lt;=10,Inputs!$F$13,Inputs!$F$14),Inputs!$F$14))*$BW194)</f>
        <v> </v>
      </c>
      <c r="BB194" s="292" t="str">
        <f aca="false">IF($A194="N/A"," ",(IF(AK194&gt;0,($BA194*(8*(VLOOKUP($A194,NumberofDaysTable,2)))*P194),0)+IF(AS194&gt;0,($BA194*((AS194))*P194),0)))</f>
        <v> </v>
      </c>
      <c r="BC194" s="292" t="str">
        <f aca="false">IF($A194="N/A"," ",(IF(AL194&gt;0,($BA194*(8*(VLOOKUP($A194,NumberofDaysTable,2)))*Q194),0)+IF(AT194&gt;0,($BA194*((AT194))*Q194),0)))</f>
        <v> </v>
      </c>
      <c r="BD194" s="292" t="str">
        <f aca="false">IF($A194="N/A"," ",(IF(AM194&gt;0,($BA194*(8*(VLOOKUP($A194,NumberofDaysTable,3)))*R194),0)+IF(AU194&gt;0,($BA194*((AU194))*R194),0)))</f>
        <v> </v>
      </c>
      <c r="BE194" s="292" t="str">
        <f aca="false">IF($A194="N/A"," ",(IF(AN194&gt;0,($BA194*(8*(VLOOKUP($A194,NumberofDaysTable,3)))*S194),0)+IF(AV194&gt;0,($BA194*((AV194))*S194),0)))</f>
        <v> </v>
      </c>
      <c r="BF194" s="292" t="str">
        <f aca="false">IF($A194="N/A"," ",(IF(AO194&gt;0,($BA194*(8*(VLOOKUP($A194,NumberofDaysTable,4)+VLOOKUP($A194,NumberofDaysTable,5)))*T194),0)+IF(AW194&gt;0,($BA194*((AW194))*T194),0)))</f>
        <v> </v>
      </c>
      <c r="BG194" s="292" t="str">
        <f aca="false">IF($A194="N/A"," ",(IF(AP194&gt;0,($BA194*(8*(VLOOKUP($A194,NumberofDaysTable,4)+VLOOKUP($A194,NumberofDaysTable,5)))*U194),0)+IF(AX194&gt;0,($BA194*((AX194))*U194),0)))</f>
        <v> </v>
      </c>
      <c r="BH194" s="292" t="str">
        <f aca="false">IF($A194="N/A"," ",($BA194*AQ194*V194))</f>
        <v> </v>
      </c>
      <c r="BI194" s="292" t="str">
        <f aca="false">IF($A194="N/A"," ",SUM(BB194:BH194))</f>
        <v> </v>
      </c>
      <c r="BJ194" s="293" t="str">
        <f aca="false">IF($A194="N/A"," ",(H194*(SUM(AK194:AQ194)+SUM(AS194:AY194))*BA194))</f>
        <v> </v>
      </c>
      <c r="BK194" s="293" t="str">
        <f aca="false">IF($A194="N/A"," ",((C194*D194)*(SUM($AK194:$AQ194)+SUM($AS194:$AY194))*$BA194))</f>
        <v> </v>
      </c>
      <c r="BL194" s="293" t="str">
        <f aca="false">IF($A194="N/A"," ",(F194*(SUM($AK194:$AQ194)+SUM($AS194:$AY194))*$BA194))</f>
        <v> </v>
      </c>
      <c r="BM194" s="293" t="str">
        <f aca="false">IF($A194="N/A"," ",(G194*(SUM($AK194:$AQ194)+SUM($AS194:$AY194))*$BA194))</f>
        <v> </v>
      </c>
      <c r="BN194" s="294" t="str">
        <f aca="false">IF(A194="N/A"," ",(VLOOKUP(A194,PowerVolTable,(IF('Pricing Inputs'!$AT$3=2,7,IF('Pricing Inputs'!$AT$3=1,6,8))),FALSE())))</f>
        <v> </v>
      </c>
      <c r="BO194" s="294" t="str">
        <f aca="false">IF(A194="N/A"," ",(VLOOKUP(A194,IntraPowerVol,(IF('Pricing Inputs'!$AT$3=2,3,IF('Pricing Inputs'!$AT$3=1,2,4))),FALSE())*VLOOKUP(MONTH($A194),Inputs!$A$28:$B$39,2)))</f>
        <v> </v>
      </c>
      <c r="BP194" s="295" t="str">
        <f aca="false">IF($A194="N/A"," ",(IF(DateToday&gt;$A194,$BO194,((($BN194^2)*((($A194-1)-DateToday)/((EOMONTH($A194,0)+1)-DateToday-15)))+((($BO194)^2)*((15)/((EOMONTH($A194,0)+1)-DateToday-15))))^0.5)))</f>
        <v> </v>
      </c>
      <c r="BQ194" s="294" t="str">
        <f aca="false">IF($A194="N/A"," ",(VLOOKUP($A194,GasVolTable,(IF('Pricing Inputs'!$AT$3=2,6,IF('Pricing Inputs'!$AT$3=1,7,5))),FALSE())))</f>
        <v> </v>
      </c>
      <c r="BR194" s="294" t="str">
        <f aca="false">IF($A194="N/A"," ",(VLOOKUP($A194,OmicronVol,(IF('Pricing Inputs'!$AT$3=2,3,IF('Pricing Inputs'!$AT$3=1,4,2))),FALSE())))</f>
        <v> </v>
      </c>
      <c r="BS194" s="295" t="str">
        <f aca="false">IF($A194="N/A"," ",IF('Pricing Inputs'!$AN$3=1,(IF(DateToday&gt;$A194,$BR194,((($BQ194^2)*((($A194-1)-DateToday)/((EOMONTH($A194,0)+1)-DateToday-15)))+((($BR194)^2)*((15)/((EOMONTH($A194,0)+1)-DateToday-15))))^0.5)),0.0001))</f>
        <v> </v>
      </c>
      <c r="BT194" s="294" t="str">
        <f aca="false">IF($A194="N/A"," ",IF('Pricing Inputs'!$AN$3=1,(VLOOKUP($A194,CorrelationTable,2,FALSE())),0))</f>
        <v> </v>
      </c>
      <c r="BU194" s="296" t="str">
        <f aca="false">IF($A194="N/A"," ",F194+G194+(D194*(VLOOKUP($A194,'Gas Curves'!$B$17:$P$310,14,FALSE()))))</f>
        <v> </v>
      </c>
      <c r="BV194" s="294" t="str">
        <f aca="false">IF($A194="N/A"," ",IF('Pricing Inputs'!$AW$3=1,0,(VLOOKUP($A194,InterestRatesTable,2))))</f>
        <v> </v>
      </c>
      <c r="BW194" s="297" t="str">
        <f aca="false">IF($A194="N/A"," ",(1+BV194/2)^(-2*((EOMONTH(A194,0)+20)-DateToday)/365.25))</f>
        <v> </v>
      </c>
    </row>
    <row r="195" customFormat="false" ht="12.75" hidden="false" customHeight="false" outlineLevel="0" collapsed="false">
      <c r="A195" s="272" t="str">
        <f aca="false">IF(A194="N/A","N/A",IF(EDATE(A194,1)&gt;Inputs!$K$3,"N/A",EDATE(A194,1)))</f>
        <v>N/A</v>
      </c>
      <c r="B195" s="273" t="str">
        <f aca="false">IF(A195="N/A"," ",YEAR(A195))</f>
        <v> </v>
      </c>
      <c r="C195" s="274" t="str">
        <f aca="false">IF(A195="N/A"," ",VLOOKUP(A195,ScaledPrice,10))</f>
        <v> </v>
      </c>
      <c r="D195" s="275" t="str">
        <f aca="false">IF(A195="N/A"," ",(VLOOKUP(MONTH($A195),Inputs!$A$14:$B$25,2))/1000)</f>
        <v> </v>
      </c>
      <c r="E195" s="276" t="str">
        <f aca="false">IF($A195="N/A"," ",C195*D195)</f>
        <v> </v>
      </c>
      <c r="F195" s="277" t="str">
        <f aca="false">IF(A195="N/A"," ",Inputs!$F$6)</f>
        <v> </v>
      </c>
      <c r="G195" s="277" t="str">
        <f aca="false">IF(A195="N/A"," ",Inputs!$F$9/IF(AND('Pricing Inputs'!$AQ$3&gt;=4,'Pricing Inputs'!$AQ$3&lt;=6),16,IF(AND('Pricing Inputs'!$AQ$3&gt;=7,'Pricing Inputs'!$AQ$3&lt;=9),8,24))/(BA195/BW195))</f>
        <v> </v>
      </c>
      <c r="H195" s="278" t="str">
        <f aca="false">IF(A195="N/A"," ",(C195*D195)+F195+G195)</f>
        <v> </v>
      </c>
      <c r="I195" s="279" t="str">
        <f aca="false">VLOOKUP(A195,ScaledPrice,(IF(AND('Pricing Inputs'!$AQ$3&gt;=1,'Pricing Inputs'!$AQ$3&lt;=6),2,4)))</f>
        <v> </v>
      </c>
      <c r="J195" s="279" t="str">
        <f aca="false">IF(A195="N/A"," ",IF(AND('Pricing Inputs'!$AQ$3&gt;=1,'Pricing Inputs'!$AQ$3&lt;=6),I195,(VLOOKUP(A195,ScaledPrice,2))*(2-(VLOOKUP(A195,ScaledPrice,3)))))</f>
        <v> </v>
      </c>
      <c r="K195" s="279" t="str">
        <f aca="false">IF(A195="N/A"," ",IF(OR('Pricing Inputs'!$AQ$3=2,'Pricing Inputs'!$AQ$3=3,'Pricing Inputs'!$AQ$3=5,'Pricing Inputs'!$AQ$3=6,'Pricing Inputs'!$AQ$3=8,'Pricing Inputs'!$AQ$3=9),VLOOKUP(A195,ScaledPrice,IF(AND('Pricing Inputs'!$AQ$3&gt;=2,'Pricing Inputs'!$AQ$3&lt;=6),5,6)),0))</f>
        <v> </v>
      </c>
      <c r="L195" s="279" t="str">
        <f aca="false">IF(A195="N/A"," ",IF(OR('Pricing Inputs'!$AQ$3=2,'Pricing Inputs'!$AQ$3=3,'Pricing Inputs'!$AQ$3=5,'Pricing Inputs'!$AQ$3=6,'Pricing Inputs'!$AQ$3=8,'Pricing Inputs'!$AQ$3=9),IF(AND('Pricing Inputs'!$AQ$3&gt;=2,'Pricing Inputs'!$AQ$3&lt;=6),K195,(VLOOKUP(A195,ScaledPrice,5))*(2-(VLOOKUP(A195,ScaledPrice,3)))),0))</f>
        <v> </v>
      </c>
      <c r="M195" s="279" t="str">
        <f aca="false">IF(A195="N/A"," ",IF(OR('Pricing Inputs'!$AQ$3=3,'Pricing Inputs'!$AQ$3=6,'Pricing Inputs'!$AQ$3=9),(VLOOKUP(A195,ScaledPrice,IF(AND('Pricing Inputs'!$AQ$3&gt;=3,'Pricing Inputs'!$AQ$3&lt;=6),7,8))),0))</f>
        <v> </v>
      </c>
      <c r="N195" s="279" t="str">
        <f aca="false">IF(A195="N/A"," ",IF(OR('Pricing Inputs'!$AQ$3=3,'Pricing Inputs'!$AQ$3=6,'Pricing Inputs'!$AQ$3=9),IF(AND('Pricing Inputs'!$AQ$3&gt;=3,'Pricing Inputs'!$AQ$3&lt;=6),M195,(VLOOKUP(A195,ScaledPrice,7))*(2-(VLOOKUP(A195,ScaledPrice,3)))),0))</f>
        <v> </v>
      </c>
      <c r="O195" s="279" t="str">
        <f aca="false">IF(A195="N/A"," ",IF(AND('Pricing Inputs'!$AQ$3&gt;=1,'Pricing Inputs'!$AQ$3&lt;=3),VLOOKUP(A195,ScaledPrice,9),0))</f>
        <v> </v>
      </c>
      <c r="P195" s="280" t="str">
        <f aca="false">IF($A195="N/A"," ",IF('Pricing Inputs'!$AN$8=2,(I195-H195),IF('Pricing Inputs'!$AN$3=2,IF((I195-$H195)&gt;0,I195-$H195,0),(xSPRDOPT(I195,$E195,$BU195,0,$BP195,$BS195,$BT195,($A195-Inputs!$D$1)+15,1,0)))))</f>
        <v> </v>
      </c>
      <c r="Q195" s="280" t="str">
        <f aca="false">IF($A195="N/A"," ",IF('Pricing Inputs'!$AN$8=2,(J195-$H195),IF('Pricing Inputs'!$AN$3=2,IF((J195-$H195)&gt;0,J195-$H195,0),(xSPRDOPT(J195,$E195,$BU195,0,$BP195,$BS195,$BT195,($A195-Inputs!$D$1)+15,1,0)))))</f>
        <v> </v>
      </c>
      <c r="R195" s="280" t="str">
        <f aca="false">IF($A195="N/A"," ",IF('Pricing Inputs'!$AN$8=2,(K195-$H195),IF('Pricing Inputs'!$AN$3=2,IF((K195-$H195)&gt;0,K195-$H195,0),(xSPRDOPT(K195,$E195,$BU195,0,$BP195,$BS195,$BT195,($A195-Inputs!$D$1)+15,1,0)))))</f>
        <v> </v>
      </c>
      <c r="S195" s="280" t="str">
        <f aca="false">IF($A195="N/A"," ",IF('Pricing Inputs'!$AN$8=2,(L195-$H195),IF('Pricing Inputs'!$AN$3=2,IF((L195-$H195)&gt;0,L195-$H195,0),(xSPRDOPT(L195,$E195,$BU195,0,$BP195,$BS195,$BT195,($A195-Inputs!$D$1)+15,1,0)))))</f>
        <v> </v>
      </c>
      <c r="T195" s="280" t="str">
        <f aca="false">IF($A195="N/A"," ",IF('Pricing Inputs'!$AN$8=2,(M195-$H195),IF('Pricing Inputs'!$AN$3=2,IF((M195-$H195)&gt;0,M195-$H195,0),(xSPRDOPT(M195,$E195,$BU195,0,$BP195,$BS195,$BT195,($A195-Inputs!$D$1)+15,1,0)))))</f>
        <v> </v>
      </c>
      <c r="U195" s="280" t="str">
        <f aca="false">IF($A195="N/A"," ",IF('Pricing Inputs'!$AN$8=2,(N195-$H195),IF('Pricing Inputs'!$AN$3=2,IF((N195-$H195)&gt;0,N195-$H195,0),(xSPRDOPT(N195,$E195,$BU195,0,$BP195,$BS195,$BT195,($A195-Inputs!$D$1)+15,1,0)))))</f>
        <v> </v>
      </c>
      <c r="V195" s="281" t="str">
        <f aca="false">IF($A195="N/A"," ",(IF('Pricing Inputs'!$AN$8=2,(O195-$H195),IF((O195-$H195)&lt;=0,0,(O195-$H195)))))</f>
        <v> </v>
      </c>
      <c r="W195" s="282" t="str">
        <f aca="false">IF($A195="N/A"," ",IF(0&lt;&gt;P195,IF('Pricing Inputs'!$AN$3=2,8*VLOOKUP($A195,NumberofDaysTable,2),(xSPRDOPT(I195,$E195,$BU195,0,$BP195,$BS195,$BT195,$A195-Inputs!$D$1,1,1))*(8*VLOOKUP($A195,NumberofDaysTable,2))),0))</f>
        <v> </v>
      </c>
      <c r="X195" s="282" t="str">
        <f aca="false">IF($A195="N/A"," ",IF(Q195&lt;&gt;0,IF('Pricing Inputs'!$AN$3=2,8*VLOOKUP($A195,NumberofDaysTable,2),(xSPRDOPT(J195,$E195,$BU195,0,$BP195,$BS195,$BT195,$A195-Inputs!$D$1,1,1))*(8*VLOOKUP($A195,NumberofDaysTable,2))),0))</f>
        <v> </v>
      </c>
      <c r="Y195" s="282" t="str">
        <f aca="false">IF($A195="N/A"," ",IF(R195&lt;&gt;0,IF('Pricing Inputs'!$AN$3=2,8*VLOOKUP($A195,NumberofDaysTable,3),(xSPRDOPT(K195,$E195,$BU195,0,$BP195,$BS195,$BT195,$A195-Inputs!$D$1,1,1))*(8*VLOOKUP($A195,NumberofDaysTable,3))),0))</f>
        <v> </v>
      </c>
      <c r="Z195" s="282" t="str">
        <f aca="false">IF($A195="N/A"," ",IF(S195&lt;&gt;0,IF('Pricing Inputs'!$AN$3=2,8*VLOOKUP($A195,NumberofDaysTable,3),(xSPRDOPT(L195,$E195,$BU195,0,$BP195,$BS195,$BT195,$A195-Inputs!$D$1,1,1))*(8*VLOOKUP($A195,NumberofDaysTable,3))),0))</f>
        <v> </v>
      </c>
      <c r="AA195" s="282" t="str">
        <f aca="false">IF($A195="N/A"," ",IF(T195&lt;&gt;0,IF('Pricing Inputs'!$AN$3=2,8*VLOOKUP($A195,NumberofDaysTable,4),(xSPRDOPT(M195,$E195,$BU195,0,$BP195,$BS195,$BT195,$A195-Inputs!$D$1,1,1))*(8*VLOOKUP($A195,NumberofDaysTable,4))),0))</f>
        <v> </v>
      </c>
      <c r="AB195" s="282" t="str">
        <f aca="false">IF($A195="N/A"," ",IF(U195&lt;&gt;0,IF('Pricing Inputs'!$AN$3=2,8*VLOOKUP($A195,NumberofDaysTable,4),(xSPRDOPT(N195,$E195,$BU195,0,$BP195,$BS195,$BT195,$A195-Inputs!$D$1,1,1))*(8*VLOOKUP($A195,NumberofDaysTable,4))),0))</f>
        <v> </v>
      </c>
      <c r="AC195" s="282" t="str">
        <f aca="false">IF($A195="N/A"," ",(IF(V195&lt;&gt;0,(8*VLOOKUP($A195,NumberofDaysTable,6)),0)))</f>
        <v> </v>
      </c>
      <c r="AD195" s="305" t="str">
        <f aca="false">IF($A195="N/A"," ",RANK(P195,$P$184:$V$195))</f>
        <v> </v>
      </c>
      <c r="AE195" s="306" t="str">
        <f aca="false">IF($A195="N/A"," ",RANK(Q195,$P$184:$V$195))</f>
        <v> </v>
      </c>
      <c r="AF195" s="306" t="str">
        <f aca="false">IF($A195="N/A"," ",RANK(R195,$P$184:$V$195))</f>
        <v> </v>
      </c>
      <c r="AG195" s="306" t="str">
        <f aca="false">IF($A195="N/A"," ",RANK(S195,$P$184:$V$195))</f>
        <v> </v>
      </c>
      <c r="AH195" s="306" t="str">
        <f aca="false">IF($A195="N/A"," ",RANK(T195,$P$184:$V$195))</f>
        <v> </v>
      </c>
      <c r="AI195" s="306" t="str">
        <f aca="false">IF($A195="N/A"," ",RANK(U195,$P$184:$V$195))</f>
        <v> </v>
      </c>
      <c r="AJ195" s="307" t="str">
        <f aca="false">IF($A195="N/A"," ",RANK(V195,$P$184:$V$195))</f>
        <v> </v>
      </c>
      <c r="AK195" s="308" t="str">
        <f aca="false">IF($A195="N/A"," ",IF(AD195&lt;=$AJ$2,W195,0))</f>
        <v> </v>
      </c>
      <c r="AL195" s="309" t="str">
        <f aca="false">IF($A195="N/A"," ",IF(AE195&lt;=$AJ$2,X195,0))</f>
        <v> </v>
      </c>
      <c r="AM195" s="309" t="str">
        <f aca="false">IF($A195="N/A"," ",IF(AF195&lt;=$AJ$2,Y195,0))</f>
        <v> </v>
      </c>
      <c r="AN195" s="309" t="str">
        <f aca="false">IF($A195="N/A"," ",IF(AG195&lt;=$AJ$2,Z195,0))</f>
        <v> </v>
      </c>
      <c r="AO195" s="309" t="str">
        <f aca="false">IF($A195="N/A"," ",IF(AH195&lt;=$AJ$2,AA195,0))</f>
        <v> </v>
      </c>
      <c r="AP195" s="309" t="str">
        <f aca="false">IF($A195="N/A"," ",IF(AI195&lt;=$AJ$2,AB195,0))</f>
        <v> </v>
      </c>
      <c r="AQ195" s="309" t="str">
        <f aca="false">IF($A195="N/A"," ",IF(AJ195&lt;=$AJ$2,AC195,0))</f>
        <v> </v>
      </c>
      <c r="AR195" s="307" t="n">
        <f aca="false">IF(($AP$2-AR194)&gt;=0,$AP$2-AR194,0)</f>
        <v>1400</v>
      </c>
      <c r="AS195" s="310" t="str">
        <f aca="false">IF($A195="N/A"," ",IF(AND(AD195=$AJ$2+1,AK195=0),MIN($AR$195,W195),0))</f>
        <v> </v>
      </c>
      <c r="AT195" s="311" t="str">
        <f aca="false">IF($A195="N/A"," ",IF(AND(AE195=$AJ$2+1,AL195=0),MIN($AR$195,X195),0))</f>
        <v> </v>
      </c>
      <c r="AU195" s="311" t="str">
        <f aca="false">IF($A195="N/A"," ",IF(AND(AF195=$AJ$2+1,AM195=0),MIN($AR$195,Y195),0))</f>
        <v> </v>
      </c>
      <c r="AV195" s="311" t="str">
        <f aca="false">IF($A195="N/A"," ",IF(AND(AG195=$AJ$2+1,AN195=0),MIN($AR$195,Z195),0))</f>
        <v> </v>
      </c>
      <c r="AW195" s="311" t="str">
        <f aca="false">IF($A195="N/A"," ",IF(AND(AH195=$AJ$2+1,AO195=0),MIN($AR$195,AA195),0))</f>
        <v> </v>
      </c>
      <c r="AX195" s="311" t="str">
        <f aca="false">IF($A195="N/A"," ",IF(AND(AI195=$AJ$2+1,AP195=0),MIN($AR$195,AB195),0))</f>
        <v> </v>
      </c>
      <c r="AY195" s="311" t="str">
        <f aca="false">IF($A195="N/A"," ",IF(AND(AJ195=$AJ$2+1,AQ195=0),MIN($AR$195,AC195),0))</f>
        <v> </v>
      </c>
      <c r="AZ195" s="312" t="n">
        <f aca="false">AR194+AZ194</f>
        <v>0</v>
      </c>
      <c r="BA195" s="291" t="str">
        <f aca="false">IF($A195="N/A"," ",(IF(MONTH(A195)&gt;=4,IF(MONTH(A195)&lt;=10,Inputs!$F$13,Inputs!$F$14),Inputs!$F$14))*$BW195)</f>
        <v> </v>
      </c>
      <c r="BB195" s="292" t="str">
        <f aca="false">IF($A195="N/A"," ",(IF(AK195&gt;0,($BA195*(8*(VLOOKUP($A195,NumberofDaysTable,2)))*P195),0)+IF(AS195&gt;0,($BA195*((AS195))*P195),0)))</f>
        <v> </v>
      </c>
      <c r="BC195" s="292" t="str">
        <f aca="false">IF($A195="N/A"," ",(IF(AL195&gt;0,($BA195*(8*(VLOOKUP($A195,NumberofDaysTable,2)))*Q195),0)+IF(AT195&gt;0,($BA195*((AT195))*Q195),0)))</f>
        <v> </v>
      </c>
      <c r="BD195" s="292" t="str">
        <f aca="false">IF($A195="N/A"," ",(IF(AM195&gt;0,($BA195*(8*(VLOOKUP($A195,NumberofDaysTable,3)))*R195),0)+IF(AU195&gt;0,($BA195*((AU195))*R195),0)))</f>
        <v> </v>
      </c>
      <c r="BE195" s="292" t="str">
        <f aca="false">IF($A195="N/A"," ",(IF(AN195&gt;0,($BA195*(8*(VLOOKUP($A195,NumberofDaysTable,3)))*S195),0)+IF(AV195&gt;0,($BA195*((AV195))*S195),0)))</f>
        <v> </v>
      </c>
      <c r="BF195" s="292" t="str">
        <f aca="false">IF($A195="N/A"," ",(IF(AO195&gt;0,($BA195*(8*(VLOOKUP($A195,NumberofDaysTable,4)+VLOOKUP($A195,NumberofDaysTable,5)))*T195),0)+IF(AW195&gt;0,($BA195*((AW195))*T195),0)))</f>
        <v> </v>
      </c>
      <c r="BG195" s="292" t="str">
        <f aca="false">IF($A195="N/A"," ",(IF(AP195&gt;0,($BA195*(8*(VLOOKUP($A195,NumberofDaysTable,4)+VLOOKUP($A195,NumberofDaysTable,5)))*U195),0)+IF(AX195&gt;0,($BA195*((AX195))*U195),0)))</f>
        <v> </v>
      </c>
      <c r="BH195" s="292" t="str">
        <f aca="false">IF($A195="N/A"," ",($BA195*AQ195*V195))</f>
        <v> </v>
      </c>
      <c r="BI195" s="292" t="str">
        <f aca="false">IF($A195="N/A"," ",SUM(BB195:BH195))</f>
        <v> </v>
      </c>
      <c r="BJ195" s="293" t="str">
        <f aca="false">IF($A195="N/A"," ",(H195*(SUM(AK195:AQ195)+SUM(AS195:AY195))*BA195))</f>
        <v> </v>
      </c>
      <c r="BK195" s="293" t="str">
        <f aca="false">IF($A195="N/A"," ",((C195*D195)*(SUM($AK195:$AQ195)+SUM($AS195:$AY195))*$BA195))</f>
        <v> </v>
      </c>
      <c r="BL195" s="293" t="str">
        <f aca="false">IF($A195="N/A"," ",(F195*(SUM($AK195:$AQ195)+SUM($AS195:$AY195))*$BA195))</f>
        <v> </v>
      </c>
      <c r="BM195" s="293" t="str">
        <f aca="false">IF($A195="N/A"," ",(G195*(SUM($AK195:$AQ195)+SUM($AS195:$AY195))*$BA195))</f>
        <v> </v>
      </c>
      <c r="BN195" s="294" t="str">
        <f aca="false">IF(A195="N/A"," ",(VLOOKUP(A195,PowerVolTable,(IF('Pricing Inputs'!$AT$3=2,7,IF('Pricing Inputs'!$AT$3=1,6,8))),FALSE())))</f>
        <v> </v>
      </c>
      <c r="BO195" s="294" t="str">
        <f aca="false">IF(A195="N/A"," ",(VLOOKUP(A195,IntraPowerVol,(IF('Pricing Inputs'!$AT$3=2,3,IF('Pricing Inputs'!$AT$3=1,2,4))),FALSE())*VLOOKUP(MONTH($A195),Inputs!$A$28:$B$39,2)))</f>
        <v> </v>
      </c>
      <c r="BP195" s="295" t="str">
        <f aca="false">IF($A195="N/A"," ",(IF(DateToday&gt;$A195,$BO195,((($BN195^2)*((($A195-1)-DateToday)/((EOMONTH($A195,0)+1)-DateToday-15)))+((($BO195)^2)*((15)/((EOMONTH($A195,0)+1)-DateToday-15))))^0.5)))</f>
        <v> </v>
      </c>
      <c r="BQ195" s="294" t="str">
        <f aca="false">IF($A195="N/A"," ",(VLOOKUP($A195,GasVolTable,(IF('Pricing Inputs'!$AT$3=2,6,IF('Pricing Inputs'!$AT$3=1,7,5))),FALSE())))</f>
        <v> </v>
      </c>
      <c r="BR195" s="294" t="str">
        <f aca="false">IF($A195="N/A"," ",(VLOOKUP($A195,OmicronVol,(IF('Pricing Inputs'!$AT$3=2,3,IF('Pricing Inputs'!$AT$3=1,4,2))),FALSE())))</f>
        <v> </v>
      </c>
      <c r="BS195" s="295" t="str">
        <f aca="false">IF($A195="N/A"," ",IF('Pricing Inputs'!$AN$3=1,(IF(DateToday&gt;$A195,$BR195,((($BQ195^2)*((($A195-1)-DateToday)/((EOMONTH($A195,0)+1)-DateToday-15)))+((($BR195)^2)*((15)/((EOMONTH($A195,0)+1)-DateToday-15))))^0.5)),0.0001))</f>
        <v> </v>
      </c>
      <c r="BT195" s="294" t="str">
        <f aca="false">IF($A195="N/A"," ",IF('Pricing Inputs'!$AN$3=1,(VLOOKUP($A195,CorrelationTable,2,FALSE())),0))</f>
        <v> </v>
      </c>
      <c r="BU195" s="296" t="str">
        <f aca="false">IF($A195="N/A"," ",F195+G195+(D195*(VLOOKUP($A195,'Gas Curves'!$B$17:$P$310,14,FALSE()))))</f>
        <v> </v>
      </c>
      <c r="BV195" s="294" t="str">
        <f aca="false">IF($A195="N/A"," ",IF('Pricing Inputs'!$AW$3=1,0,(VLOOKUP($A195,InterestRatesTable,2))))</f>
        <v> </v>
      </c>
      <c r="BW195" s="297" t="str">
        <f aca="false">IF($A195="N/A"," ",(1+BV195/2)^(-2*((EOMONTH(A195,0)+20)-DateToday)/365.25))</f>
        <v> </v>
      </c>
    </row>
    <row r="196" customFormat="false" ht="12.75" hidden="false" customHeight="false" outlineLevel="0" collapsed="false">
      <c r="A196" s="272" t="str">
        <f aca="false">IF(A195="N/A","N/A",IF(EDATE(A195,1)&gt;Inputs!$K$3,"N/A",EDATE(A195,1)))</f>
        <v>N/A</v>
      </c>
      <c r="B196" s="273" t="str">
        <f aca="false">IF(A196="N/A"," ",YEAR(A196))</f>
        <v> </v>
      </c>
      <c r="C196" s="274" t="str">
        <f aca="false">IF(A196="N/A"," ",VLOOKUP(A196,ScaledPrice,10))</f>
        <v> </v>
      </c>
      <c r="D196" s="275" t="str">
        <f aca="false">IF(A196="N/A"," ",(VLOOKUP(MONTH($A196),Inputs!$A$14:$B$25,2))/1000)</f>
        <v> </v>
      </c>
      <c r="E196" s="276" t="str">
        <f aca="false">IF($A196="N/A"," ",C196*D196)</f>
        <v> </v>
      </c>
      <c r="F196" s="277" t="str">
        <f aca="false">IF(A196="N/A"," ",Inputs!$F$6)</f>
        <v> </v>
      </c>
      <c r="G196" s="277" t="str">
        <f aca="false">IF(A196="N/A"," ",Inputs!$F$9/IF(AND('Pricing Inputs'!$AQ$3&gt;=4,'Pricing Inputs'!$AQ$3&lt;=6),16,IF(AND('Pricing Inputs'!$AQ$3&gt;=7,'Pricing Inputs'!$AQ$3&lt;=9),8,24))/(BA196/BW196))</f>
        <v> </v>
      </c>
      <c r="H196" s="278" t="str">
        <f aca="false">IF(A196="N/A"," ",(C196*D196)+F196+G196)</f>
        <v> </v>
      </c>
      <c r="I196" s="279" t="str">
        <f aca="false">VLOOKUP(A196,ScaledPrice,(IF(AND('Pricing Inputs'!$AQ$3&gt;=1,'Pricing Inputs'!$AQ$3&lt;=6),2,4)))</f>
        <v> </v>
      </c>
      <c r="J196" s="279" t="str">
        <f aca="false">IF(A196="N/A"," ",IF(AND('Pricing Inputs'!$AQ$3&gt;=1,'Pricing Inputs'!$AQ$3&lt;=6),I196,(VLOOKUP(A196,ScaledPrice,2))*(2-(VLOOKUP(A196,ScaledPrice,3)))))</f>
        <v> </v>
      </c>
      <c r="K196" s="279" t="str">
        <f aca="false">IF(A196="N/A"," ",IF(OR('Pricing Inputs'!$AQ$3=2,'Pricing Inputs'!$AQ$3=3,'Pricing Inputs'!$AQ$3=5,'Pricing Inputs'!$AQ$3=6,'Pricing Inputs'!$AQ$3=8,'Pricing Inputs'!$AQ$3=9),VLOOKUP(A196,ScaledPrice,IF(AND('Pricing Inputs'!$AQ$3&gt;=2,'Pricing Inputs'!$AQ$3&lt;=6),5,6)),0))</f>
        <v> </v>
      </c>
      <c r="L196" s="279" t="str">
        <f aca="false">IF(A196="N/A"," ",IF(OR('Pricing Inputs'!$AQ$3=2,'Pricing Inputs'!$AQ$3=3,'Pricing Inputs'!$AQ$3=5,'Pricing Inputs'!$AQ$3=6,'Pricing Inputs'!$AQ$3=8,'Pricing Inputs'!$AQ$3=9),IF(AND('Pricing Inputs'!$AQ$3&gt;=2,'Pricing Inputs'!$AQ$3&lt;=6),K196,(VLOOKUP(A196,ScaledPrice,5))*(2-(VLOOKUP(A196,ScaledPrice,3)))),0))</f>
        <v> </v>
      </c>
      <c r="M196" s="279" t="str">
        <f aca="false">IF(A196="N/A"," ",IF(OR('Pricing Inputs'!$AQ$3=3,'Pricing Inputs'!$AQ$3=6,'Pricing Inputs'!$AQ$3=9),(VLOOKUP(A196,ScaledPrice,IF(AND('Pricing Inputs'!$AQ$3&gt;=3,'Pricing Inputs'!$AQ$3&lt;=6),7,8))),0))</f>
        <v> </v>
      </c>
      <c r="N196" s="279" t="str">
        <f aca="false">IF(A196="N/A"," ",IF(OR('Pricing Inputs'!$AQ$3=3,'Pricing Inputs'!$AQ$3=6,'Pricing Inputs'!$AQ$3=9),IF(AND('Pricing Inputs'!$AQ$3&gt;=3,'Pricing Inputs'!$AQ$3&lt;=6),M196,(VLOOKUP(A196,ScaledPrice,7))*(2-(VLOOKUP(A196,ScaledPrice,3)))),0))</f>
        <v> </v>
      </c>
      <c r="O196" s="279" t="str">
        <f aca="false">IF(A196="N/A"," ",IF(AND('Pricing Inputs'!$AQ$3&gt;=1,'Pricing Inputs'!$AQ$3&lt;=3),VLOOKUP(A196,ScaledPrice,9),0))</f>
        <v> </v>
      </c>
      <c r="P196" s="280" t="str">
        <f aca="false">IF($A196="N/A"," ",IF('Pricing Inputs'!$AN$8=2,(I196-H196),IF('Pricing Inputs'!$AN$3=2,IF((I196-$H196)&gt;0,I196-$H196,0),(xSPRDOPT(I196,$E196,$BU196,0,$BP196,$BS196,$BT196,($A196-Inputs!$D$1)+15,1,0)))))</f>
        <v> </v>
      </c>
      <c r="Q196" s="280" t="str">
        <f aca="false">IF($A196="N/A"," ",IF('Pricing Inputs'!$AN$8=2,(J196-$H196),IF('Pricing Inputs'!$AN$3=2,IF((J196-$H196)&gt;0,J196-$H196,0),(xSPRDOPT(J196,$E196,$BU196,0,$BP196,$BS196,$BT196,($A196-Inputs!$D$1)+15,1,0)))))</f>
        <v> </v>
      </c>
      <c r="R196" s="280" t="str">
        <f aca="false">IF($A196="N/A"," ",IF('Pricing Inputs'!$AN$8=2,(K196-$H196),IF('Pricing Inputs'!$AN$3=2,IF((K196-$H196)&gt;0,K196-$H196,0),(xSPRDOPT(K196,$E196,$BU196,0,$BP196,$BS196,$BT196,($A196-Inputs!$D$1)+15,1,0)))))</f>
        <v> </v>
      </c>
      <c r="S196" s="280" t="str">
        <f aca="false">IF($A196="N/A"," ",IF('Pricing Inputs'!$AN$8=2,(L196-$H196),IF('Pricing Inputs'!$AN$3=2,IF((L196-$H196)&gt;0,L196-$H196,0),(xSPRDOPT(L196,$E196,$BU196,0,$BP196,$BS196,$BT196,($A196-Inputs!$D$1)+15,1,0)))))</f>
        <v> </v>
      </c>
      <c r="T196" s="280" t="str">
        <f aca="false">IF($A196="N/A"," ",IF('Pricing Inputs'!$AN$8=2,(M196-$H196),IF('Pricing Inputs'!$AN$3=2,IF((M196-$H196)&gt;0,M196-$H196,0),(xSPRDOPT(M196,$E196,$BU196,0,$BP196,$BS196,$BT196,($A196-Inputs!$D$1)+15,1,0)))))</f>
        <v> </v>
      </c>
      <c r="U196" s="280" t="str">
        <f aca="false">IF($A196="N/A"," ",IF('Pricing Inputs'!$AN$8=2,(N196-$H196),IF('Pricing Inputs'!$AN$3=2,IF((N196-$H196)&gt;0,N196-$H196,0),(xSPRDOPT(N196,$E196,$BU196,0,$BP196,$BS196,$BT196,($A196-Inputs!$D$1)+15,1,0)))))</f>
        <v> </v>
      </c>
      <c r="V196" s="281" t="str">
        <f aca="false">IF($A196="N/A"," ",(IF('Pricing Inputs'!$AN$8=2,(O196-$H196),IF((O196-$H196)&lt;=0,0,(O196-$H196)))))</f>
        <v> </v>
      </c>
      <c r="W196" s="282" t="str">
        <f aca="false">IF($A196="N/A"," ",IF(0&lt;&gt;P196,IF('Pricing Inputs'!$AN$3=2,8*VLOOKUP($A196,NumberofDaysTable,2),(xSPRDOPT(I196,$E196,$BU196,0,$BP196,$BS196,$BT196,$A196-Inputs!$D$1,1,1))*(8*VLOOKUP($A196,NumberofDaysTable,2))),0))</f>
        <v> </v>
      </c>
      <c r="X196" s="282" t="str">
        <f aca="false">IF($A196="N/A"," ",IF(Q196&lt;&gt;0,IF('Pricing Inputs'!$AN$3=2,8*VLOOKUP($A196,NumberofDaysTable,2),(xSPRDOPT(J196,$E196,$BU196,0,$BP196,$BS196,$BT196,$A196-Inputs!$D$1,1,1))*(8*VLOOKUP($A196,NumberofDaysTable,2))),0))</f>
        <v> </v>
      </c>
      <c r="Y196" s="282" t="str">
        <f aca="false">IF($A196="N/A"," ",IF(R196&lt;&gt;0,IF('Pricing Inputs'!$AN$3=2,8*VLOOKUP($A196,NumberofDaysTable,3),(xSPRDOPT(K196,$E196,$BU196,0,$BP196,$BS196,$BT196,$A196-Inputs!$D$1,1,1))*(8*VLOOKUP($A196,NumberofDaysTable,3))),0))</f>
        <v> </v>
      </c>
      <c r="Z196" s="282" t="str">
        <f aca="false">IF($A196="N/A"," ",IF(S196&lt;&gt;0,IF('Pricing Inputs'!$AN$3=2,8*VLOOKUP($A196,NumberofDaysTable,3),(xSPRDOPT(L196,$E196,$BU196,0,$BP196,$BS196,$BT196,$A196-Inputs!$D$1,1,1))*(8*VLOOKUP($A196,NumberofDaysTable,3))),0))</f>
        <v> </v>
      </c>
      <c r="AA196" s="282" t="str">
        <f aca="false">IF($A196="N/A"," ",IF(T196&lt;&gt;0,IF('Pricing Inputs'!$AN$3=2,8*VLOOKUP($A196,NumberofDaysTable,4),(xSPRDOPT(M196,$E196,$BU196,0,$BP196,$BS196,$BT196,$A196-Inputs!$D$1,1,1))*(8*VLOOKUP($A196,NumberofDaysTable,4))),0))</f>
        <v> </v>
      </c>
      <c r="AB196" s="282" t="str">
        <f aca="false">IF($A196="N/A"," ",IF(U196&lt;&gt;0,IF('Pricing Inputs'!$AN$3=2,8*VLOOKUP($A196,NumberofDaysTable,4),(xSPRDOPT(N196,$E196,$BU196,0,$BP196,$BS196,$BT196,$A196-Inputs!$D$1,1,1))*(8*VLOOKUP($A196,NumberofDaysTable,4))),0))</f>
        <v> </v>
      </c>
      <c r="AC196" s="282" t="str">
        <f aca="false">IF($A196="N/A"," ",(IF(V196&lt;&gt;0,(8*VLOOKUP($A196,NumberofDaysTable,6)),0)))</f>
        <v> </v>
      </c>
      <c r="AD196" s="283" t="str">
        <f aca="false">IF($A196="N/A"," ",RANK(P196,$P$196:$V$207))</f>
        <v> </v>
      </c>
      <c r="AE196" s="284" t="str">
        <f aca="false">IF($A196="N/A"," ",RANK(Q196,$P$196:$V$207))</f>
        <v> </v>
      </c>
      <c r="AF196" s="284" t="str">
        <f aca="false">IF($A196="N/A"," ",RANK(R196,$P$196:$V$207))</f>
        <v> </v>
      </c>
      <c r="AG196" s="284" t="str">
        <f aca="false">IF($A196="N/A"," ",RANK(S196,$P$196:$V$207))</f>
        <v> </v>
      </c>
      <c r="AH196" s="284" t="str">
        <f aca="false">IF($A196="N/A"," ",RANK(T196,$P$196:$V$207))</f>
        <v> </v>
      </c>
      <c r="AI196" s="284" t="str">
        <f aca="false">IF($A196="N/A"," ",RANK(U196,$P$196:$V$207))</f>
        <v> </v>
      </c>
      <c r="AJ196" s="285" t="str">
        <f aca="false">IF($A196="N/A"," ",RANK(V196,$P$196:$V$207))</f>
        <v> </v>
      </c>
      <c r="AK196" s="313" t="str">
        <f aca="false">IF($A196="N/A"," ",IF(AD196&lt;=$AJ$2,W196,0))</f>
        <v> </v>
      </c>
      <c r="AL196" s="287" t="str">
        <f aca="false">IF($A196="N/A"," ",IF(AE196&lt;=$AJ$2,X196,0))</f>
        <v> </v>
      </c>
      <c r="AM196" s="287" t="str">
        <f aca="false">IF($A196="N/A"," ",IF(AF196&lt;=$AJ$2,Y196,0))</f>
        <v> </v>
      </c>
      <c r="AN196" s="287" t="str">
        <f aca="false">IF($A196="N/A"," ",IF(AG196&lt;=$AJ$2,Z196,0))</f>
        <v> </v>
      </c>
      <c r="AO196" s="287" t="str">
        <f aca="false">IF($A196="N/A"," ",IF(AH196&lt;=$AJ$2,AA196,0))</f>
        <v> </v>
      </c>
      <c r="AP196" s="287" t="str">
        <f aca="false">IF($A196="N/A"," ",IF(AI196&lt;=$AJ$2,AB196,0))</f>
        <v> </v>
      </c>
      <c r="AQ196" s="287" t="str">
        <f aca="false">IF($A196="N/A"," ",IF(AJ196&lt;=$AJ$2,AC196,0))</f>
        <v> </v>
      </c>
      <c r="AR196" s="285"/>
      <c r="AS196" s="314" t="str">
        <f aca="false">IF($A196="N/A"," ",IF(AND(AD196=$AJ$2+1,AK196=0),MIN($AR$207,W196),0))</f>
        <v> </v>
      </c>
      <c r="AT196" s="289" t="str">
        <f aca="false">IF($A196="N/A"," ",IF(AND(AE196=$AJ$2+1,AL196=0),MIN($AR$207,X196),0))</f>
        <v> </v>
      </c>
      <c r="AU196" s="289" t="str">
        <f aca="false">IF($A196="N/A"," ",IF(AND(AF196=$AJ$2+1,AM196=0),MIN($AR$207,Y196),0))</f>
        <v> </v>
      </c>
      <c r="AV196" s="289" t="str">
        <f aca="false">IF($A196="N/A"," ",IF(AND(AG196=$AJ$2+1,AN196=0),MIN($AR$207,Z196),0))</f>
        <v> </v>
      </c>
      <c r="AW196" s="289" t="str">
        <f aca="false">IF($A196="N/A"," ",IF(AND(AH196=$AJ$2+1,AO196=0),MIN($AR$207,AA196),0))</f>
        <v> </v>
      </c>
      <c r="AX196" s="289" t="str">
        <f aca="false">IF($A196="N/A"," ",IF(AND(AI196=$AJ$2+1,AP196=0),MIN($AR$207,AB196),0))</f>
        <v> </v>
      </c>
      <c r="AY196" s="289" t="str">
        <f aca="false">IF($A196="N/A"," ",IF(AND(AJ196=$AJ$2+1,AQ196=0),MIN($AR$207,AC196),0))</f>
        <v> </v>
      </c>
      <c r="AZ196" s="285"/>
      <c r="BA196" s="291" t="str">
        <f aca="false">IF($A196="N/A"," ",(IF(MONTH(A196)&gt;=4,IF(MONTH(A196)&lt;=10,Inputs!$F$13,Inputs!$F$14),Inputs!$F$14))*$BW196)</f>
        <v> </v>
      </c>
      <c r="BB196" s="292" t="str">
        <f aca="false">IF($A196="N/A"," ",(IF(AK196&gt;0,($BA196*(8*(VLOOKUP($A196,NumberofDaysTable,2)))*P196),0)+IF(AS196&gt;0,($BA196*((AS196))*P196),0)))</f>
        <v> </v>
      </c>
      <c r="BC196" s="292" t="str">
        <f aca="false">IF($A196="N/A"," ",(IF(AL196&gt;0,($BA196*(8*(VLOOKUP($A196,NumberofDaysTable,2)))*Q196),0)+IF(AT196&gt;0,($BA196*((AT196))*Q196),0)))</f>
        <v> </v>
      </c>
      <c r="BD196" s="292" t="str">
        <f aca="false">IF($A196="N/A"," ",(IF(AM196&gt;0,($BA196*(8*(VLOOKUP($A196,NumberofDaysTable,3)))*R196),0)+IF(AU196&gt;0,($BA196*((AU196))*R196),0)))</f>
        <v> </v>
      </c>
      <c r="BE196" s="292" t="str">
        <f aca="false">IF($A196="N/A"," ",(IF(AN196&gt;0,($BA196*(8*(VLOOKUP($A196,NumberofDaysTable,3)))*S196),0)+IF(AV196&gt;0,($BA196*((AV196))*S196),0)))</f>
        <v> </v>
      </c>
      <c r="BF196" s="292" t="str">
        <f aca="false">IF($A196="N/A"," ",(IF(AO196&gt;0,($BA196*(8*(VLOOKUP($A196,NumberofDaysTable,4)+VLOOKUP($A196,NumberofDaysTable,5)))*T196),0)+IF(AW196&gt;0,($BA196*((AW196))*T196),0)))</f>
        <v> </v>
      </c>
      <c r="BG196" s="292" t="str">
        <f aca="false">IF($A196="N/A"," ",(IF(AP196&gt;0,($BA196*(8*(VLOOKUP($A196,NumberofDaysTable,4)+VLOOKUP($A196,NumberofDaysTable,5)))*U196),0)+IF(AX196&gt;0,($BA196*((AX196))*U196),0)))</f>
        <v> </v>
      </c>
      <c r="BH196" s="292" t="str">
        <f aca="false">IF($A196="N/A"," ",($BA196*AQ196*V196))</f>
        <v> </v>
      </c>
      <c r="BI196" s="292" t="str">
        <f aca="false">IF($A196="N/A"," ",SUM(BB196:BH196))</f>
        <v> </v>
      </c>
      <c r="BJ196" s="293" t="str">
        <f aca="false">IF($A196="N/A"," ",(H196*(SUM(AK196:AQ196)+SUM(AS196:AY196))*BA196))</f>
        <v> </v>
      </c>
      <c r="BK196" s="293" t="str">
        <f aca="false">IF($A196="N/A"," ",((C196*D196)*(SUM($AK196:$AQ196)+SUM($AS196:$AY196))*$BA196))</f>
        <v> </v>
      </c>
      <c r="BL196" s="293" t="str">
        <f aca="false">IF($A196="N/A"," ",(F196*(SUM($AK196:$AQ196)+SUM($AS196:$AY196))*$BA196))</f>
        <v> </v>
      </c>
      <c r="BM196" s="293" t="str">
        <f aca="false">IF($A196="N/A"," ",(G196*(SUM($AK196:$AQ196)+SUM($AS196:$AY196))*$BA196))</f>
        <v> </v>
      </c>
      <c r="BN196" s="294" t="str">
        <f aca="false">IF(A196="N/A"," ",(VLOOKUP(A196,PowerVolTable,(IF('Pricing Inputs'!$AT$3=2,7,IF('Pricing Inputs'!$AT$3=1,6,8))),FALSE())))</f>
        <v> </v>
      </c>
      <c r="BO196" s="294" t="str">
        <f aca="false">IF(A196="N/A"," ",(VLOOKUP(A196,IntraPowerVol,(IF('Pricing Inputs'!$AT$3=2,3,IF('Pricing Inputs'!$AT$3=1,2,4))),FALSE())*VLOOKUP(MONTH($A196),Inputs!$A$28:$B$39,2)))</f>
        <v> </v>
      </c>
      <c r="BP196" s="295" t="str">
        <f aca="false">IF($A196="N/A"," ",(IF(DateToday&gt;$A196,$BO196,((($BN196^2)*((($A196-1)-DateToday)/((EOMONTH($A196,0)+1)-DateToday-15)))+((($BO196)^2)*((15)/((EOMONTH($A196,0)+1)-DateToday-15))))^0.5)))</f>
        <v> </v>
      </c>
      <c r="BQ196" s="294" t="str">
        <f aca="false">IF($A196="N/A"," ",(VLOOKUP($A196,GasVolTable,(IF('Pricing Inputs'!$AT$3=2,6,IF('Pricing Inputs'!$AT$3=1,7,5))),FALSE())))</f>
        <v> </v>
      </c>
      <c r="BR196" s="294" t="str">
        <f aca="false">IF($A196="N/A"," ",(VLOOKUP($A196,OmicronVol,(IF('Pricing Inputs'!$AT$3=2,3,IF('Pricing Inputs'!$AT$3=1,4,2))),FALSE())))</f>
        <v> </v>
      </c>
      <c r="BS196" s="295" t="str">
        <f aca="false">IF($A196="N/A"," ",IF('Pricing Inputs'!$AN$3=1,(IF(DateToday&gt;$A196,$BR196,((($BQ196^2)*((($A196-1)-DateToday)/((EOMONTH($A196,0)+1)-DateToday-15)))+((($BR196)^2)*((15)/((EOMONTH($A196,0)+1)-DateToday-15))))^0.5)),0.0001))</f>
        <v> </v>
      </c>
      <c r="BT196" s="294" t="str">
        <f aca="false">IF($A196="N/A"," ",IF('Pricing Inputs'!$AN$3=1,(VLOOKUP($A196,CorrelationTable,2,FALSE())),0))</f>
        <v> </v>
      </c>
      <c r="BU196" s="296" t="str">
        <f aca="false">IF($A196="N/A"," ",F196+G196+(D196*(VLOOKUP($A196,'Gas Curves'!$B$17:$P$310,14,FALSE()))))</f>
        <v> </v>
      </c>
      <c r="BV196" s="294" t="str">
        <f aca="false">IF($A196="N/A"," ",IF('Pricing Inputs'!$AW$3=1,0,(VLOOKUP($A196,InterestRatesTable,2))))</f>
        <v> </v>
      </c>
      <c r="BW196" s="297" t="str">
        <f aca="false">IF($A196="N/A"," ",(1+BV196/2)^(-2*((EOMONTH(A196,0)+20)-DateToday)/365.25))</f>
        <v> </v>
      </c>
    </row>
    <row r="197" customFormat="false" ht="12.75" hidden="false" customHeight="false" outlineLevel="0" collapsed="false">
      <c r="A197" s="272" t="str">
        <f aca="false">IF(A196="N/A","N/A",IF(EDATE(A196,1)&gt;Inputs!$K$3,"N/A",EDATE(A196,1)))</f>
        <v>N/A</v>
      </c>
      <c r="B197" s="273" t="str">
        <f aca="false">IF(A197="N/A"," ",YEAR(A197))</f>
        <v> </v>
      </c>
      <c r="C197" s="274" t="str">
        <f aca="false">IF(A197="N/A"," ",VLOOKUP(A197,ScaledPrice,10))</f>
        <v> </v>
      </c>
      <c r="D197" s="275" t="str">
        <f aca="false">IF(A197="N/A"," ",(VLOOKUP(MONTH($A197),Inputs!$A$14:$B$25,2))/1000)</f>
        <v> </v>
      </c>
      <c r="E197" s="276" t="str">
        <f aca="false">IF($A197="N/A"," ",C197*D197)</f>
        <v> </v>
      </c>
      <c r="F197" s="277" t="str">
        <f aca="false">IF(A197="N/A"," ",Inputs!$F$6)</f>
        <v> </v>
      </c>
      <c r="G197" s="277" t="str">
        <f aca="false">IF(A197="N/A"," ",Inputs!$F$9/IF(AND('Pricing Inputs'!$AQ$3&gt;=4,'Pricing Inputs'!$AQ$3&lt;=6),16,IF(AND('Pricing Inputs'!$AQ$3&gt;=7,'Pricing Inputs'!$AQ$3&lt;=9),8,24))/(BA197/BW197))</f>
        <v> </v>
      </c>
      <c r="H197" s="278" t="str">
        <f aca="false">IF(A197="N/A"," ",(C197*D197)+F197+G197)</f>
        <v> </v>
      </c>
      <c r="I197" s="279" t="str">
        <f aca="false">VLOOKUP(A197,ScaledPrice,(IF(AND('Pricing Inputs'!$AQ$3&gt;=1,'Pricing Inputs'!$AQ$3&lt;=6),2,4)))</f>
        <v> </v>
      </c>
      <c r="J197" s="279" t="str">
        <f aca="false">IF(A197="N/A"," ",IF(AND('Pricing Inputs'!$AQ$3&gt;=1,'Pricing Inputs'!$AQ$3&lt;=6),I197,(VLOOKUP(A197,ScaledPrice,2))*(2-(VLOOKUP(A197,ScaledPrice,3)))))</f>
        <v> </v>
      </c>
      <c r="K197" s="279" t="str">
        <f aca="false">IF(A197="N/A"," ",IF(OR('Pricing Inputs'!$AQ$3=2,'Pricing Inputs'!$AQ$3=3,'Pricing Inputs'!$AQ$3=5,'Pricing Inputs'!$AQ$3=6,'Pricing Inputs'!$AQ$3=8,'Pricing Inputs'!$AQ$3=9),VLOOKUP(A197,ScaledPrice,IF(AND('Pricing Inputs'!$AQ$3&gt;=2,'Pricing Inputs'!$AQ$3&lt;=6),5,6)),0))</f>
        <v> </v>
      </c>
      <c r="L197" s="279" t="str">
        <f aca="false">IF(A197="N/A"," ",IF(OR('Pricing Inputs'!$AQ$3=2,'Pricing Inputs'!$AQ$3=3,'Pricing Inputs'!$AQ$3=5,'Pricing Inputs'!$AQ$3=6,'Pricing Inputs'!$AQ$3=8,'Pricing Inputs'!$AQ$3=9),IF(AND('Pricing Inputs'!$AQ$3&gt;=2,'Pricing Inputs'!$AQ$3&lt;=6),K197,(VLOOKUP(A197,ScaledPrice,5))*(2-(VLOOKUP(A197,ScaledPrice,3)))),0))</f>
        <v> </v>
      </c>
      <c r="M197" s="279" t="str">
        <f aca="false">IF(A197="N/A"," ",IF(OR('Pricing Inputs'!$AQ$3=3,'Pricing Inputs'!$AQ$3=6,'Pricing Inputs'!$AQ$3=9),(VLOOKUP(A197,ScaledPrice,IF(AND('Pricing Inputs'!$AQ$3&gt;=3,'Pricing Inputs'!$AQ$3&lt;=6),7,8))),0))</f>
        <v> </v>
      </c>
      <c r="N197" s="279" t="str">
        <f aca="false">IF(A197="N/A"," ",IF(OR('Pricing Inputs'!$AQ$3=3,'Pricing Inputs'!$AQ$3=6,'Pricing Inputs'!$AQ$3=9),IF(AND('Pricing Inputs'!$AQ$3&gt;=3,'Pricing Inputs'!$AQ$3&lt;=6),M197,(VLOOKUP(A197,ScaledPrice,7))*(2-(VLOOKUP(A197,ScaledPrice,3)))),0))</f>
        <v> </v>
      </c>
      <c r="O197" s="279" t="str">
        <f aca="false">IF(A197="N/A"," ",IF(AND('Pricing Inputs'!$AQ$3&gt;=1,'Pricing Inputs'!$AQ$3&lt;=3),VLOOKUP(A197,ScaledPrice,9),0))</f>
        <v> </v>
      </c>
      <c r="P197" s="280" t="str">
        <f aca="false">IF($A197="N/A"," ",IF('Pricing Inputs'!$AN$8=2,(I197-H197),IF('Pricing Inputs'!$AN$3=2,IF((I197-$H197)&gt;0,I197-$H197,0),(xSPRDOPT(I197,$E197,$BU197,0,$BP197,$BS197,$BT197,($A197-Inputs!$D$1)+15,1,0)))))</f>
        <v> </v>
      </c>
      <c r="Q197" s="280" t="str">
        <f aca="false">IF($A197="N/A"," ",IF('Pricing Inputs'!$AN$8=2,(J197-$H197),IF('Pricing Inputs'!$AN$3=2,IF((J197-$H197)&gt;0,J197-$H197,0),(xSPRDOPT(J197,$E197,$BU197,0,$BP197,$BS197,$BT197,($A197-Inputs!$D$1)+15,1,0)))))</f>
        <v> </v>
      </c>
      <c r="R197" s="280" t="str">
        <f aca="false">IF($A197="N/A"," ",IF('Pricing Inputs'!$AN$8=2,(K197-$H197),IF('Pricing Inputs'!$AN$3=2,IF((K197-$H197)&gt;0,K197-$H197,0),(xSPRDOPT(K197,$E197,$BU197,0,$BP197,$BS197,$BT197,($A197-Inputs!$D$1)+15,1,0)))))</f>
        <v> </v>
      </c>
      <c r="S197" s="280" t="str">
        <f aca="false">IF($A197="N/A"," ",IF('Pricing Inputs'!$AN$8=2,(L197-$H197),IF('Pricing Inputs'!$AN$3=2,IF((L197-$H197)&gt;0,L197-$H197,0),(xSPRDOPT(L197,$E197,$BU197,0,$BP197,$BS197,$BT197,($A197-Inputs!$D$1)+15,1,0)))))</f>
        <v> </v>
      </c>
      <c r="T197" s="280" t="str">
        <f aca="false">IF($A197="N/A"," ",IF('Pricing Inputs'!$AN$8=2,(M197-$H197),IF('Pricing Inputs'!$AN$3=2,IF((M197-$H197)&gt;0,M197-$H197,0),(xSPRDOPT(M197,$E197,$BU197,0,$BP197,$BS197,$BT197,($A197-Inputs!$D$1)+15,1,0)))))</f>
        <v> </v>
      </c>
      <c r="U197" s="280" t="str">
        <f aca="false">IF($A197="N/A"," ",IF('Pricing Inputs'!$AN$8=2,(N197-$H197),IF('Pricing Inputs'!$AN$3=2,IF((N197-$H197)&gt;0,N197-$H197,0),(xSPRDOPT(N197,$E197,$BU197,0,$BP197,$BS197,$BT197,($A197-Inputs!$D$1)+15,1,0)))))</f>
        <v> </v>
      </c>
      <c r="V197" s="281" t="str">
        <f aca="false">IF($A197="N/A"," ",(IF('Pricing Inputs'!$AN$8=2,(O197-$H197),IF((O197-$H197)&lt;=0,0,(O197-$H197)))))</f>
        <v> </v>
      </c>
      <c r="W197" s="282" t="str">
        <f aca="false">IF($A197="N/A"," ",IF(0&lt;&gt;P197,IF('Pricing Inputs'!$AN$3=2,8*VLOOKUP($A197,NumberofDaysTable,2),(xSPRDOPT(I197,$E197,$BU197,0,$BP197,$BS197,$BT197,$A197-Inputs!$D$1,1,1))*(8*VLOOKUP($A197,NumberofDaysTable,2))),0))</f>
        <v> </v>
      </c>
      <c r="X197" s="282" t="str">
        <f aca="false">IF($A197="N/A"," ",IF(Q197&lt;&gt;0,IF('Pricing Inputs'!$AN$3=2,8*VLOOKUP($A197,NumberofDaysTable,2),(xSPRDOPT(J197,$E197,$BU197,0,$BP197,$BS197,$BT197,$A197-Inputs!$D$1,1,1))*(8*VLOOKUP($A197,NumberofDaysTable,2))),0))</f>
        <v> </v>
      </c>
      <c r="Y197" s="282" t="str">
        <f aca="false">IF($A197="N/A"," ",IF(R197&lt;&gt;0,IF('Pricing Inputs'!$AN$3=2,8*VLOOKUP($A197,NumberofDaysTable,3),(xSPRDOPT(K197,$E197,$BU197,0,$BP197,$BS197,$BT197,$A197-Inputs!$D$1,1,1))*(8*VLOOKUP($A197,NumberofDaysTable,3))),0))</f>
        <v> </v>
      </c>
      <c r="Z197" s="282" t="str">
        <f aca="false">IF($A197="N/A"," ",IF(S197&lt;&gt;0,IF('Pricing Inputs'!$AN$3=2,8*VLOOKUP($A197,NumberofDaysTable,3),(xSPRDOPT(L197,$E197,$BU197,0,$BP197,$BS197,$BT197,$A197-Inputs!$D$1,1,1))*(8*VLOOKUP($A197,NumberofDaysTable,3))),0))</f>
        <v> </v>
      </c>
      <c r="AA197" s="282" t="str">
        <f aca="false">IF($A197="N/A"," ",IF(T197&lt;&gt;0,IF('Pricing Inputs'!$AN$3=2,8*VLOOKUP($A197,NumberofDaysTable,4),(xSPRDOPT(M197,$E197,$BU197,0,$BP197,$BS197,$BT197,$A197-Inputs!$D$1,1,1))*(8*VLOOKUP($A197,NumberofDaysTable,4))),0))</f>
        <v> </v>
      </c>
      <c r="AB197" s="282" t="str">
        <f aca="false">IF($A197="N/A"," ",IF(U197&lt;&gt;0,IF('Pricing Inputs'!$AN$3=2,8*VLOOKUP($A197,NumberofDaysTable,4),(xSPRDOPT(N197,$E197,$BU197,0,$BP197,$BS197,$BT197,$A197-Inputs!$D$1,1,1))*(8*VLOOKUP($A197,NumberofDaysTable,4))),0))</f>
        <v> </v>
      </c>
      <c r="AC197" s="282" t="str">
        <f aca="false">IF($A197="N/A"," ",(IF(V197&lt;&gt;0,(8*VLOOKUP($A197,NumberofDaysTable,6)),0)))</f>
        <v> </v>
      </c>
      <c r="AD197" s="298" t="str">
        <f aca="false">IF($A197="N/A"," ",RANK(P197,$P$196:$V$207))</f>
        <v> </v>
      </c>
      <c r="AE197" s="299" t="str">
        <f aca="false">IF($A197="N/A"," ",RANK(Q197,$P$196:$V$207))</f>
        <v> </v>
      </c>
      <c r="AF197" s="299" t="str">
        <f aca="false">IF($A197="N/A"," ",RANK(R197,$P$196:$V$207))</f>
        <v> </v>
      </c>
      <c r="AG197" s="299" t="str">
        <f aca="false">IF($A197="N/A"," ",RANK(S197,$P$196:$V$207))</f>
        <v> </v>
      </c>
      <c r="AH197" s="299" t="str">
        <f aca="false">IF($A197="N/A"," ",RANK(T197,$P$196:$V$207))</f>
        <v> </v>
      </c>
      <c r="AI197" s="299" t="str">
        <f aca="false">IF($A197="N/A"," ",RANK(U197,$P$196:$V$207))</f>
        <v> </v>
      </c>
      <c r="AJ197" s="300" t="str">
        <f aca="false">IF($A197="N/A"," ",RANK(V197,$P$196:$V$207))</f>
        <v> </v>
      </c>
      <c r="AK197" s="286" t="str">
        <f aca="false">IF($A197="N/A"," ",IF(AD197&lt;=$AJ$2,W197,0))</f>
        <v> </v>
      </c>
      <c r="AL197" s="301" t="str">
        <f aca="false">IF($A197="N/A"," ",IF(AE197&lt;=$AJ$2,X197,0))</f>
        <v> </v>
      </c>
      <c r="AM197" s="301" t="str">
        <f aca="false">IF($A197="N/A"," ",IF(AF197&lt;=$AJ$2,Y197,0))</f>
        <v> </v>
      </c>
      <c r="AN197" s="301" t="str">
        <f aca="false">IF($A197="N/A"," ",IF(AG197&lt;=$AJ$2,Z197,0))</f>
        <v> </v>
      </c>
      <c r="AO197" s="301" t="str">
        <f aca="false">IF($A197="N/A"," ",IF(AH197&lt;=$AJ$2,AA197,0))</f>
        <v> </v>
      </c>
      <c r="AP197" s="301" t="str">
        <f aca="false">IF($A197="N/A"," ",IF(AI197&lt;=$AJ$2,AB197,0))</f>
        <v> </v>
      </c>
      <c r="AQ197" s="301" t="str">
        <f aca="false">IF($A197="N/A"," ",IF(AJ197&lt;=$AJ$2,AC197,0))</f>
        <v> </v>
      </c>
      <c r="AR197" s="300"/>
      <c r="AS197" s="288" t="str">
        <f aca="false">IF($A197="N/A"," ",IF(AND(AD197=$AJ$2+1,AK197=0),MIN($AR$207,W197),0))</f>
        <v> </v>
      </c>
      <c r="AT197" s="302" t="str">
        <f aca="false">IF($A197="N/A"," ",IF(AND(AE197=$AJ$2+1,AL197=0),MIN($AR$207,X197),0))</f>
        <v> </v>
      </c>
      <c r="AU197" s="302" t="str">
        <f aca="false">IF($A197="N/A"," ",IF(AND(AF197=$AJ$2+1,AM197=0),MIN($AR$207,Y197),0))</f>
        <v> </v>
      </c>
      <c r="AV197" s="302" t="str">
        <f aca="false">IF($A197="N/A"," ",IF(AND(AG197=$AJ$2+1,AN197=0),MIN($AR$207,Z197),0))</f>
        <v> </v>
      </c>
      <c r="AW197" s="302" t="str">
        <f aca="false">IF($A197="N/A"," ",IF(AND(AH197=$AJ$2+1,AO197=0),MIN($AR$207,AA197),0))</f>
        <v> </v>
      </c>
      <c r="AX197" s="302" t="str">
        <f aca="false">IF($A197="N/A"," ",IF(AND(AI197=$AJ$2+1,AP197=0),MIN($AR$207,AB197),0))</f>
        <v> </v>
      </c>
      <c r="AY197" s="302" t="str">
        <f aca="false">IF($A197="N/A"," ",IF(AND(AJ197=$AJ$2+1,AQ197=0),MIN($AR$207,AC197),0))</f>
        <v> </v>
      </c>
      <c r="AZ197" s="300"/>
      <c r="BA197" s="291" t="str">
        <f aca="false">IF($A197="N/A"," ",(IF(MONTH(A197)&gt;=4,IF(MONTH(A197)&lt;=10,Inputs!$F$13,Inputs!$F$14),Inputs!$F$14))*$BW197)</f>
        <v> </v>
      </c>
      <c r="BB197" s="292" t="str">
        <f aca="false">IF($A197="N/A"," ",(IF(AK197&gt;0,($BA197*(8*(VLOOKUP($A197,NumberofDaysTable,2)))*P197),0)+IF(AS197&gt;0,($BA197*((AS197))*P197),0)))</f>
        <v> </v>
      </c>
      <c r="BC197" s="292" t="str">
        <f aca="false">IF($A197="N/A"," ",(IF(AL197&gt;0,($BA197*(8*(VLOOKUP($A197,NumberofDaysTable,2)))*Q197),0)+IF(AT197&gt;0,($BA197*((AT197))*Q197),0)))</f>
        <v> </v>
      </c>
      <c r="BD197" s="292" t="str">
        <f aca="false">IF($A197="N/A"," ",(IF(AM197&gt;0,($BA197*(8*(VLOOKUP($A197,NumberofDaysTable,3)))*R197),0)+IF(AU197&gt;0,($BA197*((AU197))*R197),0)))</f>
        <v> </v>
      </c>
      <c r="BE197" s="292" t="str">
        <f aca="false">IF($A197="N/A"," ",(IF(AN197&gt;0,($BA197*(8*(VLOOKUP($A197,NumberofDaysTable,3)))*S197),0)+IF(AV197&gt;0,($BA197*((AV197))*S197),0)))</f>
        <v> </v>
      </c>
      <c r="BF197" s="292" t="str">
        <f aca="false">IF($A197="N/A"," ",(IF(AO197&gt;0,($BA197*(8*(VLOOKUP($A197,NumberofDaysTable,4)+VLOOKUP($A197,NumberofDaysTable,5)))*T197),0)+IF(AW197&gt;0,($BA197*((AW197))*T197),0)))</f>
        <v> </v>
      </c>
      <c r="BG197" s="292" t="str">
        <f aca="false">IF($A197="N/A"," ",(IF(AP197&gt;0,($BA197*(8*(VLOOKUP($A197,NumberofDaysTable,4)+VLOOKUP($A197,NumberofDaysTable,5)))*U197),0)+IF(AX197&gt;0,($BA197*((AX197))*U197),0)))</f>
        <v> </v>
      </c>
      <c r="BH197" s="292" t="str">
        <f aca="false">IF($A197="N/A"," ",($BA197*AQ197*V197))</f>
        <v> </v>
      </c>
      <c r="BI197" s="292" t="str">
        <f aca="false">IF($A197="N/A"," ",SUM(BB197:BH197))</f>
        <v> </v>
      </c>
      <c r="BJ197" s="293" t="str">
        <f aca="false">IF($A197="N/A"," ",(H197*(SUM(AK197:AQ197)+SUM(AS197:AY197))*BA197))</f>
        <v> </v>
      </c>
      <c r="BK197" s="293" t="str">
        <f aca="false">IF($A197="N/A"," ",((C197*D197)*(SUM($AK197:$AQ197)+SUM($AS197:$AY197))*$BA197))</f>
        <v> </v>
      </c>
      <c r="BL197" s="293" t="str">
        <f aca="false">IF($A197="N/A"," ",(F197*(SUM($AK197:$AQ197)+SUM($AS197:$AY197))*$BA197))</f>
        <v> </v>
      </c>
      <c r="BM197" s="293" t="str">
        <f aca="false">IF($A197="N/A"," ",(G197*(SUM($AK197:$AQ197)+SUM($AS197:$AY197))*$BA197))</f>
        <v> </v>
      </c>
      <c r="BN197" s="294" t="str">
        <f aca="false">IF(A197="N/A"," ",(VLOOKUP(A197,PowerVolTable,(IF('Pricing Inputs'!$AT$3=2,7,IF('Pricing Inputs'!$AT$3=1,6,8))),FALSE())))</f>
        <v> </v>
      </c>
      <c r="BO197" s="294" t="str">
        <f aca="false">IF(A197="N/A"," ",(VLOOKUP(A197,IntraPowerVol,(IF('Pricing Inputs'!$AT$3=2,3,IF('Pricing Inputs'!$AT$3=1,2,4))),FALSE())*VLOOKUP(MONTH($A197),Inputs!$A$28:$B$39,2)))</f>
        <v> </v>
      </c>
      <c r="BP197" s="295" t="str">
        <f aca="false">IF($A197="N/A"," ",(IF(DateToday&gt;$A197,$BO197,((($BN197^2)*((($A197-1)-DateToday)/((EOMONTH($A197,0)+1)-DateToday-15)))+((($BO197)^2)*((15)/((EOMONTH($A197,0)+1)-DateToday-15))))^0.5)))</f>
        <v> </v>
      </c>
      <c r="BQ197" s="294" t="str">
        <f aca="false">IF($A197="N/A"," ",(VLOOKUP($A197,GasVolTable,(IF('Pricing Inputs'!$AT$3=2,6,IF('Pricing Inputs'!$AT$3=1,7,5))),FALSE())))</f>
        <v> </v>
      </c>
      <c r="BR197" s="294" t="str">
        <f aca="false">IF($A197="N/A"," ",(VLOOKUP($A197,OmicronVol,(IF('Pricing Inputs'!$AT$3=2,3,IF('Pricing Inputs'!$AT$3=1,4,2))),FALSE())))</f>
        <v> </v>
      </c>
      <c r="BS197" s="295" t="str">
        <f aca="false">IF($A197="N/A"," ",IF('Pricing Inputs'!$AN$3=1,(IF(DateToday&gt;$A197,$BR197,((($BQ197^2)*((($A197-1)-DateToday)/((EOMONTH($A197,0)+1)-DateToday-15)))+((($BR197)^2)*((15)/((EOMONTH($A197,0)+1)-DateToday-15))))^0.5)),0.0001))</f>
        <v> </v>
      </c>
      <c r="BT197" s="294" t="str">
        <f aca="false">IF($A197="N/A"," ",IF('Pricing Inputs'!$AN$3=1,(VLOOKUP($A197,CorrelationTable,2,FALSE())),0))</f>
        <v> </v>
      </c>
      <c r="BU197" s="296" t="str">
        <f aca="false">IF($A197="N/A"," ",F197+G197+(D197*(VLOOKUP($A197,'Gas Curves'!$B$17:$P$310,14,FALSE()))))</f>
        <v> </v>
      </c>
      <c r="BV197" s="294" t="str">
        <f aca="false">IF($A197="N/A"," ",IF('Pricing Inputs'!$AW$3=1,0,(VLOOKUP($A197,InterestRatesTable,2))))</f>
        <v> </v>
      </c>
      <c r="BW197" s="297" t="str">
        <f aca="false">IF($A197="N/A"," ",(1+BV197/2)^(-2*((EOMONTH(A197,0)+20)-DateToday)/365.25))</f>
        <v> </v>
      </c>
    </row>
    <row r="198" customFormat="false" ht="12.75" hidden="false" customHeight="false" outlineLevel="0" collapsed="false">
      <c r="A198" s="272" t="str">
        <f aca="false">IF(A197="N/A","N/A",IF(EDATE(A197,1)&gt;Inputs!$K$3,"N/A",EDATE(A197,1)))</f>
        <v>N/A</v>
      </c>
      <c r="B198" s="273" t="str">
        <f aca="false">IF(A198="N/A"," ",YEAR(A198))</f>
        <v> </v>
      </c>
      <c r="C198" s="274" t="str">
        <f aca="false">IF(A198="N/A"," ",VLOOKUP(A198,ScaledPrice,10))</f>
        <v> </v>
      </c>
      <c r="D198" s="275" t="str">
        <f aca="false">IF(A198="N/A"," ",(VLOOKUP(MONTH($A198),Inputs!$A$14:$B$25,2))/1000)</f>
        <v> </v>
      </c>
      <c r="E198" s="276" t="str">
        <f aca="false">IF($A198="N/A"," ",C198*D198)</f>
        <v> </v>
      </c>
      <c r="F198" s="277" t="str">
        <f aca="false">IF(A198="N/A"," ",Inputs!$F$6)</f>
        <v> </v>
      </c>
      <c r="G198" s="277" t="str">
        <f aca="false">IF(A198="N/A"," ",Inputs!$F$9/IF(AND('Pricing Inputs'!$AQ$3&gt;=4,'Pricing Inputs'!$AQ$3&lt;=6),16,IF(AND('Pricing Inputs'!$AQ$3&gt;=7,'Pricing Inputs'!$AQ$3&lt;=9),8,24))/(BA198/BW198))</f>
        <v> </v>
      </c>
      <c r="H198" s="278" t="str">
        <f aca="false">IF(A198="N/A"," ",(C198*D198)+F198+G198)</f>
        <v> </v>
      </c>
      <c r="I198" s="279" t="str">
        <f aca="false">VLOOKUP(A198,ScaledPrice,(IF(AND('Pricing Inputs'!$AQ$3&gt;=1,'Pricing Inputs'!$AQ$3&lt;=6),2,4)))</f>
        <v> </v>
      </c>
      <c r="J198" s="279" t="str">
        <f aca="false">IF(A198="N/A"," ",IF(AND('Pricing Inputs'!$AQ$3&gt;=1,'Pricing Inputs'!$AQ$3&lt;=6),I198,(VLOOKUP(A198,ScaledPrice,2))*(2-(VLOOKUP(A198,ScaledPrice,3)))))</f>
        <v> </v>
      </c>
      <c r="K198" s="279" t="str">
        <f aca="false">IF(A198="N/A"," ",IF(OR('Pricing Inputs'!$AQ$3=2,'Pricing Inputs'!$AQ$3=3,'Pricing Inputs'!$AQ$3=5,'Pricing Inputs'!$AQ$3=6,'Pricing Inputs'!$AQ$3=8,'Pricing Inputs'!$AQ$3=9),VLOOKUP(A198,ScaledPrice,IF(AND('Pricing Inputs'!$AQ$3&gt;=2,'Pricing Inputs'!$AQ$3&lt;=6),5,6)),0))</f>
        <v> </v>
      </c>
      <c r="L198" s="279" t="str">
        <f aca="false">IF(A198="N/A"," ",IF(OR('Pricing Inputs'!$AQ$3=2,'Pricing Inputs'!$AQ$3=3,'Pricing Inputs'!$AQ$3=5,'Pricing Inputs'!$AQ$3=6,'Pricing Inputs'!$AQ$3=8,'Pricing Inputs'!$AQ$3=9),IF(AND('Pricing Inputs'!$AQ$3&gt;=2,'Pricing Inputs'!$AQ$3&lt;=6),K198,(VLOOKUP(A198,ScaledPrice,5))*(2-(VLOOKUP(A198,ScaledPrice,3)))),0))</f>
        <v> </v>
      </c>
      <c r="M198" s="279" t="str">
        <f aca="false">IF(A198="N/A"," ",IF(OR('Pricing Inputs'!$AQ$3=3,'Pricing Inputs'!$AQ$3=6,'Pricing Inputs'!$AQ$3=9),(VLOOKUP(A198,ScaledPrice,IF(AND('Pricing Inputs'!$AQ$3&gt;=3,'Pricing Inputs'!$AQ$3&lt;=6),7,8))),0))</f>
        <v> </v>
      </c>
      <c r="N198" s="279" t="str">
        <f aca="false">IF(A198="N/A"," ",IF(OR('Pricing Inputs'!$AQ$3=3,'Pricing Inputs'!$AQ$3=6,'Pricing Inputs'!$AQ$3=9),IF(AND('Pricing Inputs'!$AQ$3&gt;=3,'Pricing Inputs'!$AQ$3&lt;=6),M198,(VLOOKUP(A198,ScaledPrice,7))*(2-(VLOOKUP(A198,ScaledPrice,3)))),0))</f>
        <v> </v>
      </c>
      <c r="O198" s="279" t="str">
        <f aca="false">IF(A198="N/A"," ",IF(AND('Pricing Inputs'!$AQ$3&gt;=1,'Pricing Inputs'!$AQ$3&lt;=3),VLOOKUP(A198,ScaledPrice,9),0))</f>
        <v> </v>
      </c>
      <c r="P198" s="280" t="str">
        <f aca="false">IF($A198="N/A"," ",IF('Pricing Inputs'!$AN$8=2,(I198-H198),IF('Pricing Inputs'!$AN$3=2,IF((I198-$H198)&gt;0,I198-$H198,0),(xSPRDOPT(I198,$E198,$BU198,0,$BP198,$BS198,$BT198,($A198-Inputs!$D$1)+15,1,0)))))</f>
        <v> </v>
      </c>
      <c r="Q198" s="280" t="str">
        <f aca="false">IF($A198="N/A"," ",IF('Pricing Inputs'!$AN$8=2,(J198-$H198),IF('Pricing Inputs'!$AN$3=2,IF((J198-$H198)&gt;0,J198-$H198,0),(xSPRDOPT(J198,$E198,$BU198,0,$BP198,$BS198,$BT198,($A198-Inputs!$D$1)+15,1,0)))))</f>
        <v> </v>
      </c>
      <c r="R198" s="280" t="str">
        <f aca="false">IF($A198="N/A"," ",IF('Pricing Inputs'!$AN$8=2,(K198-$H198),IF('Pricing Inputs'!$AN$3=2,IF((K198-$H198)&gt;0,K198-$H198,0),(xSPRDOPT(K198,$E198,$BU198,0,$BP198,$BS198,$BT198,($A198-Inputs!$D$1)+15,1,0)))))</f>
        <v> </v>
      </c>
      <c r="S198" s="280" t="str">
        <f aca="false">IF($A198="N/A"," ",IF('Pricing Inputs'!$AN$8=2,(L198-$H198),IF('Pricing Inputs'!$AN$3=2,IF((L198-$H198)&gt;0,L198-$H198,0),(xSPRDOPT(L198,$E198,$BU198,0,$BP198,$BS198,$BT198,($A198-Inputs!$D$1)+15,1,0)))))</f>
        <v> </v>
      </c>
      <c r="T198" s="280" t="str">
        <f aca="false">IF($A198="N/A"," ",IF('Pricing Inputs'!$AN$8=2,(M198-$H198),IF('Pricing Inputs'!$AN$3=2,IF((M198-$H198)&gt;0,M198-$H198,0),(xSPRDOPT(M198,$E198,$BU198,0,$BP198,$BS198,$BT198,($A198-Inputs!$D$1)+15,1,0)))))</f>
        <v> </v>
      </c>
      <c r="U198" s="280" t="str">
        <f aca="false">IF($A198="N/A"," ",IF('Pricing Inputs'!$AN$8=2,(N198-$H198),IF('Pricing Inputs'!$AN$3=2,IF((N198-$H198)&gt;0,N198-$H198,0),(xSPRDOPT(N198,$E198,$BU198,0,$BP198,$BS198,$BT198,($A198-Inputs!$D$1)+15,1,0)))))</f>
        <v> </v>
      </c>
      <c r="V198" s="281" t="str">
        <f aca="false">IF($A198="N/A"," ",(IF('Pricing Inputs'!$AN$8=2,(O198-$H198),IF((O198-$H198)&lt;=0,0,(O198-$H198)))))</f>
        <v> </v>
      </c>
      <c r="W198" s="282" t="str">
        <f aca="false">IF($A198="N/A"," ",IF(0&lt;&gt;P198,IF('Pricing Inputs'!$AN$3=2,8*VLOOKUP($A198,NumberofDaysTable,2),(xSPRDOPT(I198,$E198,$BU198,0,$BP198,$BS198,$BT198,$A198-Inputs!$D$1,1,1))*(8*VLOOKUP($A198,NumberofDaysTable,2))),0))</f>
        <v> </v>
      </c>
      <c r="X198" s="282" t="str">
        <f aca="false">IF($A198="N/A"," ",IF(Q198&lt;&gt;0,IF('Pricing Inputs'!$AN$3=2,8*VLOOKUP($A198,NumberofDaysTable,2),(xSPRDOPT(J198,$E198,$BU198,0,$BP198,$BS198,$BT198,$A198-Inputs!$D$1,1,1))*(8*VLOOKUP($A198,NumberofDaysTable,2))),0))</f>
        <v> </v>
      </c>
      <c r="Y198" s="282" t="str">
        <f aca="false">IF($A198="N/A"," ",IF(R198&lt;&gt;0,IF('Pricing Inputs'!$AN$3=2,8*VLOOKUP($A198,NumberofDaysTable,3),(xSPRDOPT(K198,$E198,$BU198,0,$BP198,$BS198,$BT198,$A198-Inputs!$D$1,1,1))*(8*VLOOKUP($A198,NumberofDaysTable,3))),0))</f>
        <v> </v>
      </c>
      <c r="Z198" s="282" t="str">
        <f aca="false">IF($A198="N/A"," ",IF(S198&lt;&gt;0,IF('Pricing Inputs'!$AN$3=2,8*VLOOKUP($A198,NumberofDaysTable,3),(xSPRDOPT(L198,$E198,$BU198,0,$BP198,$BS198,$BT198,$A198-Inputs!$D$1,1,1))*(8*VLOOKUP($A198,NumberofDaysTable,3))),0))</f>
        <v> </v>
      </c>
      <c r="AA198" s="282" t="str">
        <f aca="false">IF($A198="N/A"," ",IF(T198&lt;&gt;0,IF('Pricing Inputs'!$AN$3=2,8*VLOOKUP($A198,NumberofDaysTable,4),(xSPRDOPT(M198,$E198,$BU198,0,$BP198,$BS198,$BT198,$A198-Inputs!$D$1,1,1))*(8*VLOOKUP($A198,NumberofDaysTable,4))),0))</f>
        <v> </v>
      </c>
      <c r="AB198" s="282" t="str">
        <f aca="false">IF($A198="N/A"," ",IF(U198&lt;&gt;0,IF('Pricing Inputs'!$AN$3=2,8*VLOOKUP($A198,NumberofDaysTable,4),(xSPRDOPT(N198,$E198,$BU198,0,$BP198,$BS198,$BT198,$A198-Inputs!$D$1,1,1))*(8*VLOOKUP($A198,NumberofDaysTable,4))),0))</f>
        <v> </v>
      </c>
      <c r="AC198" s="282" t="str">
        <f aca="false">IF($A198="N/A"," ",(IF(V198&lt;&gt;0,(8*VLOOKUP($A198,NumberofDaysTable,6)),0)))</f>
        <v> </v>
      </c>
      <c r="AD198" s="298" t="str">
        <f aca="false">IF($A198="N/A"," ",RANK(P198,$P$196:$V$207))</f>
        <v> </v>
      </c>
      <c r="AE198" s="299" t="str">
        <f aca="false">IF($A198="N/A"," ",RANK(Q198,$P$196:$V$207))</f>
        <v> </v>
      </c>
      <c r="AF198" s="299" t="str">
        <f aca="false">IF($A198="N/A"," ",RANK(R198,$P$196:$V$207))</f>
        <v> </v>
      </c>
      <c r="AG198" s="299" t="str">
        <f aca="false">IF($A198="N/A"," ",RANK(S198,$P$196:$V$207))</f>
        <v> </v>
      </c>
      <c r="AH198" s="299" t="str">
        <f aca="false">IF($A198="N/A"," ",RANK(T198,$P$196:$V$207))</f>
        <v> </v>
      </c>
      <c r="AI198" s="299" t="str">
        <f aca="false">IF($A198="N/A"," ",RANK(U198,$P$196:$V$207))</f>
        <v> </v>
      </c>
      <c r="AJ198" s="300" t="str">
        <f aca="false">IF($A198="N/A"," ",RANK(V198,$P$196:$V$207))</f>
        <v> </v>
      </c>
      <c r="AK198" s="286" t="str">
        <f aca="false">IF($A198="N/A"," ",IF(AD198&lt;=$AJ$2,W198,0))</f>
        <v> </v>
      </c>
      <c r="AL198" s="301" t="str">
        <f aca="false">IF($A198="N/A"," ",IF(AE198&lt;=$AJ$2,X198,0))</f>
        <v> </v>
      </c>
      <c r="AM198" s="301" t="str">
        <f aca="false">IF($A198="N/A"," ",IF(AF198&lt;=$AJ$2,Y198,0))</f>
        <v> </v>
      </c>
      <c r="AN198" s="301" t="str">
        <f aca="false">IF($A198="N/A"," ",IF(AG198&lt;=$AJ$2,Z198,0))</f>
        <v> </v>
      </c>
      <c r="AO198" s="301" t="str">
        <f aca="false">IF($A198="N/A"," ",IF(AH198&lt;=$AJ$2,AA198,0))</f>
        <v> </v>
      </c>
      <c r="AP198" s="301" t="str">
        <f aca="false">IF($A198="N/A"," ",IF(AI198&lt;=$AJ$2,AB198,0))</f>
        <v> </v>
      </c>
      <c r="AQ198" s="301" t="str">
        <f aca="false">IF($A198="N/A"," ",IF(AJ198&lt;=$AJ$2,AC198,0))</f>
        <v> </v>
      </c>
      <c r="AR198" s="300"/>
      <c r="AS198" s="288" t="str">
        <f aca="false">IF($A198="N/A"," ",IF(AND(AD198=$AJ$2+1,AK198=0),MIN($AR$207,W198),0))</f>
        <v> </v>
      </c>
      <c r="AT198" s="302" t="str">
        <f aca="false">IF($A198="N/A"," ",IF(AND(AE198=$AJ$2+1,AL198=0),MIN($AR$207,X198),0))</f>
        <v> </v>
      </c>
      <c r="AU198" s="302" t="str">
        <f aca="false">IF($A198="N/A"," ",IF(AND(AF198=$AJ$2+1,AM198=0),MIN($AR$207,Y198),0))</f>
        <v> </v>
      </c>
      <c r="AV198" s="302" t="str">
        <f aca="false">IF($A198="N/A"," ",IF(AND(AG198=$AJ$2+1,AN198=0),MIN($AR$207,Z198),0))</f>
        <v> </v>
      </c>
      <c r="AW198" s="302" t="str">
        <f aca="false">IF($A198="N/A"," ",IF(AND(AH198=$AJ$2+1,AO198=0),MIN($AR$207,AA198),0))</f>
        <v> </v>
      </c>
      <c r="AX198" s="302" t="str">
        <f aca="false">IF($A198="N/A"," ",IF(AND(AI198=$AJ$2+1,AP198=0),MIN($AR$207,AB198),0))</f>
        <v> </v>
      </c>
      <c r="AY198" s="302" t="str">
        <f aca="false">IF($A198="N/A"," ",IF(AND(AJ198=$AJ$2+1,AQ198=0),MIN($AR$207,AC198),0))</f>
        <v> </v>
      </c>
      <c r="AZ198" s="300"/>
      <c r="BA198" s="291" t="str">
        <f aca="false">IF($A198="N/A"," ",(IF(MONTH(A198)&gt;=4,IF(MONTH(A198)&lt;=10,Inputs!$F$13,Inputs!$F$14),Inputs!$F$14))*$BW198)</f>
        <v> </v>
      </c>
      <c r="BB198" s="292" t="str">
        <f aca="false">IF($A198="N/A"," ",(IF(AK198&gt;0,($BA198*(8*(VLOOKUP($A198,NumberofDaysTable,2)))*P198),0)+IF(AS198&gt;0,($BA198*((AS198))*P198),0)))</f>
        <v> </v>
      </c>
      <c r="BC198" s="292" t="str">
        <f aca="false">IF($A198="N/A"," ",(IF(AL198&gt;0,($BA198*(8*(VLOOKUP($A198,NumberofDaysTable,2)))*Q198),0)+IF(AT198&gt;0,($BA198*((AT198))*Q198),0)))</f>
        <v> </v>
      </c>
      <c r="BD198" s="292" t="str">
        <f aca="false">IF($A198="N/A"," ",(IF(AM198&gt;0,($BA198*(8*(VLOOKUP($A198,NumberofDaysTable,3)))*R198),0)+IF(AU198&gt;0,($BA198*((AU198))*R198),0)))</f>
        <v> </v>
      </c>
      <c r="BE198" s="292" t="str">
        <f aca="false">IF($A198="N/A"," ",(IF(AN198&gt;0,($BA198*(8*(VLOOKUP($A198,NumberofDaysTable,3)))*S198),0)+IF(AV198&gt;0,($BA198*((AV198))*S198),0)))</f>
        <v> </v>
      </c>
      <c r="BF198" s="292" t="str">
        <f aca="false">IF($A198="N/A"," ",(IF(AO198&gt;0,($BA198*(8*(VLOOKUP($A198,NumberofDaysTable,4)+VLOOKUP($A198,NumberofDaysTable,5)))*T198),0)+IF(AW198&gt;0,($BA198*((AW198))*T198),0)))</f>
        <v> </v>
      </c>
      <c r="BG198" s="292" t="str">
        <f aca="false">IF($A198="N/A"," ",(IF(AP198&gt;0,($BA198*(8*(VLOOKUP($A198,NumberofDaysTable,4)+VLOOKUP($A198,NumberofDaysTable,5)))*U198),0)+IF(AX198&gt;0,($BA198*((AX198))*U198),0)))</f>
        <v> </v>
      </c>
      <c r="BH198" s="292" t="str">
        <f aca="false">IF($A198="N/A"," ",($BA198*AQ198*V198))</f>
        <v> </v>
      </c>
      <c r="BI198" s="292" t="str">
        <f aca="false">IF($A198="N/A"," ",SUM(BB198:BH198))</f>
        <v> </v>
      </c>
      <c r="BJ198" s="293" t="str">
        <f aca="false">IF($A198="N/A"," ",(H198*(SUM(AK198:AQ198)+SUM(AS198:AY198))*BA198))</f>
        <v> </v>
      </c>
      <c r="BK198" s="293" t="str">
        <f aca="false">IF($A198="N/A"," ",((C198*D198)*(SUM($AK198:$AQ198)+SUM($AS198:$AY198))*$BA198))</f>
        <v> </v>
      </c>
      <c r="BL198" s="293" t="str">
        <f aca="false">IF($A198="N/A"," ",(F198*(SUM($AK198:$AQ198)+SUM($AS198:$AY198))*$BA198))</f>
        <v> </v>
      </c>
      <c r="BM198" s="293" t="str">
        <f aca="false">IF($A198="N/A"," ",(G198*(SUM($AK198:$AQ198)+SUM($AS198:$AY198))*$BA198))</f>
        <v> </v>
      </c>
      <c r="BN198" s="294" t="str">
        <f aca="false">IF(A198="N/A"," ",(VLOOKUP(A198,PowerVolTable,(IF('Pricing Inputs'!$AT$3=2,7,IF('Pricing Inputs'!$AT$3=1,6,8))),FALSE())))</f>
        <v> </v>
      </c>
      <c r="BO198" s="294" t="str">
        <f aca="false">IF(A198="N/A"," ",(VLOOKUP(A198,IntraPowerVol,(IF('Pricing Inputs'!$AT$3=2,3,IF('Pricing Inputs'!$AT$3=1,2,4))),FALSE())*VLOOKUP(MONTH($A198),Inputs!$A$28:$B$39,2)))</f>
        <v> </v>
      </c>
      <c r="BP198" s="295" t="str">
        <f aca="false">IF($A198="N/A"," ",(IF(DateToday&gt;$A198,$BO198,((($BN198^2)*((($A198-1)-DateToday)/((EOMONTH($A198,0)+1)-DateToday-15)))+((($BO198)^2)*((15)/((EOMONTH($A198,0)+1)-DateToday-15))))^0.5)))</f>
        <v> </v>
      </c>
      <c r="BQ198" s="294" t="str">
        <f aca="false">IF($A198="N/A"," ",(VLOOKUP($A198,GasVolTable,(IF('Pricing Inputs'!$AT$3=2,6,IF('Pricing Inputs'!$AT$3=1,7,5))),FALSE())))</f>
        <v> </v>
      </c>
      <c r="BR198" s="294" t="str">
        <f aca="false">IF($A198="N/A"," ",(VLOOKUP($A198,OmicronVol,(IF('Pricing Inputs'!$AT$3=2,3,IF('Pricing Inputs'!$AT$3=1,4,2))),FALSE())))</f>
        <v> </v>
      </c>
      <c r="BS198" s="295" t="str">
        <f aca="false">IF($A198="N/A"," ",IF('Pricing Inputs'!$AN$3=1,(IF(DateToday&gt;$A198,$BR198,((($BQ198^2)*((($A198-1)-DateToday)/((EOMONTH($A198,0)+1)-DateToday-15)))+((($BR198)^2)*((15)/((EOMONTH($A198,0)+1)-DateToday-15))))^0.5)),0.0001))</f>
        <v> </v>
      </c>
      <c r="BT198" s="294" t="str">
        <f aca="false">IF($A198="N/A"," ",IF('Pricing Inputs'!$AN$3=1,(VLOOKUP($A198,CorrelationTable,2,FALSE())),0))</f>
        <v> </v>
      </c>
      <c r="BU198" s="296" t="str">
        <f aca="false">IF($A198="N/A"," ",F198+G198+(D198*(VLOOKUP($A198,'Gas Curves'!$B$17:$P$310,14,FALSE()))))</f>
        <v> </v>
      </c>
      <c r="BV198" s="294" t="str">
        <f aca="false">IF($A198="N/A"," ",IF('Pricing Inputs'!$AW$3=1,0,(VLOOKUP($A198,InterestRatesTable,2))))</f>
        <v> </v>
      </c>
      <c r="BW198" s="297" t="str">
        <f aca="false">IF($A198="N/A"," ",(1+BV198/2)^(-2*((EOMONTH(A198,0)+20)-DateToday)/365.25))</f>
        <v> </v>
      </c>
    </row>
    <row r="199" customFormat="false" ht="12.75" hidden="false" customHeight="false" outlineLevel="0" collapsed="false">
      <c r="A199" s="272" t="str">
        <f aca="false">IF(A198="N/A","N/A",IF(EDATE(A198,1)&gt;Inputs!$K$3,"N/A",EDATE(A198,1)))</f>
        <v>N/A</v>
      </c>
      <c r="B199" s="273" t="str">
        <f aca="false">IF(A199="N/A"," ",YEAR(A199))</f>
        <v> </v>
      </c>
      <c r="C199" s="274" t="str">
        <f aca="false">IF(A199="N/A"," ",VLOOKUP(A199,ScaledPrice,10))</f>
        <v> </v>
      </c>
      <c r="D199" s="275" t="str">
        <f aca="false">IF(A199="N/A"," ",(VLOOKUP(MONTH($A199),Inputs!$A$14:$B$25,2))/1000)</f>
        <v> </v>
      </c>
      <c r="E199" s="276" t="str">
        <f aca="false">IF($A199="N/A"," ",C199*D199)</f>
        <v> </v>
      </c>
      <c r="F199" s="277" t="str">
        <f aca="false">IF(A199="N/A"," ",Inputs!$F$6)</f>
        <v> </v>
      </c>
      <c r="G199" s="277" t="str">
        <f aca="false">IF(A199="N/A"," ",Inputs!$F$9/IF(AND('Pricing Inputs'!$AQ$3&gt;=4,'Pricing Inputs'!$AQ$3&lt;=6),16,IF(AND('Pricing Inputs'!$AQ$3&gt;=7,'Pricing Inputs'!$AQ$3&lt;=9),8,24))/(BA199/BW199))</f>
        <v> </v>
      </c>
      <c r="H199" s="278" t="str">
        <f aca="false">IF(A199="N/A"," ",(C199*D199)+F199+G199)</f>
        <v> </v>
      </c>
      <c r="I199" s="279" t="str">
        <f aca="false">VLOOKUP(A199,ScaledPrice,(IF(AND('Pricing Inputs'!$AQ$3&gt;=1,'Pricing Inputs'!$AQ$3&lt;=6),2,4)))</f>
        <v> </v>
      </c>
      <c r="J199" s="279" t="str">
        <f aca="false">IF(A199="N/A"," ",IF(AND('Pricing Inputs'!$AQ$3&gt;=1,'Pricing Inputs'!$AQ$3&lt;=6),I199,(VLOOKUP(A199,ScaledPrice,2))*(2-(VLOOKUP(A199,ScaledPrice,3)))))</f>
        <v> </v>
      </c>
      <c r="K199" s="279" t="str">
        <f aca="false">IF(A199="N/A"," ",IF(OR('Pricing Inputs'!$AQ$3=2,'Pricing Inputs'!$AQ$3=3,'Pricing Inputs'!$AQ$3=5,'Pricing Inputs'!$AQ$3=6,'Pricing Inputs'!$AQ$3=8,'Pricing Inputs'!$AQ$3=9),VLOOKUP(A199,ScaledPrice,IF(AND('Pricing Inputs'!$AQ$3&gt;=2,'Pricing Inputs'!$AQ$3&lt;=6),5,6)),0))</f>
        <v> </v>
      </c>
      <c r="L199" s="279" t="str">
        <f aca="false">IF(A199="N/A"," ",IF(OR('Pricing Inputs'!$AQ$3=2,'Pricing Inputs'!$AQ$3=3,'Pricing Inputs'!$AQ$3=5,'Pricing Inputs'!$AQ$3=6,'Pricing Inputs'!$AQ$3=8,'Pricing Inputs'!$AQ$3=9),IF(AND('Pricing Inputs'!$AQ$3&gt;=2,'Pricing Inputs'!$AQ$3&lt;=6),K199,(VLOOKUP(A199,ScaledPrice,5))*(2-(VLOOKUP(A199,ScaledPrice,3)))),0))</f>
        <v> </v>
      </c>
      <c r="M199" s="279" t="str">
        <f aca="false">IF(A199="N/A"," ",IF(OR('Pricing Inputs'!$AQ$3=3,'Pricing Inputs'!$AQ$3=6,'Pricing Inputs'!$AQ$3=9),(VLOOKUP(A199,ScaledPrice,IF(AND('Pricing Inputs'!$AQ$3&gt;=3,'Pricing Inputs'!$AQ$3&lt;=6),7,8))),0))</f>
        <v> </v>
      </c>
      <c r="N199" s="279" t="str">
        <f aca="false">IF(A199="N/A"," ",IF(OR('Pricing Inputs'!$AQ$3=3,'Pricing Inputs'!$AQ$3=6,'Pricing Inputs'!$AQ$3=9),IF(AND('Pricing Inputs'!$AQ$3&gt;=3,'Pricing Inputs'!$AQ$3&lt;=6),M199,(VLOOKUP(A199,ScaledPrice,7))*(2-(VLOOKUP(A199,ScaledPrice,3)))),0))</f>
        <v> </v>
      </c>
      <c r="O199" s="279" t="str">
        <f aca="false">IF(A199="N/A"," ",IF(AND('Pricing Inputs'!$AQ$3&gt;=1,'Pricing Inputs'!$AQ$3&lt;=3),VLOOKUP(A199,ScaledPrice,9),0))</f>
        <v> </v>
      </c>
      <c r="P199" s="280" t="str">
        <f aca="false">IF($A199="N/A"," ",IF('Pricing Inputs'!$AN$8=2,(I199-H199),IF('Pricing Inputs'!$AN$3=2,IF((I199-$H199)&gt;0,I199-$H199,0),(xSPRDOPT(I199,$E199,$BU199,0,$BP199,$BS199,$BT199,($A199-Inputs!$D$1)+15,1,0)))))</f>
        <v> </v>
      </c>
      <c r="Q199" s="280" t="str">
        <f aca="false">IF($A199="N/A"," ",IF('Pricing Inputs'!$AN$8=2,(J199-$H199),IF('Pricing Inputs'!$AN$3=2,IF((J199-$H199)&gt;0,J199-$H199,0),(xSPRDOPT(J199,$E199,$BU199,0,$BP199,$BS199,$BT199,($A199-Inputs!$D$1)+15,1,0)))))</f>
        <v> </v>
      </c>
      <c r="R199" s="280" t="str">
        <f aca="false">IF($A199="N/A"," ",IF('Pricing Inputs'!$AN$8=2,(K199-$H199),IF('Pricing Inputs'!$AN$3=2,IF((K199-$H199)&gt;0,K199-$H199,0),(xSPRDOPT(K199,$E199,$BU199,0,$BP199,$BS199,$BT199,($A199-Inputs!$D$1)+15,1,0)))))</f>
        <v> </v>
      </c>
      <c r="S199" s="280" t="str">
        <f aca="false">IF($A199="N/A"," ",IF('Pricing Inputs'!$AN$8=2,(L199-$H199),IF('Pricing Inputs'!$AN$3=2,IF((L199-$H199)&gt;0,L199-$H199,0),(xSPRDOPT(L199,$E199,$BU199,0,$BP199,$BS199,$BT199,($A199-Inputs!$D$1)+15,1,0)))))</f>
        <v> </v>
      </c>
      <c r="T199" s="280" t="str">
        <f aca="false">IF($A199="N/A"," ",IF('Pricing Inputs'!$AN$8=2,(M199-$H199),IF('Pricing Inputs'!$AN$3=2,IF((M199-$H199)&gt;0,M199-$H199,0),(xSPRDOPT(M199,$E199,$BU199,0,$BP199,$BS199,$BT199,($A199-Inputs!$D$1)+15,1,0)))))</f>
        <v> </v>
      </c>
      <c r="U199" s="280" t="str">
        <f aca="false">IF($A199="N/A"," ",IF('Pricing Inputs'!$AN$8=2,(N199-$H199),IF('Pricing Inputs'!$AN$3=2,IF((N199-$H199)&gt;0,N199-$H199,0),(xSPRDOPT(N199,$E199,$BU199,0,$BP199,$BS199,$BT199,($A199-Inputs!$D$1)+15,1,0)))))</f>
        <v> </v>
      </c>
      <c r="V199" s="281" t="str">
        <f aca="false">IF($A199="N/A"," ",(IF('Pricing Inputs'!$AN$8=2,(O199-$H199),IF((O199-$H199)&lt;=0,0,(O199-$H199)))))</f>
        <v> </v>
      </c>
      <c r="W199" s="282" t="str">
        <f aca="false">IF($A199="N/A"," ",IF(0&lt;&gt;P199,IF('Pricing Inputs'!$AN$3=2,8*VLOOKUP($A199,NumberofDaysTable,2),(xSPRDOPT(I199,$E199,$BU199,0,$BP199,$BS199,$BT199,$A199-Inputs!$D$1,1,1))*(8*VLOOKUP($A199,NumberofDaysTable,2))),0))</f>
        <v> </v>
      </c>
      <c r="X199" s="282" t="str">
        <f aca="false">IF($A199="N/A"," ",IF(Q199&lt;&gt;0,IF('Pricing Inputs'!$AN$3=2,8*VLOOKUP($A199,NumberofDaysTable,2),(xSPRDOPT(J199,$E199,$BU199,0,$BP199,$BS199,$BT199,$A199-Inputs!$D$1,1,1))*(8*VLOOKUP($A199,NumberofDaysTable,2))),0))</f>
        <v> </v>
      </c>
      <c r="Y199" s="282" t="str">
        <f aca="false">IF($A199="N/A"," ",IF(R199&lt;&gt;0,IF('Pricing Inputs'!$AN$3=2,8*VLOOKUP($A199,NumberofDaysTable,3),(xSPRDOPT(K199,$E199,$BU199,0,$BP199,$BS199,$BT199,$A199-Inputs!$D$1,1,1))*(8*VLOOKUP($A199,NumberofDaysTable,3))),0))</f>
        <v> </v>
      </c>
      <c r="Z199" s="282" t="str">
        <f aca="false">IF($A199="N/A"," ",IF(S199&lt;&gt;0,IF('Pricing Inputs'!$AN$3=2,8*VLOOKUP($A199,NumberofDaysTable,3),(xSPRDOPT(L199,$E199,$BU199,0,$BP199,$BS199,$BT199,$A199-Inputs!$D$1,1,1))*(8*VLOOKUP($A199,NumberofDaysTable,3))),0))</f>
        <v> </v>
      </c>
      <c r="AA199" s="282" t="str">
        <f aca="false">IF($A199="N/A"," ",IF(T199&lt;&gt;0,IF('Pricing Inputs'!$AN$3=2,8*VLOOKUP($A199,NumberofDaysTable,4),(xSPRDOPT(M199,$E199,$BU199,0,$BP199,$BS199,$BT199,$A199-Inputs!$D$1,1,1))*(8*VLOOKUP($A199,NumberofDaysTable,4))),0))</f>
        <v> </v>
      </c>
      <c r="AB199" s="282" t="str">
        <f aca="false">IF($A199="N/A"," ",IF(U199&lt;&gt;0,IF('Pricing Inputs'!$AN$3=2,8*VLOOKUP($A199,NumberofDaysTable,4),(xSPRDOPT(N199,$E199,$BU199,0,$BP199,$BS199,$BT199,$A199-Inputs!$D$1,1,1))*(8*VLOOKUP($A199,NumberofDaysTable,4))),0))</f>
        <v> </v>
      </c>
      <c r="AC199" s="282" t="str">
        <f aca="false">IF($A199="N/A"," ",(IF(V199&lt;&gt;0,(8*VLOOKUP($A199,NumberofDaysTable,6)),0)))</f>
        <v> </v>
      </c>
      <c r="AD199" s="298" t="str">
        <f aca="false">IF($A199="N/A"," ",RANK(P199,$P$196:$V$207))</f>
        <v> </v>
      </c>
      <c r="AE199" s="299" t="str">
        <f aca="false">IF($A199="N/A"," ",RANK(Q199,$P$196:$V$207))</f>
        <v> </v>
      </c>
      <c r="AF199" s="299" t="str">
        <f aca="false">IF($A199="N/A"," ",RANK(R199,$P$196:$V$207))</f>
        <v> </v>
      </c>
      <c r="AG199" s="299" t="str">
        <f aca="false">IF($A199="N/A"," ",RANK(S199,$P$196:$V$207))</f>
        <v> </v>
      </c>
      <c r="AH199" s="299" t="str">
        <f aca="false">IF($A199="N/A"," ",RANK(T199,$P$196:$V$207))</f>
        <v> </v>
      </c>
      <c r="AI199" s="299" t="str">
        <f aca="false">IF($A199="N/A"," ",RANK(U199,$P$196:$V$207))</f>
        <v> </v>
      </c>
      <c r="AJ199" s="300" t="str">
        <f aca="false">IF($A199="N/A"," ",RANK(V199,$P$196:$V$207))</f>
        <v> </v>
      </c>
      <c r="AK199" s="286" t="str">
        <f aca="false">IF($A199="N/A"," ",IF(AD199&lt;=$AJ$2,W199,0))</f>
        <v> </v>
      </c>
      <c r="AL199" s="301" t="str">
        <f aca="false">IF($A199="N/A"," ",IF(AE199&lt;=$AJ$2,X199,0))</f>
        <v> </v>
      </c>
      <c r="AM199" s="301" t="str">
        <f aca="false">IF($A199="N/A"," ",IF(AF199&lt;=$AJ$2,Y199,0))</f>
        <v> </v>
      </c>
      <c r="AN199" s="301" t="str">
        <f aca="false">IF($A199="N/A"," ",IF(AG199&lt;=$AJ$2,Z199,0))</f>
        <v> </v>
      </c>
      <c r="AO199" s="301" t="str">
        <f aca="false">IF($A199="N/A"," ",IF(AH199&lt;=$AJ$2,AA199,0))</f>
        <v> </v>
      </c>
      <c r="AP199" s="301" t="str">
        <f aca="false">IF($A199="N/A"," ",IF(AI199&lt;=$AJ$2,AB199,0))</f>
        <v> </v>
      </c>
      <c r="AQ199" s="301" t="str">
        <f aca="false">IF($A199="N/A"," ",IF(AJ199&lt;=$AJ$2,AC199,0))</f>
        <v> </v>
      </c>
      <c r="AR199" s="300"/>
      <c r="AS199" s="288" t="str">
        <f aca="false">IF($A199="N/A"," ",IF(AND(AD199=$AJ$2+1,AK199=0),MIN($AR$207,W199),0))</f>
        <v> </v>
      </c>
      <c r="AT199" s="302" t="str">
        <f aca="false">IF($A199="N/A"," ",IF(AND(AE199=$AJ$2+1,AL199=0),MIN($AR$207,X199),0))</f>
        <v> </v>
      </c>
      <c r="AU199" s="302" t="str">
        <f aca="false">IF($A199="N/A"," ",IF(AND(AF199=$AJ$2+1,AM199=0),MIN($AR$207,Y199),0))</f>
        <v> </v>
      </c>
      <c r="AV199" s="302" t="str">
        <f aca="false">IF($A199="N/A"," ",IF(AND(AG199=$AJ$2+1,AN199=0),MIN($AR$207,Z199),0))</f>
        <v> </v>
      </c>
      <c r="AW199" s="302" t="str">
        <f aca="false">IF($A199="N/A"," ",IF(AND(AH199=$AJ$2+1,AO199=0),MIN($AR$207,AA199),0))</f>
        <v> </v>
      </c>
      <c r="AX199" s="302" t="str">
        <f aca="false">IF($A199="N/A"," ",IF(AND(AI199=$AJ$2+1,AP199=0),MIN($AR$207,AB199),0))</f>
        <v> </v>
      </c>
      <c r="AY199" s="302" t="str">
        <f aca="false">IF($A199="N/A"," ",IF(AND(AJ199=$AJ$2+1,AQ199=0),MIN($AR$207,AC199),0))</f>
        <v> </v>
      </c>
      <c r="AZ199" s="300"/>
      <c r="BA199" s="291" t="str">
        <f aca="false">IF($A199="N/A"," ",(IF(MONTH(A199)&gt;=4,IF(MONTH(A199)&lt;=10,Inputs!$F$13,Inputs!$F$14),Inputs!$F$14))*$BW199)</f>
        <v> </v>
      </c>
      <c r="BB199" s="292" t="str">
        <f aca="false">IF($A199="N/A"," ",(IF(AK199&gt;0,($BA199*(8*(VLOOKUP($A199,NumberofDaysTable,2)))*P199),0)+IF(AS199&gt;0,($BA199*((AS199))*P199),0)))</f>
        <v> </v>
      </c>
      <c r="BC199" s="292" t="str">
        <f aca="false">IF($A199="N/A"," ",(IF(AL199&gt;0,($BA199*(8*(VLOOKUP($A199,NumberofDaysTable,2)))*Q199),0)+IF(AT199&gt;0,($BA199*((AT199))*Q199),0)))</f>
        <v> </v>
      </c>
      <c r="BD199" s="292" t="str">
        <f aca="false">IF($A199="N/A"," ",(IF(AM199&gt;0,($BA199*(8*(VLOOKUP($A199,NumberofDaysTable,3)))*R199),0)+IF(AU199&gt;0,($BA199*((AU199))*R199),0)))</f>
        <v> </v>
      </c>
      <c r="BE199" s="292" t="str">
        <f aca="false">IF($A199="N/A"," ",(IF(AN199&gt;0,($BA199*(8*(VLOOKUP($A199,NumberofDaysTable,3)))*S199),0)+IF(AV199&gt;0,($BA199*((AV199))*S199),0)))</f>
        <v> </v>
      </c>
      <c r="BF199" s="292" t="str">
        <f aca="false">IF($A199="N/A"," ",(IF(AO199&gt;0,($BA199*(8*(VLOOKUP($A199,NumberofDaysTable,4)+VLOOKUP($A199,NumberofDaysTable,5)))*T199),0)+IF(AW199&gt;0,($BA199*((AW199))*T199),0)))</f>
        <v> </v>
      </c>
      <c r="BG199" s="292" t="str">
        <f aca="false">IF($A199="N/A"," ",(IF(AP199&gt;0,($BA199*(8*(VLOOKUP($A199,NumberofDaysTable,4)+VLOOKUP($A199,NumberofDaysTable,5)))*U199),0)+IF(AX199&gt;0,($BA199*((AX199))*U199),0)))</f>
        <v> </v>
      </c>
      <c r="BH199" s="292" t="str">
        <f aca="false">IF($A199="N/A"," ",($BA199*AQ199*V199))</f>
        <v> </v>
      </c>
      <c r="BI199" s="292" t="str">
        <f aca="false">IF($A199="N/A"," ",SUM(BB199:BH199))</f>
        <v> </v>
      </c>
      <c r="BJ199" s="293" t="str">
        <f aca="false">IF($A199="N/A"," ",(H199*(SUM(AK199:AQ199)+SUM(AS199:AY199))*BA199))</f>
        <v> </v>
      </c>
      <c r="BK199" s="293" t="str">
        <f aca="false">IF($A199="N/A"," ",((C199*D199)*(SUM($AK199:$AQ199)+SUM($AS199:$AY199))*$BA199))</f>
        <v> </v>
      </c>
      <c r="BL199" s="293" t="str">
        <f aca="false">IF($A199="N/A"," ",(F199*(SUM($AK199:$AQ199)+SUM($AS199:$AY199))*$BA199))</f>
        <v> </v>
      </c>
      <c r="BM199" s="293" t="str">
        <f aca="false">IF($A199="N/A"," ",(G199*(SUM($AK199:$AQ199)+SUM($AS199:$AY199))*$BA199))</f>
        <v> </v>
      </c>
      <c r="BN199" s="294" t="str">
        <f aca="false">IF(A199="N/A"," ",(VLOOKUP(A199,PowerVolTable,(IF('Pricing Inputs'!$AT$3=2,7,IF('Pricing Inputs'!$AT$3=1,6,8))),FALSE())))</f>
        <v> </v>
      </c>
      <c r="BO199" s="294" t="str">
        <f aca="false">IF(A199="N/A"," ",(VLOOKUP(A199,IntraPowerVol,(IF('Pricing Inputs'!$AT$3=2,3,IF('Pricing Inputs'!$AT$3=1,2,4))),FALSE())*VLOOKUP(MONTH($A199),Inputs!$A$28:$B$39,2)))</f>
        <v> </v>
      </c>
      <c r="BP199" s="295" t="str">
        <f aca="false">IF($A199="N/A"," ",(IF(DateToday&gt;$A199,$BO199,((($BN199^2)*((($A199-1)-DateToday)/((EOMONTH($A199,0)+1)-DateToday-15)))+((($BO199)^2)*((15)/((EOMONTH($A199,0)+1)-DateToday-15))))^0.5)))</f>
        <v> </v>
      </c>
      <c r="BQ199" s="294" t="str">
        <f aca="false">IF($A199="N/A"," ",(VLOOKUP($A199,GasVolTable,(IF('Pricing Inputs'!$AT$3=2,6,IF('Pricing Inputs'!$AT$3=1,7,5))),FALSE())))</f>
        <v> </v>
      </c>
      <c r="BR199" s="294" t="str">
        <f aca="false">IF($A199="N/A"," ",(VLOOKUP($A199,OmicronVol,(IF('Pricing Inputs'!$AT$3=2,3,IF('Pricing Inputs'!$AT$3=1,4,2))),FALSE())))</f>
        <v> </v>
      </c>
      <c r="BS199" s="295" t="str">
        <f aca="false">IF($A199="N/A"," ",IF('Pricing Inputs'!$AN$3=1,(IF(DateToday&gt;$A199,$BR199,((($BQ199^2)*((($A199-1)-DateToday)/((EOMONTH($A199,0)+1)-DateToday-15)))+((($BR199)^2)*((15)/((EOMONTH($A199,0)+1)-DateToday-15))))^0.5)),0.0001))</f>
        <v> </v>
      </c>
      <c r="BT199" s="294" t="str">
        <f aca="false">IF($A199="N/A"," ",IF('Pricing Inputs'!$AN$3=1,(VLOOKUP($A199,CorrelationTable,2,FALSE())),0))</f>
        <v> </v>
      </c>
      <c r="BU199" s="296" t="str">
        <f aca="false">IF($A199="N/A"," ",F199+G199+(D199*(VLOOKUP($A199,'Gas Curves'!$B$17:$P$310,14,FALSE()))))</f>
        <v> </v>
      </c>
      <c r="BV199" s="294" t="str">
        <f aca="false">IF($A199="N/A"," ",IF('Pricing Inputs'!$AW$3=1,0,(VLOOKUP($A199,InterestRatesTable,2))))</f>
        <v> </v>
      </c>
      <c r="BW199" s="297" t="str">
        <f aca="false">IF($A199="N/A"," ",(1+BV199/2)^(-2*((EOMONTH(A199,0)+20)-DateToday)/365.25))</f>
        <v> </v>
      </c>
    </row>
    <row r="200" customFormat="false" ht="12.75" hidden="false" customHeight="false" outlineLevel="0" collapsed="false">
      <c r="A200" s="272" t="str">
        <f aca="false">IF(A199="N/A","N/A",IF(EDATE(A199,1)&gt;Inputs!$K$3,"N/A",EDATE(A199,1)))</f>
        <v>N/A</v>
      </c>
      <c r="B200" s="273" t="str">
        <f aca="false">IF(A200="N/A"," ",YEAR(A200))</f>
        <v> </v>
      </c>
      <c r="C200" s="274" t="str">
        <f aca="false">IF(A200="N/A"," ",VLOOKUP(A200,ScaledPrice,10))</f>
        <v> </v>
      </c>
      <c r="D200" s="275" t="str">
        <f aca="false">IF(A200="N/A"," ",(VLOOKUP(MONTH($A200),Inputs!$A$14:$B$25,2))/1000)</f>
        <v> </v>
      </c>
      <c r="E200" s="276" t="str">
        <f aca="false">IF($A200="N/A"," ",C200*D200)</f>
        <v> </v>
      </c>
      <c r="F200" s="277" t="str">
        <f aca="false">IF(A200="N/A"," ",Inputs!$F$6)</f>
        <v> </v>
      </c>
      <c r="G200" s="277" t="str">
        <f aca="false">IF(A200="N/A"," ",Inputs!$F$9/IF(AND('Pricing Inputs'!$AQ$3&gt;=4,'Pricing Inputs'!$AQ$3&lt;=6),16,IF(AND('Pricing Inputs'!$AQ$3&gt;=7,'Pricing Inputs'!$AQ$3&lt;=9),8,24))/(BA200/BW200))</f>
        <v> </v>
      </c>
      <c r="H200" s="278" t="str">
        <f aca="false">IF(A200="N/A"," ",(C200*D200)+F200+G200)</f>
        <v> </v>
      </c>
      <c r="I200" s="279" t="str">
        <f aca="false">VLOOKUP(A200,ScaledPrice,(IF(AND('Pricing Inputs'!$AQ$3&gt;=1,'Pricing Inputs'!$AQ$3&lt;=6),2,4)))</f>
        <v> </v>
      </c>
      <c r="J200" s="279" t="str">
        <f aca="false">IF(A200="N/A"," ",IF(AND('Pricing Inputs'!$AQ$3&gt;=1,'Pricing Inputs'!$AQ$3&lt;=6),I200,(VLOOKUP(A200,ScaledPrice,2))*(2-(VLOOKUP(A200,ScaledPrice,3)))))</f>
        <v> </v>
      </c>
      <c r="K200" s="279" t="str">
        <f aca="false">IF(A200="N/A"," ",IF(OR('Pricing Inputs'!$AQ$3=2,'Pricing Inputs'!$AQ$3=3,'Pricing Inputs'!$AQ$3=5,'Pricing Inputs'!$AQ$3=6,'Pricing Inputs'!$AQ$3=8,'Pricing Inputs'!$AQ$3=9),VLOOKUP(A200,ScaledPrice,IF(AND('Pricing Inputs'!$AQ$3&gt;=2,'Pricing Inputs'!$AQ$3&lt;=6),5,6)),0))</f>
        <v> </v>
      </c>
      <c r="L200" s="279" t="str">
        <f aca="false">IF(A200="N/A"," ",IF(OR('Pricing Inputs'!$AQ$3=2,'Pricing Inputs'!$AQ$3=3,'Pricing Inputs'!$AQ$3=5,'Pricing Inputs'!$AQ$3=6,'Pricing Inputs'!$AQ$3=8,'Pricing Inputs'!$AQ$3=9),IF(AND('Pricing Inputs'!$AQ$3&gt;=2,'Pricing Inputs'!$AQ$3&lt;=6),K200,(VLOOKUP(A200,ScaledPrice,5))*(2-(VLOOKUP(A200,ScaledPrice,3)))),0))</f>
        <v> </v>
      </c>
      <c r="M200" s="279" t="str">
        <f aca="false">IF(A200="N/A"," ",IF(OR('Pricing Inputs'!$AQ$3=3,'Pricing Inputs'!$AQ$3=6,'Pricing Inputs'!$AQ$3=9),(VLOOKUP(A200,ScaledPrice,IF(AND('Pricing Inputs'!$AQ$3&gt;=3,'Pricing Inputs'!$AQ$3&lt;=6),7,8))),0))</f>
        <v> </v>
      </c>
      <c r="N200" s="279" t="str">
        <f aca="false">IF(A200="N/A"," ",IF(OR('Pricing Inputs'!$AQ$3=3,'Pricing Inputs'!$AQ$3=6,'Pricing Inputs'!$AQ$3=9),IF(AND('Pricing Inputs'!$AQ$3&gt;=3,'Pricing Inputs'!$AQ$3&lt;=6),M200,(VLOOKUP(A200,ScaledPrice,7))*(2-(VLOOKUP(A200,ScaledPrice,3)))),0))</f>
        <v> </v>
      </c>
      <c r="O200" s="279" t="str">
        <f aca="false">IF(A200="N/A"," ",IF(AND('Pricing Inputs'!$AQ$3&gt;=1,'Pricing Inputs'!$AQ$3&lt;=3),VLOOKUP(A200,ScaledPrice,9),0))</f>
        <v> </v>
      </c>
      <c r="P200" s="280" t="str">
        <f aca="false">IF($A200="N/A"," ",IF('Pricing Inputs'!$AN$8=2,(I200-H200),IF('Pricing Inputs'!$AN$3=2,IF((I200-$H200)&gt;0,I200-$H200,0),(xSPRDOPT(I200,$E200,$BU200,0,$BP200,$BS200,$BT200,($A200-Inputs!$D$1)+15,1,0)))))</f>
        <v> </v>
      </c>
      <c r="Q200" s="280" t="str">
        <f aca="false">IF($A200="N/A"," ",IF('Pricing Inputs'!$AN$8=2,(J200-$H200),IF('Pricing Inputs'!$AN$3=2,IF((J200-$H200)&gt;0,J200-$H200,0),(xSPRDOPT(J200,$E200,$BU200,0,$BP200,$BS200,$BT200,($A200-Inputs!$D$1)+15,1,0)))))</f>
        <v> </v>
      </c>
      <c r="R200" s="280" t="str">
        <f aca="false">IF($A200="N/A"," ",IF('Pricing Inputs'!$AN$8=2,(K200-$H200),IF('Pricing Inputs'!$AN$3=2,IF((K200-$H200)&gt;0,K200-$H200,0),(xSPRDOPT(K200,$E200,$BU200,0,$BP200,$BS200,$BT200,($A200-Inputs!$D$1)+15,1,0)))))</f>
        <v> </v>
      </c>
      <c r="S200" s="280" t="str">
        <f aca="false">IF($A200="N/A"," ",IF('Pricing Inputs'!$AN$8=2,(L200-$H200),IF('Pricing Inputs'!$AN$3=2,IF((L200-$H200)&gt;0,L200-$H200,0),(xSPRDOPT(L200,$E200,$BU200,0,$BP200,$BS200,$BT200,($A200-Inputs!$D$1)+15,1,0)))))</f>
        <v> </v>
      </c>
      <c r="T200" s="280" t="str">
        <f aca="false">IF($A200="N/A"," ",IF('Pricing Inputs'!$AN$8=2,(M200-$H200),IF('Pricing Inputs'!$AN$3=2,IF((M200-$H200)&gt;0,M200-$H200,0),(xSPRDOPT(M200,$E200,$BU200,0,$BP200,$BS200,$BT200,($A200-Inputs!$D$1)+15,1,0)))))</f>
        <v> </v>
      </c>
      <c r="U200" s="280" t="str">
        <f aca="false">IF($A200="N/A"," ",IF('Pricing Inputs'!$AN$8=2,(N200-$H200),IF('Pricing Inputs'!$AN$3=2,IF((N200-$H200)&gt;0,N200-$H200,0),(xSPRDOPT(N200,$E200,$BU200,0,$BP200,$BS200,$BT200,($A200-Inputs!$D$1)+15,1,0)))))</f>
        <v> </v>
      </c>
      <c r="V200" s="281" t="str">
        <f aca="false">IF($A200="N/A"," ",(IF('Pricing Inputs'!$AN$8=2,(O200-$H200),IF((O200-$H200)&lt;=0,0,(O200-$H200)))))</f>
        <v> </v>
      </c>
      <c r="W200" s="282" t="str">
        <f aca="false">IF($A200="N/A"," ",IF(0&lt;&gt;P200,IF('Pricing Inputs'!$AN$3=2,8*VLOOKUP($A200,NumberofDaysTable,2),(xSPRDOPT(I200,$E200,$BU200,0,$BP200,$BS200,$BT200,$A200-Inputs!$D$1,1,1))*(8*VLOOKUP($A200,NumberofDaysTable,2))),0))</f>
        <v> </v>
      </c>
      <c r="X200" s="282" t="str">
        <f aca="false">IF($A200="N/A"," ",IF(Q200&lt;&gt;0,IF('Pricing Inputs'!$AN$3=2,8*VLOOKUP($A200,NumberofDaysTable,2),(xSPRDOPT(J200,$E200,$BU200,0,$BP200,$BS200,$BT200,$A200-Inputs!$D$1,1,1))*(8*VLOOKUP($A200,NumberofDaysTable,2))),0))</f>
        <v> </v>
      </c>
      <c r="Y200" s="282" t="str">
        <f aca="false">IF($A200="N/A"," ",IF(R200&lt;&gt;0,IF('Pricing Inputs'!$AN$3=2,8*VLOOKUP($A200,NumberofDaysTable,3),(xSPRDOPT(K200,$E200,$BU200,0,$BP200,$BS200,$BT200,$A200-Inputs!$D$1,1,1))*(8*VLOOKUP($A200,NumberofDaysTable,3))),0))</f>
        <v> </v>
      </c>
      <c r="Z200" s="282" t="str">
        <f aca="false">IF($A200="N/A"," ",IF(S200&lt;&gt;0,IF('Pricing Inputs'!$AN$3=2,8*VLOOKUP($A200,NumberofDaysTable,3),(xSPRDOPT(L200,$E200,$BU200,0,$BP200,$BS200,$BT200,$A200-Inputs!$D$1,1,1))*(8*VLOOKUP($A200,NumberofDaysTable,3))),0))</f>
        <v> </v>
      </c>
      <c r="AA200" s="282" t="str">
        <f aca="false">IF($A200="N/A"," ",IF(T200&lt;&gt;0,IF('Pricing Inputs'!$AN$3=2,8*VLOOKUP($A200,NumberofDaysTable,4),(xSPRDOPT(M200,$E200,$BU200,0,$BP200,$BS200,$BT200,$A200-Inputs!$D$1,1,1))*(8*VLOOKUP($A200,NumberofDaysTable,4))),0))</f>
        <v> </v>
      </c>
      <c r="AB200" s="282" t="str">
        <f aca="false">IF($A200="N/A"," ",IF(U200&lt;&gt;0,IF('Pricing Inputs'!$AN$3=2,8*VLOOKUP($A200,NumberofDaysTable,4),(xSPRDOPT(N200,$E200,$BU200,0,$BP200,$BS200,$BT200,$A200-Inputs!$D$1,1,1))*(8*VLOOKUP($A200,NumberofDaysTable,4))),0))</f>
        <v> </v>
      </c>
      <c r="AC200" s="282" t="str">
        <f aca="false">IF($A200="N/A"," ",(IF(V200&lt;&gt;0,(8*VLOOKUP($A200,NumberofDaysTable,6)),0)))</f>
        <v> </v>
      </c>
      <c r="AD200" s="298" t="str">
        <f aca="false">IF($A200="N/A"," ",RANK(P200,$P$196:$V$207))</f>
        <v> </v>
      </c>
      <c r="AE200" s="299" t="str">
        <f aca="false">IF($A200="N/A"," ",RANK(Q200,$P$196:$V$207))</f>
        <v> </v>
      </c>
      <c r="AF200" s="299" t="str">
        <f aca="false">IF($A200="N/A"," ",RANK(R200,$P$196:$V$207))</f>
        <v> </v>
      </c>
      <c r="AG200" s="299" t="str">
        <f aca="false">IF($A200="N/A"," ",RANK(S200,$P$196:$V$207))</f>
        <v> </v>
      </c>
      <c r="AH200" s="299" t="str">
        <f aca="false">IF($A200="N/A"," ",RANK(T200,$P$196:$V$207))</f>
        <v> </v>
      </c>
      <c r="AI200" s="299" t="str">
        <f aca="false">IF($A200="N/A"," ",RANK(U200,$P$196:$V$207))</f>
        <v> </v>
      </c>
      <c r="AJ200" s="300" t="str">
        <f aca="false">IF($A200="N/A"," ",RANK(V200,$P$196:$V$207))</f>
        <v> </v>
      </c>
      <c r="AK200" s="286" t="str">
        <f aca="false">IF($A200="N/A"," ",IF(AD200&lt;=$AJ$2,W200,0))</f>
        <v> </v>
      </c>
      <c r="AL200" s="301" t="str">
        <f aca="false">IF($A200="N/A"," ",IF(AE200&lt;=$AJ$2,X200,0))</f>
        <v> </v>
      </c>
      <c r="AM200" s="301" t="str">
        <f aca="false">IF($A200="N/A"," ",IF(AF200&lt;=$AJ$2,Y200,0))</f>
        <v> </v>
      </c>
      <c r="AN200" s="301" t="str">
        <f aca="false">IF($A200="N/A"," ",IF(AG200&lt;=$AJ$2,Z200,0))</f>
        <v> </v>
      </c>
      <c r="AO200" s="301" t="str">
        <f aca="false">IF($A200="N/A"," ",IF(AH200&lt;=$AJ$2,AA200,0))</f>
        <v> </v>
      </c>
      <c r="AP200" s="301" t="str">
        <f aca="false">IF($A200="N/A"," ",IF(AI200&lt;=$AJ$2,AB200,0))</f>
        <v> </v>
      </c>
      <c r="AQ200" s="301" t="str">
        <f aca="false">IF($A200="N/A"," ",IF(AJ200&lt;=$AJ$2,AC200,0))</f>
        <v> </v>
      </c>
      <c r="AR200" s="300"/>
      <c r="AS200" s="288" t="str">
        <f aca="false">IF($A200="N/A"," ",IF(AND(AD200=$AJ$2+1,AK200=0),MIN($AR$207,W200),0))</f>
        <v> </v>
      </c>
      <c r="AT200" s="302" t="str">
        <f aca="false">IF($A200="N/A"," ",IF(AND(AE200=$AJ$2+1,AL200=0),MIN($AR$207,X200),0))</f>
        <v> </v>
      </c>
      <c r="AU200" s="302" t="str">
        <f aca="false">IF($A200="N/A"," ",IF(AND(AF200=$AJ$2+1,AM200=0),MIN($AR$207,Y200),0))</f>
        <v> </v>
      </c>
      <c r="AV200" s="302" t="str">
        <f aca="false">IF($A200="N/A"," ",IF(AND(AG200=$AJ$2+1,AN200=0),MIN($AR$207,Z200),0))</f>
        <v> </v>
      </c>
      <c r="AW200" s="302" t="str">
        <f aca="false">IF($A200="N/A"," ",IF(AND(AH200=$AJ$2+1,AO200=0),MIN($AR$207,AA200),0))</f>
        <v> </v>
      </c>
      <c r="AX200" s="302" t="str">
        <f aca="false">IF($A200="N/A"," ",IF(AND(AI200=$AJ$2+1,AP200=0),MIN($AR$207,AB200),0))</f>
        <v> </v>
      </c>
      <c r="AY200" s="302" t="str">
        <f aca="false">IF($A200="N/A"," ",IF(AND(AJ200=$AJ$2+1,AQ200=0),MIN($AR$207,AC200),0))</f>
        <v> </v>
      </c>
      <c r="AZ200" s="300"/>
      <c r="BA200" s="291" t="str">
        <f aca="false">IF($A200="N/A"," ",(IF(MONTH(A200)&gt;=4,IF(MONTH(A200)&lt;=10,Inputs!$F$13,Inputs!$F$14),Inputs!$F$14))*$BW200)</f>
        <v> </v>
      </c>
      <c r="BB200" s="292" t="str">
        <f aca="false">IF($A200="N/A"," ",(IF(AK200&gt;0,($BA200*(8*(VLOOKUP($A200,NumberofDaysTable,2)))*P200),0)+IF(AS200&gt;0,($BA200*((AS200))*P200),0)))</f>
        <v> </v>
      </c>
      <c r="BC200" s="292" t="str">
        <f aca="false">IF($A200="N/A"," ",(IF(AL200&gt;0,($BA200*(8*(VLOOKUP($A200,NumberofDaysTable,2)))*Q200),0)+IF(AT200&gt;0,($BA200*((AT200))*Q200),0)))</f>
        <v> </v>
      </c>
      <c r="BD200" s="292" t="str">
        <f aca="false">IF($A200="N/A"," ",(IF(AM200&gt;0,($BA200*(8*(VLOOKUP($A200,NumberofDaysTable,3)))*R200),0)+IF(AU200&gt;0,($BA200*((AU200))*R200),0)))</f>
        <v> </v>
      </c>
      <c r="BE200" s="292" t="str">
        <f aca="false">IF($A200="N/A"," ",(IF(AN200&gt;0,($BA200*(8*(VLOOKUP($A200,NumberofDaysTable,3)))*S200),0)+IF(AV200&gt;0,($BA200*((AV200))*S200),0)))</f>
        <v> </v>
      </c>
      <c r="BF200" s="292" t="str">
        <f aca="false">IF($A200="N/A"," ",(IF(AO200&gt;0,($BA200*(8*(VLOOKUP($A200,NumberofDaysTable,4)+VLOOKUP($A200,NumberofDaysTable,5)))*T200),0)+IF(AW200&gt;0,($BA200*((AW200))*T200),0)))</f>
        <v> </v>
      </c>
      <c r="BG200" s="292" t="str">
        <f aca="false">IF($A200="N/A"," ",(IF(AP200&gt;0,($BA200*(8*(VLOOKUP($A200,NumberofDaysTable,4)+VLOOKUP($A200,NumberofDaysTable,5)))*U200),0)+IF(AX200&gt;0,($BA200*((AX200))*U200),0)))</f>
        <v> </v>
      </c>
      <c r="BH200" s="292" t="str">
        <f aca="false">IF($A200="N/A"," ",($BA200*AQ200*V200))</f>
        <v> </v>
      </c>
      <c r="BI200" s="292" t="str">
        <f aca="false">IF($A200="N/A"," ",SUM(BB200:BH200))</f>
        <v> </v>
      </c>
      <c r="BJ200" s="293" t="str">
        <f aca="false">IF($A200="N/A"," ",(H200*(SUM(AK200:AQ200)+SUM(AS200:AY200))*BA200))</f>
        <v> </v>
      </c>
      <c r="BK200" s="293" t="str">
        <f aca="false">IF($A200="N/A"," ",((C200*D200)*(SUM($AK200:$AQ200)+SUM($AS200:$AY200))*$BA200))</f>
        <v> </v>
      </c>
      <c r="BL200" s="293" t="str">
        <f aca="false">IF($A200="N/A"," ",(F200*(SUM($AK200:$AQ200)+SUM($AS200:$AY200))*$BA200))</f>
        <v> </v>
      </c>
      <c r="BM200" s="293" t="str">
        <f aca="false">IF($A200="N/A"," ",(G200*(SUM($AK200:$AQ200)+SUM($AS200:$AY200))*$BA200))</f>
        <v> </v>
      </c>
      <c r="BN200" s="294" t="str">
        <f aca="false">IF(A200="N/A"," ",(VLOOKUP(A200,PowerVolTable,(IF('Pricing Inputs'!$AT$3=2,7,IF('Pricing Inputs'!$AT$3=1,6,8))),FALSE())))</f>
        <v> </v>
      </c>
      <c r="BO200" s="294" t="str">
        <f aca="false">IF(A200="N/A"," ",(VLOOKUP(A200,IntraPowerVol,(IF('Pricing Inputs'!$AT$3=2,3,IF('Pricing Inputs'!$AT$3=1,2,4))),FALSE())*VLOOKUP(MONTH($A200),Inputs!$A$28:$B$39,2)))</f>
        <v> </v>
      </c>
      <c r="BP200" s="295" t="str">
        <f aca="false">IF($A200="N/A"," ",(IF(DateToday&gt;$A200,$BO200,((($BN200^2)*((($A200-1)-DateToday)/((EOMONTH($A200,0)+1)-DateToday-15)))+((($BO200)^2)*((15)/((EOMONTH($A200,0)+1)-DateToday-15))))^0.5)))</f>
        <v> </v>
      </c>
      <c r="BQ200" s="294" t="str">
        <f aca="false">IF($A200="N/A"," ",(VLOOKUP($A200,GasVolTable,(IF('Pricing Inputs'!$AT$3=2,6,IF('Pricing Inputs'!$AT$3=1,7,5))),FALSE())))</f>
        <v> </v>
      </c>
      <c r="BR200" s="294" t="str">
        <f aca="false">IF($A200="N/A"," ",(VLOOKUP($A200,OmicronVol,(IF('Pricing Inputs'!$AT$3=2,3,IF('Pricing Inputs'!$AT$3=1,4,2))),FALSE())))</f>
        <v> </v>
      </c>
      <c r="BS200" s="295" t="str">
        <f aca="false">IF($A200="N/A"," ",IF('Pricing Inputs'!$AN$3=1,(IF(DateToday&gt;$A200,$BR200,((($BQ200^2)*((($A200-1)-DateToday)/((EOMONTH($A200,0)+1)-DateToday-15)))+((($BR200)^2)*((15)/((EOMONTH($A200,0)+1)-DateToday-15))))^0.5)),0.0001))</f>
        <v> </v>
      </c>
      <c r="BT200" s="294" t="str">
        <f aca="false">IF($A200="N/A"," ",IF('Pricing Inputs'!$AN$3=1,(VLOOKUP($A200,CorrelationTable,2,FALSE())),0))</f>
        <v> </v>
      </c>
      <c r="BU200" s="296" t="str">
        <f aca="false">IF($A200="N/A"," ",F200+G200+(D200*(VLOOKUP($A200,'Gas Curves'!$B$17:$P$310,14,FALSE()))))</f>
        <v> </v>
      </c>
      <c r="BV200" s="294" t="str">
        <f aca="false">IF($A200="N/A"," ",IF('Pricing Inputs'!$AW$3=1,0,(VLOOKUP($A200,InterestRatesTable,2))))</f>
        <v> </v>
      </c>
      <c r="BW200" s="297" t="str">
        <f aca="false">IF($A200="N/A"," ",(1+BV200/2)^(-2*((EOMONTH(A200,0)+20)-DateToday)/365.25))</f>
        <v> </v>
      </c>
    </row>
    <row r="201" customFormat="false" ht="12.75" hidden="false" customHeight="false" outlineLevel="0" collapsed="false">
      <c r="A201" s="272" t="str">
        <f aca="false">IF(A200="N/A","N/A",IF(EDATE(A200,1)&gt;Inputs!$K$3,"N/A",EDATE(A200,1)))</f>
        <v>N/A</v>
      </c>
      <c r="B201" s="273" t="str">
        <f aca="false">IF(A201="N/A"," ",YEAR(A201))</f>
        <v> </v>
      </c>
      <c r="C201" s="274" t="str">
        <f aca="false">IF(A201="N/A"," ",VLOOKUP(A201,ScaledPrice,10))</f>
        <v> </v>
      </c>
      <c r="D201" s="275" t="str">
        <f aca="false">IF(A201="N/A"," ",(VLOOKUP(MONTH($A201),Inputs!$A$14:$B$25,2))/1000)</f>
        <v> </v>
      </c>
      <c r="E201" s="276" t="str">
        <f aca="false">IF($A201="N/A"," ",C201*D201)</f>
        <v> </v>
      </c>
      <c r="F201" s="277" t="str">
        <f aca="false">IF(A201="N/A"," ",Inputs!$F$6)</f>
        <v> </v>
      </c>
      <c r="G201" s="277" t="str">
        <f aca="false">IF(A201="N/A"," ",Inputs!$F$9/IF(AND('Pricing Inputs'!$AQ$3&gt;=4,'Pricing Inputs'!$AQ$3&lt;=6),16,IF(AND('Pricing Inputs'!$AQ$3&gt;=7,'Pricing Inputs'!$AQ$3&lt;=9),8,24))/(BA201/BW201))</f>
        <v> </v>
      </c>
      <c r="H201" s="278" t="str">
        <f aca="false">IF(A201="N/A"," ",(C201*D201)+F201+G201)</f>
        <v> </v>
      </c>
      <c r="I201" s="279" t="str">
        <f aca="false">VLOOKUP(A201,ScaledPrice,(IF(AND('Pricing Inputs'!$AQ$3&gt;=1,'Pricing Inputs'!$AQ$3&lt;=6),2,4)))</f>
        <v> </v>
      </c>
      <c r="J201" s="279" t="str">
        <f aca="false">IF(A201="N/A"," ",IF(AND('Pricing Inputs'!$AQ$3&gt;=1,'Pricing Inputs'!$AQ$3&lt;=6),I201,(VLOOKUP(A201,ScaledPrice,2))*(2-(VLOOKUP(A201,ScaledPrice,3)))))</f>
        <v> </v>
      </c>
      <c r="K201" s="279" t="str">
        <f aca="false">IF(A201="N/A"," ",IF(OR('Pricing Inputs'!$AQ$3=2,'Pricing Inputs'!$AQ$3=3,'Pricing Inputs'!$AQ$3=5,'Pricing Inputs'!$AQ$3=6,'Pricing Inputs'!$AQ$3=8,'Pricing Inputs'!$AQ$3=9),VLOOKUP(A201,ScaledPrice,IF(AND('Pricing Inputs'!$AQ$3&gt;=2,'Pricing Inputs'!$AQ$3&lt;=6),5,6)),0))</f>
        <v> </v>
      </c>
      <c r="L201" s="279" t="str">
        <f aca="false">IF(A201="N/A"," ",IF(OR('Pricing Inputs'!$AQ$3=2,'Pricing Inputs'!$AQ$3=3,'Pricing Inputs'!$AQ$3=5,'Pricing Inputs'!$AQ$3=6,'Pricing Inputs'!$AQ$3=8,'Pricing Inputs'!$AQ$3=9),IF(AND('Pricing Inputs'!$AQ$3&gt;=2,'Pricing Inputs'!$AQ$3&lt;=6),K201,(VLOOKUP(A201,ScaledPrice,5))*(2-(VLOOKUP(A201,ScaledPrice,3)))),0))</f>
        <v> </v>
      </c>
      <c r="M201" s="279" t="str">
        <f aca="false">IF(A201="N/A"," ",IF(OR('Pricing Inputs'!$AQ$3=3,'Pricing Inputs'!$AQ$3=6,'Pricing Inputs'!$AQ$3=9),(VLOOKUP(A201,ScaledPrice,IF(AND('Pricing Inputs'!$AQ$3&gt;=3,'Pricing Inputs'!$AQ$3&lt;=6),7,8))),0))</f>
        <v> </v>
      </c>
      <c r="N201" s="279" t="str">
        <f aca="false">IF(A201="N/A"," ",IF(OR('Pricing Inputs'!$AQ$3=3,'Pricing Inputs'!$AQ$3=6,'Pricing Inputs'!$AQ$3=9),IF(AND('Pricing Inputs'!$AQ$3&gt;=3,'Pricing Inputs'!$AQ$3&lt;=6),M201,(VLOOKUP(A201,ScaledPrice,7))*(2-(VLOOKUP(A201,ScaledPrice,3)))),0))</f>
        <v> </v>
      </c>
      <c r="O201" s="279" t="str">
        <f aca="false">IF(A201="N/A"," ",IF(AND('Pricing Inputs'!$AQ$3&gt;=1,'Pricing Inputs'!$AQ$3&lt;=3),VLOOKUP(A201,ScaledPrice,9),0))</f>
        <v> </v>
      </c>
      <c r="P201" s="280" t="str">
        <f aca="false">IF($A201="N/A"," ",IF('Pricing Inputs'!$AN$8=2,(I201-H201),IF('Pricing Inputs'!$AN$3=2,IF((I201-$H201)&gt;0,I201-$H201,0),(xSPRDOPT(I201,$E201,$BU201,0,$BP201,$BS201,$BT201,($A201-Inputs!$D$1)+15,1,0)))))</f>
        <v> </v>
      </c>
      <c r="Q201" s="280" t="str">
        <f aca="false">IF($A201="N/A"," ",IF('Pricing Inputs'!$AN$8=2,(J201-$H201),IF('Pricing Inputs'!$AN$3=2,IF((J201-$H201)&gt;0,J201-$H201,0),(xSPRDOPT(J201,$E201,$BU201,0,$BP201,$BS201,$BT201,($A201-Inputs!$D$1)+15,1,0)))))</f>
        <v> </v>
      </c>
      <c r="R201" s="280" t="str">
        <f aca="false">IF($A201="N/A"," ",IF('Pricing Inputs'!$AN$8=2,(K201-$H201),IF('Pricing Inputs'!$AN$3=2,IF((K201-$H201)&gt;0,K201-$H201,0),(xSPRDOPT(K201,$E201,$BU201,0,$BP201,$BS201,$BT201,($A201-Inputs!$D$1)+15,1,0)))))</f>
        <v> </v>
      </c>
      <c r="S201" s="280" t="str">
        <f aca="false">IF($A201="N/A"," ",IF('Pricing Inputs'!$AN$8=2,(L201-$H201),IF('Pricing Inputs'!$AN$3=2,IF((L201-$H201)&gt;0,L201-$H201,0),(xSPRDOPT(L201,$E201,$BU201,0,$BP201,$BS201,$BT201,($A201-Inputs!$D$1)+15,1,0)))))</f>
        <v> </v>
      </c>
      <c r="T201" s="280" t="str">
        <f aca="false">IF($A201="N/A"," ",IF('Pricing Inputs'!$AN$8=2,(M201-$H201),IF('Pricing Inputs'!$AN$3=2,IF((M201-$H201)&gt;0,M201-$H201,0),(xSPRDOPT(M201,$E201,$BU201,0,$BP201,$BS201,$BT201,($A201-Inputs!$D$1)+15,1,0)))))</f>
        <v> </v>
      </c>
      <c r="U201" s="280" t="str">
        <f aca="false">IF($A201="N/A"," ",IF('Pricing Inputs'!$AN$8=2,(N201-$H201),IF('Pricing Inputs'!$AN$3=2,IF((N201-$H201)&gt;0,N201-$H201,0),(xSPRDOPT(N201,$E201,$BU201,0,$BP201,$BS201,$BT201,($A201-Inputs!$D$1)+15,1,0)))))</f>
        <v> </v>
      </c>
      <c r="V201" s="281" t="str">
        <f aca="false">IF($A201="N/A"," ",(IF('Pricing Inputs'!$AN$8=2,(O201-$H201),IF((O201-$H201)&lt;=0,0,(O201-$H201)))))</f>
        <v> </v>
      </c>
      <c r="W201" s="282" t="str">
        <f aca="false">IF($A201="N/A"," ",IF(0&lt;&gt;P201,IF('Pricing Inputs'!$AN$3=2,8*VLOOKUP($A201,NumberofDaysTable,2),(xSPRDOPT(I201,$E201,$BU201,0,$BP201,$BS201,$BT201,$A201-Inputs!$D$1,1,1))*(8*VLOOKUP($A201,NumberofDaysTable,2))),0))</f>
        <v> </v>
      </c>
      <c r="X201" s="282" t="str">
        <f aca="false">IF($A201="N/A"," ",IF(Q201&lt;&gt;0,IF('Pricing Inputs'!$AN$3=2,8*VLOOKUP($A201,NumberofDaysTable,2),(xSPRDOPT(J201,$E201,$BU201,0,$BP201,$BS201,$BT201,$A201-Inputs!$D$1,1,1))*(8*VLOOKUP($A201,NumberofDaysTable,2))),0))</f>
        <v> </v>
      </c>
      <c r="Y201" s="282" t="str">
        <f aca="false">IF($A201="N/A"," ",IF(R201&lt;&gt;0,IF('Pricing Inputs'!$AN$3=2,8*VLOOKUP($A201,NumberofDaysTable,3),(xSPRDOPT(K201,$E201,$BU201,0,$BP201,$BS201,$BT201,$A201-Inputs!$D$1,1,1))*(8*VLOOKUP($A201,NumberofDaysTable,3))),0))</f>
        <v> </v>
      </c>
      <c r="Z201" s="282" t="str">
        <f aca="false">IF($A201="N/A"," ",IF(S201&lt;&gt;0,IF('Pricing Inputs'!$AN$3=2,8*VLOOKUP($A201,NumberofDaysTable,3),(xSPRDOPT(L201,$E201,$BU201,0,$BP201,$BS201,$BT201,$A201-Inputs!$D$1,1,1))*(8*VLOOKUP($A201,NumberofDaysTable,3))),0))</f>
        <v> </v>
      </c>
      <c r="AA201" s="282" t="str">
        <f aca="false">IF($A201="N/A"," ",IF(T201&lt;&gt;0,IF('Pricing Inputs'!$AN$3=2,8*VLOOKUP($A201,NumberofDaysTable,4),(xSPRDOPT(M201,$E201,$BU201,0,$BP201,$BS201,$BT201,$A201-Inputs!$D$1,1,1))*(8*VLOOKUP($A201,NumberofDaysTable,4))),0))</f>
        <v> </v>
      </c>
      <c r="AB201" s="282" t="str">
        <f aca="false">IF($A201="N/A"," ",IF(U201&lt;&gt;0,IF('Pricing Inputs'!$AN$3=2,8*VLOOKUP($A201,NumberofDaysTable,4),(xSPRDOPT(N201,$E201,$BU201,0,$BP201,$BS201,$BT201,$A201-Inputs!$D$1,1,1))*(8*VLOOKUP($A201,NumberofDaysTable,4))),0))</f>
        <v> </v>
      </c>
      <c r="AC201" s="282" t="str">
        <f aca="false">IF($A201="N/A"," ",(IF(V201&lt;&gt;0,(8*VLOOKUP($A201,NumberofDaysTable,6)),0)))</f>
        <v> </v>
      </c>
      <c r="AD201" s="298" t="str">
        <f aca="false">IF($A201="N/A"," ",RANK(P201,$P$196:$V$207))</f>
        <v> </v>
      </c>
      <c r="AE201" s="299" t="str">
        <f aca="false">IF($A201="N/A"," ",RANK(Q201,$P$196:$V$207))</f>
        <v> </v>
      </c>
      <c r="AF201" s="299" t="str">
        <f aca="false">IF($A201="N/A"," ",RANK(R201,$P$196:$V$207))</f>
        <v> </v>
      </c>
      <c r="AG201" s="299" t="str">
        <f aca="false">IF($A201="N/A"," ",RANK(S201,$P$196:$V$207))</f>
        <v> </v>
      </c>
      <c r="AH201" s="299" t="str">
        <f aca="false">IF($A201="N/A"," ",RANK(T201,$P$196:$V$207))</f>
        <v> </v>
      </c>
      <c r="AI201" s="299" t="str">
        <f aca="false">IF($A201="N/A"," ",RANK(U201,$P$196:$V$207))</f>
        <v> </v>
      </c>
      <c r="AJ201" s="300" t="str">
        <f aca="false">IF($A201="N/A"," ",RANK(V201,$P$196:$V$207))</f>
        <v> </v>
      </c>
      <c r="AK201" s="286" t="str">
        <f aca="false">IF($A201="N/A"," ",IF(AD201&lt;=$AJ$2,W201,0))</f>
        <v> </v>
      </c>
      <c r="AL201" s="301" t="str">
        <f aca="false">IF($A201="N/A"," ",IF(AE201&lt;=$AJ$2,X201,0))</f>
        <v> </v>
      </c>
      <c r="AM201" s="301" t="str">
        <f aca="false">IF($A201="N/A"," ",IF(AF201&lt;=$AJ$2,Y201,0))</f>
        <v> </v>
      </c>
      <c r="AN201" s="301" t="str">
        <f aca="false">IF($A201="N/A"," ",IF(AG201&lt;=$AJ$2,Z201,0))</f>
        <v> </v>
      </c>
      <c r="AO201" s="301" t="str">
        <f aca="false">IF($A201="N/A"," ",IF(AH201&lt;=$AJ$2,AA201,0))</f>
        <v> </v>
      </c>
      <c r="AP201" s="301" t="str">
        <f aca="false">IF($A201="N/A"," ",IF(AI201&lt;=$AJ$2,AB201,0))</f>
        <v> </v>
      </c>
      <c r="AQ201" s="301" t="str">
        <f aca="false">IF($A201="N/A"," ",IF(AJ201&lt;=$AJ$2,AC201,0))</f>
        <v> </v>
      </c>
      <c r="AR201" s="300"/>
      <c r="AS201" s="288" t="str">
        <f aca="false">IF($A201="N/A"," ",IF(AND(AD201=$AJ$2+1,AK201=0),MIN($AR$207,W201),0))</f>
        <v> </v>
      </c>
      <c r="AT201" s="302" t="str">
        <f aca="false">IF($A201="N/A"," ",IF(AND(AE201=$AJ$2+1,AL201=0),MIN($AR$207,X201),0))</f>
        <v> </v>
      </c>
      <c r="AU201" s="302" t="str">
        <f aca="false">IF($A201="N/A"," ",IF(AND(AF201=$AJ$2+1,AM201=0),MIN($AR$207,Y201),0))</f>
        <v> </v>
      </c>
      <c r="AV201" s="302" t="str">
        <f aca="false">IF($A201="N/A"," ",IF(AND(AG201=$AJ$2+1,AN201=0),MIN($AR$207,Z201),0))</f>
        <v> </v>
      </c>
      <c r="AW201" s="302" t="str">
        <f aca="false">IF($A201="N/A"," ",IF(AND(AH201=$AJ$2+1,AO201=0),MIN($AR$207,AA201),0))</f>
        <v> </v>
      </c>
      <c r="AX201" s="302" t="str">
        <f aca="false">IF($A201="N/A"," ",IF(AND(AI201=$AJ$2+1,AP201=0),MIN($AR$207,AB201),0))</f>
        <v> </v>
      </c>
      <c r="AY201" s="302" t="str">
        <f aca="false">IF($A201="N/A"," ",IF(AND(AJ201=$AJ$2+1,AQ201=0),MIN($AR$207,AC201),0))</f>
        <v> </v>
      </c>
      <c r="AZ201" s="300"/>
      <c r="BA201" s="291" t="str">
        <f aca="false">IF($A201="N/A"," ",(IF(MONTH(A201)&gt;=4,IF(MONTH(A201)&lt;=10,Inputs!$F$13,Inputs!$F$14),Inputs!$F$14))*$BW201)</f>
        <v> </v>
      </c>
      <c r="BB201" s="292" t="str">
        <f aca="false">IF($A201="N/A"," ",(IF(AK201&gt;0,($BA201*(8*(VLOOKUP($A201,NumberofDaysTable,2)))*P201),0)+IF(AS201&gt;0,($BA201*((AS201))*P201),0)))</f>
        <v> </v>
      </c>
      <c r="BC201" s="292" t="str">
        <f aca="false">IF($A201="N/A"," ",(IF(AL201&gt;0,($BA201*(8*(VLOOKUP($A201,NumberofDaysTable,2)))*Q201),0)+IF(AT201&gt;0,($BA201*((AT201))*Q201),0)))</f>
        <v> </v>
      </c>
      <c r="BD201" s="292" t="str">
        <f aca="false">IF($A201="N/A"," ",(IF(AM201&gt;0,($BA201*(8*(VLOOKUP($A201,NumberofDaysTable,3)))*R201),0)+IF(AU201&gt;0,($BA201*((AU201))*R201),0)))</f>
        <v> </v>
      </c>
      <c r="BE201" s="292" t="str">
        <f aca="false">IF($A201="N/A"," ",(IF(AN201&gt;0,($BA201*(8*(VLOOKUP($A201,NumberofDaysTable,3)))*S201),0)+IF(AV201&gt;0,($BA201*((AV201))*S201),0)))</f>
        <v> </v>
      </c>
      <c r="BF201" s="292" t="str">
        <f aca="false">IF($A201="N/A"," ",(IF(AO201&gt;0,($BA201*(8*(VLOOKUP($A201,NumberofDaysTable,4)+VLOOKUP($A201,NumberofDaysTable,5)))*T201),0)+IF(AW201&gt;0,($BA201*((AW201))*T201),0)))</f>
        <v> </v>
      </c>
      <c r="BG201" s="292" t="str">
        <f aca="false">IF($A201="N/A"," ",(IF(AP201&gt;0,($BA201*(8*(VLOOKUP($A201,NumberofDaysTable,4)+VLOOKUP($A201,NumberofDaysTable,5)))*U201),0)+IF(AX201&gt;0,($BA201*((AX201))*U201),0)))</f>
        <v> </v>
      </c>
      <c r="BH201" s="292" t="str">
        <f aca="false">IF($A201="N/A"," ",($BA201*AQ201*V201))</f>
        <v> </v>
      </c>
      <c r="BI201" s="292" t="str">
        <f aca="false">IF($A201="N/A"," ",SUM(BB201:BH201))</f>
        <v> </v>
      </c>
      <c r="BJ201" s="293" t="str">
        <f aca="false">IF($A201="N/A"," ",(H201*(SUM(AK201:AQ201)+SUM(AS201:AY201))*BA201))</f>
        <v> </v>
      </c>
      <c r="BK201" s="293" t="str">
        <f aca="false">IF($A201="N/A"," ",((C201*D201)*(SUM($AK201:$AQ201)+SUM($AS201:$AY201))*$BA201))</f>
        <v> </v>
      </c>
      <c r="BL201" s="293" t="str">
        <f aca="false">IF($A201="N/A"," ",(F201*(SUM($AK201:$AQ201)+SUM($AS201:$AY201))*$BA201))</f>
        <v> </v>
      </c>
      <c r="BM201" s="293" t="str">
        <f aca="false">IF($A201="N/A"," ",(G201*(SUM($AK201:$AQ201)+SUM($AS201:$AY201))*$BA201))</f>
        <v> </v>
      </c>
      <c r="BN201" s="294" t="str">
        <f aca="false">IF(A201="N/A"," ",(VLOOKUP(A201,PowerVolTable,(IF('Pricing Inputs'!$AT$3=2,7,IF('Pricing Inputs'!$AT$3=1,6,8))),FALSE())))</f>
        <v> </v>
      </c>
      <c r="BO201" s="294" t="str">
        <f aca="false">IF(A201="N/A"," ",(VLOOKUP(A201,IntraPowerVol,(IF('Pricing Inputs'!$AT$3=2,3,IF('Pricing Inputs'!$AT$3=1,2,4))),FALSE())*VLOOKUP(MONTH($A201),Inputs!$A$28:$B$39,2)))</f>
        <v> </v>
      </c>
      <c r="BP201" s="295" t="str">
        <f aca="false">IF($A201="N/A"," ",(IF(DateToday&gt;$A201,$BO201,((($BN201^2)*((($A201-1)-DateToday)/((EOMONTH($A201,0)+1)-DateToday-15)))+((($BO201)^2)*((15)/((EOMONTH($A201,0)+1)-DateToday-15))))^0.5)))</f>
        <v> </v>
      </c>
      <c r="BQ201" s="294" t="str">
        <f aca="false">IF($A201="N/A"," ",(VLOOKUP($A201,GasVolTable,(IF('Pricing Inputs'!$AT$3=2,6,IF('Pricing Inputs'!$AT$3=1,7,5))),FALSE())))</f>
        <v> </v>
      </c>
      <c r="BR201" s="294" t="str">
        <f aca="false">IF($A201="N/A"," ",(VLOOKUP($A201,OmicronVol,(IF('Pricing Inputs'!$AT$3=2,3,IF('Pricing Inputs'!$AT$3=1,4,2))),FALSE())))</f>
        <v> </v>
      </c>
      <c r="BS201" s="295" t="str">
        <f aca="false">IF($A201="N/A"," ",IF('Pricing Inputs'!$AN$3=1,(IF(DateToday&gt;$A201,$BR201,((($BQ201^2)*((($A201-1)-DateToday)/((EOMONTH($A201,0)+1)-DateToday-15)))+((($BR201)^2)*((15)/((EOMONTH($A201,0)+1)-DateToday-15))))^0.5)),0.0001))</f>
        <v> </v>
      </c>
      <c r="BT201" s="294" t="str">
        <f aca="false">IF($A201="N/A"," ",IF('Pricing Inputs'!$AN$3=1,(VLOOKUP($A201,CorrelationTable,2,FALSE())),0))</f>
        <v> </v>
      </c>
      <c r="BU201" s="296" t="str">
        <f aca="false">IF($A201="N/A"," ",F201+G201+(D201*(VLOOKUP($A201,'Gas Curves'!$B$17:$P$310,14,FALSE()))))</f>
        <v> </v>
      </c>
      <c r="BV201" s="294" t="str">
        <f aca="false">IF($A201="N/A"," ",IF('Pricing Inputs'!$AW$3=1,0,(VLOOKUP($A201,InterestRatesTable,2))))</f>
        <v> </v>
      </c>
      <c r="BW201" s="297" t="str">
        <f aca="false">IF($A201="N/A"," ",(1+BV201/2)^(-2*((EOMONTH(A201,0)+20)-DateToday)/365.25))</f>
        <v> </v>
      </c>
    </row>
    <row r="202" customFormat="false" ht="12.75" hidden="false" customHeight="false" outlineLevel="0" collapsed="false">
      <c r="A202" s="272" t="str">
        <f aca="false">IF(A201="N/A","N/A",IF(EDATE(A201,1)&gt;Inputs!$K$3,"N/A",EDATE(A201,1)))</f>
        <v>N/A</v>
      </c>
      <c r="B202" s="273" t="str">
        <f aca="false">IF(A202="N/A"," ",YEAR(A202))</f>
        <v> </v>
      </c>
      <c r="C202" s="274" t="str">
        <f aca="false">IF(A202="N/A"," ",VLOOKUP(A202,ScaledPrice,10))</f>
        <v> </v>
      </c>
      <c r="D202" s="275" t="str">
        <f aca="false">IF(A202="N/A"," ",(VLOOKUP(MONTH($A202),Inputs!$A$14:$B$25,2))/1000)</f>
        <v> </v>
      </c>
      <c r="E202" s="276" t="str">
        <f aca="false">IF($A202="N/A"," ",C202*D202)</f>
        <v> </v>
      </c>
      <c r="F202" s="277" t="str">
        <f aca="false">IF(A202="N/A"," ",Inputs!$F$6)</f>
        <v> </v>
      </c>
      <c r="G202" s="277" t="str">
        <f aca="false">IF(A202="N/A"," ",Inputs!$F$9/IF(AND('Pricing Inputs'!$AQ$3&gt;=4,'Pricing Inputs'!$AQ$3&lt;=6),16,IF(AND('Pricing Inputs'!$AQ$3&gt;=7,'Pricing Inputs'!$AQ$3&lt;=9),8,24))/(BA202/BW202))</f>
        <v> </v>
      </c>
      <c r="H202" s="278" t="str">
        <f aca="false">IF(A202="N/A"," ",(C202*D202)+F202+G202)</f>
        <v> </v>
      </c>
      <c r="I202" s="279" t="str">
        <f aca="false">VLOOKUP(A202,ScaledPrice,(IF(AND('Pricing Inputs'!$AQ$3&gt;=1,'Pricing Inputs'!$AQ$3&lt;=6),2,4)))</f>
        <v> </v>
      </c>
      <c r="J202" s="279" t="str">
        <f aca="false">IF(A202="N/A"," ",IF(AND('Pricing Inputs'!$AQ$3&gt;=1,'Pricing Inputs'!$AQ$3&lt;=6),I202,(VLOOKUP(A202,ScaledPrice,2))*(2-(VLOOKUP(A202,ScaledPrice,3)))))</f>
        <v> </v>
      </c>
      <c r="K202" s="279" t="str">
        <f aca="false">IF(A202="N/A"," ",IF(OR('Pricing Inputs'!$AQ$3=2,'Pricing Inputs'!$AQ$3=3,'Pricing Inputs'!$AQ$3=5,'Pricing Inputs'!$AQ$3=6,'Pricing Inputs'!$AQ$3=8,'Pricing Inputs'!$AQ$3=9),VLOOKUP(A202,ScaledPrice,IF(AND('Pricing Inputs'!$AQ$3&gt;=2,'Pricing Inputs'!$AQ$3&lt;=6),5,6)),0))</f>
        <v> </v>
      </c>
      <c r="L202" s="279" t="str">
        <f aca="false">IF(A202="N/A"," ",IF(OR('Pricing Inputs'!$AQ$3=2,'Pricing Inputs'!$AQ$3=3,'Pricing Inputs'!$AQ$3=5,'Pricing Inputs'!$AQ$3=6,'Pricing Inputs'!$AQ$3=8,'Pricing Inputs'!$AQ$3=9),IF(AND('Pricing Inputs'!$AQ$3&gt;=2,'Pricing Inputs'!$AQ$3&lt;=6),K202,(VLOOKUP(A202,ScaledPrice,5))*(2-(VLOOKUP(A202,ScaledPrice,3)))),0))</f>
        <v> </v>
      </c>
      <c r="M202" s="279" t="str">
        <f aca="false">IF(A202="N/A"," ",IF(OR('Pricing Inputs'!$AQ$3=3,'Pricing Inputs'!$AQ$3=6,'Pricing Inputs'!$AQ$3=9),(VLOOKUP(A202,ScaledPrice,IF(AND('Pricing Inputs'!$AQ$3&gt;=3,'Pricing Inputs'!$AQ$3&lt;=6),7,8))),0))</f>
        <v> </v>
      </c>
      <c r="N202" s="279" t="str">
        <f aca="false">IF(A202="N/A"," ",IF(OR('Pricing Inputs'!$AQ$3=3,'Pricing Inputs'!$AQ$3=6,'Pricing Inputs'!$AQ$3=9),IF(AND('Pricing Inputs'!$AQ$3&gt;=3,'Pricing Inputs'!$AQ$3&lt;=6),M202,(VLOOKUP(A202,ScaledPrice,7))*(2-(VLOOKUP(A202,ScaledPrice,3)))),0))</f>
        <v> </v>
      </c>
      <c r="O202" s="279" t="str">
        <f aca="false">IF(A202="N/A"," ",IF(AND('Pricing Inputs'!$AQ$3&gt;=1,'Pricing Inputs'!$AQ$3&lt;=3),VLOOKUP(A202,ScaledPrice,9),0))</f>
        <v> </v>
      </c>
      <c r="P202" s="280" t="str">
        <f aca="false">IF($A202="N/A"," ",IF('Pricing Inputs'!$AN$8=2,(I202-H202),IF('Pricing Inputs'!$AN$3=2,IF((I202-$H202)&gt;0,I202-$H202,0),(xSPRDOPT(I202,$E202,$BU202,0,$BP202,$BS202,$BT202,($A202-Inputs!$D$1)+15,1,0)))))</f>
        <v> </v>
      </c>
      <c r="Q202" s="280" t="str">
        <f aca="false">IF($A202="N/A"," ",IF('Pricing Inputs'!$AN$8=2,(J202-$H202),IF('Pricing Inputs'!$AN$3=2,IF((J202-$H202)&gt;0,J202-$H202,0),(xSPRDOPT(J202,$E202,$BU202,0,$BP202,$BS202,$BT202,($A202-Inputs!$D$1)+15,1,0)))))</f>
        <v> </v>
      </c>
      <c r="R202" s="280" t="str">
        <f aca="false">IF($A202="N/A"," ",IF('Pricing Inputs'!$AN$8=2,(K202-$H202),IF('Pricing Inputs'!$AN$3=2,IF((K202-$H202)&gt;0,K202-$H202,0),(xSPRDOPT(K202,$E202,$BU202,0,$BP202,$BS202,$BT202,($A202-Inputs!$D$1)+15,1,0)))))</f>
        <v> </v>
      </c>
      <c r="S202" s="280" t="str">
        <f aca="false">IF($A202="N/A"," ",IF('Pricing Inputs'!$AN$8=2,(L202-$H202),IF('Pricing Inputs'!$AN$3=2,IF((L202-$H202)&gt;0,L202-$H202,0),(xSPRDOPT(L202,$E202,$BU202,0,$BP202,$BS202,$BT202,($A202-Inputs!$D$1)+15,1,0)))))</f>
        <v> </v>
      </c>
      <c r="T202" s="280" t="str">
        <f aca="false">IF($A202="N/A"," ",IF('Pricing Inputs'!$AN$8=2,(M202-$H202),IF('Pricing Inputs'!$AN$3=2,IF((M202-$H202)&gt;0,M202-$H202,0),(xSPRDOPT(M202,$E202,$BU202,0,$BP202,$BS202,$BT202,($A202-Inputs!$D$1)+15,1,0)))))</f>
        <v> </v>
      </c>
      <c r="U202" s="280" t="str">
        <f aca="false">IF($A202="N/A"," ",IF('Pricing Inputs'!$AN$8=2,(N202-$H202),IF('Pricing Inputs'!$AN$3=2,IF((N202-$H202)&gt;0,N202-$H202,0),(xSPRDOPT(N202,$E202,$BU202,0,$BP202,$BS202,$BT202,($A202-Inputs!$D$1)+15,1,0)))))</f>
        <v> </v>
      </c>
      <c r="V202" s="281" t="str">
        <f aca="false">IF($A202="N/A"," ",(IF('Pricing Inputs'!$AN$8=2,(O202-$H202),IF((O202-$H202)&lt;=0,0,(O202-$H202)))))</f>
        <v> </v>
      </c>
      <c r="W202" s="282" t="str">
        <f aca="false">IF($A202="N/A"," ",IF(0&lt;&gt;P202,IF('Pricing Inputs'!$AN$3=2,8*VLOOKUP($A202,NumberofDaysTable,2),(xSPRDOPT(I202,$E202,$BU202,0,$BP202,$BS202,$BT202,$A202-Inputs!$D$1,1,1))*(8*VLOOKUP($A202,NumberofDaysTable,2))),0))</f>
        <v> </v>
      </c>
      <c r="X202" s="282" t="str">
        <f aca="false">IF($A202="N/A"," ",IF(Q202&lt;&gt;0,IF('Pricing Inputs'!$AN$3=2,8*VLOOKUP($A202,NumberofDaysTable,2),(xSPRDOPT(J202,$E202,$BU202,0,$BP202,$BS202,$BT202,$A202-Inputs!$D$1,1,1))*(8*VLOOKUP($A202,NumberofDaysTable,2))),0))</f>
        <v> </v>
      </c>
      <c r="Y202" s="282" t="str">
        <f aca="false">IF($A202="N/A"," ",IF(R202&lt;&gt;0,IF('Pricing Inputs'!$AN$3=2,8*VLOOKUP($A202,NumberofDaysTable,3),(xSPRDOPT(K202,$E202,$BU202,0,$BP202,$BS202,$BT202,$A202-Inputs!$D$1,1,1))*(8*VLOOKUP($A202,NumberofDaysTable,3))),0))</f>
        <v> </v>
      </c>
      <c r="Z202" s="282" t="str">
        <f aca="false">IF($A202="N/A"," ",IF(S202&lt;&gt;0,IF('Pricing Inputs'!$AN$3=2,8*VLOOKUP($A202,NumberofDaysTable,3),(xSPRDOPT(L202,$E202,$BU202,0,$BP202,$BS202,$BT202,$A202-Inputs!$D$1,1,1))*(8*VLOOKUP($A202,NumberofDaysTable,3))),0))</f>
        <v> </v>
      </c>
      <c r="AA202" s="282" t="str">
        <f aca="false">IF($A202="N/A"," ",IF(T202&lt;&gt;0,IF('Pricing Inputs'!$AN$3=2,8*VLOOKUP($A202,NumberofDaysTable,4),(xSPRDOPT(M202,$E202,$BU202,0,$BP202,$BS202,$BT202,$A202-Inputs!$D$1,1,1))*(8*VLOOKUP($A202,NumberofDaysTable,4))),0))</f>
        <v> </v>
      </c>
      <c r="AB202" s="282" t="str">
        <f aca="false">IF($A202="N/A"," ",IF(U202&lt;&gt;0,IF('Pricing Inputs'!$AN$3=2,8*VLOOKUP($A202,NumberofDaysTable,4),(xSPRDOPT(N202,$E202,$BU202,0,$BP202,$BS202,$BT202,$A202-Inputs!$D$1,1,1))*(8*VLOOKUP($A202,NumberofDaysTable,4))),0))</f>
        <v> </v>
      </c>
      <c r="AC202" s="282" t="str">
        <f aca="false">IF($A202="N/A"," ",(IF(V202&lt;&gt;0,(8*VLOOKUP($A202,NumberofDaysTable,6)),0)))</f>
        <v> </v>
      </c>
      <c r="AD202" s="298" t="str">
        <f aca="false">IF($A202="N/A"," ",RANK(P202,$P$196:$V$207))</f>
        <v> </v>
      </c>
      <c r="AE202" s="299" t="str">
        <f aca="false">IF($A202="N/A"," ",RANK(Q202,$P$196:$V$207))</f>
        <v> </v>
      </c>
      <c r="AF202" s="299" t="str">
        <f aca="false">IF($A202="N/A"," ",RANK(R202,$P$196:$V$207))</f>
        <v> </v>
      </c>
      <c r="AG202" s="299" t="str">
        <f aca="false">IF($A202="N/A"," ",RANK(S202,$P$196:$V$207))</f>
        <v> </v>
      </c>
      <c r="AH202" s="299" t="str">
        <f aca="false">IF($A202="N/A"," ",RANK(T202,$P$196:$V$207))</f>
        <v> </v>
      </c>
      <c r="AI202" s="299" t="str">
        <f aca="false">IF($A202="N/A"," ",RANK(U202,$P$196:$V$207))</f>
        <v> </v>
      </c>
      <c r="AJ202" s="300" t="str">
        <f aca="false">IF($A202="N/A"," ",RANK(V202,$P$196:$V$207))</f>
        <v> </v>
      </c>
      <c r="AK202" s="286" t="str">
        <f aca="false">IF($A202="N/A"," ",IF(AD202&lt;=$AJ$2,W202,0))</f>
        <v> </v>
      </c>
      <c r="AL202" s="301" t="str">
        <f aca="false">IF($A202="N/A"," ",IF(AE202&lt;=$AJ$2,X202,0))</f>
        <v> </v>
      </c>
      <c r="AM202" s="301" t="str">
        <f aca="false">IF($A202="N/A"," ",IF(AF202&lt;=$AJ$2,Y202,0))</f>
        <v> </v>
      </c>
      <c r="AN202" s="301" t="str">
        <f aca="false">IF($A202="N/A"," ",IF(AG202&lt;=$AJ$2,Z202,0))</f>
        <v> </v>
      </c>
      <c r="AO202" s="301" t="str">
        <f aca="false">IF($A202="N/A"," ",IF(AH202&lt;=$AJ$2,AA202,0))</f>
        <v> </v>
      </c>
      <c r="AP202" s="301" t="str">
        <f aca="false">IF($A202="N/A"," ",IF(AI202&lt;=$AJ$2,AB202,0))</f>
        <v> </v>
      </c>
      <c r="AQ202" s="301" t="str">
        <f aca="false">IF($A202="N/A"," ",IF(AJ202&lt;=$AJ$2,AC202,0))</f>
        <v> </v>
      </c>
      <c r="AR202" s="300"/>
      <c r="AS202" s="288" t="str">
        <f aca="false">IF($A202="N/A"," ",IF(AND(AD202=$AJ$2+1,AK202=0),MIN($AR$207,W202),0))</f>
        <v> </v>
      </c>
      <c r="AT202" s="302" t="str">
        <f aca="false">IF($A202="N/A"," ",IF(AND(AE202=$AJ$2+1,AL202=0),MIN($AR$207,X202),0))</f>
        <v> </v>
      </c>
      <c r="AU202" s="302" t="str">
        <f aca="false">IF($A202="N/A"," ",IF(AND(AF202=$AJ$2+1,AM202=0),MIN($AR$207,Y202),0))</f>
        <v> </v>
      </c>
      <c r="AV202" s="302" t="str">
        <f aca="false">IF($A202="N/A"," ",IF(AND(AG202=$AJ$2+1,AN202=0),MIN($AR$207,Z202),0))</f>
        <v> </v>
      </c>
      <c r="AW202" s="302" t="str">
        <f aca="false">IF($A202="N/A"," ",IF(AND(AH202=$AJ$2+1,AO202=0),MIN($AR$207,AA202),0))</f>
        <v> </v>
      </c>
      <c r="AX202" s="302" t="str">
        <f aca="false">IF($A202="N/A"," ",IF(AND(AI202=$AJ$2+1,AP202=0),MIN($AR$207,AB202),0))</f>
        <v> </v>
      </c>
      <c r="AY202" s="302" t="str">
        <f aca="false">IF($A202="N/A"," ",IF(AND(AJ202=$AJ$2+1,AQ202=0),MIN($AR$207,AC202),0))</f>
        <v> </v>
      </c>
      <c r="AZ202" s="300"/>
      <c r="BA202" s="291" t="str">
        <f aca="false">IF($A202="N/A"," ",(IF(MONTH(A202)&gt;=4,IF(MONTH(A202)&lt;=10,Inputs!$F$13,Inputs!$F$14),Inputs!$F$14))*$BW202)</f>
        <v> </v>
      </c>
      <c r="BB202" s="292" t="str">
        <f aca="false">IF($A202="N/A"," ",(IF(AK202&gt;0,($BA202*(8*(VLOOKUP($A202,NumberofDaysTable,2)))*P202),0)+IF(AS202&gt;0,($BA202*((AS202))*P202),0)))</f>
        <v> </v>
      </c>
      <c r="BC202" s="292" t="str">
        <f aca="false">IF($A202="N/A"," ",(IF(AL202&gt;0,($BA202*(8*(VLOOKUP($A202,NumberofDaysTable,2)))*Q202),0)+IF(AT202&gt;0,($BA202*((AT202))*Q202),0)))</f>
        <v> </v>
      </c>
      <c r="BD202" s="292" t="str">
        <f aca="false">IF($A202="N/A"," ",(IF(AM202&gt;0,($BA202*(8*(VLOOKUP($A202,NumberofDaysTable,3)))*R202),0)+IF(AU202&gt;0,($BA202*((AU202))*R202),0)))</f>
        <v> </v>
      </c>
      <c r="BE202" s="292" t="str">
        <f aca="false">IF($A202="N/A"," ",(IF(AN202&gt;0,($BA202*(8*(VLOOKUP($A202,NumberofDaysTable,3)))*S202),0)+IF(AV202&gt;0,($BA202*((AV202))*S202),0)))</f>
        <v> </v>
      </c>
      <c r="BF202" s="292" t="str">
        <f aca="false">IF($A202="N/A"," ",(IF(AO202&gt;0,($BA202*(8*(VLOOKUP($A202,NumberofDaysTable,4)+VLOOKUP($A202,NumberofDaysTable,5)))*T202),0)+IF(AW202&gt;0,($BA202*((AW202))*T202),0)))</f>
        <v> </v>
      </c>
      <c r="BG202" s="292" t="str">
        <f aca="false">IF($A202="N/A"," ",(IF(AP202&gt;0,($BA202*(8*(VLOOKUP($A202,NumberofDaysTable,4)+VLOOKUP($A202,NumberofDaysTable,5)))*U202),0)+IF(AX202&gt;0,($BA202*((AX202))*U202),0)))</f>
        <v> </v>
      </c>
      <c r="BH202" s="292" t="str">
        <f aca="false">IF($A202="N/A"," ",($BA202*AQ202*V202))</f>
        <v> </v>
      </c>
      <c r="BI202" s="292" t="str">
        <f aca="false">IF($A202="N/A"," ",SUM(BB202:BH202))</f>
        <v> </v>
      </c>
      <c r="BJ202" s="293" t="str">
        <f aca="false">IF($A202="N/A"," ",(H202*(SUM(AK202:AQ202)+SUM(AS202:AY202))*BA202))</f>
        <v> </v>
      </c>
      <c r="BK202" s="293" t="str">
        <f aca="false">IF($A202="N/A"," ",((C202*D202)*(SUM($AK202:$AQ202)+SUM($AS202:$AY202))*$BA202))</f>
        <v> </v>
      </c>
      <c r="BL202" s="293" t="str">
        <f aca="false">IF($A202="N/A"," ",(F202*(SUM($AK202:$AQ202)+SUM($AS202:$AY202))*$BA202))</f>
        <v> </v>
      </c>
      <c r="BM202" s="293" t="str">
        <f aca="false">IF($A202="N/A"," ",(G202*(SUM($AK202:$AQ202)+SUM($AS202:$AY202))*$BA202))</f>
        <v> </v>
      </c>
      <c r="BN202" s="294" t="str">
        <f aca="false">IF(A202="N/A"," ",(VLOOKUP(A202,PowerVolTable,(IF('Pricing Inputs'!$AT$3=2,7,IF('Pricing Inputs'!$AT$3=1,6,8))),FALSE())))</f>
        <v> </v>
      </c>
      <c r="BO202" s="294" t="str">
        <f aca="false">IF(A202="N/A"," ",(VLOOKUP(A202,IntraPowerVol,(IF('Pricing Inputs'!$AT$3=2,3,IF('Pricing Inputs'!$AT$3=1,2,4))),FALSE())*VLOOKUP(MONTH($A202),Inputs!$A$28:$B$39,2)))</f>
        <v> </v>
      </c>
      <c r="BP202" s="295" t="str">
        <f aca="false">IF($A202="N/A"," ",(IF(DateToday&gt;$A202,$BO202,((($BN202^2)*((($A202-1)-DateToday)/((EOMONTH($A202,0)+1)-DateToday-15)))+((($BO202)^2)*((15)/((EOMONTH($A202,0)+1)-DateToday-15))))^0.5)))</f>
        <v> </v>
      </c>
      <c r="BQ202" s="294" t="str">
        <f aca="false">IF($A202="N/A"," ",(VLOOKUP($A202,GasVolTable,(IF('Pricing Inputs'!$AT$3=2,6,IF('Pricing Inputs'!$AT$3=1,7,5))),FALSE())))</f>
        <v> </v>
      </c>
      <c r="BR202" s="294" t="str">
        <f aca="false">IF($A202="N/A"," ",(VLOOKUP($A202,OmicronVol,(IF('Pricing Inputs'!$AT$3=2,3,IF('Pricing Inputs'!$AT$3=1,4,2))),FALSE())))</f>
        <v> </v>
      </c>
      <c r="BS202" s="295" t="str">
        <f aca="false">IF($A202="N/A"," ",IF('Pricing Inputs'!$AN$3=1,(IF(DateToday&gt;$A202,$BR202,((($BQ202^2)*((($A202-1)-DateToday)/((EOMONTH($A202,0)+1)-DateToday-15)))+((($BR202)^2)*((15)/((EOMONTH($A202,0)+1)-DateToday-15))))^0.5)),0.0001))</f>
        <v> </v>
      </c>
      <c r="BT202" s="294" t="str">
        <f aca="false">IF($A202="N/A"," ",IF('Pricing Inputs'!$AN$3=1,(VLOOKUP($A202,CorrelationTable,2,FALSE())),0))</f>
        <v> </v>
      </c>
      <c r="BU202" s="296" t="str">
        <f aca="false">IF($A202="N/A"," ",F202+G202+(D202*(VLOOKUP($A202,'Gas Curves'!$B$17:$P$310,14,FALSE()))))</f>
        <v> </v>
      </c>
      <c r="BV202" s="294" t="str">
        <f aca="false">IF($A202="N/A"," ",IF('Pricing Inputs'!$AW$3=1,0,(VLOOKUP($A202,InterestRatesTable,2))))</f>
        <v> </v>
      </c>
      <c r="BW202" s="297" t="str">
        <f aca="false">IF($A202="N/A"," ",(1+BV202/2)^(-2*((EOMONTH(A202,0)+20)-DateToday)/365.25))</f>
        <v> </v>
      </c>
    </row>
    <row r="203" customFormat="false" ht="12.75" hidden="false" customHeight="false" outlineLevel="0" collapsed="false">
      <c r="A203" s="272" t="str">
        <f aca="false">IF(A202="N/A","N/A",IF(EDATE(A202,1)&gt;Inputs!$K$3,"N/A",EDATE(A202,1)))</f>
        <v>N/A</v>
      </c>
      <c r="B203" s="273" t="str">
        <f aca="false">IF(A203="N/A"," ",YEAR(A203))</f>
        <v> </v>
      </c>
      <c r="C203" s="274" t="str">
        <f aca="false">IF(A203="N/A"," ",VLOOKUP(A203,ScaledPrice,10))</f>
        <v> </v>
      </c>
      <c r="D203" s="275" t="str">
        <f aca="false">IF(A203="N/A"," ",(VLOOKUP(MONTH($A203),Inputs!$A$14:$B$25,2))/1000)</f>
        <v> </v>
      </c>
      <c r="E203" s="276" t="str">
        <f aca="false">IF($A203="N/A"," ",C203*D203)</f>
        <v> </v>
      </c>
      <c r="F203" s="277" t="str">
        <f aca="false">IF(A203="N/A"," ",Inputs!$F$6)</f>
        <v> </v>
      </c>
      <c r="G203" s="277" t="str">
        <f aca="false">IF(A203="N/A"," ",Inputs!$F$9/IF(AND('Pricing Inputs'!$AQ$3&gt;=4,'Pricing Inputs'!$AQ$3&lt;=6),16,IF(AND('Pricing Inputs'!$AQ$3&gt;=7,'Pricing Inputs'!$AQ$3&lt;=9),8,24))/(BA203/BW203))</f>
        <v> </v>
      </c>
      <c r="H203" s="278" t="str">
        <f aca="false">IF(A203="N/A"," ",(C203*D203)+F203+G203)</f>
        <v> </v>
      </c>
      <c r="I203" s="279" t="str">
        <f aca="false">VLOOKUP(A203,ScaledPrice,(IF(AND('Pricing Inputs'!$AQ$3&gt;=1,'Pricing Inputs'!$AQ$3&lt;=6),2,4)))</f>
        <v> </v>
      </c>
      <c r="J203" s="279" t="str">
        <f aca="false">IF(A203="N/A"," ",IF(AND('Pricing Inputs'!$AQ$3&gt;=1,'Pricing Inputs'!$AQ$3&lt;=6),I203,(VLOOKUP(A203,ScaledPrice,2))*(2-(VLOOKUP(A203,ScaledPrice,3)))))</f>
        <v> </v>
      </c>
      <c r="K203" s="279" t="str">
        <f aca="false">IF(A203="N/A"," ",IF(OR('Pricing Inputs'!$AQ$3=2,'Pricing Inputs'!$AQ$3=3,'Pricing Inputs'!$AQ$3=5,'Pricing Inputs'!$AQ$3=6,'Pricing Inputs'!$AQ$3=8,'Pricing Inputs'!$AQ$3=9),VLOOKUP(A203,ScaledPrice,IF(AND('Pricing Inputs'!$AQ$3&gt;=2,'Pricing Inputs'!$AQ$3&lt;=6),5,6)),0))</f>
        <v> </v>
      </c>
      <c r="L203" s="279" t="str">
        <f aca="false">IF(A203="N/A"," ",IF(OR('Pricing Inputs'!$AQ$3=2,'Pricing Inputs'!$AQ$3=3,'Pricing Inputs'!$AQ$3=5,'Pricing Inputs'!$AQ$3=6,'Pricing Inputs'!$AQ$3=8,'Pricing Inputs'!$AQ$3=9),IF(AND('Pricing Inputs'!$AQ$3&gt;=2,'Pricing Inputs'!$AQ$3&lt;=6),K203,(VLOOKUP(A203,ScaledPrice,5))*(2-(VLOOKUP(A203,ScaledPrice,3)))),0))</f>
        <v> </v>
      </c>
      <c r="M203" s="279" t="str">
        <f aca="false">IF(A203="N/A"," ",IF(OR('Pricing Inputs'!$AQ$3=3,'Pricing Inputs'!$AQ$3=6,'Pricing Inputs'!$AQ$3=9),(VLOOKUP(A203,ScaledPrice,IF(AND('Pricing Inputs'!$AQ$3&gt;=3,'Pricing Inputs'!$AQ$3&lt;=6),7,8))),0))</f>
        <v> </v>
      </c>
      <c r="N203" s="279" t="str">
        <f aca="false">IF(A203="N/A"," ",IF(OR('Pricing Inputs'!$AQ$3=3,'Pricing Inputs'!$AQ$3=6,'Pricing Inputs'!$AQ$3=9),IF(AND('Pricing Inputs'!$AQ$3&gt;=3,'Pricing Inputs'!$AQ$3&lt;=6),M203,(VLOOKUP(A203,ScaledPrice,7))*(2-(VLOOKUP(A203,ScaledPrice,3)))),0))</f>
        <v> </v>
      </c>
      <c r="O203" s="279" t="str">
        <f aca="false">IF(A203="N/A"," ",IF(AND('Pricing Inputs'!$AQ$3&gt;=1,'Pricing Inputs'!$AQ$3&lt;=3),VLOOKUP(A203,ScaledPrice,9),0))</f>
        <v> </v>
      </c>
      <c r="P203" s="280" t="str">
        <f aca="false">IF($A203="N/A"," ",IF('Pricing Inputs'!$AN$8=2,(I203-H203),IF('Pricing Inputs'!$AN$3=2,IF((I203-$H203)&gt;0,I203-$H203,0),(xSPRDOPT(I203,$E203,$BU203,0,$BP203,$BS203,$BT203,($A203-Inputs!$D$1)+15,1,0)))))</f>
        <v> </v>
      </c>
      <c r="Q203" s="280" t="str">
        <f aca="false">IF($A203="N/A"," ",IF('Pricing Inputs'!$AN$8=2,(J203-$H203),IF('Pricing Inputs'!$AN$3=2,IF((J203-$H203)&gt;0,J203-$H203,0),(xSPRDOPT(J203,$E203,$BU203,0,$BP203,$BS203,$BT203,($A203-Inputs!$D$1)+15,1,0)))))</f>
        <v> </v>
      </c>
      <c r="R203" s="280" t="str">
        <f aca="false">IF($A203="N/A"," ",IF('Pricing Inputs'!$AN$8=2,(K203-$H203),IF('Pricing Inputs'!$AN$3=2,IF((K203-$H203)&gt;0,K203-$H203,0),(xSPRDOPT(K203,$E203,$BU203,0,$BP203,$BS203,$BT203,($A203-Inputs!$D$1)+15,1,0)))))</f>
        <v> </v>
      </c>
      <c r="S203" s="280" t="str">
        <f aca="false">IF($A203="N/A"," ",IF('Pricing Inputs'!$AN$8=2,(L203-$H203),IF('Pricing Inputs'!$AN$3=2,IF((L203-$H203)&gt;0,L203-$H203,0),(xSPRDOPT(L203,$E203,$BU203,0,$BP203,$BS203,$BT203,($A203-Inputs!$D$1)+15,1,0)))))</f>
        <v> </v>
      </c>
      <c r="T203" s="280" t="str">
        <f aca="false">IF($A203="N/A"," ",IF('Pricing Inputs'!$AN$8=2,(M203-$H203),IF('Pricing Inputs'!$AN$3=2,IF((M203-$H203)&gt;0,M203-$H203,0),(xSPRDOPT(M203,$E203,$BU203,0,$BP203,$BS203,$BT203,($A203-Inputs!$D$1)+15,1,0)))))</f>
        <v> </v>
      </c>
      <c r="U203" s="280" t="str">
        <f aca="false">IF($A203="N/A"," ",IF('Pricing Inputs'!$AN$8=2,(N203-$H203),IF('Pricing Inputs'!$AN$3=2,IF((N203-$H203)&gt;0,N203-$H203,0),(xSPRDOPT(N203,$E203,$BU203,0,$BP203,$BS203,$BT203,($A203-Inputs!$D$1)+15,1,0)))))</f>
        <v> </v>
      </c>
      <c r="V203" s="281" t="str">
        <f aca="false">IF($A203="N/A"," ",(IF('Pricing Inputs'!$AN$8=2,(O203-$H203),IF((O203-$H203)&lt;=0,0,(O203-$H203)))))</f>
        <v> </v>
      </c>
      <c r="W203" s="282" t="str">
        <f aca="false">IF($A203="N/A"," ",IF(0&lt;&gt;P203,IF('Pricing Inputs'!$AN$3=2,8*VLOOKUP($A203,NumberofDaysTable,2),(xSPRDOPT(I203,$E203,$BU203,0,$BP203,$BS203,$BT203,$A203-Inputs!$D$1,1,1))*(8*VLOOKUP($A203,NumberofDaysTable,2))),0))</f>
        <v> </v>
      </c>
      <c r="X203" s="282" t="str">
        <f aca="false">IF($A203="N/A"," ",IF(Q203&lt;&gt;0,IF('Pricing Inputs'!$AN$3=2,8*VLOOKUP($A203,NumberofDaysTable,2),(xSPRDOPT(J203,$E203,$BU203,0,$BP203,$BS203,$BT203,$A203-Inputs!$D$1,1,1))*(8*VLOOKUP($A203,NumberofDaysTable,2))),0))</f>
        <v> </v>
      </c>
      <c r="Y203" s="282" t="str">
        <f aca="false">IF($A203="N/A"," ",IF(R203&lt;&gt;0,IF('Pricing Inputs'!$AN$3=2,8*VLOOKUP($A203,NumberofDaysTable,3),(xSPRDOPT(K203,$E203,$BU203,0,$BP203,$BS203,$BT203,$A203-Inputs!$D$1,1,1))*(8*VLOOKUP($A203,NumberofDaysTable,3))),0))</f>
        <v> </v>
      </c>
      <c r="Z203" s="282" t="str">
        <f aca="false">IF($A203="N/A"," ",IF(S203&lt;&gt;0,IF('Pricing Inputs'!$AN$3=2,8*VLOOKUP($A203,NumberofDaysTable,3),(xSPRDOPT(L203,$E203,$BU203,0,$BP203,$BS203,$BT203,$A203-Inputs!$D$1,1,1))*(8*VLOOKUP($A203,NumberofDaysTable,3))),0))</f>
        <v> </v>
      </c>
      <c r="AA203" s="282" t="str">
        <f aca="false">IF($A203="N/A"," ",IF(T203&lt;&gt;0,IF('Pricing Inputs'!$AN$3=2,8*VLOOKUP($A203,NumberofDaysTable,4),(xSPRDOPT(M203,$E203,$BU203,0,$BP203,$BS203,$BT203,$A203-Inputs!$D$1,1,1))*(8*VLOOKUP($A203,NumberofDaysTable,4))),0))</f>
        <v> </v>
      </c>
      <c r="AB203" s="282" t="str">
        <f aca="false">IF($A203="N/A"," ",IF(U203&lt;&gt;0,IF('Pricing Inputs'!$AN$3=2,8*VLOOKUP($A203,NumberofDaysTable,4),(xSPRDOPT(N203,$E203,$BU203,0,$BP203,$BS203,$BT203,$A203-Inputs!$D$1,1,1))*(8*VLOOKUP($A203,NumberofDaysTable,4))),0))</f>
        <v> </v>
      </c>
      <c r="AC203" s="282" t="str">
        <f aca="false">IF($A203="N/A"," ",(IF(V203&lt;&gt;0,(8*VLOOKUP($A203,NumberofDaysTable,6)),0)))</f>
        <v> </v>
      </c>
      <c r="AD203" s="298" t="str">
        <f aca="false">IF($A203="N/A"," ",RANK(P203,$P$196:$V$207))</f>
        <v> </v>
      </c>
      <c r="AE203" s="299" t="str">
        <f aca="false">IF($A203="N/A"," ",RANK(Q203,$P$196:$V$207))</f>
        <v> </v>
      </c>
      <c r="AF203" s="299" t="str">
        <f aca="false">IF($A203="N/A"," ",RANK(R203,$P$196:$V$207))</f>
        <v> </v>
      </c>
      <c r="AG203" s="299" t="str">
        <f aca="false">IF($A203="N/A"," ",RANK(S203,$P$196:$V$207))</f>
        <v> </v>
      </c>
      <c r="AH203" s="299" t="str">
        <f aca="false">IF($A203="N/A"," ",RANK(T203,$P$196:$V$207))</f>
        <v> </v>
      </c>
      <c r="AI203" s="299" t="str">
        <f aca="false">IF($A203="N/A"," ",RANK(U203,$P$196:$V$207))</f>
        <v> </v>
      </c>
      <c r="AJ203" s="300" t="str">
        <f aca="false">IF($A203="N/A"," ",RANK(V203,$P$196:$V$207))</f>
        <v> </v>
      </c>
      <c r="AK203" s="286" t="str">
        <f aca="false">IF($A203="N/A"," ",IF(AD203&lt;=$AJ$2,W203,0))</f>
        <v> </v>
      </c>
      <c r="AL203" s="301" t="str">
        <f aca="false">IF($A203="N/A"," ",IF(AE203&lt;=$AJ$2,X203,0))</f>
        <v> </v>
      </c>
      <c r="AM203" s="301" t="str">
        <f aca="false">IF($A203="N/A"," ",IF(AF203&lt;=$AJ$2,Y203,0))</f>
        <v> </v>
      </c>
      <c r="AN203" s="301" t="str">
        <f aca="false">IF($A203="N/A"," ",IF(AG203&lt;=$AJ$2,Z203,0))</f>
        <v> </v>
      </c>
      <c r="AO203" s="301" t="str">
        <f aca="false">IF($A203="N/A"," ",IF(AH203&lt;=$AJ$2,AA203,0))</f>
        <v> </v>
      </c>
      <c r="AP203" s="301" t="str">
        <f aca="false">IF($A203="N/A"," ",IF(AI203&lt;=$AJ$2,AB203,0))</f>
        <v> </v>
      </c>
      <c r="AQ203" s="301" t="str">
        <f aca="false">IF($A203="N/A"," ",IF(AJ203&lt;=$AJ$2,AC203,0))</f>
        <v> </v>
      </c>
      <c r="AR203" s="300"/>
      <c r="AS203" s="288" t="str">
        <f aca="false">IF($A203="N/A"," ",IF(AND(AD203=$AJ$2+1,AK203=0),MIN($AR$207,W203),0))</f>
        <v> </v>
      </c>
      <c r="AT203" s="302" t="str">
        <f aca="false">IF($A203="N/A"," ",IF(AND(AE203=$AJ$2+1,AL203=0),MIN($AR$207,X203),0))</f>
        <v> </v>
      </c>
      <c r="AU203" s="302" t="str">
        <f aca="false">IF($A203="N/A"," ",IF(AND(AF203=$AJ$2+1,AM203=0),MIN($AR$207,Y203),0))</f>
        <v> </v>
      </c>
      <c r="AV203" s="302" t="str">
        <f aca="false">IF($A203="N/A"," ",IF(AND(AG203=$AJ$2+1,AN203=0),MIN($AR$207,Z203),0))</f>
        <v> </v>
      </c>
      <c r="AW203" s="302" t="str">
        <f aca="false">IF($A203="N/A"," ",IF(AND(AH203=$AJ$2+1,AO203=0),MIN($AR$207,AA203),0))</f>
        <v> </v>
      </c>
      <c r="AX203" s="302" t="str">
        <f aca="false">IF($A203="N/A"," ",IF(AND(AI203=$AJ$2+1,AP203=0),MIN($AR$207,AB203),0))</f>
        <v> </v>
      </c>
      <c r="AY203" s="302" t="str">
        <f aca="false">IF($A203="N/A"," ",IF(AND(AJ203=$AJ$2+1,AQ203=0),MIN($AR$207,AC203),0))</f>
        <v> </v>
      </c>
      <c r="AZ203" s="300"/>
      <c r="BA203" s="291" t="str">
        <f aca="false">IF($A203="N/A"," ",(IF(MONTH(A203)&gt;=4,IF(MONTH(A203)&lt;=10,Inputs!$F$13,Inputs!$F$14),Inputs!$F$14))*$BW203)</f>
        <v> </v>
      </c>
      <c r="BB203" s="292" t="str">
        <f aca="false">IF($A203="N/A"," ",(IF(AK203&gt;0,($BA203*(8*(VLOOKUP($A203,NumberofDaysTable,2)))*P203),0)+IF(AS203&gt;0,($BA203*((AS203))*P203),0)))</f>
        <v> </v>
      </c>
      <c r="BC203" s="292" t="str">
        <f aca="false">IF($A203="N/A"," ",(IF(AL203&gt;0,($BA203*(8*(VLOOKUP($A203,NumberofDaysTable,2)))*Q203),0)+IF(AT203&gt;0,($BA203*((AT203))*Q203),0)))</f>
        <v> </v>
      </c>
      <c r="BD203" s="292" t="str">
        <f aca="false">IF($A203="N/A"," ",(IF(AM203&gt;0,($BA203*(8*(VLOOKUP($A203,NumberofDaysTable,3)))*R203),0)+IF(AU203&gt;0,($BA203*((AU203))*R203),0)))</f>
        <v> </v>
      </c>
      <c r="BE203" s="292" t="str">
        <f aca="false">IF($A203="N/A"," ",(IF(AN203&gt;0,($BA203*(8*(VLOOKUP($A203,NumberofDaysTable,3)))*S203),0)+IF(AV203&gt;0,($BA203*((AV203))*S203),0)))</f>
        <v> </v>
      </c>
      <c r="BF203" s="292" t="str">
        <f aca="false">IF($A203="N/A"," ",(IF(AO203&gt;0,($BA203*(8*(VLOOKUP($A203,NumberofDaysTable,4)+VLOOKUP($A203,NumberofDaysTable,5)))*T203),0)+IF(AW203&gt;0,($BA203*((AW203))*T203),0)))</f>
        <v> </v>
      </c>
      <c r="BG203" s="292" t="str">
        <f aca="false">IF($A203="N/A"," ",(IF(AP203&gt;0,($BA203*(8*(VLOOKUP($A203,NumberofDaysTable,4)+VLOOKUP($A203,NumberofDaysTable,5)))*U203),0)+IF(AX203&gt;0,($BA203*((AX203))*U203),0)))</f>
        <v> </v>
      </c>
      <c r="BH203" s="292" t="str">
        <f aca="false">IF($A203="N/A"," ",($BA203*AQ203*V203))</f>
        <v> </v>
      </c>
      <c r="BI203" s="292" t="str">
        <f aca="false">IF($A203="N/A"," ",SUM(BB203:BH203))</f>
        <v> </v>
      </c>
      <c r="BJ203" s="293" t="str">
        <f aca="false">IF($A203="N/A"," ",(H203*(SUM(AK203:AQ203)+SUM(AS203:AY203))*BA203))</f>
        <v> </v>
      </c>
      <c r="BK203" s="293" t="str">
        <f aca="false">IF($A203="N/A"," ",((C203*D203)*(SUM($AK203:$AQ203)+SUM($AS203:$AY203))*$BA203))</f>
        <v> </v>
      </c>
      <c r="BL203" s="293" t="str">
        <f aca="false">IF($A203="N/A"," ",(F203*(SUM($AK203:$AQ203)+SUM($AS203:$AY203))*$BA203))</f>
        <v> </v>
      </c>
      <c r="BM203" s="293" t="str">
        <f aca="false">IF($A203="N/A"," ",(G203*(SUM($AK203:$AQ203)+SUM($AS203:$AY203))*$BA203))</f>
        <v> </v>
      </c>
      <c r="BN203" s="294" t="str">
        <f aca="false">IF(A203="N/A"," ",(VLOOKUP(A203,PowerVolTable,(IF('Pricing Inputs'!$AT$3=2,7,IF('Pricing Inputs'!$AT$3=1,6,8))),FALSE())))</f>
        <v> </v>
      </c>
      <c r="BO203" s="294" t="str">
        <f aca="false">IF(A203="N/A"," ",(VLOOKUP(A203,IntraPowerVol,(IF('Pricing Inputs'!$AT$3=2,3,IF('Pricing Inputs'!$AT$3=1,2,4))),FALSE())*VLOOKUP(MONTH($A203),Inputs!$A$28:$B$39,2)))</f>
        <v> </v>
      </c>
      <c r="BP203" s="295" t="str">
        <f aca="false">IF($A203="N/A"," ",(IF(DateToday&gt;$A203,$BO203,((($BN203^2)*((($A203-1)-DateToday)/((EOMONTH($A203,0)+1)-DateToday-15)))+((($BO203)^2)*((15)/((EOMONTH($A203,0)+1)-DateToday-15))))^0.5)))</f>
        <v> </v>
      </c>
      <c r="BQ203" s="294" t="str">
        <f aca="false">IF($A203="N/A"," ",(VLOOKUP($A203,GasVolTable,(IF('Pricing Inputs'!$AT$3=2,6,IF('Pricing Inputs'!$AT$3=1,7,5))),FALSE())))</f>
        <v> </v>
      </c>
      <c r="BR203" s="294" t="str">
        <f aca="false">IF($A203="N/A"," ",(VLOOKUP($A203,OmicronVol,(IF('Pricing Inputs'!$AT$3=2,3,IF('Pricing Inputs'!$AT$3=1,4,2))),FALSE())))</f>
        <v> </v>
      </c>
      <c r="BS203" s="295" t="str">
        <f aca="false">IF($A203="N/A"," ",IF('Pricing Inputs'!$AN$3=1,(IF(DateToday&gt;$A203,$BR203,((($BQ203^2)*((($A203-1)-DateToday)/((EOMONTH($A203,0)+1)-DateToday-15)))+((($BR203)^2)*((15)/((EOMONTH($A203,0)+1)-DateToday-15))))^0.5)),0.0001))</f>
        <v> </v>
      </c>
      <c r="BT203" s="294" t="str">
        <f aca="false">IF($A203="N/A"," ",IF('Pricing Inputs'!$AN$3=1,(VLOOKUP($A203,CorrelationTable,2,FALSE())),0))</f>
        <v> </v>
      </c>
      <c r="BU203" s="296" t="str">
        <f aca="false">IF($A203="N/A"," ",F203+G203+(D203*(VLOOKUP($A203,'Gas Curves'!$B$17:$P$310,14,FALSE()))))</f>
        <v> </v>
      </c>
      <c r="BV203" s="294" t="str">
        <f aca="false">IF($A203="N/A"," ",IF('Pricing Inputs'!$AW$3=1,0,(VLOOKUP($A203,InterestRatesTable,2))))</f>
        <v> </v>
      </c>
      <c r="BW203" s="297" t="str">
        <f aca="false">IF($A203="N/A"," ",(1+BV203/2)^(-2*((EOMONTH(A203,0)+20)-DateToday)/365.25))</f>
        <v> </v>
      </c>
    </row>
    <row r="204" customFormat="false" ht="12.75" hidden="false" customHeight="false" outlineLevel="0" collapsed="false">
      <c r="A204" s="272" t="str">
        <f aca="false">IF(A203="N/A","N/A",IF(EDATE(A203,1)&gt;Inputs!$K$3,"N/A",EDATE(A203,1)))</f>
        <v>N/A</v>
      </c>
      <c r="B204" s="273" t="str">
        <f aca="false">IF(A204="N/A"," ",YEAR(A204))</f>
        <v> </v>
      </c>
      <c r="C204" s="274" t="str">
        <f aca="false">IF(A204="N/A"," ",VLOOKUP(A204,ScaledPrice,10))</f>
        <v> </v>
      </c>
      <c r="D204" s="275" t="str">
        <f aca="false">IF(A204="N/A"," ",(VLOOKUP(MONTH($A204),Inputs!$A$14:$B$25,2))/1000)</f>
        <v> </v>
      </c>
      <c r="E204" s="276" t="str">
        <f aca="false">IF($A204="N/A"," ",C204*D204)</f>
        <v> </v>
      </c>
      <c r="F204" s="277" t="str">
        <f aca="false">IF(A204="N/A"," ",Inputs!$F$6)</f>
        <v> </v>
      </c>
      <c r="G204" s="277" t="str">
        <f aca="false">IF(A204="N/A"," ",Inputs!$F$9/IF(AND('Pricing Inputs'!$AQ$3&gt;=4,'Pricing Inputs'!$AQ$3&lt;=6),16,IF(AND('Pricing Inputs'!$AQ$3&gt;=7,'Pricing Inputs'!$AQ$3&lt;=9),8,24))/(BA204/BW204))</f>
        <v> </v>
      </c>
      <c r="H204" s="278" t="str">
        <f aca="false">IF(A204="N/A"," ",(C204*D204)+F204+G204)</f>
        <v> </v>
      </c>
      <c r="I204" s="279" t="str">
        <f aca="false">VLOOKUP(A204,ScaledPrice,(IF(AND('Pricing Inputs'!$AQ$3&gt;=1,'Pricing Inputs'!$AQ$3&lt;=6),2,4)))</f>
        <v> </v>
      </c>
      <c r="J204" s="279" t="str">
        <f aca="false">IF(A204="N/A"," ",IF(AND('Pricing Inputs'!$AQ$3&gt;=1,'Pricing Inputs'!$AQ$3&lt;=6),I204,(VLOOKUP(A204,ScaledPrice,2))*(2-(VLOOKUP(A204,ScaledPrice,3)))))</f>
        <v> </v>
      </c>
      <c r="K204" s="279" t="str">
        <f aca="false">IF(A204="N/A"," ",IF(OR('Pricing Inputs'!$AQ$3=2,'Pricing Inputs'!$AQ$3=3,'Pricing Inputs'!$AQ$3=5,'Pricing Inputs'!$AQ$3=6,'Pricing Inputs'!$AQ$3=8,'Pricing Inputs'!$AQ$3=9),VLOOKUP(A204,ScaledPrice,IF(AND('Pricing Inputs'!$AQ$3&gt;=2,'Pricing Inputs'!$AQ$3&lt;=6),5,6)),0))</f>
        <v> </v>
      </c>
      <c r="L204" s="279" t="str">
        <f aca="false">IF(A204="N/A"," ",IF(OR('Pricing Inputs'!$AQ$3=2,'Pricing Inputs'!$AQ$3=3,'Pricing Inputs'!$AQ$3=5,'Pricing Inputs'!$AQ$3=6,'Pricing Inputs'!$AQ$3=8,'Pricing Inputs'!$AQ$3=9),IF(AND('Pricing Inputs'!$AQ$3&gt;=2,'Pricing Inputs'!$AQ$3&lt;=6),K204,(VLOOKUP(A204,ScaledPrice,5))*(2-(VLOOKUP(A204,ScaledPrice,3)))),0))</f>
        <v> </v>
      </c>
      <c r="M204" s="279" t="str">
        <f aca="false">IF(A204="N/A"," ",IF(OR('Pricing Inputs'!$AQ$3=3,'Pricing Inputs'!$AQ$3=6,'Pricing Inputs'!$AQ$3=9),(VLOOKUP(A204,ScaledPrice,IF(AND('Pricing Inputs'!$AQ$3&gt;=3,'Pricing Inputs'!$AQ$3&lt;=6),7,8))),0))</f>
        <v> </v>
      </c>
      <c r="N204" s="279" t="str">
        <f aca="false">IF(A204="N/A"," ",IF(OR('Pricing Inputs'!$AQ$3=3,'Pricing Inputs'!$AQ$3=6,'Pricing Inputs'!$AQ$3=9),IF(AND('Pricing Inputs'!$AQ$3&gt;=3,'Pricing Inputs'!$AQ$3&lt;=6),M204,(VLOOKUP(A204,ScaledPrice,7))*(2-(VLOOKUP(A204,ScaledPrice,3)))),0))</f>
        <v> </v>
      </c>
      <c r="O204" s="279" t="str">
        <f aca="false">IF(A204="N/A"," ",IF(AND('Pricing Inputs'!$AQ$3&gt;=1,'Pricing Inputs'!$AQ$3&lt;=3),VLOOKUP(A204,ScaledPrice,9),0))</f>
        <v> </v>
      </c>
      <c r="P204" s="280" t="str">
        <f aca="false">IF($A204="N/A"," ",IF('Pricing Inputs'!$AN$8=2,(I204-H204),IF('Pricing Inputs'!$AN$3=2,IF((I204-$H204)&gt;0,I204-$H204,0),(xSPRDOPT(I204,$E204,$BU204,0,$BP204,$BS204,$BT204,($A204-Inputs!$D$1)+15,1,0)))))</f>
        <v> </v>
      </c>
      <c r="Q204" s="280" t="str">
        <f aca="false">IF($A204="N/A"," ",IF('Pricing Inputs'!$AN$8=2,(J204-$H204),IF('Pricing Inputs'!$AN$3=2,IF((J204-$H204)&gt;0,J204-$H204,0),(xSPRDOPT(J204,$E204,$BU204,0,$BP204,$BS204,$BT204,($A204-Inputs!$D$1)+15,1,0)))))</f>
        <v> </v>
      </c>
      <c r="R204" s="280" t="str">
        <f aca="false">IF($A204="N/A"," ",IF('Pricing Inputs'!$AN$8=2,(K204-$H204),IF('Pricing Inputs'!$AN$3=2,IF((K204-$H204)&gt;0,K204-$H204,0),(xSPRDOPT(K204,$E204,$BU204,0,$BP204,$BS204,$BT204,($A204-Inputs!$D$1)+15,1,0)))))</f>
        <v> </v>
      </c>
      <c r="S204" s="280" t="str">
        <f aca="false">IF($A204="N/A"," ",IF('Pricing Inputs'!$AN$8=2,(L204-$H204),IF('Pricing Inputs'!$AN$3=2,IF((L204-$H204)&gt;0,L204-$H204,0),(xSPRDOPT(L204,$E204,$BU204,0,$BP204,$BS204,$BT204,($A204-Inputs!$D$1)+15,1,0)))))</f>
        <v> </v>
      </c>
      <c r="T204" s="280" t="str">
        <f aca="false">IF($A204="N/A"," ",IF('Pricing Inputs'!$AN$8=2,(M204-$H204),IF('Pricing Inputs'!$AN$3=2,IF((M204-$H204)&gt;0,M204-$H204,0),(xSPRDOPT(M204,$E204,$BU204,0,$BP204,$BS204,$BT204,($A204-Inputs!$D$1)+15,1,0)))))</f>
        <v> </v>
      </c>
      <c r="U204" s="280" t="str">
        <f aca="false">IF($A204="N/A"," ",IF('Pricing Inputs'!$AN$8=2,(N204-$H204),IF('Pricing Inputs'!$AN$3=2,IF((N204-$H204)&gt;0,N204-$H204,0),(xSPRDOPT(N204,$E204,$BU204,0,$BP204,$BS204,$BT204,($A204-Inputs!$D$1)+15,1,0)))))</f>
        <v> </v>
      </c>
      <c r="V204" s="281" t="str">
        <f aca="false">IF($A204="N/A"," ",(IF('Pricing Inputs'!$AN$8=2,(O204-$H204),IF((O204-$H204)&lt;=0,0,(O204-$H204)))))</f>
        <v> </v>
      </c>
      <c r="W204" s="282" t="str">
        <f aca="false">IF($A204="N/A"," ",IF(0&lt;&gt;P204,IF('Pricing Inputs'!$AN$3=2,8*VLOOKUP($A204,NumberofDaysTable,2),(xSPRDOPT(I204,$E204,$BU204,0,$BP204,$BS204,$BT204,$A204-Inputs!$D$1,1,1))*(8*VLOOKUP($A204,NumberofDaysTable,2))),0))</f>
        <v> </v>
      </c>
      <c r="X204" s="282" t="str">
        <f aca="false">IF($A204="N/A"," ",IF(Q204&lt;&gt;0,IF('Pricing Inputs'!$AN$3=2,8*VLOOKUP($A204,NumberofDaysTable,2),(xSPRDOPT(J204,$E204,$BU204,0,$BP204,$BS204,$BT204,$A204-Inputs!$D$1,1,1))*(8*VLOOKUP($A204,NumberofDaysTable,2))),0))</f>
        <v> </v>
      </c>
      <c r="Y204" s="282" t="str">
        <f aca="false">IF($A204="N/A"," ",IF(R204&lt;&gt;0,IF('Pricing Inputs'!$AN$3=2,8*VLOOKUP($A204,NumberofDaysTable,3),(xSPRDOPT(K204,$E204,$BU204,0,$BP204,$BS204,$BT204,$A204-Inputs!$D$1,1,1))*(8*VLOOKUP($A204,NumberofDaysTable,3))),0))</f>
        <v> </v>
      </c>
      <c r="Z204" s="282" t="str">
        <f aca="false">IF($A204="N/A"," ",IF(S204&lt;&gt;0,IF('Pricing Inputs'!$AN$3=2,8*VLOOKUP($A204,NumberofDaysTable,3),(xSPRDOPT(L204,$E204,$BU204,0,$BP204,$BS204,$BT204,$A204-Inputs!$D$1,1,1))*(8*VLOOKUP($A204,NumberofDaysTable,3))),0))</f>
        <v> </v>
      </c>
      <c r="AA204" s="282" t="str">
        <f aca="false">IF($A204="N/A"," ",IF(T204&lt;&gt;0,IF('Pricing Inputs'!$AN$3=2,8*VLOOKUP($A204,NumberofDaysTable,4),(xSPRDOPT(M204,$E204,$BU204,0,$BP204,$BS204,$BT204,$A204-Inputs!$D$1,1,1))*(8*VLOOKUP($A204,NumberofDaysTable,4))),0))</f>
        <v> </v>
      </c>
      <c r="AB204" s="282" t="str">
        <f aca="false">IF($A204="N/A"," ",IF(U204&lt;&gt;0,IF('Pricing Inputs'!$AN$3=2,8*VLOOKUP($A204,NumberofDaysTable,4),(xSPRDOPT(N204,$E204,$BU204,0,$BP204,$BS204,$BT204,$A204-Inputs!$D$1,1,1))*(8*VLOOKUP($A204,NumberofDaysTable,4))),0))</f>
        <v> </v>
      </c>
      <c r="AC204" s="282" t="str">
        <f aca="false">IF($A204="N/A"," ",(IF(V204&lt;&gt;0,(8*VLOOKUP($A204,NumberofDaysTable,6)),0)))</f>
        <v> </v>
      </c>
      <c r="AD204" s="298" t="str">
        <f aca="false">IF($A204="N/A"," ",RANK(P204,$P$196:$V$207))</f>
        <v> </v>
      </c>
      <c r="AE204" s="299" t="str">
        <f aca="false">IF($A204="N/A"," ",RANK(Q204,$P$196:$V$207))</f>
        <v> </v>
      </c>
      <c r="AF204" s="299" t="str">
        <f aca="false">IF($A204="N/A"," ",RANK(R204,$P$196:$V$207))</f>
        <v> </v>
      </c>
      <c r="AG204" s="299" t="str">
        <f aca="false">IF($A204="N/A"," ",RANK(S204,$P$196:$V$207))</f>
        <v> </v>
      </c>
      <c r="AH204" s="299" t="str">
        <f aca="false">IF($A204="N/A"," ",RANK(T204,$P$196:$V$207))</f>
        <v> </v>
      </c>
      <c r="AI204" s="299" t="str">
        <f aca="false">IF($A204="N/A"," ",RANK(U204,$P$196:$V$207))</f>
        <v> </v>
      </c>
      <c r="AJ204" s="300" t="str">
        <f aca="false">IF($A204="N/A"," ",RANK(V204,$P$196:$V$207))</f>
        <v> </v>
      </c>
      <c r="AK204" s="286" t="str">
        <f aca="false">IF($A204="N/A"," ",IF(AD204&lt;=$AJ$2,W204,0))</f>
        <v> </v>
      </c>
      <c r="AL204" s="301" t="str">
        <f aca="false">IF($A204="N/A"," ",IF(AE204&lt;=$AJ$2,X204,0))</f>
        <v> </v>
      </c>
      <c r="AM204" s="301" t="str">
        <f aca="false">IF($A204="N/A"," ",IF(AF204&lt;=$AJ$2,Y204,0))</f>
        <v> </v>
      </c>
      <c r="AN204" s="301" t="str">
        <f aca="false">IF($A204="N/A"," ",IF(AG204&lt;=$AJ$2,Z204,0))</f>
        <v> </v>
      </c>
      <c r="AO204" s="301" t="str">
        <f aca="false">IF($A204="N/A"," ",IF(AH204&lt;=$AJ$2,AA204,0))</f>
        <v> </v>
      </c>
      <c r="AP204" s="301" t="str">
        <f aca="false">IF($A204="N/A"," ",IF(AI204&lt;=$AJ$2,AB204,0))</f>
        <v> </v>
      </c>
      <c r="AQ204" s="301" t="str">
        <f aca="false">IF($A204="N/A"," ",IF(AJ204&lt;=$AJ$2,AC204,0))</f>
        <v> </v>
      </c>
      <c r="AR204" s="300"/>
      <c r="AS204" s="288" t="str">
        <f aca="false">IF($A204="N/A"," ",IF(AND(AD204=$AJ$2+1,AK204=0),MIN($AR$207,W204),0))</f>
        <v> </v>
      </c>
      <c r="AT204" s="302" t="str">
        <f aca="false">IF($A204="N/A"," ",IF(AND(AE204=$AJ$2+1,AL204=0),MIN($AR$207,X204),0))</f>
        <v> </v>
      </c>
      <c r="AU204" s="302" t="str">
        <f aca="false">IF($A204="N/A"," ",IF(AND(AF204=$AJ$2+1,AM204=0),MIN($AR$207,Y204),0))</f>
        <v> </v>
      </c>
      <c r="AV204" s="302" t="str">
        <f aca="false">IF($A204="N/A"," ",IF(AND(AG204=$AJ$2+1,AN204=0),MIN($AR$207,Z204),0))</f>
        <v> </v>
      </c>
      <c r="AW204" s="302" t="str">
        <f aca="false">IF($A204="N/A"," ",IF(AND(AH204=$AJ$2+1,AO204=0),MIN($AR$207,AA204),0))</f>
        <v> </v>
      </c>
      <c r="AX204" s="302" t="str">
        <f aca="false">IF($A204="N/A"," ",IF(AND(AI204=$AJ$2+1,AP204=0),MIN($AR$207,AB204),0))</f>
        <v> </v>
      </c>
      <c r="AY204" s="302" t="str">
        <f aca="false">IF($A204="N/A"," ",IF(AND(AJ204=$AJ$2+1,AQ204=0),MIN($AR$207,AC204),0))</f>
        <v> </v>
      </c>
      <c r="AZ204" s="300"/>
      <c r="BA204" s="291" t="str">
        <f aca="false">IF($A204="N/A"," ",(IF(MONTH(A204)&gt;=4,IF(MONTH(A204)&lt;=10,Inputs!$F$13,Inputs!$F$14),Inputs!$F$14))*$BW204)</f>
        <v> </v>
      </c>
      <c r="BB204" s="292" t="str">
        <f aca="false">IF($A204="N/A"," ",(IF(AK204&gt;0,($BA204*(8*(VLOOKUP($A204,NumberofDaysTable,2)))*P204),0)+IF(AS204&gt;0,($BA204*((AS204))*P204),0)))</f>
        <v> </v>
      </c>
      <c r="BC204" s="292" t="str">
        <f aca="false">IF($A204="N/A"," ",(IF(AL204&gt;0,($BA204*(8*(VLOOKUP($A204,NumberofDaysTable,2)))*Q204),0)+IF(AT204&gt;0,($BA204*((AT204))*Q204),0)))</f>
        <v> </v>
      </c>
      <c r="BD204" s="292" t="str">
        <f aca="false">IF($A204="N/A"," ",(IF(AM204&gt;0,($BA204*(8*(VLOOKUP($A204,NumberofDaysTable,3)))*R204),0)+IF(AU204&gt;0,($BA204*((AU204))*R204),0)))</f>
        <v> </v>
      </c>
      <c r="BE204" s="292" t="str">
        <f aca="false">IF($A204="N/A"," ",(IF(AN204&gt;0,($BA204*(8*(VLOOKUP($A204,NumberofDaysTable,3)))*S204),0)+IF(AV204&gt;0,($BA204*((AV204))*S204),0)))</f>
        <v> </v>
      </c>
      <c r="BF204" s="292" t="str">
        <f aca="false">IF($A204="N/A"," ",(IF(AO204&gt;0,($BA204*(8*(VLOOKUP($A204,NumberofDaysTable,4)+VLOOKUP($A204,NumberofDaysTable,5)))*T204),0)+IF(AW204&gt;0,($BA204*((AW204))*T204),0)))</f>
        <v> </v>
      </c>
      <c r="BG204" s="292" t="str">
        <f aca="false">IF($A204="N/A"," ",(IF(AP204&gt;0,($BA204*(8*(VLOOKUP($A204,NumberofDaysTable,4)+VLOOKUP($A204,NumberofDaysTable,5)))*U204),0)+IF(AX204&gt;0,($BA204*((AX204))*U204),0)))</f>
        <v> </v>
      </c>
      <c r="BH204" s="292" t="str">
        <f aca="false">IF($A204="N/A"," ",($BA204*AQ204*V204))</f>
        <v> </v>
      </c>
      <c r="BI204" s="292" t="str">
        <f aca="false">IF($A204="N/A"," ",SUM(BB204:BH204))</f>
        <v> </v>
      </c>
      <c r="BJ204" s="293" t="str">
        <f aca="false">IF($A204="N/A"," ",(H204*(SUM(AK204:AQ204)+SUM(AS204:AY204))*BA204))</f>
        <v> </v>
      </c>
      <c r="BK204" s="293" t="str">
        <f aca="false">IF($A204="N/A"," ",((C204*D204)*(SUM($AK204:$AQ204)+SUM($AS204:$AY204))*$BA204))</f>
        <v> </v>
      </c>
      <c r="BL204" s="293" t="str">
        <f aca="false">IF($A204="N/A"," ",(F204*(SUM($AK204:$AQ204)+SUM($AS204:$AY204))*$BA204))</f>
        <v> </v>
      </c>
      <c r="BM204" s="293" t="str">
        <f aca="false">IF($A204="N/A"," ",(G204*(SUM($AK204:$AQ204)+SUM($AS204:$AY204))*$BA204))</f>
        <v> </v>
      </c>
      <c r="BN204" s="294" t="str">
        <f aca="false">IF(A204="N/A"," ",(VLOOKUP(A204,PowerVolTable,(IF('Pricing Inputs'!$AT$3=2,7,IF('Pricing Inputs'!$AT$3=1,6,8))),FALSE())))</f>
        <v> </v>
      </c>
      <c r="BO204" s="294" t="str">
        <f aca="false">IF(A204="N/A"," ",(VLOOKUP(A204,IntraPowerVol,(IF('Pricing Inputs'!$AT$3=2,3,IF('Pricing Inputs'!$AT$3=1,2,4))),FALSE())*VLOOKUP(MONTH($A204),Inputs!$A$28:$B$39,2)))</f>
        <v> </v>
      </c>
      <c r="BP204" s="295" t="str">
        <f aca="false">IF($A204="N/A"," ",(IF(DateToday&gt;$A204,$BO204,((($BN204^2)*((($A204-1)-DateToday)/((EOMONTH($A204,0)+1)-DateToday-15)))+((($BO204)^2)*((15)/((EOMONTH($A204,0)+1)-DateToday-15))))^0.5)))</f>
        <v> </v>
      </c>
      <c r="BQ204" s="294" t="str">
        <f aca="false">IF($A204="N/A"," ",(VLOOKUP($A204,GasVolTable,(IF('Pricing Inputs'!$AT$3=2,6,IF('Pricing Inputs'!$AT$3=1,7,5))),FALSE())))</f>
        <v> </v>
      </c>
      <c r="BR204" s="294" t="str">
        <f aca="false">IF($A204="N/A"," ",(VLOOKUP($A204,OmicronVol,(IF('Pricing Inputs'!$AT$3=2,3,IF('Pricing Inputs'!$AT$3=1,4,2))),FALSE())))</f>
        <v> </v>
      </c>
      <c r="BS204" s="295" t="str">
        <f aca="false">IF($A204="N/A"," ",IF('Pricing Inputs'!$AN$3=1,(IF(DateToday&gt;$A204,$BR204,((($BQ204^2)*((($A204-1)-DateToday)/((EOMONTH($A204,0)+1)-DateToday-15)))+((($BR204)^2)*((15)/((EOMONTH($A204,0)+1)-DateToday-15))))^0.5)),0.0001))</f>
        <v> </v>
      </c>
      <c r="BT204" s="294" t="str">
        <f aca="false">IF($A204="N/A"," ",IF('Pricing Inputs'!$AN$3=1,(VLOOKUP($A204,CorrelationTable,2,FALSE())),0))</f>
        <v> </v>
      </c>
      <c r="BU204" s="296" t="str">
        <f aca="false">IF($A204="N/A"," ",F204+G204+(D204*(VLOOKUP($A204,'Gas Curves'!$B$17:$P$310,14,FALSE()))))</f>
        <v> </v>
      </c>
      <c r="BV204" s="294" t="str">
        <f aca="false">IF($A204="N/A"," ",IF('Pricing Inputs'!$AW$3=1,0,(VLOOKUP($A204,InterestRatesTable,2))))</f>
        <v> </v>
      </c>
      <c r="BW204" s="297" t="str">
        <f aca="false">IF($A204="N/A"," ",(1+BV204/2)^(-2*((EOMONTH(A204,0)+20)-DateToday)/365.25))</f>
        <v> </v>
      </c>
    </row>
    <row r="205" customFormat="false" ht="12.75" hidden="false" customHeight="false" outlineLevel="0" collapsed="false">
      <c r="A205" s="272" t="str">
        <f aca="false">IF(A204="N/A","N/A",IF(EDATE(A204,1)&gt;Inputs!$K$3,"N/A",EDATE(A204,1)))</f>
        <v>N/A</v>
      </c>
      <c r="B205" s="273" t="str">
        <f aca="false">IF(A205="N/A"," ",YEAR(A205))</f>
        <v> </v>
      </c>
      <c r="C205" s="274" t="str">
        <f aca="false">IF(A205="N/A"," ",VLOOKUP(A205,ScaledPrice,10))</f>
        <v> </v>
      </c>
      <c r="D205" s="275" t="str">
        <f aca="false">IF(A205="N/A"," ",(VLOOKUP(MONTH($A205),Inputs!$A$14:$B$25,2))/1000)</f>
        <v> </v>
      </c>
      <c r="E205" s="276" t="str">
        <f aca="false">IF($A205="N/A"," ",C205*D205)</f>
        <v> </v>
      </c>
      <c r="F205" s="277" t="str">
        <f aca="false">IF(A205="N/A"," ",Inputs!$F$6)</f>
        <v> </v>
      </c>
      <c r="G205" s="277" t="str">
        <f aca="false">IF(A205="N/A"," ",Inputs!$F$9/IF(AND('Pricing Inputs'!$AQ$3&gt;=4,'Pricing Inputs'!$AQ$3&lt;=6),16,IF(AND('Pricing Inputs'!$AQ$3&gt;=7,'Pricing Inputs'!$AQ$3&lt;=9),8,24))/(BA205/BW205))</f>
        <v> </v>
      </c>
      <c r="H205" s="278" t="str">
        <f aca="false">IF(A205="N/A"," ",(C205*D205)+F205+G205)</f>
        <v> </v>
      </c>
      <c r="I205" s="279" t="str">
        <f aca="false">VLOOKUP(A205,ScaledPrice,(IF(AND('Pricing Inputs'!$AQ$3&gt;=1,'Pricing Inputs'!$AQ$3&lt;=6),2,4)))</f>
        <v> </v>
      </c>
      <c r="J205" s="279" t="str">
        <f aca="false">IF(A205="N/A"," ",IF(AND('Pricing Inputs'!$AQ$3&gt;=1,'Pricing Inputs'!$AQ$3&lt;=6),I205,(VLOOKUP(A205,ScaledPrice,2))*(2-(VLOOKUP(A205,ScaledPrice,3)))))</f>
        <v> </v>
      </c>
      <c r="K205" s="279" t="str">
        <f aca="false">IF(A205="N/A"," ",IF(OR('Pricing Inputs'!$AQ$3=2,'Pricing Inputs'!$AQ$3=3,'Pricing Inputs'!$AQ$3=5,'Pricing Inputs'!$AQ$3=6,'Pricing Inputs'!$AQ$3=8,'Pricing Inputs'!$AQ$3=9),VLOOKUP(A205,ScaledPrice,IF(AND('Pricing Inputs'!$AQ$3&gt;=2,'Pricing Inputs'!$AQ$3&lt;=6),5,6)),0))</f>
        <v> </v>
      </c>
      <c r="L205" s="279" t="str">
        <f aca="false">IF(A205="N/A"," ",IF(OR('Pricing Inputs'!$AQ$3=2,'Pricing Inputs'!$AQ$3=3,'Pricing Inputs'!$AQ$3=5,'Pricing Inputs'!$AQ$3=6,'Pricing Inputs'!$AQ$3=8,'Pricing Inputs'!$AQ$3=9),IF(AND('Pricing Inputs'!$AQ$3&gt;=2,'Pricing Inputs'!$AQ$3&lt;=6),K205,(VLOOKUP(A205,ScaledPrice,5))*(2-(VLOOKUP(A205,ScaledPrice,3)))),0))</f>
        <v> </v>
      </c>
      <c r="M205" s="279" t="str">
        <f aca="false">IF(A205="N/A"," ",IF(OR('Pricing Inputs'!$AQ$3=3,'Pricing Inputs'!$AQ$3=6,'Pricing Inputs'!$AQ$3=9),(VLOOKUP(A205,ScaledPrice,IF(AND('Pricing Inputs'!$AQ$3&gt;=3,'Pricing Inputs'!$AQ$3&lt;=6),7,8))),0))</f>
        <v> </v>
      </c>
      <c r="N205" s="279" t="str">
        <f aca="false">IF(A205="N/A"," ",IF(OR('Pricing Inputs'!$AQ$3=3,'Pricing Inputs'!$AQ$3=6,'Pricing Inputs'!$AQ$3=9),IF(AND('Pricing Inputs'!$AQ$3&gt;=3,'Pricing Inputs'!$AQ$3&lt;=6),M205,(VLOOKUP(A205,ScaledPrice,7))*(2-(VLOOKUP(A205,ScaledPrice,3)))),0))</f>
        <v> </v>
      </c>
      <c r="O205" s="279" t="str">
        <f aca="false">IF(A205="N/A"," ",IF(AND('Pricing Inputs'!$AQ$3&gt;=1,'Pricing Inputs'!$AQ$3&lt;=3),VLOOKUP(A205,ScaledPrice,9),0))</f>
        <v> </v>
      </c>
      <c r="P205" s="280" t="str">
        <f aca="false">IF($A205="N/A"," ",IF('Pricing Inputs'!$AN$8=2,(I205-H205),IF('Pricing Inputs'!$AN$3=2,IF((I205-$H205)&gt;0,I205-$H205,0),(xSPRDOPT(I205,$E205,$BU205,0,$BP205,$BS205,$BT205,($A205-Inputs!$D$1)+15,1,0)))))</f>
        <v> </v>
      </c>
      <c r="Q205" s="280" t="str">
        <f aca="false">IF($A205="N/A"," ",IF('Pricing Inputs'!$AN$8=2,(J205-$H205),IF('Pricing Inputs'!$AN$3=2,IF((J205-$H205)&gt;0,J205-$H205,0),(xSPRDOPT(J205,$E205,$BU205,0,$BP205,$BS205,$BT205,($A205-Inputs!$D$1)+15,1,0)))))</f>
        <v> </v>
      </c>
      <c r="R205" s="280" t="str">
        <f aca="false">IF($A205="N/A"," ",IF('Pricing Inputs'!$AN$8=2,(K205-$H205),IF('Pricing Inputs'!$AN$3=2,IF((K205-$H205)&gt;0,K205-$H205,0),(xSPRDOPT(K205,$E205,$BU205,0,$BP205,$BS205,$BT205,($A205-Inputs!$D$1)+15,1,0)))))</f>
        <v> </v>
      </c>
      <c r="S205" s="280" t="str">
        <f aca="false">IF($A205="N/A"," ",IF('Pricing Inputs'!$AN$8=2,(L205-$H205),IF('Pricing Inputs'!$AN$3=2,IF((L205-$H205)&gt;0,L205-$H205,0),(xSPRDOPT(L205,$E205,$BU205,0,$BP205,$BS205,$BT205,($A205-Inputs!$D$1)+15,1,0)))))</f>
        <v> </v>
      </c>
      <c r="T205" s="280" t="str">
        <f aca="false">IF($A205="N/A"," ",IF('Pricing Inputs'!$AN$8=2,(M205-$H205),IF('Pricing Inputs'!$AN$3=2,IF((M205-$H205)&gt;0,M205-$H205,0),(xSPRDOPT(M205,$E205,$BU205,0,$BP205,$BS205,$BT205,($A205-Inputs!$D$1)+15,1,0)))))</f>
        <v> </v>
      </c>
      <c r="U205" s="280" t="str">
        <f aca="false">IF($A205="N/A"," ",IF('Pricing Inputs'!$AN$8=2,(N205-$H205),IF('Pricing Inputs'!$AN$3=2,IF((N205-$H205)&gt;0,N205-$H205,0),(xSPRDOPT(N205,$E205,$BU205,0,$BP205,$BS205,$BT205,($A205-Inputs!$D$1)+15,1,0)))))</f>
        <v> </v>
      </c>
      <c r="V205" s="281" t="str">
        <f aca="false">IF($A205="N/A"," ",(IF('Pricing Inputs'!$AN$8=2,(O205-$H205),IF((O205-$H205)&lt;=0,0,(O205-$H205)))))</f>
        <v> </v>
      </c>
      <c r="W205" s="282" t="str">
        <f aca="false">IF($A205="N/A"," ",IF(0&lt;&gt;P205,IF('Pricing Inputs'!$AN$3=2,8*VLOOKUP($A205,NumberofDaysTable,2),(xSPRDOPT(I205,$E205,$BU205,0,$BP205,$BS205,$BT205,$A205-Inputs!$D$1,1,1))*(8*VLOOKUP($A205,NumberofDaysTable,2))),0))</f>
        <v> </v>
      </c>
      <c r="X205" s="282" t="str">
        <f aca="false">IF($A205="N/A"," ",IF(Q205&lt;&gt;0,IF('Pricing Inputs'!$AN$3=2,8*VLOOKUP($A205,NumberofDaysTable,2),(xSPRDOPT(J205,$E205,$BU205,0,$BP205,$BS205,$BT205,$A205-Inputs!$D$1,1,1))*(8*VLOOKUP($A205,NumberofDaysTable,2))),0))</f>
        <v> </v>
      </c>
      <c r="Y205" s="282" t="str">
        <f aca="false">IF($A205="N/A"," ",IF(R205&lt;&gt;0,IF('Pricing Inputs'!$AN$3=2,8*VLOOKUP($A205,NumberofDaysTable,3),(xSPRDOPT(K205,$E205,$BU205,0,$BP205,$BS205,$BT205,$A205-Inputs!$D$1,1,1))*(8*VLOOKUP($A205,NumberofDaysTable,3))),0))</f>
        <v> </v>
      </c>
      <c r="Z205" s="282" t="str">
        <f aca="false">IF($A205="N/A"," ",IF(S205&lt;&gt;0,IF('Pricing Inputs'!$AN$3=2,8*VLOOKUP($A205,NumberofDaysTable,3),(xSPRDOPT(L205,$E205,$BU205,0,$BP205,$BS205,$BT205,$A205-Inputs!$D$1,1,1))*(8*VLOOKUP($A205,NumberofDaysTable,3))),0))</f>
        <v> </v>
      </c>
      <c r="AA205" s="282" t="str">
        <f aca="false">IF($A205="N/A"," ",IF(T205&lt;&gt;0,IF('Pricing Inputs'!$AN$3=2,8*VLOOKUP($A205,NumberofDaysTable,4),(xSPRDOPT(M205,$E205,$BU205,0,$BP205,$BS205,$BT205,$A205-Inputs!$D$1,1,1))*(8*VLOOKUP($A205,NumberofDaysTable,4))),0))</f>
        <v> </v>
      </c>
      <c r="AB205" s="282" t="str">
        <f aca="false">IF($A205="N/A"," ",IF(U205&lt;&gt;0,IF('Pricing Inputs'!$AN$3=2,8*VLOOKUP($A205,NumberofDaysTable,4),(xSPRDOPT(N205,$E205,$BU205,0,$BP205,$BS205,$BT205,$A205-Inputs!$D$1,1,1))*(8*VLOOKUP($A205,NumberofDaysTable,4))),0))</f>
        <v> </v>
      </c>
      <c r="AC205" s="282" t="str">
        <f aca="false">IF($A205="N/A"," ",(IF(V205&lt;&gt;0,(8*VLOOKUP($A205,NumberofDaysTable,6)),0)))</f>
        <v> </v>
      </c>
      <c r="AD205" s="298" t="str">
        <f aca="false">IF($A205="N/A"," ",RANK(P205,$P$196:$V$207))</f>
        <v> </v>
      </c>
      <c r="AE205" s="299" t="str">
        <f aca="false">IF($A205="N/A"," ",RANK(Q205,$P$196:$V$207))</f>
        <v> </v>
      </c>
      <c r="AF205" s="299" t="str">
        <f aca="false">IF($A205="N/A"," ",RANK(R205,$P$196:$V$207))</f>
        <v> </v>
      </c>
      <c r="AG205" s="299" t="str">
        <f aca="false">IF($A205="N/A"," ",RANK(S205,$P$196:$V$207))</f>
        <v> </v>
      </c>
      <c r="AH205" s="299" t="str">
        <f aca="false">IF($A205="N/A"," ",RANK(T205,$P$196:$V$207))</f>
        <v> </v>
      </c>
      <c r="AI205" s="299" t="str">
        <f aca="false">IF($A205="N/A"," ",RANK(U205,$P$196:$V$207))</f>
        <v> </v>
      </c>
      <c r="AJ205" s="300" t="str">
        <f aca="false">IF($A205="N/A"," ",RANK(V205,$P$196:$V$207))</f>
        <v> </v>
      </c>
      <c r="AK205" s="286" t="str">
        <f aca="false">IF($A205="N/A"," ",IF(AD205&lt;=$AJ$2,W205,0))</f>
        <v> </v>
      </c>
      <c r="AL205" s="301" t="str">
        <f aca="false">IF($A205="N/A"," ",IF(AE205&lt;=$AJ$2,X205,0))</f>
        <v> </v>
      </c>
      <c r="AM205" s="301" t="str">
        <f aca="false">IF($A205="N/A"," ",IF(AF205&lt;=$AJ$2,Y205,0))</f>
        <v> </v>
      </c>
      <c r="AN205" s="301" t="str">
        <f aca="false">IF($A205="N/A"," ",IF(AG205&lt;=$AJ$2,Z205,0))</f>
        <v> </v>
      </c>
      <c r="AO205" s="301" t="str">
        <f aca="false">IF($A205="N/A"," ",IF(AH205&lt;=$AJ$2,AA205,0))</f>
        <v> </v>
      </c>
      <c r="AP205" s="301" t="str">
        <f aca="false">IF($A205="N/A"," ",IF(AI205&lt;=$AJ$2,AB205,0))</f>
        <v> </v>
      </c>
      <c r="AQ205" s="301" t="str">
        <f aca="false">IF($A205="N/A"," ",IF(AJ205&lt;=$AJ$2,AC205,0))</f>
        <v> </v>
      </c>
      <c r="AR205" s="304" t="s">
        <v>1301</v>
      </c>
      <c r="AS205" s="288" t="str">
        <f aca="false">IF($A205="N/A"," ",IF(AND(AD205=$AJ$2+1,AK205=0),MIN($AR$207,W205),0))</f>
        <v> </v>
      </c>
      <c r="AT205" s="302" t="str">
        <f aca="false">IF($A205="N/A"," ",IF(AND(AE205=$AJ$2+1,AL205=0),MIN($AR$207,X205),0))</f>
        <v> </v>
      </c>
      <c r="AU205" s="302" t="str">
        <f aca="false">IF($A205="N/A"," ",IF(AND(AF205=$AJ$2+1,AM205=0),MIN($AR$207,Y205),0))</f>
        <v> </v>
      </c>
      <c r="AV205" s="302" t="str">
        <f aca="false">IF($A205="N/A"," ",IF(AND(AG205=$AJ$2+1,AN205=0),MIN($AR$207,Z205),0))</f>
        <v> </v>
      </c>
      <c r="AW205" s="302" t="str">
        <f aca="false">IF($A205="N/A"," ",IF(AND(AH205=$AJ$2+1,AO205=0),MIN($AR$207,AA205),0))</f>
        <v> </v>
      </c>
      <c r="AX205" s="302" t="str">
        <f aca="false">IF($A205="N/A"," ",IF(AND(AI205=$AJ$2+1,AP205=0),MIN($AR$207,AB205),0))</f>
        <v> </v>
      </c>
      <c r="AY205" s="302" t="str">
        <f aca="false">IF($A205="N/A"," ",IF(AND(AJ205=$AJ$2+1,AQ205=0),MIN($AR$207,AC205),0))</f>
        <v> </v>
      </c>
      <c r="AZ205" s="303" t="s">
        <v>1328</v>
      </c>
      <c r="BA205" s="291" t="str">
        <f aca="false">IF($A205="N/A"," ",(IF(MONTH(A205)&gt;=4,IF(MONTH(A205)&lt;=10,Inputs!$F$13,Inputs!$F$14),Inputs!$F$14))*$BW205)</f>
        <v> </v>
      </c>
      <c r="BB205" s="292" t="str">
        <f aca="false">IF($A205="N/A"," ",(IF(AK205&gt;0,($BA205*(8*(VLOOKUP($A205,NumberofDaysTable,2)))*P205),0)+IF(AS205&gt;0,($BA205*((AS205))*P205),0)))</f>
        <v> </v>
      </c>
      <c r="BC205" s="292" t="str">
        <f aca="false">IF($A205="N/A"," ",(IF(AL205&gt;0,($BA205*(8*(VLOOKUP($A205,NumberofDaysTable,2)))*Q205),0)+IF(AT205&gt;0,($BA205*((AT205))*Q205),0)))</f>
        <v> </v>
      </c>
      <c r="BD205" s="292" t="str">
        <f aca="false">IF($A205="N/A"," ",(IF(AM205&gt;0,($BA205*(8*(VLOOKUP($A205,NumberofDaysTable,3)))*R205),0)+IF(AU205&gt;0,($BA205*((AU205))*R205),0)))</f>
        <v> </v>
      </c>
      <c r="BE205" s="292" t="str">
        <f aca="false">IF($A205="N/A"," ",(IF(AN205&gt;0,($BA205*(8*(VLOOKUP($A205,NumberofDaysTable,3)))*S205),0)+IF(AV205&gt;0,($BA205*((AV205))*S205),0)))</f>
        <v> </v>
      </c>
      <c r="BF205" s="292" t="str">
        <f aca="false">IF($A205="N/A"," ",(IF(AO205&gt;0,($BA205*(8*(VLOOKUP($A205,NumberofDaysTable,4)+VLOOKUP($A205,NumberofDaysTable,5)))*T205),0)+IF(AW205&gt;0,($BA205*((AW205))*T205),0)))</f>
        <v> </v>
      </c>
      <c r="BG205" s="292" t="str">
        <f aca="false">IF($A205="N/A"," ",(IF(AP205&gt;0,($BA205*(8*(VLOOKUP($A205,NumberofDaysTable,4)+VLOOKUP($A205,NumberofDaysTable,5)))*U205),0)+IF(AX205&gt;0,($BA205*((AX205))*U205),0)))</f>
        <v> </v>
      </c>
      <c r="BH205" s="292" t="str">
        <f aca="false">IF($A205="N/A"," ",($BA205*AQ205*V205))</f>
        <v> </v>
      </c>
      <c r="BI205" s="292" t="str">
        <f aca="false">IF($A205="N/A"," ",SUM(BB205:BH205))</f>
        <v> </v>
      </c>
      <c r="BJ205" s="293" t="str">
        <f aca="false">IF($A205="N/A"," ",(H205*(SUM(AK205:AQ205)+SUM(AS205:AY205))*BA205))</f>
        <v> </v>
      </c>
      <c r="BK205" s="293" t="str">
        <f aca="false">IF($A205="N/A"," ",((C205*D205)*(SUM($AK205:$AQ205)+SUM($AS205:$AY205))*$BA205))</f>
        <v> </v>
      </c>
      <c r="BL205" s="293" t="str">
        <f aca="false">IF($A205="N/A"," ",(F205*(SUM($AK205:$AQ205)+SUM($AS205:$AY205))*$BA205))</f>
        <v> </v>
      </c>
      <c r="BM205" s="293" t="str">
        <f aca="false">IF($A205="N/A"," ",(G205*(SUM($AK205:$AQ205)+SUM($AS205:$AY205))*$BA205))</f>
        <v> </v>
      </c>
      <c r="BN205" s="294" t="str">
        <f aca="false">IF(A205="N/A"," ",(VLOOKUP(A205,PowerVolTable,(IF('Pricing Inputs'!$AT$3=2,7,IF('Pricing Inputs'!$AT$3=1,6,8))),FALSE())))</f>
        <v> </v>
      </c>
      <c r="BO205" s="294" t="str">
        <f aca="false">IF(A205="N/A"," ",(VLOOKUP(A205,IntraPowerVol,(IF('Pricing Inputs'!$AT$3=2,3,IF('Pricing Inputs'!$AT$3=1,2,4))),FALSE())*VLOOKUP(MONTH($A205),Inputs!$A$28:$B$39,2)))</f>
        <v> </v>
      </c>
      <c r="BP205" s="295" t="str">
        <f aca="false">IF($A205="N/A"," ",(IF(DateToday&gt;$A205,$BO205,((($BN205^2)*((($A205-1)-DateToday)/((EOMONTH($A205,0)+1)-DateToday-15)))+((($BO205)^2)*((15)/((EOMONTH($A205,0)+1)-DateToday-15))))^0.5)))</f>
        <v> </v>
      </c>
      <c r="BQ205" s="294" t="str">
        <f aca="false">IF($A205="N/A"," ",(VLOOKUP($A205,GasVolTable,(IF('Pricing Inputs'!$AT$3=2,6,IF('Pricing Inputs'!$AT$3=1,7,5))),FALSE())))</f>
        <v> </v>
      </c>
      <c r="BR205" s="294" t="str">
        <f aca="false">IF($A205="N/A"," ",(VLOOKUP($A205,OmicronVol,(IF('Pricing Inputs'!$AT$3=2,3,IF('Pricing Inputs'!$AT$3=1,4,2))),FALSE())))</f>
        <v> </v>
      </c>
      <c r="BS205" s="295" t="str">
        <f aca="false">IF($A205="N/A"," ",IF('Pricing Inputs'!$AN$3=1,(IF(DateToday&gt;$A205,$BR205,((($BQ205^2)*((($A205-1)-DateToday)/((EOMONTH($A205,0)+1)-DateToday-15)))+((($BR205)^2)*((15)/((EOMONTH($A205,0)+1)-DateToday-15))))^0.5)),0.0001))</f>
        <v> </v>
      </c>
      <c r="BT205" s="294" t="str">
        <f aca="false">IF($A205="N/A"," ",IF('Pricing Inputs'!$AN$3=1,(VLOOKUP($A205,CorrelationTable,2,FALSE())),0))</f>
        <v> </v>
      </c>
      <c r="BU205" s="296" t="str">
        <f aca="false">IF($A205="N/A"," ",F205+G205+(D205*(VLOOKUP($A205,'Gas Curves'!$B$17:$P$310,14,FALSE()))))</f>
        <v> </v>
      </c>
      <c r="BV205" s="294" t="str">
        <f aca="false">IF($A205="N/A"," ",IF('Pricing Inputs'!$AW$3=1,0,(VLOOKUP($A205,InterestRatesTable,2))))</f>
        <v> </v>
      </c>
      <c r="BW205" s="297" t="str">
        <f aca="false">IF($A205="N/A"," ",(1+BV205/2)^(-2*((EOMONTH(A205,0)+20)-DateToday)/365.25))</f>
        <v> </v>
      </c>
    </row>
    <row r="206" customFormat="false" ht="12.75" hidden="false" customHeight="false" outlineLevel="0" collapsed="false">
      <c r="A206" s="272" t="str">
        <f aca="false">IF(A205="N/A","N/A",IF(EDATE(A205,1)&gt;Inputs!$K$3,"N/A",EDATE(A205,1)))</f>
        <v>N/A</v>
      </c>
      <c r="B206" s="273" t="str">
        <f aca="false">IF(A206="N/A"," ",YEAR(A206))</f>
        <v> </v>
      </c>
      <c r="C206" s="274" t="str">
        <f aca="false">IF(A206="N/A"," ",VLOOKUP(A206,ScaledPrice,10))</f>
        <v> </v>
      </c>
      <c r="D206" s="275" t="str">
        <f aca="false">IF(A206="N/A"," ",(VLOOKUP(MONTH($A206),Inputs!$A$14:$B$25,2))/1000)</f>
        <v> </v>
      </c>
      <c r="E206" s="276" t="str">
        <f aca="false">IF($A206="N/A"," ",C206*D206)</f>
        <v> </v>
      </c>
      <c r="F206" s="277" t="str">
        <f aca="false">IF(A206="N/A"," ",Inputs!$F$6)</f>
        <v> </v>
      </c>
      <c r="G206" s="277" t="str">
        <f aca="false">IF(A206="N/A"," ",Inputs!$F$9/IF(AND('Pricing Inputs'!$AQ$3&gt;=4,'Pricing Inputs'!$AQ$3&lt;=6),16,IF(AND('Pricing Inputs'!$AQ$3&gt;=7,'Pricing Inputs'!$AQ$3&lt;=9),8,24))/(BA206/BW206))</f>
        <v> </v>
      </c>
      <c r="H206" s="278" t="str">
        <f aca="false">IF(A206="N/A"," ",(C206*D206)+F206+G206)</f>
        <v> </v>
      </c>
      <c r="I206" s="279" t="str">
        <f aca="false">VLOOKUP(A206,ScaledPrice,(IF(AND('Pricing Inputs'!$AQ$3&gt;=1,'Pricing Inputs'!$AQ$3&lt;=6),2,4)))</f>
        <v> </v>
      </c>
      <c r="J206" s="279" t="str">
        <f aca="false">IF(A206="N/A"," ",IF(AND('Pricing Inputs'!$AQ$3&gt;=1,'Pricing Inputs'!$AQ$3&lt;=6),I206,(VLOOKUP(A206,ScaledPrice,2))*(2-(VLOOKUP(A206,ScaledPrice,3)))))</f>
        <v> </v>
      </c>
      <c r="K206" s="279" t="str">
        <f aca="false">IF(A206="N/A"," ",IF(OR('Pricing Inputs'!$AQ$3=2,'Pricing Inputs'!$AQ$3=3,'Pricing Inputs'!$AQ$3=5,'Pricing Inputs'!$AQ$3=6,'Pricing Inputs'!$AQ$3=8,'Pricing Inputs'!$AQ$3=9),VLOOKUP(A206,ScaledPrice,IF(AND('Pricing Inputs'!$AQ$3&gt;=2,'Pricing Inputs'!$AQ$3&lt;=6),5,6)),0))</f>
        <v> </v>
      </c>
      <c r="L206" s="279" t="str">
        <f aca="false">IF(A206="N/A"," ",IF(OR('Pricing Inputs'!$AQ$3=2,'Pricing Inputs'!$AQ$3=3,'Pricing Inputs'!$AQ$3=5,'Pricing Inputs'!$AQ$3=6,'Pricing Inputs'!$AQ$3=8,'Pricing Inputs'!$AQ$3=9),IF(AND('Pricing Inputs'!$AQ$3&gt;=2,'Pricing Inputs'!$AQ$3&lt;=6),K206,(VLOOKUP(A206,ScaledPrice,5))*(2-(VLOOKUP(A206,ScaledPrice,3)))),0))</f>
        <v> </v>
      </c>
      <c r="M206" s="279" t="str">
        <f aca="false">IF(A206="N/A"," ",IF(OR('Pricing Inputs'!$AQ$3=3,'Pricing Inputs'!$AQ$3=6,'Pricing Inputs'!$AQ$3=9),(VLOOKUP(A206,ScaledPrice,IF(AND('Pricing Inputs'!$AQ$3&gt;=3,'Pricing Inputs'!$AQ$3&lt;=6),7,8))),0))</f>
        <v> </v>
      </c>
      <c r="N206" s="279" t="str">
        <f aca="false">IF(A206="N/A"," ",IF(OR('Pricing Inputs'!$AQ$3=3,'Pricing Inputs'!$AQ$3=6,'Pricing Inputs'!$AQ$3=9),IF(AND('Pricing Inputs'!$AQ$3&gt;=3,'Pricing Inputs'!$AQ$3&lt;=6),M206,(VLOOKUP(A206,ScaledPrice,7))*(2-(VLOOKUP(A206,ScaledPrice,3)))),0))</f>
        <v> </v>
      </c>
      <c r="O206" s="279" t="str">
        <f aca="false">IF(A206="N/A"," ",IF(AND('Pricing Inputs'!$AQ$3&gt;=1,'Pricing Inputs'!$AQ$3&lt;=3),VLOOKUP(A206,ScaledPrice,9),0))</f>
        <v> </v>
      </c>
      <c r="P206" s="280" t="str">
        <f aca="false">IF($A206="N/A"," ",IF('Pricing Inputs'!$AN$8=2,(I206-H206),IF('Pricing Inputs'!$AN$3=2,IF((I206-$H206)&gt;0,I206-$H206,0),(xSPRDOPT(I206,$E206,$BU206,0,$BP206,$BS206,$BT206,($A206-Inputs!$D$1)+15,1,0)))))</f>
        <v> </v>
      </c>
      <c r="Q206" s="280" t="str">
        <f aca="false">IF($A206="N/A"," ",IF('Pricing Inputs'!$AN$8=2,(J206-$H206),IF('Pricing Inputs'!$AN$3=2,IF((J206-$H206)&gt;0,J206-$H206,0),(xSPRDOPT(J206,$E206,$BU206,0,$BP206,$BS206,$BT206,($A206-Inputs!$D$1)+15,1,0)))))</f>
        <v> </v>
      </c>
      <c r="R206" s="280" t="str">
        <f aca="false">IF($A206="N/A"," ",IF('Pricing Inputs'!$AN$8=2,(K206-$H206),IF('Pricing Inputs'!$AN$3=2,IF((K206-$H206)&gt;0,K206-$H206,0),(xSPRDOPT(K206,$E206,$BU206,0,$BP206,$BS206,$BT206,($A206-Inputs!$D$1)+15,1,0)))))</f>
        <v> </v>
      </c>
      <c r="S206" s="280" t="str">
        <f aca="false">IF($A206="N/A"," ",IF('Pricing Inputs'!$AN$8=2,(L206-$H206),IF('Pricing Inputs'!$AN$3=2,IF((L206-$H206)&gt;0,L206-$H206,0),(xSPRDOPT(L206,$E206,$BU206,0,$BP206,$BS206,$BT206,($A206-Inputs!$D$1)+15,1,0)))))</f>
        <v> </v>
      </c>
      <c r="T206" s="280" t="str">
        <f aca="false">IF($A206="N/A"," ",IF('Pricing Inputs'!$AN$8=2,(M206-$H206),IF('Pricing Inputs'!$AN$3=2,IF((M206-$H206)&gt;0,M206-$H206,0),(xSPRDOPT(M206,$E206,$BU206,0,$BP206,$BS206,$BT206,($A206-Inputs!$D$1)+15,1,0)))))</f>
        <v> </v>
      </c>
      <c r="U206" s="280" t="str">
        <f aca="false">IF($A206="N/A"," ",IF('Pricing Inputs'!$AN$8=2,(N206-$H206),IF('Pricing Inputs'!$AN$3=2,IF((N206-$H206)&gt;0,N206-$H206,0),(xSPRDOPT(N206,$E206,$BU206,0,$BP206,$BS206,$BT206,($A206-Inputs!$D$1)+15,1,0)))))</f>
        <v> </v>
      </c>
      <c r="V206" s="281" t="str">
        <f aca="false">IF($A206="N/A"," ",(IF('Pricing Inputs'!$AN$8=2,(O206-$H206),IF((O206-$H206)&lt;=0,0,(O206-$H206)))))</f>
        <v> </v>
      </c>
      <c r="W206" s="282" t="str">
        <f aca="false">IF($A206="N/A"," ",IF(0&lt;&gt;P206,IF('Pricing Inputs'!$AN$3=2,8*VLOOKUP($A206,NumberofDaysTable,2),(xSPRDOPT(I206,$E206,$BU206,0,$BP206,$BS206,$BT206,$A206-Inputs!$D$1,1,1))*(8*VLOOKUP($A206,NumberofDaysTable,2))),0))</f>
        <v> </v>
      </c>
      <c r="X206" s="282" t="str">
        <f aca="false">IF($A206="N/A"," ",IF(Q206&lt;&gt;0,IF('Pricing Inputs'!$AN$3=2,8*VLOOKUP($A206,NumberofDaysTable,2),(xSPRDOPT(J206,$E206,$BU206,0,$BP206,$BS206,$BT206,$A206-Inputs!$D$1,1,1))*(8*VLOOKUP($A206,NumberofDaysTable,2))),0))</f>
        <v> </v>
      </c>
      <c r="Y206" s="282" t="str">
        <f aca="false">IF($A206="N/A"," ",IF(R206&lt;&gt;0,IF('Pricing Inputs'!$AN$3=2,8*VLOOKUP($A206,NumberofDaysTable,3),(xSPRDOPT(K206,$E206,$BU206,0,$BP206,$BS206,$BT206,$A206-Inputs!$D$1,1,1))*(8*VLOOKUP($A206,NumberofDaysTable,3))),0))</f>
        <v> </v>
      </c>
      <c r="Z206" s="282" t="str">
        <f aca="false">IF($A206="N/A"," ",IF(S206&lt;&gt;0,IF('Pricing Inputs'!$AN$3=2,8*VLOOKUP($A206,NumberofDaysTable,3),(xSPRDOPT(L206,$E206,$BU206,0,$BP206,$BS206,$BT206,$A206-Inputs!$D$1,1,1))*(8*VLOOKUP($A206,NumberofDaysTable,3))),0))</f>
        <v> </v>
      </c>
      <c r="AA206" s="282" t="str">
        <f aca="false">IF($A206="N/A"," ",IF(T206&lt;&gt;0,IF('Pricing Inputs'!$AN$3=2,8*VLOOKUP($A206,NumberofDaysTable,4),(xSPRDOPT(M206,$E206,$BU206,0,$BP206,$BS206,$BT206,$A206-Inputs!$D$1,1,1))*(8*VLOOKUP($A206,NumberofDaysTable,4))),0))</f>
        <v> </v>
      </c>
      <c r="AB206" s="282" t="str">
        <f aca="false">IF($A206="N/A"," ",IF(U206&lt;&gt;0,IF('Pricing Inputs'!$AN$3=2,8*VLOOKUP($A206,NumberofDaysTable,4),(xSPRDOPT(N206,$E206,$BU206,0,$BP206,$BS206,$BT206,$A206-Inputs!$D$1,1,1))*(8*VLOOKUP($A206,NumberofDaysTable,4))),0))</f>
        <v> </v>
      </c>
      <c r="AC206" s="282" t="str">
        <f aca="false">IF($A206="N/A"," ",(IF(V206&lt;&gt;0,(8*VLOOKUP($A206,NumberofDaysTable,6)),0)))</f>
        <v> </v>
      </c>
      <c r="AD206" s="298" t="str">
        <f aca="false">IF($A206="N/A"," ",RANK(P206,$P$196:$V$207))</f>
        <v> </v>
      </c>
      <c r="AE206" s="299" t="str">
        <f aca="false">IF($A206="N/A"," ",RANK(Q206,$P$196:$V$207))</f>
        <v> </v>
      </c>
      <c r="AF206" s="299" t="str">
        <f aca="false">IF($A206="N/A"," ",RANK(R206,$P$196:$V$207))</f>
        <v> </v>
      </c>
      <c r="AG206" s="299" t="str">
        <f aca="false">IF($A206="N/A"," ",RANK(S206,$P$196:$V$207))</f>
        <v> </v>
      </c>
      <c r="AH206" s="299" t="str">
        <f aca="false">IF($A206="N/A"," ",RANK(T206,$P$196:$V$207))</f>
        <v> </v>
      </c>
      <c r="AI206" s="299" t="str">
        <f aca="false">IF($A206="N/A"," ",RANK(U206,$P$196:$V$207))</f>
        <v> </v>
      </c>
      <c r="AJ206" s="300" t="str">
        <f aca="false">IF($A206="N/A"," ",RANK(V206,$P$196:$V$207))</f>
        <v> </v>
      </c>
      <c r="AK206" s="286" t="str">
        <f aca="false">IF($A206="N/A"," ",IF(AD206&lt;=$AJ$2,W206,0))</f>
        <v> </v>
      </c>
      <c r="AL206" s="301" t="str">
        <f aca="false">IF($A206="N/A"," ",IF(AE206&lt;=$AJ$2,X206,0))</f>
        <v> </v>
      </c>
      <c r="AM206" s="301" t="str">
        <f aca="false">IF($A206="N/A"," ",IF(AF206&lt;=$AJ$2,Y206,0))</f>
        <v> </v>
      </c>
      <c r="AN206" s="301" t="str">
        <f aca="false">IF($A206="N/A"," ",IF(AG206&lt;=$AJ$2,Z206,0))</f>
        <v> </v>
      </c>
      <c r="AO206" s="301" t="str">
        <f aca="false">IF($A206="N/A"," ",IF(AH206&lt;=$AJ$2,AA206,0))</f>
        <v> </v>
      </c>
      <c r="AP206" s="301" t="str">
        <f aca="false">IF($A206="N/A"," ",IF(AI206&lt;=$AJ$2,AB206,0))</f>
        <v> </v>
      </c>
      <c r="AQ206" s="301" t="str">
        <f aca="false">IF($A206="N/A"," ",IF(AJ206&lt;=$AJ$2,AC206,0))</f>
        <v> </v>
      </c>
      <c r="AR206" s="300" t="n">
        <f aca="false">SUM(AK196:AQ207)</f>
        <v>0</v>
      </c>
      <c r="AS206" s="288" t="str">
        <f aca="false">IF($A206="N/A"," ",IF(AND(AD206=$AJ$2+1,AK206=0),MIN($AR$207,W206),0))</f>
        <v> </v>
      </c>
      <c r="AT206" s="302" t="str">
        <f aca="false">IF($A206="N/A"," ",IF(AND(AE206=$AJ$2+1,AL206=0),MIN($AR$207,X206),0))</f>
        <v> </v>
      </c>
      <c r="AU206" s="302" t="str">
        <f aca="false">IF($A206="N/A"," ",IF(AND(AF206=$AJ$2+1,AM206=0),MIN($AR$207,Y206),0))</f>
        <v> </v>
      </c>
      <c r="AV206" s="302" t="str">
        <f aca="false">IF($A206="N/A"," ",IF(AND(AG206=$AJ$2+1,AN206=0),MIN($AR$207,Z206),0))</f>
        <v> </v>
      </c>
      <c r="AW206" s="302" t="str">
        <f aca="false">IF($A206="N/A"," ",IF(AND(AH206=$AJ$2+1,AO206=0),MIN($AR$207,AA206),0))</f>
        <v> </v>
      </c>
      <c r="AX206" s="302" t="str">
        <f aca="false">IF($A206="N/A"," ",IF(AND(AI206=$AJ$2+1,AP206=0),MIN($AR$207,AB206),0))</f>
        <v> </v>
      </c>
      <c r="AY206" s="302" t="str">
        <f aca="false">IF($A206="N/A"," ",IF(AND(AJ206=$AJ$2+1,AQ206=0),MIN($AR$207,AC206),0))</f>
        <v> </v>
      </c>
      <c r="AZ206" s="300" t="n">
        <f aca="false">SUM(AS196:AY207)</f>
        <v>0</v>
      </c>
      <c r="BA206" s="291" t="str">
        <f aca="false">IF($A206="N/A"," ",(IF(MONTH(A206)&gt;=4,IF(MONTH(A206)&lt;=10,Inputs!$F$13,Inputs!$F$14),Inputs!$F$14))*$BW206)</f>
        <v> </v>
      </c>
      <c r="BB206" s="292" t="str">
        <f aca="false">IF($A206="N/A"," ",(IF(AK206&gt;0,($BA206*(8*(VLOOKUP($A206,NumberofDaysTable,2)))*P206),0)+IF(AS206&gt;0,($BA206*((AS206))*P206),0)))</f>
        <v> </v>
      </c>
      <c r="BC206" s="292" t="str">
        <f aca="false">IF($A206="N/A"," ",(IF(AL206&gt;0,($BA206*(8*(VLOOKUP($A206,NumberofDaysTable,2)))*Q206),0)+IF(AT206&gt;0,($BA206*((AT206))*Q206),0)))</f>
        <v> </v>
      </c>
      <c r="BD206" s="292" t="str">
        <f aca="false">IF($A206="N/A"," ",(IF(AM206&gt;0,($BA206*(8*(VLOOKUP($A206,NumberofDaysTable,3)))*R206),0)+IF(AU206&gt;0,($BA206*((AU206))*R206),0)))</f>
        <v> </v>
      </c>
      <c r="BE206" s="292" t="str">
        <f aca="false">IF($A206="N/A"," ",(IF(AN206&gt;0,($BA206*(8*(VLOOKUP($A206,NumberofDaysTable,3)))*S206),0)+IF(AV206&gt;0,($BA206*((AV206))*S206),0)))</f>
        <v> </v>
      </c>
      <c r="BF206" s="292" t="str">
        <f aca="false">IF($A206="N/A"," ",(IF(AO206&gt;0,($BA206*(8*(VLOOKUP($A206,NumberofDaysTable,4)+VLOOKUP($A206,NumberofDaysTable,5)))*T206),0)+IF(AW206&gt;0,($BA206*((AW206))*T206),0)))</f>
        <v> </v>
      </c>
      <c r="BG206" s="292" t="str">
        <f aca="false">IF($A206="N/A"," ",(IF(AP206&gt;0,($BA206*(8*(VLOOKUP($A206,NumberofDaysTable,4)+VLOOKUP($A206,NumberofDaysTable,5)))*U206),0)+IF(AX206&gt;0,($BA206*((AX206))*U206),0)))</f>
        <v> </v>
      </c>
      <c r="BH206" s="292" t="str">
        <f aca="false">IF($A206="N/A"," ",($BA206*AQ206*V206))</f>
        <v> </v>
      </c>
      <c r="BI206" s="292" t="str">
        <f aca="false">IF($A206="N/A"," ",SUM(BB206:BH206))</f>
        <v> </v>
      </c>
      <c r="BJ206" s="293" t="str">
        <f aca="false">IF($A206="N/A"," ",(H206*(SUM(AK206:AQ206)+SUM(AS206:AY206))*BA206))</f>
        <v> </v>
      </c>
      <c r="BK206" s="293" t="str">
        <f aca="false">IF($A206="N/A"," ",((C206*D206)*(SUM($AK206:$AQ206)+SUM($AS206:$AY206))*$BA206))</f>
        <v> </v>
      </c>
      <c r="BL206" s="293" t="str">
        <f aca="false">IF($A206="N/A"," ",(F206*(SUM($AK206:$AQ206)+SUM($AS206:$AY206))*$BA206))</f>
        <v> </v>
      </c>
      <c r="BM206" s="293" t="str">
        <f aca="false">IF($A206="N/A"," ",(G206*(SUM($AK206:$AQ206)+SUM($AS206:$AY206))*$BA206))</f>
        <v> </v>
      </c>
      <c r="BN206" s="294" t="str">
        <f aca="false">IF(A206="N/A"," ",(VLOOKUP(A206,PowerVolTable,(IF('Pricing Inputs'!$AT$3=2,7,IF('Pricing Inputs'!$AT$3=1,6,8))),FALSE())))</f>
        <v> </v>
      </c>
      <c r="BO206" s="294" t="str">
        <f aca="false">IF(A206="N/A"," ",(VLOOKUP(A206,IntraPowerVol,(IF('Pricing Inputs'!$AT$3=2,3,IF('Pricing Inputs'!$AT$3=1,2,4))),FALSE())*VLOOKUP(MONTH($A206),Inputs!$A$28:$B$39,2)))</f>
        <v> </v>
      </c>
      <c r="BP206" s="295" t="str">
        <f aca="false">IF($A206="N/A"," ",(IF(DateToday&gt;$A206,$BO206,((($BN206^2)*((($A206-1)-DateToday)/((EOMONTH($A206,0)+1)-DateToday-15)))+((($BO206)^2)*((15)/((EOMONTH($A206,0)+1)-DateToday-15))))^0.5)))</f>
        <v> </v>
      </c>
      <c r="BQ206" s="294" t="str">
        <f aca="false">IF($A206="N/A"," ",(VLOOKUP($A206,GasVolTable,(IF('Pricing Inputs'!$AT$3=2,6,IF('Pricing Inputs'!$AT$3=1,7,5))),FALSE())))</f>
        <v> </v>
      </c>
      <c r="BR206" s="294" t="str">
        <f aca="false">IF($A206="N/A"," ",(VLOOKUP($A206,OmicronVol,(IF('Pricing Inputs'!$AT$3=2,3,IF('Pricing Inputs'!$AT$3=1,4,2))),FALSE())))</f>
        <v> </v>
      </c>
      <c r="BS206" s="295" t="str">
        <f aca="false">IF($A206="N/A"," ",IF('Pricing Inputs'!$AN$3=1,(IF(DateToday&gt;$A206,$BR206,((($BQ206^2)*((($A206-1)-DateToday)/((EOMONTH($A206,0)+1)-DateToday-15)))+((($BR206)^2)*((15)/((EOMONTH($A206,0)+1)-DateToday-15))))^0.5)),0.0001))</f>
        <v> </v>
      </c>
      <c r="BT206" s="294" t="str">
        <f aca="false">IF($A206="N/A"," ",IF('Pricing Inputs'!$AN$3=1,(VLOOKUP($A206,CorrelationTable,2,FALSE())),0))</f>
        <v> </v>
      </c>
      <c r="BU206" s="296" t="str">
        <f aca="false">IF($A206="N/A"," ",F206+G206+(D206*(VLOOKUP($A206,'Gas Curves'!$B$17:$P$310,14,FALSE()))))</f>
        <v> </v>
      </c>
      <c r="BV206" s="294" t="str">
        <f aca="false">IF($A206="N/A"," ",IF('Pricing Inputs'!$AW$3=1,0,(VLOOKUP($A206,InterestRatesTable,2))))</f>
        <v> </v>
      </c>
      <c r="BW206" s="297" t="str">
        <f aca="false">IF($A206="N/A"," ",(1+BV206/2)^(-2*((EOMONTH(A206,0)+20)-DateToday)/365.25))</f>
        <v> </v>
      </c>
    </row>
    <row r="207" customFormat="false" ht="12.75" hidden="false" customHeight="false" outlineLevel="0" collapsed="false">
      <c r="A207" s="272" t="str">
        <f aca="false">IF(A206="N/A","N/A",IF(EDATE(A206,1)&gt;Inputs!$K$3,"N/A",EDATE(A206,1)))</f>
        <v>N/A</v>
      </c>
      <c r="B207" s="273" t="str">
        <f aca="false">IF(A207="N/A"," ",YEAR(A207))</f>
        <v> </v>
      </c>
      <c r="C207" s="274" t="str">
        <f aca="false">IF(A207="N/A"," ",VLOOKUP(A207,ScaledPrice,10))</f>
        <v> </v>
      </c>
      <c r="D207" s="275" t="str">
        <f aca="false">IF(A207="N/A"," ",(VLOOKUP(MONTH($A207),Inputs!$A$14:$B$25,2))/1000)</f>
        <v> </v>
      </c>
      <c r="E207" s="276" t="str">
        <f aca="false">IF($A207="N/A"," ",C207*D207)</f>
        <v> </v>
      </c>
      <c r="F207" s="277" t="str">
        <f aca="false">IF(A207="N/A"," ",Inputs!$F$6)</f>
        <v> </v>
      </c>
      <c r="G207" s="277" t="str">
        <f aca="false">IF(A207="N/A"," ",Inputs!$F$9/IF(AND('Pricing Inputs'!$AQ$3&gt;=4,'Pricing Inputs'!$AQ$3&lt;=6),16,IF(AND('Pricing Inputs'!$AQ$3&gt;=7,'Pricing Inputs'!$AQ$3&lt;=9),8,24))/(BA207/BW207))</f>
        <v> </v>
      </c>
      <c r="H207" s="278" t="str">
        <f aca="false">IF(A207="N/A"," ",(C207*D207)+F207+G207)</f>
        <v> </v>
      </c>
      <c r="I207" s="279" t="str">
        <f aca="false">VLOOKUP(A207,ScaledPrice,(IF(AND('Pricing Inputs'!$AQ$3&gt;=1,'Pricing Inputs'!$AQ$3&lt;=6),2,4)))</f>
        <v> </v>
      </c>
      <c r="J207" s="279" t="str">
        <f aca="false">IF(A207="N/A"," ",IF(AND('Pricing Inputs'!$AQ$3&gt;=1,'Pricing Inputs'!$AQ$3&lt;=6),I207,(VLOOKUP(A207,ScaledPrice,2))*(2-(VLOOKUP(A207,ScaledPrice,3)))))</f>
        <v> </v>
      </c>
      <c r="K207" s="279" t="str">
        <f aca="false">IF(A207="N/A"," ",IF(OR('Pricing Inputs'!$AQ$3=2,'Pricing Inputs'!$AQ$3=3,'Pricing Inputs'!$AQ$3=5,'Pricing Inputs'!$AQ$3=6,'Pricing Inputs'!$AQ$3=8,'Pricing Inputs'!$AQ$3=9),VLOOKUP(A207,ScaledPrice,IF(AND('Pricing Inputs'!$AQ$3&gt;=2,'Pricing Inputs'!$AQ$3&lt;=6),5,6)),0))</f>
        <v> </v>
      </c>
      <c r="L207" s="279" t="str">
        <f aca="false">IF(A207="N/A"," ",IF(OR('Pricing Inputs'!$AQ$3=2,'Pricing Inputs'!$AQ$3=3,'Pricing Inputs'!$AQ$3=5,'Pricing Inputs'!$AQ$3=6,'Pricing Inputs'!$AQ$3=8,'Pricing Inputs'!$AQ$3=9),IF(AND('Pricing Inputs'!$AQ$3&gt;=2,'Pricing Inputs'!$AQ$3&lt;=6),K207,(VLOOKUP(A207,ScaledPrice,5))*(2-(VLOOKUP(A207,ScaledPrice,3)))),0))</f>
        <v> </v>
      </c>
      <c r="M207" s="279" t="str">
        <f aca="false">IF(A207="N/A"," ",IF(OR('Pricing Inputs'!$AQ$3=3,'Pricing Inputs'!$AQ$3=6,'Pricing Inputs'!$AQ$3=9),(VLOOKUP(A207,ScaledPrice,IF(AND('Pricing Inputs'!$AQ$3&gt;=3,'Pricing Inputs'!$AQ$3&lt;=6),7,8))),0))</f>
        <v> </v>
      </c>
      <c r="N207" s="279" t="str">
        <f aca="false">IF(A207="N/A"," ",IF(OR('Pricing Inputs'!$AQ$3=3,'Pricing Inputs'!$AQ$3=6,'Pricing Inputs'!$AQ$3=9),IF(AND('Pricing Inputs'!$AQ$3&gt;=3,'Pricing Inputs'!$AQ$3&lt;=6),M207,(VLOOKUP(A207,ScaledPrice,7))*(2-(VLOOKUP(A207,ScaledPrice,3)))),0))</f>
        <v> </v>
      </c>
      <c r="O207" s="279" t="str">
        <f aca="false">IF(A207="N/A"," ",IF(AND('Pricing Inputs'!$AQ$3&gt;=1,'Pricing Inputs'!$AQ$3&lt;=3),VLOOKUP(A207,ScaledPrice,9),0))</f>
        <v> </v>
      </c>
      <c r="P207" s="280" t="str">
        <f aca="false">IF($A207="N/A"," ",IF('Pricing Inputs'!$AN$8=2,(I207-H207),IF('Pricing Inputs'!$AN$3=2,IF((I207-$H207)&gt;0,I207-$H207,0),(xSPRDOPT(I207,$E207,$BU207,0,$BP207,$BS207,$BT207,($A207-Inputs!$D$1)+15,1,0)))))</f>
        <v> </v>
      </c>
      <c r="Q207" s="280" t="str">
        <f aca="false">IF($A207="N/A"," ",IF('Pricing Inputs'!$AN$8=2,(J207-$H207),IF('Pricing Inputs'!$AN$3=2,IF((J207-$H207)&gt;0,J207-$H207,0),(xSPRDOPT(J207,$E207,$BU207,0,$BP207,$BS207,$BT207,($A207-Inputs!$D$1)+15,1,0)))))</f>
        <v> </v>
      </c>
      <c r="R207" s="280" t="str">
        <f aca="false">IF($A207="N/A"," ",IF('Pricing Inputs'!$AN$8=2,(K207-$H207),IF('Pricing Inputs'!$AN$3=2,IF((K207-$H207)&gt;0,K207-$H207,0),(xSPRDOPT(K207,$E207,$BU207,0,$BP207,$BS207,$BT207,($A207-Inputs!$D$1)+15,1,0)))))</f>
        <v> </v>
      </c>
      <c r="S207" s="280" t="str">
        <f aca="false">IF($A207="N/A"," ",IF('Pricing Inputs'!$AN$8=2,(L207-$H207),IF('Pricing Inputs'!$AN$3=2,IF((L207-$H207)&gt;0,L207-$H207,0),(xSPRDOPT(L207,$E207,$BU207,0,$BP207,$BS207,$BT207,($A207-Inputs!$D$1)+15,1,0)))))</f>
        <v> </v>
      </c>
      <c r="T207" s="280" t="str">
        <f aca="false">IF($A207="N/A"," ",IF('Pricing Inputs'!$AN$8=2,(M207-$H207),IF('Pricing Inputs'!$AN$3=2,IF((M207-$H207)&gt;0,M207-$H207,0),(xSPRDOPT(M207,$E207,$BU207,0,$BP207,$BS207,$BT207,($A207-Inputs!$D$1)+15,1,0)))))</f>
        <v> </v>
      </c>
      <c r="U207" s="280" t="str">
        <f aca="false">IF($A207="N/A"," ",IF('Pricing Inputs'!$AN$8=2,(N207-$H207),IF('Pricing Inputs'!$AN$3=2,IF((N207-$H207)&gt;0,N207-$H207,0),(xSPRDOPT(N207,$E207,$BU207,0,$BP207,$BS207,$BT207,($A207-Inputs!$D$1)+15,1,0)))))</f>
        <v> </v>
      </c>
      <c r="V207" s="281" t="str">
        <f aca="false">IF($A207="N/A"," ",(IF('Pricing Inputs'!$AN$8=2,(O207-$H207),IF((O207-$H207)&lt;=0,0,(O207-$H207)))))</f>
        <v> </v>
      </c>
      <c r="W207" s="282" t="str">
        <f aca="false">IF($A207="N/A"," ",IF(0&lt;&gt;P207,IF('Pricing Inputs'!$AN$3=2,8*VLOOKUP($A207,NumberofDaysTable,2),(xSPRDOPT(I207,$E207,$BU207,0,$BP207,$BS207,$BT207,$A207-Inputs!$D$1,1,1))*(8*VLOOKUP($A207,NumberofDaysTable,2))),0))</f>
        <v> </v>
      </c>
      <c r="X207" s="282" t="str">
        <f aca="false">IF($A207="N/A"," ",IF(Q207&lt;&gt;0,IF('Pricing Inputs'!$AN$3=2,8*VLOOKUP($A207,NumberofDaysTable,2),(xSPRDOPT(J207,$E207,$BU207,0,$BP207,$BS207,$BT207,$A207-Inputs!$D$1,1,1))*(8*VLOOKUP($A207,NumberofDaysTable,2))),0))</f>
        <v> </v>
      </c>
      <c r="Y207" s="282" t="str">
        <f aca="false">IF($A207="N/A"," ",IF(R207&lt;&gt;0,IF('Pricing Inputs'!$AN$3=2,8*VLOOKUP($A207,NumberofDaysTable,3),(xSPRDOPT(K207,$E207,$BU207,0,$BP207,$BS207,$BT207,$A207-Inputs!$D$1,1,1))*(8*VLOOKUP($A207,NumberofDaysTable,3))),0))</f>
        <v> </v>
      </c>
      <c r="Z207" s="282" t="str">
        <f aca="false">IF($A207="N/A"," ",IF(S207&lt;&gt;0,IF('Pricing Inputs'!$AN$3=2,8*VLOOKUP($A207,NumberofDaysTable,3),(xSPRDOPT(L207,$E207,$BU207,0,$BP207,$BS207,$BT207,$A207-Inputs!$D$1,1,1))*(8*VLOOKUP($A207,NumberofDaysTable,3))),0))</f>
        <v> </v>
      </c>
      <c r="AA207" s="282" t="str">
        <f aca="false">IF($A207="N/A"," ",IF(T207&lt;&gt;0,IF('Pricing Inputs'!$AN$3=2,8*VLOOKUP($A207,NumberofDaysTable,4),(xSPRDOPT(M207,$E207,$BU207,0,$BP207,$BS207,$BT207,$A207-Inputs!$D$1,1,1))*(8*VLOOKUP($A207,NumberofDaysTable,4))),0))</f>
        <v> </v>
      </c>
      <c r="AB207" s="282" t="str">
        <f aca="false">IF($A207="N/A"," ",IF(U207&lt;&gt;0,IF('Pricing Inputs'!$AN$3=2,8*VLOOKUP($A207,NumberofDaysTable,4),(xSPRDOPT(N207,$E207,$BU207,0,$BP207,$BS207,$BT207,$A207-Inputs!$D$1,1,1))*(8*VLOOKUP($A207,NumberofDaysTable,4))),0))</f>
        <v> </v>
      </c>
      <c r="AC207" s="282" t="str">
        <f aca="false">IF($A207="N/A"," ",(IF(V207&lt;&gt;0,(8*VLOOKUP($A207,NumberofDaysTable,6)),0)))</f>
        <v> </v>
      </c>
      <c r="AD207" s="305" t="str">
        <f aca="false">IF($A207="N/A"," ",RANK(P207,$P$196:$V$207))</f>
        <v> </v>
      </c>
      <c r="AE207" s="306" t="str">
        <f aca="false">IF($A207="N/A"," ",RANK(Q207,$P$196:$V$207))</f>
        <v> </v>
      </c>
      <c r="AF207" s="306" t="str">
        <f aca="false">IF($A207="N/A"," ",RANK(R207,$P$196:$V$207))</f>
        <v> </v>
      </c>
      <c r="AG207" s="306" t="str">
        <f aca="false">IF($A207="N/A"," ",RANK(S207,$P$196:$V$207))</f>
        <v> </v>
      </c>
      <c r="AH207" s="306" t="str">
        <f aca="false">IF($A207="N/A"," ",RANK(T207,$P$196:$V$207))</f>
        <v> </v>
      </c>
      <c r="AI207" s="306" t="str">
        <f aca="false">IF($A207="N/A"," ",RANK(U207,$P$196:$V$207))</f>
        <v> </v>
      </c>
      <c r="AJ207" s="307" t="str">
        <f aca="false">IF($A207="N/A"," ",RANK(V207,$P$196:$V$207))</f>
        <v> </v>
      </c>
      <c r="AK207" s="308" t="str">
        <f aca="false">IF($A207="N/A"," ",IF(AD207&lt;=$AJ$2,W207,0))</f>
        <v> </v>
      </c>
      <c r="AL207" s="309" t="str">
        <f aca="false">IF($A207="N/A"," ",IF(AE207&lt;=$AJ$2,X207,0))</f>
        <v> </v>
      </c>
      <c r="AM207" s="309" t="str">
        <f aca="false">IF($A207="N/A"," ",IF(AF207&lt;=$AJ$2,Y207,0))</f>
        <v> </v>
      </c>
      <c r="AN207" s="309" t="str">
        <f aca="false">IF($A207="N/A"," ",IF(AG207&lt;=$AJ$2,Z207,0))</f>
        <v> </v>
      </c>
      <c r="AO207" s="309" t="str">
        <f aca="false">IF($A207="N/A"," ",IF(AH207&lt;=$AJ$2,AA207,0))</f>
        <v> </v>
      </c>
      <c r="AP207" s="309" t="str">
        <f aca="false">IF($A207="N/A"," ",IF(AI207&lt;=$AJ$2,AB207,0))</f>
        <v> </v>
      </c>
      <c r="AQ207" s="309" t="str">
        <f aca="false">IF($A207="N/A"," ",IF(AJ207&lt;=$AJ$2,AC207,0))</f>
        <v> </v>
      </c>
      <c r="AR207" s="307" t="n">
        <f aca="false">IF(($AP$2-AR206)&gt;=0,$AP$2-AR206,0)</f>
        <v>1400</v>
      </c>
      <c r="AS207" s="310" t="str">
        <f aca="false">IF($A207="N/A"," ",IF(AND(AD207=$AJ$2+1,AK207=0),MIN($AR$207,W207),0))</f>
        <v> </v>
      </c>
      <c r="AT207" s="311" t="str">
        <f aca="false">IF($A207="N/A"," ",IF(AND(AE207=$AJ$2+1,AL207=0),MIN($AR$207,X207),0))</f>
        <v> </v>
      </c>
      <c r="AU207" s="311" t="str">
        <f aca="false">IF($A207="N/A"," ",IF(AND(AF207=$AJ$2+1,AM207=0),MIN($AR$207,Y207),0))</f>
        <v> </v>
      </c>
      <c r="AV207" s="311" t="str">
        <f aca="false">IF($A207="N/A"," ",IF(AND(AG207=$AJ$2+1,AN207=0),MIN($AR$207,Z207),0))</f>
        <v> </v>
      </c>
      <c r="AW207" s="311" t="str">
        <f aca="false">IF($A207="N/A"," ",IF(AND(AH207=$AJ$2+1,AO207=0),MIN($AR$207,AA207),0))</f>
        <v> </v>
      </c>
      <c r="AX207" s="311" t="str">
        <f aca="false">IF($A207="N/A"," ",IF(AND(AI207=$AJ$2+1,AP207=0),MIN($AR$207,AB207),0))</f>
        <v> </v>
      </c>
      <c r="AY207" s="311" t="str">
        <f aca="false">IF($A207="N/A"," ",IF(AND(AJ207=$AJ$2+1,AQ207=0),MIN($AR$207,AC207),0))</f>
        <v> </v>
      </c>
      <c r="AZ207" s="312" t="n">
        <f aca="false">AR206+AZ206</f>
        <v>0</v>
      </c>
      <c r="BA207" s="291" t="str">
        <f aca="false">IF($A207="N/A"," ",(IF(MONTH(A207)&gt;=4,IF(MONTH(A207)&lt;=10,Inputs!$F$13,Inputs!$F$14),Inputs!$F$14))*$BW207)</f>
        <v> </v>
      </c>
      <c r="BB207" s="292" t="str">
        <f aca="false">IF($A207="N/A"," ",(IF(AK207&gt;0,($BA207*(8*(VLOOKUP($A207,NumberofDaysTable,2)))*P207),0)+IF(AS207&gt;0,($BA207*((AS207))*P207),0)))</f>
        <v> </v>
      </c>
      <c r="BC207" s="292" t="str">
        <f aca="false">IF($A207="N/A"," ",(IF(AL207&gt;0,($BA207*(8*(VLOOKUP($A207,NumberofDaysTable,2)))*Q207),0)+IF(AT207&gt;0,($BA207*((AT207))*Q207),0)))</f>
        <v> </v>
      </c>
      <c r="BD207" s="292" t="str">
        <f aca="false">IF($A207="N/A"," ",(IF(AM207&gt;0,($BA207*(8*(VLOOKUP($A207,NumberofDaysTable,3)))*R207),0)+IF(AU207&gt;0,($BA207*((AU207))*R207),0)))</f>
        <v> </v>
      </c>
      <c r="BE207" s="292" t="str">
        <f aca="false">IF($A207="N/A"," ",(IF(AN207&gt;0,($BA207*(8*(VLOOKUP($A207,NumberofDaysTable,3)))*S207),0)+IF(AV207&gt;0,($BA207*((AV207))*S207),0)))</f>
        <v> </v>
      </c>
      <c r="BF207" s="292" t="str">
        <f aca="false">IF($A207="N/A"," ",(IF(AO207&gt;0,($BA207*(8*(VLOOKUP($A207,NumberofDaysTable,4)+VLOOKUP($A207,NumberofDaysTable,5)))*T207),0)+IF(AW207&gt;0,($BA207*((AW207))*T207),0)))</f>
        <v> </v>
      </c>
      <c r="BG207" s="292" t="str">
        <f aca="false">IF($A207="N/A"," ",(IF(AP207&gt;0,($BA207*(8*(VLOOKUP($A207,NumberofDaysTable,4)+VLOOKUP($A207,NumberofDaysTable,5)))*U207),0)+IF(AX207&gt;0,($BA207*((AX207))*U207),0)))</f>
        <v> </v>
      </c>
      <c r="BH207" s="292" t="str">
        <f aca="false">IF($A207="N/A"," ",($BA207*AQ207*V207))</f>
        <v> </v>
      </c>
      <c r="BI207" s="292" t="str">
        <f aca="false">IF($A207="N/A"," ",SUM(BB207:BH207))</f>
        <v> </v>
      </c>
      <c r="BJ207" s="293" t="str">
        <f aca="false">IF($A207="N/A"," ",(H207*(SUM(AK207:AQ207)+SUM(AS207:AY207))*BA207))</f>
        <v> </v>
      </c>
      <c r="BK207" s="293" t="str">
        <f aca="false">IF($A207="N/A"," ",((C207*D207)*(SUM($AK207:$AQ207)+SUM($AS207:$AY207))*$BA207))</f>
        <v> </v>
      </c>
      <c r="BL207" s="293" t="str">
        <f aca="false">IF($A207="N/A"," ",(F207*(SUM($AK207:$AQ207)+SUM($AS207:$AY207))*$BA207))</f>
        <v> </v>
      </c>
      <c r="BM207" s="293" t="str">
        <f aca="false">IF($A207="N/A"," ",(G207*(SUM($AK207:$AQ207)+SUM($AS207:$AY207))*$BA207))</f>
        <v> </v>
      </c>
      <c r="BN207" s="294" t="str">
        <f aca="false">IF(A207="N/A"," ",(VLOOKUP(A207,PowerVolTable,(IF('Pricing Inputs'!$AT$3=2,7,IF('Pricing Inputs'!$AT$3=1,6,8))),FALSE())))</f>
        <v> </v>
      </c>
      <c r="BO207" s="294" t="str">
        <f aca="false">IF(A207="N/A"," ",(VLOOKUP(A207,IntraPowerVol,(IF('Pricing Inputs'!$AT$3=2,3,IF('Pricing Inputs'!$AT$3=1,2,4))),FALSE())*VLOOKUP(MONTH($A207),Inputs!$A$28:$B$39,2)))</f>
        <v> </v>
      </c>
      <c r="BP207" s="295" t="str">
        <f aca="false">IF($A207="N/A"," ",(IF(DateToday&gt;$A207,$BO207,((($BN207^2)*((($A207-1)-DateToday)/((EOMONTH($A207,0)+1)-DateToday-15)))+((($BO207)^2)*((15)/((EOMONTH($A207,0)+1)-DateToday-15))))^0.5)))</f>
        <v> </v>
      </c>
      <c r="BQ207" s="294" t="str">
        <f aca="false">IF($A207="N/A"," ",(VLOOKUP($A207,GasVolTable,(IF('Pricing Inputs'!$AT$3=2,6,IF('Pricing Inputs'!$AT$3=1,7,5))),FALSE())))</f>
        <v> </v>
      </c>
      <c r="BR207" s="294" t="str">
        <f aca="false">IF($A207="N/A"," ",(VLOOKUP($A207,OmicronVol,(IF('Pricing Inputs'!$AT$3=2,3,IF('Pricing Inputs'!$AT$3=1,4,2))),FALSE())))</f>
        <v> </v>
      </c>
      <c r="BS207" s="295" t="str">
        <f aca="false">IF($A207="N/A"," ",IF('Pricing Inputs'!$AN$3=1,(IF(DateToday&gt;$A207,$BR207,((($BQ207^2)*((($A207-1)-DateToday)/((EOMONTH($A207,0)+1)-DateToday-15)))+((($BR207)^2)*((15)/((EOMONTH($A207,0)+1)-DateToday-15))))^0.5)),0.0001))</f>
        <v> </v>
      </c>
      <c r="BT207" s="294" t="str">
        <f aca="false">IF($A207="N/A"," ",IF('Pricing Inputs'!$AN$3=1,(VLOOKUP($A207,CorrelationTable,2,FALSE())),0))</f>
        <v> </v>
      </c>
      <c r="BU207" s="296" t="str">
        <f aca="false">IF($A207="N/A"," ",F207+G207+(D207*(VLOOKUP($A207,'Gas Curves'!$B$17:$P$310,14,FALSE()))))</f>
        <v> </v>
      </c>
      <c r="BV207" s="294" t="str">
        <f aca="false">IF($A207="N/A"," ",IF('Pricing Inputs'!$AW$3=1,0,(VLOOKUP($A207,InterestRatesTable,2))))</f>
        <v> </v>
      </c>
      <c r="BW207" s="297" t="str">
        <f aca="false">IF($A207="N/A"," ",(1+BV207/2)^(-2*((EOMONTH(A207,0)+20)-DateToday)/365.25))</f>
        <v> </v>
      </c>
    </row>
    <row r="208" customFormat="false" ht="12.75" hidden="false" customHeight="false" outlineLevel="0" collapsed="false">
      <c r="A208" s="272" t="str">
        <f aca="false">IF(A207="N/A","N/A",IF(EDATE(A207,1)&gt;Inputs!$K$3,"N/A",EDATE(A207,1)))</f>
        <v>N/A</v>
      </c>
      <c r="B208" s="273" t="str">
        <f aca="false">IF(A208="N/A"," ",YEAR(A208))</f>
        <v> </v>
      </c>
      <c r="C208" s="274" t="str">
        <f aca="false">IF(A208="N/A"," ",VLOOKUP(A208,ScaledPrice,10))</f>
        <v> </v>
      </c>
      <c r="D208" s="275" t="str">
        <f aca="false">IF(A208="N/A"," ",(VLOOKUP(MONTH($A208),Inputs!$A$14:$B$25,2))/1000)</f>
        <v> </v>
      </c>
      <c r="E208" s="276" t="str">
        <f aca="false">IF($A208="N/A"," ",C208*D208)</f>
        <v> </v>
      </c>
      <c r="F208" s="277" t="str">
        <f aca="false">IF(A208="N/A"," ",Inputs!$F$6)</f>
        <v> </v>
      </c>
      <c r="G208" s="277" t="str">
        <f aca="false">IF(A208="N/A"," ",Inputs!$F$9/IF(AND('Pricing Inputs'!$AQ$3&gt;=4,'Pricing Inputs'!$AQ$3&lt;=6),16,IF(AND('Pricing Inputs'!$AQ$3&gt;=7,'Pricing Inputs'!$AQ$3&lt;=9),8,24))/(BA208/BW208))</f>
        <v> </v>
      </c>
      <c r="H208" s="278" t="str">
        <f aca="false">IF(A208="N/A"," ",(C208*D208)+F208+G208)</f>
        <v> </v>
      </c>
      <c r="I208" s="279" t="str">
        <f aca="false">VLOOKUP(A208,ScaledPrice,(IF(AND('Pricing Inputs'!$AQ$3&gt;=1,'Pricing Inputs'!$AQ$3&lt;=6),2,4)))</f>
        <v> </v>
      </c>
      <c r="J208" s="279" t="str">
        <f aca="false">IF(A208="N/A"," ",IF(AND('Pricing Inputs'!$AQ$3&gt;=1,'Pricing Inputs'!$AQ$3&lt;=6),I208,(VLOOKUP(A208,ScaledPrice,2))*(2-(VLOOKUP(A208,ScaledPrice,3)))))</f>
        <v> </v>
      </c>
      <c r="K208" s="279" t="str">
        <f aca="false">IF(A208="N/A"," ",IF(OR('Pricing Inputs'!$AQ$3=2,'Pricing Inputs'!$AQ$3=3,'Pricing Inputs'!$AQ$3=5,'Pricing Inputs'!$AQ$3=6,'Pricing Inputs'!$AQ$3=8,'Pricing Inputs'!$AQ$3=9),VLOOKUP(A208,ScaledPrice,IF(AND('Pricing Inputs'!$AQ$3&gt;=2,'Pricing Inputs'!$AQ$3&lt;=6),5,6)),0))</f>
        <v> </v>
      </c>
      <c r="L208" s="279" t="str">
        <f aca="false">IF(A208="N/A"," ",IF(OR('Pricing Inputs'!$AQ$3=2,'Pricing Inputs'!$AQ$3=3,'Pricing Inputs'!$AQ$3=5,'Pricing Inputs'!$AQ$3=6,'Pricing Inputs'!$AQ$3=8,'Pricing Inputs'!$AQ$3=9),IF(AND('Pricing Inputs'!$AQ$3&gt;=2,'Pricing Inputs'!$AQ$3&lt;=6),K208,(VLOOKUP(A208,ScaledPrice,5))*(2-(VLOOKUP(A208,ScaledPrice,3)))),0))</f>
        <v> </v>
      </c>
      <c r="M208" s="279" t="str">
        <f aca="false">IF(A208="N/A"," ",IF(OR('Pricing Inputs'!$AQ$3=3,'Pricing Inputs'!$AQ$3=6,'Pricing Inputs'!$AQ$3=9),(VLOOKUP(A208,ScaledPrice,IF(AND('Pricing Inputs'!$AQ$3&gt;=3,'Pricing Inputs'!$AQ$3&lt;=6),7,8))),0))</f>
        <v> </v>
      </c>
      <c r="N208" s="279" t="str">
        <f aca="false">IF(A208="N/A"," ",IF(OR('Pricing Inputs'!$AQ$3=3,'Pricing Inputs'!$AQ$3=6,'Pricing Inputs'!$AQ$3=9),IF(AND('Pricing Inputs'!$AQ$3&gt;=3,'Pricing Inputs'!$AQ$3&lt;=6),M208,(VLOOKUP(A208,ScaledPrice,7))*(2-(VLOOKUP(A208,ScaledPrice,3)))),0))</f>
        <v> </v>
      </c>
      <c r="O208" s="279" t="str">
        <f aca="false">IF(A208="N/A"," ",IF(AND('Pricing Inputs'!$AQ$3&gt;=1,'Pricing Inputs'!$AQ$3&lt;=3),VLOOKUP(A208,ScaledPrice,9),0))</f>
        <v> </v>
      </c>
      <c r="P208" s="280" t="str">
        <f aca="false">IF($A208="N/A"," ",IF('Pricing Inputs'!$AN$8=2,(I208-H208),IF('Pricing Inputs'!$AN$3=2,IF((I208-$H208)&gt;0,I208-$H208,0),(xSPRDOPT(I208,$E208,$BU208,0,$BP208,$BS208,$BT208,($A208-Inputs!$D$1)+15,1,0)))))</f>
        <v> </v>
      </c>
      <c r="Q208" s="280" t="str">
        <f aca="false">IF($A208="N/A"," ",IF('Pricing Inputs'!$AN$8=2,(J208-$H208),IF('Pricing Inputs'!$AN$3=2,IF((J208-$H208)&gt;0,J208-$H208,0),(xSPRDOPT(J208,$E208,$BU208,0,$BP208,$BS208,$BT208,($A208-Inputs!$D$1)+15,1,0)))))</f>
        <v> </v>
      </c>
      <c r="R208" s="280" t="str">
        <f aca="false">IF($A208="N/A"," ",IF('Pricing Inputs'!$AN$8=2,(K208-$H208),IF('Pricing Inputs'!$AN$3=2,IF((K208-$H208)&gt;0,K208-$H208,0),(xSPRDOPT(K208,$E208,$BU208,0,$BP208,$BS208,$BT208,($A208-Inputs!$D$1)+15,1,0)))))</f>
        <v> </v>
      </c>
      <c r="S208" s="280" t="str">
        <f aca="false">IF($A208="N/A"," ",IF('Pricing Inputs'!$AN$8=2,(L208-$H208),IF('Pricing Inputs'!$AN$3=2,IF((L208-$H208)&gt;0,L208-$H208,0),(xSPRDOPT(L208,$E208,$BU208,0,$BP208,$BS208,$BT208,($A208-Inputs!$D$1)+15,1,0)))))</f>
        <v> </v>
      </c>
      <c r="T208" s="280" t="str">
        <f aca="false">IF($A208="N/A"," ",IF('Pricing Inputs'!$AN$8=2,(M208-$H208),IF('Pricing Inputs'!$AN$3=2,IF((M208-$H208)&gt;0,M208-$H208,0),(xSPRDOPT(M208,$E208,$BU208,0,$BP208,$BS208,$BT208,($A208-Inputs!$D$1)+15,1,0)))))</f>
        <v> </v>
      </c>
      <c r="U208" s="280" t="str">
        <f aca="false">IF($A208="N/A"," ",IF('Pricing Inputs'!$AN$8=2,(N208-$H208),IF('Pricing Inputs'!$AN$3=2,IF((N208-$H208)&gt;0,N208-$H208,0),(xSPRDOPT(N208,$E208,$BU208,0,$BP208,$BS208,$BT208,($A208-Inputs!$D$1)+15,1,0)))))</f>
        <v> </v>
      </c>
      <c r="V208" s="281" t="str">
        <f aca="false">IF($A208="N/A"," ",(IF('Pricing Inputs'!$AN$8=2,(O208-$H208),IF((O208-$H208)&lt;=0,0,(O208-$H208)))))</f>
        <v> </v>
      </c>
      <c r="W208" s="282" t="str">
        <f aca="false">IF($A208="N/A"," ",IF(0&lt;&gt;P208,IF('Pricing Inputs'!$AN$3=2,8*VLOOKUP($A208,NumberofDaysTable,2),(xSPRDOPT(I208,$E208,$BU208,0,$BP208,$BS208,$BT208,$A208-Inputs!$D$1,1,1))*(8*VLOOKUP($A208,NumberofDaysTable,2))),0))</f>
        <v> </v>
      </c>
      <c r="X208" s="282" t="str">
        <f aca="false">IF($A208="N/A"," ",IF(Q208&lt;&gt;0,IF('Pricing Inputs'!$AN$3=2,8*VLOOKUP($A208,NumberofDaysTable,2),(xSPRDOPT(J208,$E208,$BU208,0,$BP208,$BS208,$BT208,$A208-Inputs!$D$1,1,1))*(8*VLOOKUP($A208,NumberofDaysTable,2))),0))</f>
        <v> </v>
      </c>
      <c r="Y208" s="282" t="str">
        <f aca="false">IF($A208="N/A"," ",IF(R208&lt;&gt;0,IF('Pricing Inputs'!$AN$3=2,8*VLOOKUP($A208,NumberofDaysTable,3),(xSPRDOPT(K208,$E208,$BU208,0,$BP208,$BS208,$BT208,$A208-Inputs!$D$1,1,1))*(8*VLOOKUP($A208,NumberofDaysTable,3))),0))</f>
        <v> </v>
      </c>
      <c r="Z208" s="282" t="str">
        <f aca="false">IF($A208="N/A"," ",IF(S208&lt;&gt;0,IF('Pricing Inputs'!$AN$3=2,8*VLOOKUP($A208,NumberofDaysTable,3),(xSPRDOPT(L208,$E208,$BU208,0,$BP208,$BS208,$BT208,$A208-Inputs!$D$1,1,1))*(8*VLOOKUP($A208,NumberofDaysTable,3))),0))</f>
        <v> </v>
      </c>
      <c r="AA208" s="282" t="str">
        <f aca="false">IF($A208="N/A"," ",IF(T208&lt;&gt;0,IF('Pricing Inputs'!$AN$3=2,8*VLOOKUP($A208,NumberofDaysTable,4),(xSPRDOPT(M208,$E208,$BU208,0,$BP208,$BS208,$BT208,$A208-Inputs!$D$1,1,1))*(8*VLOOKUP($A208,NumberofDaysTable,4))),0))</f>
        <v> </v>
      </c>
      <c r="AB208" s="282" t="str">
        <f aca="false">IF($A208="N/A"," ",IF(U208&lt;&gt;0,IF('Pricing Inputs'!$AN$3=2,8*VLOOKUP($A208,NumberofDaysTable,4),(xSPRDOPT(N208,$E208,$BU208,0,$BP208,$BS208,$BT208,$A208-Inputs!$D$1,1,1))*(8*VLOOKUP($A208,NumberofDaysTable,4))),0))</f>
        <v> </v>
      </c>
      <c r="AC208" s="282" t="str">
        <f aca="false">IF($A208="N/A"," ",(IF(V208&lt;&gt;0,(8*VLOOKUP($A208,NumberofDaysTable,6)),0)))</f>
        <v> </v>
      </c>
      <c r="AD208" s="283" t="str">
        <f aca="false">IF($A208="N/A"," ",RANK(P208,$P$208:$V$219))</f>
        <v> </v>
      </c>
      <c r="AE208" s="284" t="str">
        <f aca="false">IF($A208="N/A"," ",RANK(Q208,$P$208:$V$219))</f>
        <v> </v>
      </c>
      <c r="AF208" s="284" t="str">
        <f aca="false">IF($A208="N/A"," ",RANK(R208,$P$208:$V$219))</f>
        <v> </v>
      </c>
      <c r="AG208" s="284" t="str">
        <f aca="false">IF($A208="N/A"," ",RANK(S208,$P$208:$V$219))</f>
        <v> </v>
      </c>
      <c r="AH208" s="284" t="str">
        <f aca="false">IF($A208="N/A"," ",RANK(T208,$P$208:$V$219))</f>
        <v> </v>
      </c>
      <c r="AI208" s="284" t="str">
        <f aca="false">IF($A208="N/A"," ",RANK(U208,$P$208:$V$219))</f>
        <v> </v>
      </c>
      <c r="AJ208" s="285" t="str">
        <f aca="false">IF($A208="N/A"," ",RANK(V208,$P$208:$V$219))</f>
        <v> </v>
      </c>
      <c r="AK208" s="313" t="str">
        <f aca="false">IF($A208="N/A"," ",IF(AD208&lt;=$AJ$2,W208,0))</f>
        <v> </v>
      </c>
      <c r="AL208" s="287" t="str">
        <f aca="false">IF($A208="N/A"," ",IF(AE208&lt;=$AJ$2,X208,0))</f>
        <v> </v>
      </c>
      <c r="AM208" s="287" t="str">
        <f aca="false">IF($A208="N/A"," ",IF(AF208&lt;=$AJ$2,Y208,0))</f>
        <v> </v>
      </c>
      <c r="AN208" s="287" t="str">
        <f aca="false">IF($A208="N/A"," ",IF(AG208&lt;=$AJ$2,Z208,0))</f>
        <v> </v>
      </c>
      <c r="AO208" s="287" t="str">
        <f aca="false">IF($A208="N/A"," ",IF(AH208&lt;=$AJ$2,AA208,0))</f>
        <v> </v>
      </c>
      <c r="AP208" s="287" t="str">
        <f aca="false">IF($A208="N/A"," ",IF(AI208&lt;=$AJ$2,AB208,0))</f>
        <v> </v>
      </c>
      <c r="AQ208" s="287" t="str">
        <f aca="false">IF($A208="N/A"," ",IF(AJ208&lt;=$AJ$2,AC208,0))</f>
        <v> </v>
      </c>
      <c r="AR208" s="285"/>
      <c r="AS208" s="314" t="str">
        <f aca="false">IF($A208="N/A"," ",IF(AND(AD208=$AJ$2+1,AK208=0),MIN($AR$219,W208),0))</f>
        <v> </v>
      </c>
      <c r="AT208" s="289" t="str">
        <f aca="false">IF($A208="N/A"," ",IF(AND(AE208=$AJ$2+1,AL208=0),MIN($AR$219,X208),0))</f>
        <v> </v>
      </c>
      <c r="AU208" s="289" t="str">
        <f aca="false">IF($A208="N/A"," ",IF(AND(AF208=$AJ$2+1,AM208=0),MIN($AR$219,Y208),0))</f>
        <v> </v>
      </c>
      <c r="AV208" s="289" t="str">
        <f aca="false">IF($A208="N/A"," ",IF(AND(AG208=$AJ$2+1,AN208=0),MIN($AR$219,Z208),0))</f>
        <v> </v>
      </c>
      <c r="AW208" s="289" t="str">
        <f aca="false">IF($A208="N/A"," ",IF(AND(AH208=$AJ$2+1,AO208=0),MIN($AR$219,AA208),0))</f>
        <v> </v>
      </c>
      <c r="AX208" s="289" t="str">
        <f aca="false">IF($A208="N/A"," ",IF(AND(AI208=$AJ$2+1,AP208=0),MIN($AR$219,AB208),0))</f>
        <v> </v>
      </c>
      <c r="AY208" s="289" t="str">
        <f aca="false">IF($A208="N/A"," ",IF(AND(AJ208=$AJ$2+1,AQ208=0),MIN($AR$219,AC208),0))</f>
        <v> </v>
      </c>
      <c r="AZ208" s="285"/>
      <c r="BA208" s="291" t="str">
        <f aca="false">IF($A208="N/A"," ",(IF(MONTH(A208)&gt;=4,IF(MONTH(A208)&lt;=10,Inputs!$F$13,Inputs!$F$14),Inputs!$F$14))*$BW208)</f>
        <v> </v>
      </c>
      <c r="BB208" s="292" t="str">
        <f aca="false">IF($A208="N/A"," ",(IF(AK208&gt;0,($BA208*(8*(VLOOKUP($A208,NumberofDaysTable,2)))*P208),0)+IF(AS208&gt;0,($BA208*((AS208))*P208),0)))</f>
        <v> </v>
      </c>
      <c r="BC208" s="292" t="str">
        <f aca="false">IF($A208="N/A"," ",(IF(AL208&gt;0,($BA208*(8*(VLOOKUP($A208,NumberofDaysTable,2)))*Q208),0)+IF(AT208&gt;0,($BA208*((AT208))*Q208),0)))</f>
        <v> </v>
      </c>
      <c r="BD208" s="292" t="str">
        <f aca="false">IF($A208="N/A"," ",(IF(AM208&gt;0,($BA208*(8*(VLOOKUP($A208,NumberofDaysTable,3)))*R208),0)+IF(AU208&gt;0,($BA208*((AU208))*R208),0)))</f>
        <v> </v>
      </c>
      <c r="BE208" s="292" t="str">
        <f aca="false">IF($A208="N/A"," ",(IF(AN208&gt;0,($BA208*(8*(VLOOKUP($A208,NumberofDaysTable,3)))*S208),0)+IF(AV208&gt;0,($BA208*((AV208))*S208),0)))</f>
        <v> </v>
      </c>
      <c r="BF208" s="292" t="str">
        <f aca="false">IF($A208="N/A"," ",(IF(AO208&gt;0,($BA208*(8*(VLOOKUP($A208,NumberofDaysTable,4)+VLOOKUP($A208,NumberofDaysTable,5)))*T208),0)+IF(AW208&gt;0,($BA208*((AW208))*T208),0)))</f>
        <v> </v>
      </c>
      <c r="BG208" s="292" t="str">
        <f aca="false">IF($A208="N/A"," ",(IF(AP208&gt;0,($BA208*(8*(VLOOKUP($A208,NumberofDaysTable,4)+VLOOKUP($A208,NumberofDaysTable,5)))*U208),0)+IF(AX208&gt;0,($BA208*((AX208))*U208),0)))</f>
        <v> </v>
      </c>
      <c r="BH208" s="292" t="str">
        <f aca="false">IF($A208="N/A"," ",($BA208*AQ208*V208))</f>
        <v> </v>
      </c>
      <c r="BI208" s="292" t="str">
        <f aca="false">IF($A208="N/A"," ",SUM(BB208:BH208))</f>
        <v> </v>
      </c>
      <c r="BJ208" s="293" t="str">
        <f aca="false">IF($A208="N/A"," ",(H208*(SUM(AK208:AQ208)+SUM(AS208:AY208))*BA208))</f>
        <v> </v>
      </c>
      <c r="BK208" s="293" t="str">
        <f aca="false">IF($A208="N/A"," ",((C208*D208)*(SUM($AK208:$AQ208)+SUM($AS208:$AY208))*$BA208))</f>
        <v> </v>
      </c>
      <c r="BL208" s="293" t="str">
        <f aca="false">IF($A208="N/A"," ",(F208*(SUM($AK208:$AQ208)+SUM($AS208:$AY208))*$BA208))</f>
        <v> </v>
      </c>
      <c r="BM208" s="293" t="str">
        <f aca="false">IF($A208="N/A"," ",(G208*(SUM($AK208:$AQ208)+SUM($AS208:$AY208))*$BA208))</f>
        <v> </v>
      </c>
      <c r="BN208" s="294" t="str">
        <f aca="false">IF(A208="N/A"," ",(VLOOKUP(A208,PowerVolTable,(IF('Pricing Inputs'!$AT$3=2,7,IF('Pricing Inputs'!$AT$3=1,6,8))),FALSE())))</f>
        <v> </v>
      </c>
      <c r="BO208" s="294" t="str">
        <f aca="false">IF(A208="N/A"," ",(VLOOKUP(A208,IntraPowerVol,(IF('Pricing Inputs'!$AT$3=2,3,IF('Pricing Inputs'!$AT$3=1,2,4))),FALSE())*VLOOKUP(MONTH($A208),Inputs!$A$28:$B$39,2)))</f>
        <v> </v>
      </c>
      <c r="BP208" s="295" t="str">
        <f aca="false">IF($A208="N/A"," ",(IF(DateToday&gt;$A208,$BO208,((($BN208^2)*((($A208-1)-DateToday)/((EOMONTH($A208,0)+1)-DateToday-15)))+((($BO208)^2)*((15)/((EOMONTH($A208,0)+1)-DateToday-15))))^0.5)))</f>
        <v> </v>
      </c>
      <c r="BQ208" s="294" t="str">
        <f aca="false">IF($A208="N/A"," ",(VLOOKUP($A208,GasVolTable,(IF('Pricing Inputs'!$AT$3=2,6,IF('Pricing Inputs'!$AT$3=1,7,5))),FALSE())))</f>
        <v> </v>
      </c>
      <c r="BR208" s="294" t="str">
        <f aca="false">IF($A208="N/A"," ",(VLOOKUP($A208,OmicronVol,(IF('Pricing Inputs'!$AT$3=2,3,IF('Pricing Inputs'!$AT$3=1,4,2))),FALSE())))</f>
        <v> </v>
      </c>
      <c r="BS208" s="295" t="str">
        <f aca="false">IF($A208="N/A"," ",IF('Pricing Inputs'!$AN$3=1,(IF(DateToday&gt;$A208,$BR208,((($BQ208^2)*((($A208-1)-DateToday)/((EOMONTH($A208,0)+1)-DateToday-15)))+((($BR208)^2)*((15)/((EOMONTH($A208,0)+1)-DateToday-15))))^0.5)),0.0001))</f>
        <v> </v>
      </c>
      <c r="BT208" s="294" t="str">
        <f aca="false">IF($A208="N/A"," ",IF('Pricing Inputs'!$AN$3=1,(VLOOKUP($A208,CorrelationTable,2,FALSE())),0))</f>
        <v> </v>
      </c>
      <c r="BU208" s="296" t="str">
        <f aca="false">IF($A208="N/A"," ",F208+G208+(D208*(VLOOKUP($A208,'Gas Curves'!$B$17:$P$310,14,FALSE()))))</f>
        <v> </v>
      </c>
      <c r="BV208" s="294" t="str">
        <f aca="false">IF($A208="N/A"," ",IF('Pricing Inputs'!$AW$3=1,0,(VLOOKUP($A208,InterestRatesTable,2))))</f>
        <v> </v>
      </c>
      <c r="BW208" s="297" t="str">
        <f aca="false">IF($A208="N/A"," ",(1+BV208/2)^(-2*((EOMONTH(A208,0)+20)-DateToday)/365.25))</f>
        <v> </v>
      </c>
    </row>
    <row r="209" customFormat="false" ht="12.75" hidden="false" customHeight="false" outlineLevel="0" collapsed="false">
      <c r="A209" s="272" t="str">
        <f aca="false">IF(A208="N/A","N/A",IF(EDATE(A208,1)&gt;Inputs!$K$3,"N/A",EDATE(A208,1)))</f>
        <v>N/A</v>
      </c>
      <c r="B209" s="273" t="str">
        <f aca="false">IF(A209="N/A"," ",YEAR(A209))</f>
        <v> </v>
      </c>
      <c r="C209" s="274" t="str">
        <f aca="false">IF(A209="N/A"," ",VLOOKUP(A209,ScaledPrice,10))</f>
        <v> </v>
      </c>
      <c r="D209" s="275" t="str">
        <f aca="false">IF(A209="N/A"," ",(VLOOKUP(MONTH($A209),Inputs!$A$14:$B$25,2))/1000)</f>
        <v> </v>
      </c>
      <c r="E209" s="276" t="str">
        <f aca="false">IF($A209="N/A"," ",C209*D209)</f>
        <v> </v>
      </c>
      <c r="F209" s="277" t="str">
        <f aca="false">IF(A209="N/A"," ",Inputs!$F$6)</f>
        <v> </v>
      </c>
      <c r="G209" s="277" t="str">
        <f aca="false">IF(A209="N/A"," ",Inputs!$F$9/IF(AND('Pricing Inputs'!$AQ$3&gt;=4,'Pricing Inputs'!$AQ$3&lt;=6),16,IF(AND('Pricing Inputs'!$AQ$3&gt;=7,'Pricing Inputs'!$AQ$3&lt;=9),8,24))/(BA209/BW209))</f>
        <v> </v>
      </c>
      <c r="H209" s="278" t="str">
        <f aca="false">IF(A209="N/A"," ",(C209*D209)+F209+G209)</f>
        <v> </v>
      </c>
      <c r="I209" s="279" t="str">
        <f aca="false">VLOOKUP(A209,ScaledPrice,(IF(AND('Pricing Inputs'!$AQ$3&gt;=1,'Pricing Inputs'!$AQ$3&lt;=6),2,4)))</f>
        <v> </v>
      </c>
      <c r="J209" s="279" t="str">
        <f aca="false">IF(A209="N/A"," ",IF(AND('Pricing Inputs'!$AQ$3&gt;=1,'Pricing Inputs'!$AQ$3&lt;=6),I209,(VLOOKUP(A209,ScaledPrice,2))*(2-(VLOOKUP(A209,ScaledPrice,3)))))</f>
        <v> </v>
      </c>
      <c r="K209" s="279" t="str">
        <f aca="false">IF(A209="N/A"," ",IF(OR('Pricing Inputs'!$AQ$3=2,'Pricing Inputs'!$AQ$3=3,'Pricing Inputs'!$AQ$3=5,'Pricing Inputs'!$AQ$3=6,'Pricing Inputs'!$AQ$3=8,'Pricing Inputs'!$AQ$3=9),VLOOKUP(A209,ScaledPrice,IF(AND('Pricing Inputs'!$AQ$3&gt;=2,'Pricing Inputs'!$AQ$3&lt;=6),5,6)),0))</f>
        <v> </v>
      </c>
      <c r="L209" s="279" t="str">
        <f aca="false">IF(A209="N/A"," ",IF(OR('Pricing Inputs'!$AQ$3=2,'Pricing Inputs'!$AQ$3=3,'Pricing Inputs'!$AQ$3=5,'Pricing Inputs'!$AQ$3=6,'Pricing Inputs'!$AQ$3=8,'Pricing Inputs'!$AQ$3=9),IF(AND('Pricing Inputs'!$AQ$3&gt;=2,'Pricing Inputs'!$AQ$3&lt;=6),K209,(VLOOKUP(A209,ScaledPrice,5))*(2-(VLOOKUP(A209,ScaledPrice,3)))),0))</f>
        <v> </v>
      </c>
      <c r="M209" s="279" t="str">
        <f aca="false">IF(A209="N/A"," ",IF(OR('Pricing Inputs'!$AQ$3=3,'Pricing Inputs'!$AQ$3=6,'Pricing Inputs'!$AQ$3=9),(VLOOKUP(A209,ScaledPrice,IF(AND('Pricing Inputs'!$AQ$3&gt;=3,'Pricing Inputs'!$AQ$3&lt;=6),7,8))),0))</f>
        <v> </v>
      </c>
      <c r="N209" s="279" t="str">
        <f aca="false">IF(A209="N/A"," ",IF(OR('Pricing Inputs'!$AQ$3=3,'Pricing Inputs'!$AQ$3=6,'Pricing Inputs'!$AQ$3=9),IF(AND('Pricing Inputs'!$AQ$3&gt;=3,'Pricing Inputs'!$AQ$3&lt;=6),M209,(VLOOKUP(A209,ScaledPrice,7))*(2-(VLOOKUP(A209,ScaledPrice,3)))),0))</f>
        <v> </v>
      </c>
      <c r="O209" s="279" t="str">
        <f aca="false">IF(A209="N/A"," ",IF(AND('Pricing Inputs'!$AQ$3&gt;=1,'Pricing Inputs'!$AQ$3&lt;=3),VLOOKUP(A209,ScaledPrice,9),0))</f>
        <v> </v>
      </c>
      <c r="P209" s="280" t="str">
        <f aca="false">IF($A209="N/A"," ",IF('Pricing Inputs'!$AN$8=2,(I209-H209),IF('Pricing Inputs'!$AN$3=2,IF((I209-$H209)&gt;0,I209-$H209,0),(xSPRDOPT(I209,$E209,$BU209,0,$BP209,$BS209,$BT209,($A209-Inputs!$D$1)+15,1,0)))))</f>
        <v> </v>
      </c>
      <c r="Q209" s="280" t="str">
        <f aca="false">IF($A209="N/A"," ",IF('Pricing Inputs'!$AN$8=2,(J209-$H209),IF('Pricing Inputs'!$AN$3=2,IF((J209-$H209)&gt;0,J209-$H209,0),(xSPRDOPT(J209,$E209,$BU209,0,$BP209,$BS209,$BT209,($A209-Inputs!$D$1)+15,1,0)))))</f>
        <v> </v>
      </c>
      <c r="R209" s="280" t="str">
        <f aca="false">IF($A209="N/A"," ",IF('Pricing Inputs'!$AN$8=2,(K209-$H209),IF('Pricing Inputs'!$AN$3=2,IF((K209-$H209)&gt;0,K209-$H209,0),(xSPRDOPT(K209,$E209,$BU209,0,$BP209,$BS209,$BT209,($A209-Inputs!$D$1)+15,1,0)))))</f>
        <v> </v>
      </c>
      <c r="S209" s="280" t="str">
        <f aca="false">IF($A209="N/A"," ",IF('Pricing Inputs'!$AN$8=2,(L209-$H209),IF('Pricing Inputs'!$AN$3=2,IF((L209-$H209)&gt;0,L209-$H209,0),(xSPRDOPT(L209,$E209,$BU209,0,$BP209,$BS209,$BT209,($A209-Inputs!$D$1)+15,1,0)))))</f>
        <v> </v>
      </c>
      <c r="T209" s="280" t="str">
        <f aca="false">IF($A209="N/A"," ",IF('Pricing Inputs'!$AN$8=2,(M209-$H209),IF('Pricing Inputs'!$AN$3=2,IF((M209-$H209)&gt;0,M209-$H209,0),(xSPRDOPT(M209,$E209,$BU209,0,$BP209,$BS209,$BT209,($A209-Inputs!$D$1)+15,1,0)))))</f>
        <v> </v>
      </c>
      <c r="U209" s="280" t="str">
        <f aca="false">IF($A209="N/A"," ",IF('Pricing Inputs'!$AN$8=2,(N209-$H209),IF('Pricing Inputs'!$AN$3=2,IF((N209-$H209)&gt;0,N209-$H209,0),(xSPRDOPT(N209,$E209,$BU209,0,$BP209,$BS209,$BT209,($A209-Inputs!$D$1)+15,1,0)))))</f>
        <v> </v>
      </c>
      <c r="V209" s="281" t="str">
        <f aca="false">IF($A209="N/A"," ",(IF('Pricing Inputs'!$AN$8=2,(O209-$H209),IF((O209-$H209)&lt;=0,0,(O209-$H209)))))</f>
        <v> </v>
      </c>
      <c r="W209" s="282" t="str">
        <f aca="false">IF($A209="N/A"," ",IF(0&lt;&gt;P209,IF('Pricing Inputs'!$AN$3=2,8*VLOOKUP($A209,NumberofDaysTable,2),(xSPRDOPT(I209,$E209,$BU209,0,$BP209,$BS209,$BT209,$A209-Inputs!$D$1,1,1))*(8*VLOOKUP($A209,NumberofDaysTable,2))),0))</f>
        <v> </v>
      </c>
      <c r="X209" s="282" t="str">
        <f aca="false">IF($A209="N/A"," ",IF(Q209&lt;&gt;0,IF('Pricing Inputs'!$AN$3=2,8*VLOOKUP($A209,NumberofDaysTable,2),(xSPRDOPT(J209,$E209,$BU209,0,$BP209,$BS209,$BT209,$A209-Inputs!$D$1,1,1))*(8*VLOOKUP($A209,NumberofDaysTable,2))),0))</f>
        <v> </v>
      </c>
      <c r="Y209" s="282" t="str">
        <f aca="false">IF($A209="N/A"," ",IF(R209&lt;&gt;0,IF('Pricing Inputs'!$AN$3=2,8*VLOOKUP($A209,NumberofDaysTable,3),(xSPRDOPT(K209,$E209,$BU209,0,$BP209,$BS209,$BT209,$A209-Inputs!$D$1,1,1))*(8*VLOOKUP($A209,NumberofDaysTable,3))),0))</f>
        <v> </v>
      </c>
      <c r="Z209" s="282" t="str">
        <f aca="false">IF($A209="N/A"," ",IF(S209&lt;&gt;0,IF('Pricing Inputs'!$AN$3=2,8*VLOOKUP($A209,NumberofDaysTable,3),(xSPRDOPT(L209,$E209,$BU209,0,$BP209,$BS209,$BT209,$A209-Inputs!$D$1,1,1))*(8*VLOOKUP($A209,NumberofDaysTable,3))),0))</f>
        <v> </v>
      </c>
      <c r="AA209" s="282" t="str">
        <f aca="false">IF($A209="N/A"," ",IF(T209&lt;&gt;0,IF('Pricing Inputs'!$AN$3=2,8*VLOOKUP($A209,NumberofDaysTable,4),(xSPRDOPT(M209,$E209,$BU209,0,$BP209,$BS209,$BT209,$A209-Inputs!$D$1,1,1))*(8*VLOOKUP($A209,NumberofDaysTable,4))),0))</f>
        <v> </v>
      </c>
      <c r="AB209" s="282" t="str">
        <f aca="false">IF($A209="N/A"," ",IF(U209&lt;&gt;0,IF('Pricing Inputs'!$AN$3=2,8*VLOOKUP($A209,NumberofDaysTable,4),(xSPRDOPT(N209,$E209,$BU209,0,$BP209,$BS209,$BT209,$A209-Inputs!$D$1,1,1))*(8*VLOOKUP($A209,NumberofDaysTable,4))),0))</f>
        <v> </v>
      </c>
      <c r="AC209" s="282" t="str">
        <f aca="false">IF($A209="N/A"," ",(IF(V209&lt;&gt;0,(8*VLOOKUP($A209,NumberofDaysTable,6)),0)))</f>
        <v> </v>
      </c>
      <c r="AD209" s="298" t="str">
        <f aca="false">IF($A209="N/A"," ",RANK(P209,$P$208:$V$219))</f>
        <v> </v>
      </c>
      <c r="AE209" s="299" t="str">
        <f aca="false">IF($A209="N/A"," ",RANK(Q209,$P$208:$V$219))</f>
        <v> </v>
      </c>
      <c r="AF209" s="299" t="str">
        <f aca="false">IF($A209="N/A"," ",RANK(R209,$P$208:$V$219))</f>
        <v> </v>
      </c>
      <c r="AG209" s="299" t="str">
        <f aca="false">IF($A209="N/A"," ",RANK(S209,$P$208:$V$219))</f>
        <v> </v>
      </c>
      <c r="AH209" s="299" t="str">
        <f aca="false">IF($A209="N/A"," ",RANK(T209,$P$208:$V$219))</f>
        <v> </v>
      </c>
      <c r="AI209" s="299" t="str">
        <f aca="false">IF($A209="N/A"," ",RANK(U209,$P$208:$V$219))</f>
        <v> </v>
      </c>
      <c r="AJ209" s="300" t="str">
        <f aca="false">IF($A209="N/A"," ",RANK(V209,$P$208:$V$219))</f>
        <v> </v>
      </c>
      <c r="AK209" s="286" t="str">
        <f aca="false">IF($A209="N/A"," ",IF(AD209&lt;=$AJ$2,W209,0))</f>
        <v> </v>
      </c>
      <c r="AL209" s="301" t="str">
        <f aca="false">IF($A209="N/A"," ",IF(AE209&lt;=$AJ$2,X209,0))</f>
        <v> </v>
      </c>
      <c r="AM209" s="301" t="str">
        <f aca="false">IF($A209="N/A"," ",IF(AF209&lt;=$AJ$2,Y209,0))</f>
        <v> </v>
      </c>
      <c r="AN209" s="301" t="str">
        <f aca="false">IF($A209="N/A"," ",IF(AG209&lt;=$AJ$2,Z209,0))</f>
        <v> </v>
      </c>
      <c r="AO209" s="301" t="str">
        <f aca="false">IF($A209="N/A"," ",IF(AH209&lt;=$AJ$2,AA209,0))</f>
        <v> </v>
      </c>
      <c r="AP209" s="301" t="str">
        <f aca="false">IF($A209="N/A"," ",IF(AI209&lt;=$AJ$2,AB209,0))</f>
        <v> </v>
      </c>
      <c r="AQ209" s="301" t="str">
        <f aca="false">IF($A209="N/A"," ",IF(AJ209&lt;=$AJ$2,AC209,0))</f>
        <v> </v>
      </c>
      <c r="AR209" s="300"/>
      <c r="AS209" s="288" t="str">
        <f aca="false">IF($A209="N/A"," ",IF(AND(AD209=$AJ$2+1,AK209=0),MIN($AR$219,W209),0))</f>
        <v> </v>
      </c>
      <c r="AT209" s="302" t="str">
        <f aca="false">IF($A209="N/A"," ",IF(AND(AE209=$AJ$2+1,AL209=0),MIN($AR$219,X209),0))</f>
        <v> </v>
      </c>
      <c r="AU209" s="302" t="str">
        <f aca="false">IF($A209="N/A"," ",IF(AND(AF209=$AJ$2+1,AM209=0),MIN($AR$219,Y209),0))</f>
        <v> </v>
      </c>
      <c r="AV209" s="302" t="str">
        <f aca="false">IF($A209="N/A"," ",IF(AND(AG209=$AJ$2+1,AN209=0),MIN($AR$219,Z209),0))</f>
        <v> </v>
      </c>
      <c r="AW209" s="302" t="str">
        <f aca="false">IF($A209="N/A"," ",IF(AND(AH209=$AJ$2+1,AO209=0),MIN($AR$219,AA209),0))</f>
        <v> </v>
      </c>
      <c r="AX209" s="302" t="str">
        <f aca="false">IF($A209="N/A"," ",IF(AND(AI209=$AJ$2+1,AP209=0),MIN($AR$219,AB209),0))</f>
        <v> </v>
      </c>
      <c r="AY209" s="302" t="str">
        <f aca="false">IF($A209="N/A"," ",IF(AND(AJ209=$AJ$2+1,AQ209=0),MIN($AR$219,AC209),0))</f>
        <v> </v>
      </c>
      <c r="AZ209" s="300"/>
      <c r="BA209" s="291" t="str">
        <f aca="false">IF($A209="N/A"," ",(IF(MONTH(A209)&gt;=4,IF(MONTH(A209)&lt;=10,Inputs!$F$13,Inputs!$F$14),Inputs!$F$14))*$BW209)</f>
        <v> </v>
      </c>
      <c r="BB209" s="292" t="str">
        <f aca="false">IF($A209="N/A"," ",(IF(AK209&gt;0,($BA209*(8*(VLOOKUP($A209,NumberofDaysTable,2)))*P209),0)+IF(AS209&gt;0,($BA209*((AS209))*P209),0)))</f>
        <v> </v>
      </c>
      <c r="BC209" s="292" t="str">
        <f aca="false">IF($A209="N/A"," ",(IF(AL209&gt;0,($BA209*(8*(VLOOKUP($A209,NumberofDaysTable,2)))*Q209),0)+IF(AT209&gt;0,($BA209*((AT209))*Q209),0)))</f>
        <v> </v>
      </c>
      <c r="BD209" s="292" t="str">
        <f aca="false">IF($A209="N/A"," ",(IF(AM209&gt;0,($BA209*(8*(VLOOKUP($A209,NumberofDaysTable,3)))*R209),0)+IF(AU209&gt;0,($BA209*((AU209))*R209),0)))</f>
        <v> </v>
      </c>
      <c r="BE209" s="292" t="str">
        <f aca="false">IF($A209="N/A"," ",(IF(AN209&gt;0,($BA209*(8*(VLOOKUP($A209,NumberofDaysTable,3)))*S209),0)+IF(AV209&gt;0,($BA209*((AV209))*S209),0)))</f>
        <v> </v>
      </c>
      <c r="BF209" s="292" t="str">
        <f aca="false">IF($A209="N/A"," ",(IF(AO209&gt;0,($BA209*(8*(VLOOKUP($A209,NumberofDaysTable,4)+VLOOKUP($A209,NumberofDaysTable,5)))*T209),0)+IF(AW209&gt;0,($BA209*((AW209))*T209),0)))</f>
        <v> </v>
      </c>
      <c r="BG209" s="292" t="str">
        <f aca="false">IF($A209="N/A"," ",(IF(AP209&gt;0,($BA209*(8*(VLOOKUP($A209,NumberofDaysTable,4)+VLOOKUP($A209,NumberofDaysTable,5)))*U209),0)+IF(AX209&gt;0,($BA209*((AX209))*U209),0)))</f>
        <v> </v>
      </c>
      <c r="BH209" s="292" t="str">
        <f aca="false">IF($A209="N/A"," ",($BA209*AQ209*V209))</f>
        <v> </v>
      </c>
      <c r="BI209" s="292" t="str">
        <f aca="false">IF($A209="N/A"," ",SUM(BB209:BH209))</f>
        <v> </v>
      </c>
      <c r="BJ209" s="293" t="str">
        <f aca="false">IF($A209="N/A"," ",(H209*(SUM(AK209:AQ209)+SUM(AS209:AY209))*BA209))</f>
        <v> </v>
      </c>
      <c r="BK209" s="293" t="str">
        <f aca="false">IF($A209="N/A"," ",((C209*D209)*(SUM($AK209:$AQ209)+SUM($AS209:$AY209))*$BA209))</f>
        <v> </v>
      </c>
      <c r="BL209" s="293" t="str">
        <f aca="false">IF($A209="N/A"," ",(F209*(SUM($AK209:$AQ209)+SUM($AS209:$AY209))*$BA209))</f>
        <v> </v>
      </c>
      <c r="BM209" s="293" t="str">
        <f aca="false">IF($A209="N/A"," ",(G209*(SUM($AK209:$AQ209)+SUM($AS209:$AY209))*$BA209))</f>
        <v> </v>
      </c>
      <c r="BN209" s="294" t="str">
        <f aca="false">IF(A209="N/A"," ",(VLOOKUP(A209,PowerVolTable,(IF('Pricing Inputs'!$AT$3=2,7,IF('Pricing Inputs'!$AT$3=1,6,8))),FALSE())))</f>
        <v> </v>
      </c>
      <c r="BO209" s="294" t="str">
        <f aca="false">IF(A209="N/A"," ",(VLOOKUP(A209,IntraPowerVol,(IF('Pricing Inputs'!$AT$3=2,3,IF('Pricing Inputs'!$AT$3=1,2,4))),FALSE())*VLOOKUP(MONTH($A209),Inputs!$A$28:$B$39,2)))</f>
        <v> </v>
      </c>
      <c r="BP209" s="295" t="str">
        <f aca="false">IF($A209="N/A"," ",(IF(DateToday&gt;$A209,$BO209,((($BN209^2)*((($A209-1)-DateToday)/((EOMONTH($A209,0)+1)-DateToday-15)))+((($BO209)^2)*((15)/((EOMONTH($A209,0)+1)-DateToday-15))))^0.5)))</f>
        <v> </v>
      </c>
      <c r="BQ209" s="294" t="str">
        <f aca="false">IF($A209="N/A"," ",(VLOOKUP($A209,GasVolTable,(IF('Pricing Inputs'!$AT$3=2,6,IF('Pricing Inputs'!$AT$3=1,7,5))),FALSE())))</f>
        <v> </v>
      </c>
      <c r="BR209" s="294" t="str">
        <f aca="false">IF($A209="N/A"," ",(VLOOKUP($A209,OmicronVol,(IF('Pricing Inputs'!$AT$3=2,3,IF('Pricing Inputs'!$AT$3=1,4,2))),FALSE())))</f>
        <v> </v>
      </c>
      <c r="BS209" s="295" t="str">
        <f aca="false">IF($A209="N/A"," ",IF('Pricing Inputs'!$AN$3=1,(IF(DateToday&gt;$A209,$BR209,((($BQ209^2)*((($A209-1)-DateToday)/((EOMONTH($A209,0)+1)-DateToday-15)))+((($BR209)^2)*((15)/((EOMONTH($A209,0)+1)-DateToday-15))))^0.5)),0.0001))</f>
        <v> </v>
      </c>
      <c r="BT209" s="294" t="str">
        <f aca="false">IF($A209="N/A"," ",IF('Pricing Inputs'!$AN$3=1,(VLOOKUP($A209,CorrelationTable,2,FALSE())),0))</f>
        <v> </v>
      </c>
      <c r="BU209" s="296" t="str">
        <f aca="false">IF($A209="N/A"," ",F209+G209+(D209*(VLOOKUP($A209,'Gas Curves'!$B$17:$P$310,14,FALSE()))))</f>
        <v> </v>
      </c>
      <c r="BV209" s="294" t="str">
        <f aca="false">IF($A209="N/A"," ",IF('Pricing Inputs'!$AW$3=1,0,(VLOOKUP($A209,InterestRatesTable,2))))</f>
        <v> </v>
      </c>
      <c r="BW209" s="297" t="str">
        <f aca="false">IF($A209="N/A"," ",(1+BV209/2)^(-2*((EOMONTH(A209,0)+20)-DateToday)/365.25))</f>
        <v> </v>
      </c>
    </row>
    <row r="210" customFormat="false" ht="12.75" hidden="false" customHeight="false" outlineLevel="0" collapsed="false">
      <c r="A210" s="272" t="str">
        <f aca="false">IF(A209="N/A","N/A",IF(EDATE(A209,1)&gt;Inputs!$K$3,"N/A",EDATE(A209,1)))</f>
        <v>N/A</v>
      </c>
      <c r="B210" s="273" t="str">
        <f aca="false">IF(A210="N/A"," ",YEAR(A210))</f>
        <v> </v>
      </c>
      <c r="C210" s="274" t="str">
        <f aca="false">IF(A210="N/A"," ",VLOOKUP(A210,ScaledPrice,10))</f>
        <v> </v>
      </c>
      <c r="D210" s="275" t="str">
        <f aca="false">IF(A210="N/A"," ",(VLOOKUP(MONTH($A210),Inputs!$A$14:$B$25,2))/1000)</f>
        <v> </v>
      </c>
      <c r="E210" s="276" t="str">
        <f aca="false">IF($A210="N/A"," ",C210*D210)</f>
        <v> </v>
      </c>
      <c r="F210" s="277" t="str">
        <f aca="false">IF(A210="N/A"," ",Inputs!$F$6)</f>
        <v> </v>
      </c>
      <c r="G210" s="277" t="str">
        <f aca="false">IF(A210="N/A"," ",Inputs!$F$9/IF(AND('Pricing Inputs'!$AQ$3&gt;=4,'Pricing Inputs'!$AQ$3&lt;=6),16,IF(AND('Pricing Inputs'!$AQ$3&gt;=7,'Pricing Inputs'!$AQ$3&lt;=9),8,24))/(BA210/BW210))</f>
        <v> </v>
      </c>
      <c r="H210" s="278" t="str">
        <f aca="false">IF(A210="N/A"," ",(C210*D210)+F210+G210)</f>
        <v> </v>
      </c>
      <c r="I210" s="279" t="str">
        <f aca="false">VLOOKUP(A210,ScaledPrice,(IF(AND('Pricing Inputs'!$AQ$3&gt;=1,'Pricing Inputs'!$AQ$3&lt;=6),2,4)))</f>
        <v> </v>
      </c>
      <c r="J210" s="279" t="str">
        <f aca="false">IF(A210="N/A"," ",IF(AND('Pricing Inputs'!$AQ$3&gt;=1,'Pricing Inputs'!$AQ$3&lt;=6),I210,(VLOOKUP(A210,ScaledPrice,2))*(2-(VLOOKUP(A210,ScaledPrice,3)))))</f>
        <v> </v>
      </c>
      <c r="K210" s="279" t="str">
        <f aca="false">IF(A210="N/A"," ",IF(OR('Pricing Inputs'!$AQ$3=2,'Pricing Inputs'!$AQ$3=3,'Pricing Inputs'!$AQ$3=5,'Pricing Inputs'!$AQ$3=6,'Pricing Inputs'!$AQ$3=8,'Pricing Inputs'!$AQ$3=9),VLOOKUP(A210,ScaledPrice,IF(AND('Pricing Inputs'!$AQ$3&gt;=2,'Pricing Inputs'!$AQ$3&lt;=6),5,6)),0))</f>
        <v> </v>
      </c>
      <c r="L210" s="279" t="str">
        <f aca="false">IF(A210="N/A"," ",IF(OR('Pricing Inputs'!$AQ$3=2,'Pricing Inputs'!$AQ$3=3,'Pricing Inputs'!$AQ$3=5,'Pricing Inputs'!$AQ$3=6,'Pricing Inputs'!$AQ$3=8,'Pricing Inputs'!$AQ$3=9),IF(AND('Pricing Inputs'!$AQ$3&gt;=2,'Pricing Inputs'!$AQ$3&lt;=6),K210,(VLOOKUP(A210,ScaledPrice,5))*(2-(VLOOKUP(A210,ScaledPrice,3)))),0))</f>
        <v> </v>
      </c>
      <c r="M210" s="279" t="str">
        <f aca="false">IF(A210="N/A"," ",IF(OR('Pricing Inputs'!$AQ$3=3,'Pricing Inputs'!$AQ$3=6,'Pricing Inputs'!$AQ$3=9),(VLOOKUP(A210,ScaledPrice,IF(AND('Pricing Inputs'!$AQ$3&gt;=3,'Pricing Inputs'!$AQ$3&lt;=6),7,8))),0))</f>
        <v> </v>
      </c>
      <c r="N210" s="279" t="str">
        <f aca="false">IF(A210="N/A"," ",IF(OR('Pricing Inputs'!$AQ$3=3,'Pricing Inputs'!$AQ$3=6,'Pricing Inputs'!$AQ$3=9),IF(AND('Pricing Inputs'!$AQ$3&gt;=3,'Pricing Inputs'!$AQ$3&lt;=6),M210,(VLOOKUP(A210,ScaledPrice,7))*(2-(VLOOKUP(A210,ScaledPrice,3)))),0))</f>
        <v> </v>
      </c>
      <c r="O210" s="279" t="str">
        <f aca="false">IF(A210="N/A"," ",IF(AND('Pricing Inputs'!$AQ$3&gt;=1,'Pricing Inputs'!$AQ$3&lt;=3),VLOOKUP(A210,ScaledPrice,9),0))</f>
        <v> </v>
      </c>
      <c r="P210" s="280" t="str">
        <f aca="false">IF($A210="N/A"," ",IF('Pricing Inputs'!$AN$8=2,(I210-H210),IF('Pricing Inputs'!$AN$3=2,IF((I210-$H210)&gt;0,I210-$H210,0),(xSPRDOPT(I210,$E210,$BU210,0,$BP210,$BS210,$BT210,($A210-Inputs!$D$1)+15,1,0)))))</f>
        <v> </v>
      </c>
      <c r="Q210" s="280" t="str">
        <f aca="false">IF($A210="N/A"," ",IF('Pricing Inputs'!$AN$8=2,(J210-$H210),IF('Pricing Inputs'!$AN$3=2,IF((J210-$H210)&gt;0,J210-$H210,0),(xSPRDOPT(J210,$E210,$BU210,0,$BP210,$BS210,$BT210,($A210-Inputs!$D$1)+15,1,0)))))</f>
        <v> </v>
      </c>
      <c r="R210" s="280" t="str">
        <f aca="false">IF($A210="N/A"," ",IF('Pricing Inputs'!$AN$8=2,(K210-$H210),IF('Pricing Inputs'!$AN$3=2,IF((K210-$H210)&gt;0,K210-$H210,0),(xSPRDOPT(K210,$E210,$BU210,0,$BP210,$BS210,$BT210,($A210-Inputs!$D$1)+15,1,0)))))</f>
        <v> </v>
      </c>
      <c r="S210" s="280" t="str">
        <f aca="false">IF($A210="N/A"," ",IF('Pricing Inputs'!$AN$8=2,(L210-$H210),IF('Pricing Inputs'!$AN$3=2,IF((L210-$H210)&gt;0,L210-$H210,0),(xSPRDOPT(L210,$E210,$BU210,0,$BP210,$BS210,$BT210,($A210-Inputs!$D$1)+15,1,0)))))</f>
        <v> </v>
      </c>
      <c r="T210" s="280" t="str">
        <f aca="false">IF($A210="N/A"," ",IF('Pricing Inputs'!$AN$8=2,(M210-$H210),IF('Pricing Inputs'!$AN$3=2,IF((M210-$H210)&gt;0,M210-$H210,0),(xSPRDOPT(M210,$E210,$BU210,0,$BP210,$BS210,$BT210,($A210-Inputs!$D$1)+15,1,0)))))</f>
        <v> </v>
      </c>
      <c r="U210" s="280" t="str">
        <f aca="false">IF($A210="N/A"," ",IF('Pricing Inputs'!$AN$8=2,(N210-$H210),IF('Pricing Inputs'!$AN$3=2,IF((N210-$H210)&gt;0,N210-$H210,0),(xSPRDOPT(N210,$E210,$BU210,0,$BP210,$BS210,$BT210,($A210-Inputs!$D$1)+15,1,0)))))</f>
        <v> </v>
      </c>
      <c r="V210" s="281" t="str">
        <f aca="false">IF($A210="N/A"," ",(IF('Pricing Inputs'!$AN$8=2,(O210-$H210),IF((O210-$H210)&lt;=0,0,(O210-$H210)))))</f>
        <v> </v>
      </c>
      <c r="W210" s="282" t="str">
        <f aca="false">IF($A210="N/A"," ",IF(0&lt;&gt;P210,IF('Pricing Inputs'!$AN$3=2,8*VLOOKUP($A210,NumberofDaysTable,2),(xSPRDOPT(I210,$E210,$BU210,0,$BP210,$BS210,$BT210,$A210-Inputs!$D$1,1,1))*(8*VLOOKUP($A210,NumberofDaysTable,2))),0))</f>
        <v> </v>
      </c>
      <c r="X210" s="282" t="str">
        <f aca="false">IF($A210="N/A"," ",IF(Q210&lt;&gt;0,IF('Pricing Inputs'!$AN$3=2,8*VLOOKUP($A210,NumberofDaysTable,2),(xSPRDOPT(J210,$E210,$BU210,0,$BP210,$BS210,$BT210,$A210-Inputs!$D$1,1,1))*(8*VLOOKUP($A210,NumberofDaysTable,2))),0))</f>
        <v> </v>
      </c>
      <c r="Y210" s="282" t="str">
        <f aca="false">IF($A210="N/A"," ",IF(R210&lt;&gt;0,IF('Pricing Inputs'!$AN$3=2,8*VLOOKUP($A210,NumberofDaysTable,3),(xSPRDOPT(K210,$E210,$BU210,0,$BP210,$BS210,$BT210,$A210-Inputs!$D$1,1,1))*(8*VLOOKUP($A210,NumberofDaysTable,3))),0))</f>
        <v> </v>
      </c>
      <c r="Z210" s="282" t="str">
        <f aca="false">IF($A210="N/A"," ",IF(S210&lt;&gt;0,IF('Pricing Inputs'!$AN$3=2,8*VLOOKUP($A210,NumberofDaysTable,3),(xSPRDOPT(L210,$E210,$BU210,0,$BP210,$BS210,$BT210,$A210-Inputs!$D$1,1,1))*(8*VLOOKUP($A210,NumberofDaysTable,3))),0))</f>
        <v> </v>
      </c>
      <c r="AA210" s="282" t="str">
        <f aca="false">IF($A210="N/A"," ",IF(T210&lt;&gt;0,IF('Pricing Inputs'!$AN$3=2,8*VLOOKUP($A210,NumberofDaysTable,4),(xSPRDOPT(M210,$E210,$BU210,0,$BP210,$BS210,$BT210,$A210-Inputs!$D$1,1,1))*(8*VLOOKUP($A210,NumberofDaysTable,4))),0))</f>
        <v> </v>
      </c>
      <c r="AB210" s="282" t="str">
        <f aca="false">IF($A210="N/A"," ",IF(U210&lt;&gt;0,IF('Pricing Inputs'!$AN$3=2,8*VLOOKUP($A210,NumberofDaysTable,4),(xSPRDOPT(N210,$E210,$BU210,0,$BP210,$BS210,$BT210,$A210-Inputs!$D$1,1,1))*(8*VLOOKUP($A210,NumberofDaysTable,4))),0))</f>
        <v> </v>
      </c>
      <c r="AC210" s="282" t="str">
        <f aca="false">IF($A210="N/A"," ",(IF(V210&lt;&gt;0,(8*VLOOKUP($A210,NumberofDaysTable,6)),0)))</f>
        <v> </v>
      </c>
      <c r="AD210" s="298" t="str">
        <f aca="false">IF($A210="N/A"," ",RANK(P210,$P$208:$V$219))</f>
        <v> </v>
      </c>
      <c r="AE210" s="299" t="str">
        <f aca="false">IF($A210="N/A"," ",RANK(Q210,$P$208:$V$219))</f>
        <v> </v>
      </c>
      <c r="AF210" s="299" t="str">
        <f aca="false">IF($A210="N/A"," ",RANK(R210,$P$208:$V$219))</f>
        <v> </v>
      </c>
      <c r="AG210" s="299" t="str">
        <f aca="false">IF($A210="N/A"," ",RANK(S210,$P$208:$V$219))</f>
        <v> </v>
      </c>
      <c r="AH210" s="299" t="str">
        <f aca="false">IF($A210="N/A"," ",RANK(T210,$P$208:$V$219))</f>
        <v> </v>
      </c>
      <c r="AI210" s="299" t="str">
        <f aca="false">IF($A210="N/A"," ",RANK(U210,$P$208:$V$219))</f>
        <v> </v>
      </c>
      <c r="AJ210" s="300" t="str">
        <f aca="false">IF($A210="N/A"," ",RANK(V210,$P$208:$V$219))</f>
        <v> </v>
      </c>
      <c r="AK210" s="286" t="str">
        <f aca="false">IF($A210="N/A"," ",IF(AD210&lt;=$AJ$2,W210,0))</f>
        <v> </v>
      </c>
      <c r="AL210" s="301" t="str">
        <f aca="false">IF($A210="N/A"," ",IF(AE210&lt;=$AJ$2,X210,0))</f>
        <v> </v>
      </c>
      <c r="AM210" s="301" t="str">
        <f aca="false">IF($A210="N/A"," ",IF(AF210&lt;=$AJ$2,Y210,0))</f>
        <v> </v>
      </c>
      <c r="AN210" s="301" t="str">
        <f aca="false">IF($A210="N/A"," ",IF(AG210&lt;=$AJ$2,Z210,0))</f>
        <v> </v>
      </c>
      <c r="AO210" s="301" t="str">
        <f aca="false">IF($A210="N/A"," ",IF(AH210&lt;=$AJ$2,AA210,0))</f>
        <v> </v>
      </c>
      <c r="AP210" s="301" t="str">
        <f aca="false">IF($A210="N/A"," ",IF(AI210&lt;=$AJ$2,AB210,0))</f>
        <v> </v>
      </c>
      <c r="AQ210" s="301" t="str">
        <f aca="false">IF($A210="N/A"," ",IF(AJ210&lt;=$AJ$2,AC210,0))</f>
        <v> </v>
      </c>
      <c r="AR210" s="300"/>
      <c r="AS210" s="288" t="str">
        <f aca="false">IF($A210="N/A"," ",IF(AND(AD210=$AJ$2+1,AK210=0),MIN($AR$219,W210),0))</f>
        <v> </v>
      </c>
      <c r="AT210" s="302" t="str">
        <f aca="false">IF($A210="N/A"," ",IF(AND(AE210=$AJ$2+1,AL210=0),MIN($AR$219,X210),0))</f>
        <v> </v>
      </c>
      <c r="AU210" s="302" t="str">
        <f aca="false">IF($A210="N/A"," ",IF(AND(AF210=$AJ$2+1,AM210=0),MIN($AR$219,Y210),0))</f>
        <v> </v>
      </c>
      <c r="AV210" s="302" t="str">
        <f aca="false">IF($A210="N/A"," ",IF(AND(AG210=$AJ$2+1,AN210=0),MIN($AR$219,Z210),0))</f>
        <v> </v>
      </c>
      <c r="AW210" s="302" t="str">
        <f aca="false">IF($A210="N/A"," ",IF(AND(AH210=$AJ$2+1,AO210=0),MIN($AR$219,AA210),0))</f>
        <v> </v>
      </c>
      <c r="AX210" s="302" t="str">
        <f aca="false">IF($A210="N/A"," ",IF(AND(AI210=$AJ$2+1,AP210=0),MIN($AR$219,AB210),0))</f>
        <v> </v>
      </c>
      <c r="AY210" s="302" t="str">
        <f aca="false">IF($A210="N/A"," ",IF(AND(AJ210=$AJ$2+1,AQ210=0),MIN($AR$219,AC210),0))</f>
        <v> </v>
      </c>
      <c r="AZ210" s="300"/>
      <c r="BA210" s="291" t="str">
        <f aca="false">IF($A210="N/A"," ",(IF(MONTH(A210)&gt;=4,IF(MONTH(A210)&lt;=10,Inputs!$F$13,Inputs!$F$14),Inputs!$F$14))*$BW210)</f>
        <v> </v>
      </c>
      <c r="BB210" s="292" t="str">
        <f aca="false">IF($A210="N/A"," ",(IF(AK210&gt;0,($BA210*(8*(VLOOKUP($A210,NumberofDaysTable,2)))*P210),0)+IF(AS210&gt;0,($BA210*((AS210))*P210),0)))</f>
        <v> </v>
      </c>
      <c r="BC210" s="292" t="str">
        <f aca="false">IF($A210="N/A"," ",(IF(AL210&gt;0,($BA210*(8*(VLOOKUP($A210,NumberofDaysTable,2)))*Q210),0)+IF(AT210&gt;0,($BA210*((AT210))*Q210),0)))</f>
        <v> </v>
      </c>
      <c r="BD210" s="292" t="str">
        <f aca="false">IF($A210="N/A"," ",(IF(AM210&gt;0,($BA210*(8*(VLOOKUP($A210,NumberofDaysTable,3)))*R210),0)+IF(AU210&gt;0,($BA210*((AU210))*R210),0)))</f>
        <v> </v>
      </c>
      <c r="BE210" s="292" t="str">
        <f aca="false">IF($A210="N/A"," ",(IF(AN210&gt;0,($BA210*(8*(VLOOKUP($A210,NumberofDaysTable,3)))*S210),0)+IF(AV210&gt;0,($BA210*((AV210))*S210),0)))</f>
        <v> </v>
      </c>
      <c r="BF210" s="292" t="str">
        <f aca="false">IF($A210="N/A"," ",(IF(AO210&gt;0,($BA210*(8*(VLOOKUP($A210,NumberofDaysTable,4)+VLOOKUP($A210,NumberofDaysTable,5)))*T210),0)+IF(AW210&gt;0,($BA210*((AW210))*T210),0)))</f>
        <v> </v>
      </c>
      <c r="BG210" s="292" t="str">
        <f aca="false">IF($A210="N/A"," ",(IF(AP210&gt;0,($BA210*(8*(VLOOKUP($A210,NumberofDaysTable,4)+VLOOKUP($A210,NumberofDaysTable,5)))*U210),0)+IF(AX210&gt;0,($BA210*((AX210))*U210),0)))</f>
        <v> </v>
      </c>
      <c r="BH210" s="292" t="str">
        <f aca="false">IF($A210="N/A"," ",($BA210*AQ210*V210))</f>
        <v> </v>
      </c>
      <c r="BI210" s="292" t="str">
        <f aca="false">IF($A210="N/A"," ",SUM(BB210:BH210))</f>
        <v> </v>
      </c>
      <c r="BJ210" s="293" t="str">
        <f aca="false">IF($A210="N/A"," ",(H210*(SUM(AK210:AQ210)+SUM(AS210:AY210))*BA210))</f>
        <v> </v>
      </c>
      <c r="BK210" s="293" t="str">
        <f aca="false">IF($A210="N/A"," ",((C210*D210)*(SUM($AK210:$AQ210)+SUM($AS210:$AY210))*$BA210))</f>
        <v> </v>
      </c>
      <c r="BL210" s="293" t="str">
        <f aca="false">IF($A210="N/A"," ",(F210*(SUM($AK210:$AQ210)+SUM($AS210:$AY210))*$BA210))</f>
        <v> </v>
      </c>
      <c r="BM210" s="293" t="str">
        <f aca="false">IF($A210="N/A"," ",(G210*(SUM($AK210:$AQ210)+SUM($AS210:$AY210))*$BA210))</f>
        <v> </v>
      </c>
      <c r="BN210" s="294" t="str">
        <f aca="false">IF(A210="N/A"," ",(VLOOKUP(A210,PowerVolTable,(IF('Pricing Inputs'!$AT$3=2,7,IF('Pricing Inputs'!$AT$3=1,6,8))),FALSE())))</f>
        <v> </v>
      </c>
      <c r="BO210" s="294" t="str">
        <f aca="false">IF(A210="N/A"," ",(VLOOKUP(A210,IntraPowerVol,(IF('Pricing Inputs'!$AT$3=2,3,IF('Pricing Inputs'!$AT$3=1,2,4))),FALSE())*VLOOKUP(MONTH($A210),Inputs!$A$28:$B$39,2)))</f>
        <v> </v>
      </c>
      <c r="BP210" s="295" t="str">
        <f aca="false">IF($A210="N/A"," ",(IF(DateToday&gt;$A210,$BO210,((($BN210^2)*((($A210-1)-DateToday)/((EOMONTH($A210,0)+1)-DateToday-15)))+((($BO210)^2)*((15)/((EOMONTH($A210,0)+1)-DateToday-15))))^0.5)))</f>
        <v> </v>
      </c>
      <c r="BQ210" s="294" t="str">
        <f aca="false">IF($A210="N/A"," ",(VLOOKUP($A210,GasVolTable,(IF('Pricing Inputs'!$AT$3=2,6,IF('Pricing Inputs'!$AT$3=1,7,5))),FALSE())))</f>
        <v> </v>
      </c>
      <c r="BR210" s="294" t="str">
        <f aca="false">IF($A210="N/A"," ",(VLOOKUP($A210,OmicronVol,(IF('Pricing Inputs'!$AT$3=2,3,IF('Pricing Inputs'!$AT$3=1,4,2))),FALSE())))</f>
        <v> </v>
      </c>
      <c r="BS210" s="295" t="str">
        <f aca="false">IF($A210="N/A"," ",IF('Pricing Inputs'!$AN$3=1,(IF(DateToday&gt;$A210,$BR210,((($BQ210^2)*((($A210-1)-DateToday)/((EOMONTH($A210,0)+1)-DateToday-15)))+((($BR210)^2)*((15)/((EOMONTH($A210,0)+1)-DateToday-15))))^0.5)),0.0001))</f>
        <v> </v>
      </c>
      <c r="BT210" s="294" t="str">
        <f aca="false">IF($A210="N/A"," ",IF('Pricing Inputs'!$AN$3=1,(VLOOKUP($A210,CorrelationTable,2,FALSE())),0))</f>
        <v> </v>
      </c>
      <c r="BU210" s="296" t="str">
        <f aca="false">IF($A210="N/A"," ",F210+G210+(D210*(VLOOKUP($A210,'Gas Curves'!$B$17:$P$310,14,FALSE()))))</f>
        <v> </v>
      </c>
      <c r="BV210" s="294" t="str">
        <f aca="false">IF($A210="N/A"," ",IF('Pricing Inputs'!$AW$3=1,0,(VLOOKUP($A210,InterestRatesTable,2))))</f>
        <v> </v>
      </c>
      <c r="BW210" s="297" t="str">
        <f aca="false">IF($A210="N/A"," ",(1+BV210/2)^(-2*((EOMONTH(A210,0)+20)-DateToday)/365.25))</f>
        <v> </v>
      </c>
    </row>
    <row r="211" customFormat="false" ht="12.75" hidden="false" customHeight="false" outlineLevel="0" collapsed="false">
      <c r="A211" s="272" t="str">
        <f aca="false">IF(A210="N/A","N/A",IF(EDATE(A210,1)&gt;Inputs!$K$3,"N/A",EDATE(A210,1)))</f>
        <v>N/A</v>
      </c>
      <c r="B211" s="273" t="str">
        <f aca="false">IF(A211="N/A"," ",YEAR(A211))</f>
        <v> </v>
      </c>
      <c r="C211" s="274" t="str">
        <f aca="false">IF(A211="N/A"," ",VLOOKUP(A211,ScaledPrice,10))</f>
        <v> </v>
      </c>
      <c r="D211" s="275" t="str">
        <f aca="false">IF(A211="N/A"," ",(VLOOKUP(MONTH($A211),Inputs!$A$14:$B$25,2))/1000)</f>
        <v> </v>
      </c>
      <c r="E211" s="276" t="str">
        <f aca="false">IF($A211="N/A"," ",C211*D211)</f>
        <v> </v>
      </c>
      <c r="F211" s="277" t="str">
        <f aca="false">IF(A211="N/A"," ",Inputs!$F$6)</f>
        <v> </v>
      </c>
      <c r="G211" s="277" t="str">
        <f aca="false">IF(A211="N/A"," ",Inputs!$F$9/IF(AND('Pricing Inputs'!$AQ$3&gt;=4,'Pricing Inputs'!$AQ$3&lt;=6),16,IF(AND('Pricing Inputs'!$AQ$3&gt;=7,'Pricing Inputs'!$AQ$3&lt;=9),8,24))/(BA211/BW211))</f>
        <v> </v>
      </c>
      <c r="H211" s="278" t="str">
        <f aca="false">IF(A211="N/A"," ",(C211*D211)+F211+G211)</f>
        <v> </v>
      </c>
      <c r="I211" s="279" t="str">
        <f aca="false">VLOOKUP(A211,ScaledPrice,(IF(AND('Pricing Inputs'!$AQ$3&gt;=1,'Pricing Inputs'!$AQ$3&lt;=6),2,4)))</f>
        <v> </v>
      </c>
      <c r="J211" s="279" t="str">
        <f aca="false">IF(A211="N/A"," ",IF(AND('Pricing Inputs'!$AQ$3&gt;=1,'Pricing Inputs'!$AQ$3&lt;=6),I211,(VLOOKUP(A211,ScaledPrice,2))*(2-(VLOOKUP(A211,ScaledPrice,3)))))</f>
        <v> </v>
      </c>
      <c r="K211" s="279" t="str">
        <f aca="false">IF(A211="N/A"," ",IF(OR('Pricing Inputs'!$AQ$3=2,'Pricing Inputs'!$AQ$3=3,'Pricing Inputs'!$AQ$3=5,'Pricing Inputs'!$AQ$3=6,'Pricing Inputs'!$AQ$3=8,'Pricing Inputs'!$AQ$3=9),VLOOKUP(A211,ScaledPrice,IF(AND('Pricing Inputs'!$AQ$3&gt;=2,'Pricing Inputs'!$AQ$3&lt;=6),5,6)),0))</f>
        <v> </v>
      </c>
      <c r="L211" s="279" t="str">
        <f aca="false">IF(A211="N/A"," ",IF(OR('Pricing Inputs'!$AQ$3=2,'Pricing Inputs'!$AQ$3=3,'Pricing Inputs'!$AQ$3=5,'Pricing Inputs'!$AQ$3=6,'Pricing Inputs'!$AQ$3=8,'Pricing Inputs'!$AQ$3=9),IF(AND('Pricing Inputs'!$AQ$3&gt;=2,'Pricing Inputs'!$AQ$3&lt;=6),K211,(VLOOKUP(A211,ScaledPrice,5))*(2-(VLOOKUP(A211,ScaledPrice,3)))),0))</f>
        <v> </v>
      </c>
      <c r="M211" s="279" t="str">
        <f aca="false">IF(A211="N/A"," ",IF(OR('Pricing Inputs'!$AQ$3=3,'Pricing Inputs'!$AQ$3=6,'Pricing Inputs'!$AQ$3=9),(VLOOKUP(A211,ScaledPrice,IF(AND('Pricing Inputs'!$AQ$3&gt;=3,'Pricing Inputs'!$AQ$3&lt;=6),7,8))),0))</f>
        <v> </v>
      </c>
      <c r="N211" s="279" t="str">
        <f aca="false">IF(A211="N/A"," ",IF(OR('Pricing Inputs'!$AQ$3=3,'Pricing Inputs'!$AQ$3=6,'Pricing Inputs'!$AQ$3=9),IF(AND('Pricing Inputs'!$AQ$3&gt;=3,'Pricing Inputs'!$AQ$3&lt;=6),M211,(VLOOKUP(A211,ScaledPrice,7))*(2-(VLOOKUP(A211,ScaledPrice,3)))),0))</f>
        <v> </v>
      </c>
      <c r="O211" s="279" t="str">
        <f aca="false">IF(A211="N/A"," ",IF(AND('Pricing Inputs'!$AQ$3&gt;=1,'Pricing Inputs'!$AQ$3&lt;=3),VLOOKUP(A211,ScaledPrice,9),0))</f>
        <v> </v>
      </c>
      <c r="P211" s="280" t="str">
        <f aca="false">IF($A211="N/A"," ",IF('Pricing Inputs'!$AN$8=2,(I211-H211),IF('Pricing Inputs'!$AN$3=2,IF((I211-$H211)&gt;0,I211-$H211,0),(xSPRDOPT(I211,$E211,$BU211,0,$BP211,$BS211,$BT211,($A211-Inputs!$D$1)+15,1,0)))))</f>
        <v> </v>
      </c>
      <c r="Q211" s="280" t="str">
        <f aca="false">IF($A211="N/A"," ",IF('Pricing Inputs'!$AN$8=2,(J211-$H211),IF('Pricing Inputs'!$AN$3=2,IF((J211-$H211)&gt;0,J211-$H211,0),(xSPRDOPT(J211,$E211,$BU211,0,$BP211,$BS211,$BT211,($A211-Inputs!$D$1)+15,1,0)))))</f>
        <v> </v>
      </c>
      <c r="R211" s="280" t="str">
        <f aca="false">IF($A211="N/A"," ",IF('Pricing Inputs'!$AN$8=2,(K211-$H211),IF('Pricing Inputs'!$AN$3=2,IF((K211-$H211)&gt;0,K211-$H211,0),(xSPRDOPT(K211,$E211,$BU211,0,$BP211,$BS211,$BT211,($A211-Inputs!$D$1)+15,1,0)))))</f>
        <v> </v>
      </c>
      <c r="S211" s="280" t="str">
        <f aca="false">IF($A211="N/A"," ",IF('Pricing Inputs'!$AN$8=2,(L211-$H211),IF('Pricing Inputs'!$AN$3=2,IF((L211-$H211)&gt;0,L211-$H211,0),(xSPRDOPT(L211,$E211,$BU211,0,$BP211,$BS211,$BT211,($A211-Inputs!$D$1)+15,1,0)))))</f>
        <v> </v>
      </c>
      <c r="T211" s="280" t="str">
        <f aca="false">IF($A211="N/A"," ",IF('Pricing Inputs'!$AN$8=2,(M211-$H211),IF('Pricing Inputs'!$AN$3=2,IF((M211-$H211)&gt;0,M211-$H211,0),(xSPRDOPT(M211,$E211,$BU211,0,$BP211,$BS211,$BT211,($A211-Inputs!$D$1)+15,1,0)))))</f>
        <v> </v>
      </c>
      <c r="U211" s="280" t="str">
        <f aca="false">IF($A211="N/A"," ",IF('Pricing Inputs'!$AN$8=2,(N211-$H211),IF('Pricing Inputs'!$AN$3=2,IF((N211-$H211)&gt;0,N211-$H211,0),(xSPRDOPT(N211,$E211,$BU211,0,$BP211,$BS211,$BT211,($A211-Inputs!$D$1)+15,1,0)))))</f>
        <v> </v>
      </c>
      <c r="V211" s="281" t="str">
        <f aca="false">IF($A211="N/A"," ",(IF('Pricing Inputs'!$AN$8=2,(O211-$H211),IF((O211-$H211)&lt;=0,0,(O211-$H211)))))</f>
        <v> </v>
      </c>
      <c r="W211" s="282" t="str">
        <f aca="false">IF($A211="N/A"," ",IF(0&lt;&gt;P211,IF('Pricing Inputs'!$AN$3=2,8*VLOOKUP($A211,NumberofDaysTable,2),(xSPRDOPT(I211,$E211,$BU211,0,$BP211,$BS211,$BT211,$A211-Inputs!$D$1,1,1))*(8*VLOOKUP($A211,NumberofDaysTable,2))),0))</f>
        <v> </v>
      </c>
      <c r="X211" s="282" t="str">
        <f aca="false">IF($A211="N/A"," ",IF(Q211&lt;&gt;0,IF('Pricing Inputs'!$AN$3=2,8*VLOOKUP($A211,NumberofDaysTable,2),(xSPRDOPT(J211,$E211,$BU211,0,$BP211,$BS211,$BT211,$A211-Inputs!$D$1,1,1))*(8*VLOOKUP($A211,NumberofDaysTable,2))),0))</f>
        <v> </v>
      </c>
      <c r="Y211" s="282" t="str">
        <f aca="false">IF($A211="N/A"," ",IF(R211&lt;&gt;0,IF('Pricing Inputs'!$AN$3=2,8*VLOOKUP($A211,NumberofDaysTable,3),(xSPRDOPT(K211,$E211,$BU211,0,$BP211,$BS211,$BT211,$A211-Inputs!$D$1,1,1))*(8*VLOOKUP($A211,NumberofDaysTable,3))),0))</f>
        <v> </v>
      </c>
      <c r="Z211" s="282" t="str">
        <f aca="false">IF($A211="N/A"," ",IF(S211&lt;&gt;0,IF('Pricing Inputs'!$AN$3=2,8*VLOOKUP($A211,NumberofDaysTable,3),(xSPRDOPT(L211,$E211,$BU211,0,$BP211,$BS211,$BT211,$A211-Inputs!$D$1,1,1))*(8*VLOOKUP($A211,NumberofDaysTable,3))),0))</f>
        <v> </v>
      </c>
      <c r="AA211" s="282" t="str">
        <f aca="false">IF($A211="N/A"," ",IF(T211&lt;&gt;0,IF('Pricing Inputs'!$AN$3=2,8*VLOOKUP($A211,NumberofDaysTable,4),(xSPRDOPT(M211,$E211,$BU211,0,$BP211,$BS211,$BT211,$A211-Inputs!$D$1,1,1))*(8*VLOOKUP($A211,NumberofDaysTable,4))),0))</f>
        <v> </v>
      </c>
      <c r="AB211" s="282" t="str">
        <f aca="false">IF($A211="N/A"," ",IF(U211&lt;&gt;0,IF('Pricing Inputs'!$AN$3=2,8*VLOOKUP($A211,NumberofDaysTable,4),(xSPRDOPT(N211,$E211,$BU211,0,$BP211,$BS211,$BT211,$A211-Inputs!$D$1,1,1))*(8*VLOOKUP($A211,NumberofDaysTable,4))),0))</f>
        <v> </v>
      </c>
      <c r="AC211" s="282" t="str">
        <f aca="false">IF($A211="N/A"," ",(IF(V211&lt;&gt;0,(8*VLOOKUP($A211,NumberofDaysTable,6)),0)))</f>
        <v> </v>
      </c>
      <c r="AD211" s="298" t="str">
        <f aca="false">IF($A211="N/A"," ",RANK(P211,$P$208:$V$219))</f>
        <v> </v>
      </c>
      <c r="AE211" s="299" t="str">
        <f aca="false">IF($A211="N/A"," ",RANK(Q211,$P$208:$V$219))</f>
        <v> </v>
      </c>
      <c r="AF211" s="299" t="str">
        <f aca="false">IF($A211="N/A"," ",RANK(R211,$P$208:$V$219))</f>
        <v> </v>
      </c>
      <c r="AG211" s="299" t="str">
        <f aca="false">IF($A211="N/A"," ",RANK(S211,$P$208:$V$219))</f>
        <v> </v>
      </c>
      <c r="AH211" s="299" t="str">
        <f aca="false">IF($A211="N/A"," ",RANK(T211,$P$208:$V$219))</f>
        <v> </v>
      </c>
      <c r="AI211" s="299" t="str">
        <f aca="false">IF($A211="N/A"," ",RANK(U211,$P$208:$V$219))</f>
        <v> </v>
      </c>
      <c r="AJ211" s="300" t="str">
        <f aca="false">IF($A211="N/A"," ",RANK(V211,$P$208:$V$219))</f>
        <v> </v>
      </c>
      <c r="AK211" s="286" t="str">
        <f aca="false">IF($A211="N/A"," ",IF(AD211&lt;=$AJ$2,W211,0))</f>
        <v> </v>
      </c>
      <c r="AL211" s="301" t="str">
        <f aca="false">IF($A211="N/A"," ",IF(AE211&lt;=$AJ$2,X211,0))</f>
        <v> </v>
      </c>
      <c r="AM211" s="301" t="str">
        <f aca="false">IF($A211="N/A"," ",IF(AF211&lt;=$AJ$2,Y211,0))</f>
        <v> </v>
      </c>
      <c r="AN211" s="301" t="str">
        <f aca="false">IF($A211="N/A"," ",IF(AG211&lt;=$AJ$2,Z211,0))</f>
        <v> </v>
      </c>
      <c r="AO211" s="301" t="str">
        <f aca="false">IF($A211="N/A"," ",IF(AH211&lt;=$AJ$2,AA211,0))</f>
        <v> </v>
      </c>
      <c r="AP211" s="301" t="str">
        <f aca="false">IF($A211="N/A"," ",IF(AI211&lt;=$AJ$2,AB211,0))</f>
        <v> </v>
      </c>
      <c r="AQ211" s="301" t="str">
        <f aca="false">IF($A211="N/A"," ",IF(AJ211&lt;=$AJ$2,AC211,0))</f>
        <v> </v>
      </c>
      <c r="AR211" s="300"/>
      <c r="AS211" s="288" t="str">
        <f aca="false">IF($A211="N/A"," ",IF(AND(AD211=$AJ$2+1,AK211=0),MIN($AR$219,W211),0))</f>
        <v> </v>
      </c>
      <c r="AT211" s="302" t="str">
        <f aca="false">IF($A211="N/A"," ",IF(AND(AE211=$AJ$2+1,AL211=0),MIN($AR$219,X211),0))</f>
        <v> </v>
      </c>
      <c r="AU211" s="302" t="str">
        <f aca="false">IF($A211="N/A"," ",IF(AND(AF211=$AJ$2+1,AM211=0),MIN($AR$219,Y211),0))</f>
        <v> </v>
      </c>
      <c r="AV211" s="302" t="str">
        <f aca="false">IF($A211="N/A"," ",IF(AND(AG211=$AJ$2+1,AN211=0),MIN($AR$219,Z211),0))</f>
        <v> </v>
      </c>
      <c r="AW211" s="302" t="str">
        <f aca="false">IF($A211="N/A"," ",IF(AND(AH211=$AJ$2+1,AO211=0),MIN($AR$219,AA211),0))</f>
        <v> </v>
      </c>
      <c r="AX211" s="302" t="str">
        <f aca="false">IF($A211="N/A"," ",IF(AND(AI211=$AJ$2+1,AP211=0),MIN($AR$219,AB211),0))</f>
        <v> </v>
      </c>
      <c r="AY211" s="302" t="str">
        <f aca="false">IF($A211="N/A"," ",IF(AND(AJ211=$AJ$2+1,AQ211=0),MIN($AR$219,AC211),0))</f>
        <v> </v>
      </c>
      <c r="AZ211" s="300"/>
      <c r="BA211" s="291" t="str">
        <f aca="false">IF($A211="N/A"," ",(IF(MONTH(A211)&gt;=4,IF(MONTH(A211)&lt;=10,Inputs!$F$13,Inputs!$F$14),Inputs!$F$14))*$BW211)</f>
        <v> </v>
      </c>
      <c r="BB211" s="292" t="str">
        <f aca="false">IF($A211="N/A"," ",(IF(AK211&gt;0,($BA211*(8*(VLOOKUP($A211,NumberofDaysTable,2)))*P211),0)+IF(AS211&gt;0,($BA211*((AS211))*P211),0)))</f>
        <v> </v>
      </c>
      <c r="BC211" s="292" t="str">
        <f aca="false">IF($A211="N/A"," ",(IF(AL211&gt;0,($BA211*(8*(VLOOKUP($A211,NumberofDaysTable,2)))*Q211),0)+IF(AT211&gt;0,($BA211*((AT211))*Q211),0)))</f>
        <v> </v>
      </c>
      <c r="BD211" s="292" t="str">
        <f aca="false">IF($A211="N/A"," ",(IF(AM211&gt;0,($BA211*(8*(VLOOKUP($A211,NumberofDaysTable,3)))*R211),0)+IF(AU211&gt;0,($BA211*((AU211))*R211),0)))</f>
        <v> </v>
      </c>
      <c r="BE211" s="292" t="str">
        <f aca="false">IF($A211="N/A"," ",(IF(AN211&gt;0,($BA211*(8*(VLOOKUP($A211,NumberofDaysTable,3)))*S211),0)+IF(AV211&gt;0,($BA211*((AV211))*S211),0)))</f>
        <v> </v>
      </c>
      <c r="BF211" s="292" t="str">
        <f aca="false">IF($A211="N/A"," ",(IF(AO211&gt;0,($BA211*(8*(VLOOKUP($A211,NumberofDaysTable,4)+VLOOKUP($A211,NumberofDaysTable,5)))*T211),0)+IF(AW211&gt;0,($BA211*((AW211))*T211),0)))</f>
        <v> </v>
      </c>
      <c r="BG211" s="292" t="str">
        <f aca="false">IF($A211="N/A"," ",(IF(AP211&gt;0,($BA211*(8*(VLOOKUP($A211,NumberofDaysTable,4)+VLOOKUP($A211,NumberofDaysTable,5)))*U211),0)+IF(AX211&gt;0,($BA211*((AX211))*U211),0)))</f>
        <v> </v>
      </c>
      <c r="BH211" s="292" t="str">
        <f aca="false">IF($A211="N/A"," ",($BA211*AQ211*V211))</f>
        <v> </v>
      </c>
      <c r="BI211" s="292" t="str">
        <f aca="false">IF($A211="N/A"," ",SUM(BB211:BH211))</f>
        <v> </v>
      </c>
      <c r="BJ211" s="293" t="str">
        <f aca="false">IF($A211="N/A"," ",(H211*(SUM(AK211:AQ211)+SUM(AS211:AY211))*BA211))</f>
        <v> </v>
      </c>
      <c r="BK211" s="293" t="str">
        <f aca="false">IF($A211="N/A"," ",((C211*D211)*(SUM($AK211:$AQ211)+SUM($AS211:$AY211))*$BA211))</f>
        <v> </v>
      </c>
      <c r="BL211" s="293" t="str">
        <f aca="false">IF($A211="N/A"," ",(F211*(SUM($AK211:$AQ211)+SUM($AS211:$AY211))*$BA211))</f>
        <v> </v>
      </c>
      <c r="BM211" s="293" t="str">
        <f aca="false">IF($A211="N/A"," ",(G211*(SUM($AK211:$AQ211)+SUM($AS211:$AY211))*$BA211))</f>
        <v> </v>
      </c>
      <c r="BN211" s="294" t="str">
        <f aca="false">IF(A211="N/A"," ",(VLOOKUP(A211,PowerVolTable,(IF('Pricing Inputs'!$AT$3=2,7,IF('Pricing Inputs'!$AT$3=1,6,8))),FALSE())))</f>
        <v> </v>
      </c>
      <c r="BO211" s="294" t="str">
        <f aca="false">IF(A211="N/A"," ",(VLOOKUP(A211,IntraPowerVol,(IF('Pricing Inputs'!$AT$3=2,3,IF('Pricing Inputs'!$AT$3=1,2,4))),FALSE())*VLOOKUP(MONTH($A211),Inputs!$A$28:$B$39,2)))</f>
        <v> </v>
      </c>
      <c r="BP211" s="295" t="str">
        <f aca="false">IF($A211="N/A"," ",(IF(DateToday&gt;$A211,$BO211,((($BN211^2)*((($A211-1)-DateToday)/((EOMONTH($A211,0)+1)-DateToday-15)))+((($BO211)^2)*((15)/((EOMONTH($A211,0)+1)-DateToday-15))))^0.5)))</f>
        <v> </v>
      </c>
      <c r="BQ211" s="294" t="str">
        <f aca="false">IF($A211="N/A"," ",(VLOOKUP($A211,GasVolTable,(IF('Pricing Inputs'!$AT$3=2,6,IF('Pricing Inputs'!$AT$3=1,7,5))),FALSE())))</f>
        <v> </v>
      </c>
      <c r="BR211" s="294" t="str">
        <f aca="false">IF($A211="N/A"," ",(VLOOKUP($A211,OmicronVol,(IF('Pricing Inputs'!$AT$3=2,3,IF('Pricing Inputs'!$AT$3=1,4,2))),FALSE())))</f>
        <v> </v>
      </c>
      <c r="BS211" s="295" t="str">
        <f aca="false">IF($A211="N/A"," ",IF('Pricing Inputs'!$AN$3=1,(IF(DateToday&gt;$A211,$BR211,((($BQ211^2)*((($A211-1)-DateToday)/((EOMONTH($A211,0)+1)-DateToday-15)))+((($BR211)^2)*((15)/((EOMONTH($A211,0)+1)-DateToday-15))))^0.5)),0.0001))</f>
        <v> </v>
      </c>
      <c r="BT211" s="294" t="str">
        <f aca="false">IF($A211="N/A"," ",IF('Pricing Inputs'!$AN$3=1,(VLOOKUP($A211,CorrelationTable,2,FALSE())),0))</f>
        <v> </v>
      </c>
      <c r="BU211" s="296" t="str">
        <f aca="false">IF($A211="N/A"," ",F211+G211+(D211*(VLOOKUP($A211,'Gas Curves'!$B$17:$P$310,14,FALSE()))))</f>
        <v> </v>
      </c>
      <c r="BV211" s="294" t="str">
        <f aca="false">IF($A211="N/A"," ",IF('Pricing Inputs'!$AW$3=1,0,(VLOOKUP($A211,InterestRatesTable,2))))</f>
        <v> </v>
      </c>
      <c r="BW211" s="297" t="str">
        <f aca="false">IF($A211="N/A"," ",(1+BV211/2)^(-2*((EOMONTH(A211,0)+20)-DateToday)/365.25))</f>
        <v> </v>
      </c>
    </row>
    <row r="212" customFormat="false" ht="12.75" hidden="false" customHeight="false" outlineLevel="0" collapsed="false">
      <c r="A212" s="272" t="str">
        <f aca="false">IF(A211="N/A","N/A",IF(EDATE(A211,1)&gt;Inputs!$K$3,"N/A",EDATE(A211,1)))</f>
        <v>N/A</v>
      </c>
      <c r="B212" s="273" t="str">
        <f aca="false">IF(A212="N/A"," ",YEAR(A212))</f>
        <v> </v>
      </c>
      <c r="C212" s="274" t="str">
        <f aca="false">IF(A212="N/A"," ",VLOOKUP(A212,ScaledPrice,10))</f>
        <v> </v>
      </c>
      <c r="D212" s="275" t="str">
        <f aca="false">IF(A212="N/A"," ",(VLOOKUP(MONTH($A212),Inputs!$A$14:$B$25,2))/1000)</f>
        <v> </v>
      </c>
      <c r="E212" s="276" t="str">
        <f aca="false">IF($A212="N/A"," ",C212*D212)</f>
        <v> </v>
      </c>
      <c r="F212" s="277" t="str">
        <f aca="false">IF(A212="N/A"," ",Inputs!$F$6)</f>
        <v> </v>
      </c>
      <c r="G212" s="277" t="str">
        <f aca="false">IF(A212="N/A"," ",Inputs!$F$9/IF(AND('Pricing Inputs'!$AQ$3&gt;=4,'Pricing Inputs'!$AQ$3&lt;=6),16,IF(AND('Pricing Inputs'!$AQ$3&gt;=7,'Pricing Inputs'!$AQ$3&lt;=9),8,24))/(BA212/BW212))</f>
        <v> </v>
      </c>
      <c r="H212" s="278" t="str">
        <f aca="false">IF(A212="N/A"," ",(C212*D212)+F212+G212)</f>
        <v> </v>
      </c>
      <c r="I212" s="279" t="str">
        <f aca="false">VLOOKUP(A212,ScaledPrice,(IF(AND('Pricing Inputs'!$AQ$3&gt;=1,'Pricing Inputs'!$AQ$3&lt;=6),2,4)))</f>
        <v> </v>
      </c>
      <c r="J212" s="279" t="str">
        <f aca="false">IF(A212="N/A"," ",IF(AND('Pricing Inputs'!$AQ$3&gt;=1,'Pricing Inputs'!$AQ$3&lt;=6),I212,(VLOOKUP(A212,ScaledPrice,2))*(2-(VLOOKUP(A212,ScaledPrice,3)))))</f>
        <v> </v>
      </c>
      <c r="K212" s="279" t="str">
        <f aca="false">IF(A212="N/A"," ",IF(OR('Pricing Inputs'!$AQ$3=2,'Pricing Inputs'!$AQ$3=3,'Pricing Inputs'!$AQ$3=5,'Pricing Inputs'!$AQ$3=6,'Pricing Inputs'!$AQ$3=8,'Pricing Inputs'!$AQ$3=9),VLOOKUP(A212,ScaledPrice,IF(AND('Pricing Inputs'!$AQ$3&gt;=2,'Pricing Inputs'!$AQ$3&lt;=6),5,6)),0))</f>
        <v> </v>
      </c>
      <c r="L212" s="279" t="str">
        <f aca="false">IF(A212="N/A"," ",IF(OR('Pricing Inputs'!$AQ$3=2,'Pricing Inputs'!$AQ$3=3,'Pricing Inputs'!$AQ$3=5,'Pricing Inputs'!$AQ$3=6,'Pricing Inputs'!$AQ$3=8,'Pricing Inputs'!$AQ$3=9),IF(AND('Pricing Inputs'!$AQ$3&gt;=2,'Pricing Inputs'!$AQ$3&lt;=6),K212,(VLOOKUP(A212,ScaledPrice,5))*(2-(VLOOKUP(A212,ScaledPrice,3)))),0))</f>
        <v> </v>
      </c>
      <c r="M212" s="279" t="str">
        <f aca="false">IF(A212="N/A"," ",IF(OR('Pricing Inputs'!$AQ$3=3,'Pricing Inputs'!$AQ$3=6,'Pricing Inputs'!$AQ$3=9),(VLOOKUP(A212,ScaledPrice,IF(AND('Pricing Inputs'!$AQ$3&gt;=3,'Pricing Inputs'!$AQ$3&lt;=6),7,8))),0))</f>
        <v> </v>
      </c>
      <c r="N212" s="279" t="str">
        <f aca="false">IF(A212="N/A"," ",IF(OR('Pricing Inputs'!$AQ$3=3,'Pricing Inputs'!$AQ$3=6,'Pricing Inputs'!$AQ$3=9),IF(AND('Pricing Inputs'!$AQ$3&gt;=3,'Pricing Inputs'!$AQ$3&lt;=6),M212,(VLOOKUP(A212,ScaledPrice,7))*(2-(VLOOKUP(A212,ScaledPrice,3)))),0))</f>
        <v> </v>
      </c>
      <c r="O212" s="279" t="str">
        <f aca="false">IF(A212="N/A"," ",IF(AND('Pricing Inputs'!$AQ$3&gt;=1,'Pricing Inputs'!$AQ$3&lt;=3),VLOOKUP(A212,ScaledPrice,9),0))</f>
        <v> </v>
      </c>
      <c r="P212" s="280" t="str">
        <f aca="false">IF($A212="N/A"," ",IF('Pricing Inputs'!$AN$8=2,(I212-H212),IF('Pricing Inputs'!$AN$3=2,IF((I212-$H212)&gt;0,I212-$H212,0),(xSPRDOPT(I212,$E212,$BU212,0,$BP212,$BS212,$BT212,($A212-Inputs!$D$1)+15,1,0)))))</f>
        <v> </v>
      </c>
      <c r="Q212" s="280" t="str">
        <f aca="false">IF($A212="N/A"," ",IF('Pricing Inputs'!$AN$8=2,(J212-$H212),IF('Pricing Inputs'!$AN$3=2,IF((J212-$H212)&gt;0,J212-$H212,0),(xSPRDOPT(J212,$E212,$BU212,0,$BP212,$BS212,$BT212,($A212-Inputs!$D$1)+15,1,0)))))</f>
        <v> </v>
      </c>
      <c r="R212" s="280" t="str">
        <f aca="false">IF($A212="N/A"," ",IF('Pricing Inputs'!$AN$8=2,(K212-$H212),IF('Pricing Inputs'!$AN$3=2,IF((K212-$H212)&gt;0,K212-$H212,0),(xSPRDOPT(K212,$E212,$BU212,0,$BP212,$BS212,$BT212,($A212-Inputs!$D$1)+15,1,0)))))</f>
        <v> </v>
      </c>
      <c r="S212" s="280" t="str">
        <f aca="false">IF($A212="N/A"," ",IF('Pricing Inputs'!$AN$8=2,(L212-$H212),IF('Pricing Inputs'!$AN$3=2,IF((L212-$H212)&gt;0,L212-$H212,0),(xSPRDOPT(L212,$E212,$BU212,0,$BP212,$BS212,$BT212,($A212-Inputs!$D$1)+15,1,0)))))</f>
        <v> </v>
      </c>
      <c r="T212" s="280" t="str">
        <f aca="false">IF($A212="N/A"," ",IF('Pricing Inputs'!$AN$8=2,(M212-$H212),IF('Pricing Inputs'!$AN$3=2,IF((M212-$H212)&gt;0,M212-$H212,0),(xSPRDOPT(M212,$E212,$BU212,0,$BP212,$BS212,$BT212,($A212-Inputs!$D$1)+15,1,0)))))</f>
        <v> </v>
      </c>
      <c r="U212" s="280" t="str">
        <f aca="false">IF($A212="N/A"," ",IF('Pricing Inputs'!$AN$8=2,(N212-$H212),IF('Pricing Inputs'!$AN$3=2,IF((N212-$H212)&gt;0,N212-$H212,0),(xSPRDOPT(N212,$E212,$BU212,0,$BP212,$BS212,$BT212,($A212-Inputs!$D$1)+15,1,0)))))</f>
        <v> </v>
      </c>
      <c r="V212" s="281" t="str">
        <f aca="false">IF($A212="N/A"," ",(IF('Pricing Inputs'!$AN$8=2,(O212-$H212),IF((O212-$H212)&lt;=0,0,(O212-$H212)))))</f>
        <v> </v>
      </c>
      <c r="W212" s="282" t="str">
        <f aca="false">IF($A212="N/A"," ",IF(0&lt;&gt;P212,IF('Pricing Inputs'!$AN$3=2,8*VLOOKUP($A212,NumberofDaysTable,2),(xSPRDOPT(I212,$E212,$BU212,0,$BP212,$BS212,$BT212,$A212-Inputs!$D$1,1,1))*(8*VLOOKUP($A212,NumberofDaysTable,2))),0))</f>
        <v> </v>
      </c>
      <c r="X212" s="282" t="str">
        <f aca="false">IF($A212="N/A"," ",IF(Q212&lt;&gt;0,IF('Pricing Inputs'!$AN$3=2,8*VLOOKUP($A212,NumberofDaysTable,2),(xSPRDOPT(J212,$E212,$BU212,0,$BP212,$BS212,$BT212,$A212-Inputs!$D$1,1,1))*(8*VLOOKUP($A212,NumberofDaysTable,2))),0))</f>
        <v> </v>
      </c>
      <c r="Y212" s="282" t="str">
        <f aca="false">IF($A212="N/A"," ",IF(R212&lt;&gt;0,IF('Pricing Inputs'!$AN$3=2,8*VLOOKUP($A212,NumberofDaysTable,3),(xSPRDOPT(K212,$E212,$BU212,0,$BP212,$BS212,$BT212,$A212-Inputs!$D$1,1,1))*(8*VLOOKUP($A212,NumberofDaysTable,3))),0))</f>
        <v> </v>
      </c>
      <c r="Z212" s="282" t="str">
        <f aca="false">IF($A212="N/A"," ",IF(S212&lt;&gt;0,IF('Pricing Inputs'!$AN$3=2,8*VLOOKUP($A212,NumberofDaysTable,3),(xSPRDOPT(L212,$E212,$BU212,0,$BP212,$BS212,$BT212,$A212-Inputs!$D$1,1,1))*(8*VLOOKUP($A212,NumberofDaysTable,3))),0))</f>
        <v> </v>
      </c>
      <c r="AA212" s="282" t="str">
        <f aca="false">IF($A212="N/A"," ",IF(T212&lt;&gt;0,IF('Pricing Inputs'!$AN$3=2,8*VLOOKUP($A212,NumberofDaysTable,4),(xSPRDOPT(M212,$E212,$BU212,0,$BP212,$BS212,$BT212,$A212-Inputs!$D$1,1,1))*(8*VLOOKUP($A212,NumberofDaysTable,4))),0))</f>
        <v> </v>
      </c>
      <c r="AB212" s="282" t="str">
        <f aca="false">IF($A212="N/A"," ",IF(U212&lt;&gt;0,IF('Pricing Inputs'!$AN$3=2,8*VLOOKUP($A212,NumberofDaysTable,4),(xSPRDOPT(N212,$E212,$BU212,0,$BP212,$BS212,$BT212,$A212-Inputs!$D$1,1,1))*(8*VLOOKUP($A212,NumberofDaysTable,4))),0))</f>
        <v> </v>
      </c>
      <c r="AC212" s="282" t="str">
        <f aca="false">IF($A212="N/A"," ",(IF(V212&lt;&gt;0,(8*VLOOKUP($A212,NumberofDaysTable,6)),0)))</f>
        <v> </v>
      </c>
      <c r="AD212" s="298" t="str">
        <f aca="false">IF($A212="N/A"," ",RANK(P212,$P$208:$V$219))</f>
        <v> </v>
      </c>
      <c r="AE212" s="299" t="str">
        <f aca="false">IF($A212="N/A"," ",RANK(Q212,$P$208:$V$219))</f>
        <v> </v>
      </c>
      <c r="AF212" s="299" t="str">
        <f aca="false">IF($A212="N/A"," ",RANK(R212,$P$208:$V$219))</f>
        <v> </v>
      </c>
      <c r="AG212" s="299" t="str">
        <f aca="false">IF($A212="N/A"," ",RANK(S212,$P$208:$V$219))</f>
        <v> </v>
      </c>
      <c r="AH212" s="299" t="str">
        <f aca="false">IF($A212="N/A"," ",RANK(T212,$P$208:$V$219))</f>
        <v> </v>
      </c>
      <c r="AI212" s="299" t="str">
        <f aca="false">IF($A212="N/A"," ",RANK(U212,$P$208:$V$219))</f>
        <v> </v>
      </c>
      <c r="AJ212" s="300" t="str">
        <f aca="false">IF($A212="N/A"," ",RANK(V212,$P$208:$V$219))</f>
        <v> </v>
      </c>
      <c r="AK212" s="286" t="str">
        <f aca="false">IF($A212="N/A"," ",IF(AD212&lt;=$AJ$2,W212,0))</f>
        <v> </v>
      </c>
      <c r="AL212" s="301" t="str">
        <f aca="false">IF($A212="N/A"," ",IF(AE212&lt;=$AJ$2,X212,0))</f>
        <v> </v>
      </c>
      <c r="AM212" s="301" t="str">
        <f aca="false">IF($A212="N/A"," ",IF(AF212&lt;=$AJ$2,Y212,0))</f>
        <v> </v>
      </c>
      <c r="AN212" s="301" t="str">
        <f aca="false">IF($A212="N/A"," ",IF(AG212&lt;=$AJ$2,Z212,0))</f>
        <v> </v>
      </c>
      <c r="AO212" s="301" t="str">
        <f aca="false">IF($A212="N/A"," ",IF(AH212&lt;=$AJ$2,AA212,0))</f>
        <v> </v>
      </c>
      <c r="AP212" s="301" t="str">
        <f aca="false">IF($A212="N/A"," ",IF(AI212&lt;=$AJ$2,AB212,0))</f>
        <v> </v>
      </c>
      <c r="AQ212" s="301" t="str">
        <f aca="false">IF($A212="N/A"," ",IF(AJ212&lt;=$AJ$2,AC212,0))</f>
        <v> </v>
      </c>
      <c r="AR212" s="300"/>
      <c r="AS212" s="288" t="str">
        <f aca="false">IF($A212="N/A"," ",IF(AND(AD212=$AJ$2+1,AK212=0),MIN($AR$219,W212),0))</f>
        <v> </v>
      </c>
      <c r="AT212" s="302" t="str">
        <f aca="false">IF($A212="N/A"," ",IF(AND(AE212=$AJ$2+1,AL212=0),MIN($AR$219,X212),0))</f>
        <v> </v>
      </c>
      <c r="AU212" s="302" t="str">
        <f aca="false">IF($A212="N/A"," ",IF(AND(AF212=$AJ$2+1,AM212=0),MIN($AR$219,Y212),0))</f>
        <v> </v>
      </c>
      <c r="AV212" s="302" t="str">
        <f aca="false">IF($A212="N/A"," ",IF(AND(AG212=$AJ$2+1,AN212=0),MIN($AR$219,Z212),0))</f>
        <v> </v>
      </c>
      <c r="AW212" s="302" t="str">
        <f aca="false">IF($A212="N/A"," ",IF(AND(AH212=$AJ$2+1,AO212=0),MIN($AR$219,AA212),0))</f>
        <v> </v>
      </c>
      <c r="AX212" s="302" t="str">
        <f aca="false">IF($A212="N/A"," ",IF(AND(AI212=$AJ$2+1,AP212=0),MIN($AR$219,AB212),0))</f>
        <v> </v>
      </c>
      <c r="AY212" s="302" t="str">
        <f aca="false">IF($A212="N/A"," ",IF(AND(AJ212=$AJ$2+1,AQ212=0),MIN($AR$219,AC212),0))</f>
        <v> </v>
      </c>
      <c r="AZ212" s="300"/>
      <c r="BA212" s="291" t="str">
        <f aca="false">IF($A212="N/A"," ",(IF(MONTH(A212)&gt;=4,IF(MONTH(A212)&lt;=10,Inputs!$F$13,Inputs!$F$14),Inputs!$F$14))*$BW212)</f>
        <v> </v>
      </c>
      <c r="BB212" s="292" t="str">
        <f aca="false">IF($A212="N/A"," ",(IF(AK212&gt;0,($BA212*(8*(VLOOKUP($A212,NumberofDaysTable,2)))*P212),0)+IF(AS212&gt;0,($BA212*((AS212))*P212),0)))</f>
        <v> </v>
      </c>
      <c r="BC212" s="292" t="str">
        <f aca="false">IF($A212="N/A"," ",(IF(AL212&gt;0,($BA212*(8*(VLOOKUP($A212,NumberofDaysTable,2)))*Q212),0)+IF(AT212&gt;0,($BA212*((AT212))*Q212),0)))</f>
        <v> </v>
      </c>
      <c r="BD212" s="292" t="str">
        <f aca="false">IF($A212="N/A"," ",(IF(AM212&gt;0,($BA212*(8*(VLOOKUP($A212,NumberofDaysTable,3)))*R212),0)+IF(AU212&gt;0,($BA212*((AU212))*R212),0)))</f>
        <v> </v>
      </c>
      <c r="BE212" s="292" t="str">
        <f aca="false">IF($A212="N/A"," ",(IF(AN212&gt;0,($BA212*(8*(VLOOKUP($A212,NumberofDaysTable,3)))*S212),0)+IF(AV212&gt;0,($BA212*((AV212))*S212),0)))</f>
        <v> </v>
      </c>
      <c r="BF212" s="292" t="str">
        <f aca="false">IF($A212="N/A"," ",(IF(AO212&gt;0,($BA212*(8*(VLOOKUP($A212,NumberofDaysTable,4)+VLOOKUP($A212,NumberofDaysTable,5)))*T212),0)+IF(AW212&gt;0,($BA212*((AW212))*T212),0)))</f>
        <v> </v>
      </c>
      <c r="BG212" s="292" t="str">
        <f aca="false">IF($A212="N/A"," ",(IF(AP212&gt;0,($BA212*(8*(VLOOKUP($A212,NumberofDaysTable,4)+VLOOKUP($A212,NumberofDaysTable,5)))*U212),0)+IF(AX212&gt;0,($BA212*((AX212))*U212),0)))</f>
        <v> </v>
      </c>
      <c r="BH212" s="292" t="str">
        <f aca="false">IF($A212="N/A"," ",($BA212*AQ212*V212))</f>
        <v> </v>
      </c>
      <c r="BI212" s="292" t="str">
        <f aca="false">IF($A212="N/A"," ",SUM(BB212:BH212))</f>
        <v> </v>
      </c>
      <c r="BJ212" s="293" t="str">
        <f aca="false">IF($A212="N/A"," ",(H212*(SUM(AK212:AQ212)+SUM(AS212:AY212))*BA212))</f>
        <v> </v>
      </c>
      <c r="BK212" s="293" t="str">
        <f aca="false">IF($A212="N/A"," ",((C212*D212)*(SUM($AK212:$AQ212)+SUM($AS212:$AY212))*$BA212))</f>
        <v> </v>
      </c>
      <c r="BL212" s="293" t="str">
        <f aca="false">IF($A212="N/A"," ",(F212*(SUM($AK212:$AQ212)+SUM($AS212:$AY212))*$BA212))</f>
        <v> </v>
      </c>
      <c r="BM212" s="293" t="str">
        <f aca="false">IF($A212="N/A"," ",(G212*(SUM($AK212:$AQ212)+SUM($AS212:$AY212))*$BA212))</f>
        <v> </v>
      </c>
      <c r="BN212" s="294" t="str">
        <f aca="false">IF(A212="N/A"," ",(VLOOKUP(A212,PowerVolTable,(IF('Pricing Inputs'!$AT$3=2,7,IF('Pricing Inputs'!$AT$3=1,6,8))),FALSE())))</f>
        <v> </v>
      </c>
      <c r="BO212" s="294" t="str">
        <f aca="false">IF(A212="N/A"," ",(VLOOKUP(A212,IntraPowerVol,(IF('Pricing Inputs'!$AT$3=2,3,IF('Pricing Inputs'!$AT$3=1,2,4))),FALSE())*VLOOKUP(MONTH($A212),Inputs!$A$28:$B$39,2)))</f>
        <v> </v>
      </c>
      <c r="BP212" s="295" t="str">
        <f aca="false">IF($A212="N/A"," ",(IF(DateToday&gt;$A212,$BO212,((($BN212^2)*((($A212-1)-DateToday)/((EOMONTH($A212,0)+1)-DateToday-15)))+((($BO212)^2)*((15)/((EOMONTH($A212,0)+1)-DateToday-15))))^0.5)))</f>
        <v> </v>
      </c>
      <c r="BQ212" s="294" t="str">
        <f aca="false">IF($A212="N/A"," ",(VLOOKUP($A212,GasVolTable,(IF('Pricing Inputs'!$AT$3=2,6,IF('Pricing Inputs'!$AT$3=1,7,5))),FALSE())))</f>
        <v> </v>
      </c>
      <c r="BR212" s="294" t="str">
        <f aca="false">IF($A212="N/A"," ",(VLOOKUP($A212,OmicronVol,(IF('Pricing Inputs'!$AT$3=2,3,IF('Pricing Inputs'!$AT$3=1,4,2))),FALSE())))</f>
        <v> </v>
      </c>
      <c r="BS212" s="295" t="str">
        <f aca="false">IF($A212="N/A"," ",IF('Pricing Inputs'!$AN$3=1,(IF(DateToday&gt;$A212,$BR212,((($BQ212^2)*((($A212-1)-DateToday)/((EOMONTH($A212,0)+1)-DateToday-15)))+((($BR212)^2)*((15)/((EOMONTH($A212,0)+1)-DateToday-15))))^0.5)),0.0001))</f>
        <v> </v>
      </c>
      <c r="BT212" s="294" t="str">
        <f aca="false">IF($A212="N/A"," ",IF('Pricing Inputs'!$AN$3=1,(VLOOKUP($A212,CorrelationTable,2,FALSE())),0))</f>
        <v> </v>
      </c>
      <c r="BU212" s="296" t="str">
        <f aca="false">IF($A212="N/A"," ",F212+G212+(D212*(VLOOKUP($A212,'Gas Curves'!$B$17:$P$310,14,FALSE()))))</f>
        <v> </v>
      </c>
      <c r="BV212" s="294" t="str">
        <f aca="false">IF($A212="N/A"," ",IF('Pricing Inputs'!$AW$3=1,0,(VLOOKUP($A212,InterestRatesTable,2))))</f>
        <v> </v>
      </c>
      <c r="BW212" s="297" t="str">
        <f aca="false">IF($A212="N/A"," ",(1+BV212/2)^(-2*((EOMONTH(A212,0)+20)-DateToday)/365.25))</f>
        <v> </v>
      </c>
    </row>
    <row r="213" customFormat="false" ht="12.75" hidden="false" customHeight="false" outlineLevel="0" collapsed="false">
      <c r="A213" s="272" t="str">
        <f aca="false">IF(A212="N/A","N/A",IF(EDATE(A212,1)&gt;Inputs!$K$3,"N/A",EDATE(A212,1)))</f>
        <v>N/A</v>
      </c>
      <c r="B213" s="273" t="str">
        <f aca="false">IF(A213="N/A"," ",YEAR(A213))</f>
        <v> </v>
      </c>
      <c r="C213" s="274" t="str">
        <f aca="false">IF(A213="N/A"," ",VLOOKUP(A213,ScaledPrice,10))</f>
        <v> </v>
      </c>
      <c r="D213" s="275" t="str">
        <f aca="false">IF(A213="N/A"," ",(VLOOKUP(MONTH($A213),Inputs!$A$14:$B$25,2))/1000)</f>
        <v> </v>
      </c>
      <c r="E213" s="276" t="str">
        <f aca="false">IF($A213="N/A"," ",C213*D213)</f>
        <v> </v>
      </c>
      <c r="F213" s="277" t="str">
        <f aca="false">IF(A213="N/A"," ",Inputs!$F$6)</f>
        <v> </v>
      </c>
      <c r="G213" s="277" t="str">
        <f aca="false">IF(A213="N/A"," ",Inputs!$F$9/IF(AND('Pricing Inputs'!$AQ$3&gt;=4,'Pricing Inputs'!$AQ$3&lt;=6),16,IF(AND('Pricing Inputs'!$AQ$3&gt;=7,'Pricing Inputs'!$AQ$3&lt;=9),8,24))/(BA213/BW213))</f>
        <v> </v>
      </c>
      <c r="H213" s="278" t="str">
        <f aca="false">IF(A213="N/A"," ",(C213*D213)+F213+G213)</f>
        <v> </v>
      </c>
      <c r="I213" s="279" t="str">
        <f aca="false">VLOOKUP(A213,ScaledPrice,(IF(AND('Pricing Inputs'!$AQ$3&gt;=1,'Pricing Inputs'!$AQ$3&lt;=6),2,4)))</f>
        <v> </v>
      </c>
      <c r="J213" s="279" t="str">
        <f aca="false">IF(A213="N/A"," ",IF(AND('Pricing Inputs'!$AQ$3&gt;=1,'Pricing Inputs'!$AQ$3&lt;=6),I213,(VLOOKUP(A213,ScaledPrice,2))*(2-(VLOOKUP(A213,ScaledPrice,3)))))</f>
        <v> </v>
      </c>
      <c r="K213" s="279" t="str">
        <f aca="false">IF(A213="N/A"," ",IF(OR('Pricing Inputs'!$AQ$3=2,'Pricing Inputs'!$AQ$3=3,'Pricing Inputs'!$AQ$3=5,'Pricing Inputs'!$AQ$3=6,'Pricing Inputs'!$AQ$3=8,'Pricing Inputs'!$AQ$3=9),VLOOKUP(A213,ScaledPrice,IF(AND('Pricing Inputs'!$AQ$3&gt;=2,'Pricing Inputs'!$AQ$3&lt;=6),5,6)),0))</f>
        <v> </v>
      </c>
      <c r="L213" s="279" t="str">
        <f aca="false">IF(A213="N/A"," ",IF(OR('Pricing Inputs'!$AQ$3=2,'Pricing Inputs'!$AQ$3=3,'Pricing Inputs'!$AQ$3=5,'Pricing Inputs'!$AQ$3=6,'Pricing Inputs'!$AQ$3=8,'Pricing Inputs'!$AQ$3=9),IF(AND('Pricing Inputs'!$AQ$3&gt;=2,'Pricing Inputs'!$AQ$3&lt;=6),K213,(VLOOKUP(A213,ScaledPrice,5))*(2-(VLOOKUP(A213,ScaledPrice,3)))),0))</f>
        <v> </v>
      </c>
      <c r="M213" s="279" t="str">
        <f aca="false">IF(A213="N/A"," ",IF(OR('Pricing Inputs'!$AQ$3=3,'Pricing Inputs'!$AQ$3=6,'Pricing Inputs'!$AQ$3=9),(VLOOKUP(A213,ScaledPrice,IF(AND('Pricing Inputs'!$AQ$3&gt;=3,'Pricing Inputs'!$AQ$3&lt;=6),7,8))),0))</f>
        <v> </v>
      </c>
      <c r="N213" s="279" t="str">
        <f aca="false">IF(A213="N/A"," ",IF(OR('Pricing Inputs'!$AQ$3=3,'Pricing Inputs'!$AQ$3=6,'Pricing Inputs'!$AQ$3=9),IF(AND('Pricing Inputs'!$AQ$3&gt;=3,'Pricing Inputs'!$AQ$3&lt;=6),M213,(VLOOKUP(A213,ScaledPrice,7))*(2-(VLOOKUP(A213,ScaledPrice,3)))),0))</f>
        <v> </v>
      </c>
      <c r="O213" s="279" t="str">
        <f aca="false">IF(A213="N/A"," ",IF(AND('Pricing Inputs'!$AQ$3&gt;=1,'Pricing Inputs'!$AQ$3&lt;=3),VLOOKUP(A213,ScaledPrice,9),0))</f>
        <v> </v>
      </c>
      <c r="P213" s="280" t="str">
        <f aca="false">IF($A213="N/A"," ",IF('Pricing Inputs'!$AN$8=2,(I213-H213),IF('Pricing Inputs'!$AN$3=2,IF((I213-$H213)&gt;0,I213-$H213,0),(xSPRDOPT(I213,$E213,$BU213,0,$BP213,$BS213,$BT213,($A213-Inputs!$D$1)+15,1,0)))))</f>
        <v> </v>
      </c>
      <c r="Q213" s="280" t="str">
        <f aca="false">IF($A213="N/A"," ",IF('Pricing Inputs'!$AN$8=2,(J213-$H213),IF('Pricing Inputs'!$AN$3=2,IF((J213-$H213)&gt;0,J213-$H213,0),(xSPRDOPT(J213,$E213,$BU213,0,$BP213,$BS213,$BT213,($A213-Inputs!$D$1)+15,1,0)))))</f>
        <v> </v>
      </c>
      <c r="R213" s="280" t="str">
        <f aca="false">IF($A213="N/A"," ",IF('Pricing Inputs'!$AN$8=2,(K213-$H213),IF('Pricing Inputs'!$AN$3=2,IF((K213-$H213)&gt;0,K213-$H213,0),(xSPRDOPT(K213,$E213,$BU213,0,$BP213,$BS213,$BT213,($A213-Inputs!$D$1)+15,1,0)))))</f>
        <v> </v>
      </c>
      <c r="S213" s="280" t="str">
        <f aca="false">IF($A213="N/A"," ",IF('Pricing Inputs'!$AN$8=2,(L213-$H213),IF('Pricing Inputs'!$AN$3=2,IF((L213-$H213)&gt;0,L213-$H213,0),(xSPRDOPT(L213,$E213,$BU213,0,$BP213,$BS213,$BT213,($A213-Inputs!$D$1)+15,1,0)))))</f>
        <v> </v>
      </c>
      <c r="T213" s="280" t="str">
        <f aca="false">IF($A213="N/A"," ",IF('Pricing Inputs'!$AN$8=2,(M213-$H213),IF('Pricing Inputs'!$AN$3=2,IF((M213-$H213)&gt;0,M213-$H213,0),(xSPRDOPT(M213,$E213,$BU213,0,$BP213,$BS213,$BT213,($A213-Inputs!$D$1)+15,1,0)))))</f>
        <v> </v>
      </c>
      <c r="U213" s="280" t="str">
        <f aca="false">IF($A213="N/A"," ",IF('Pricing Inputs'!$AN$8=2,(N213-$H213),IF('Pricing Inputs'!$AN$3=2,IF((N213-$H213)&gt;0,N213-$H213,0),(xSPRDOPT(N213,$E213,$BU213,0,$BP213,$BS213,$BT213,($A213-Inputs!$D$1)+15,1,0)))))</f>
        <v> </v>
      </c>
      <c r="V213" s="281" t="str">
        <f aca="false">IF($A213="N/A"," ",(IF('Pricing Inputs'!$AN$8=2,(O213-$H213),IF((O213-$H213)&lt;=0,0,(O213-$H213)))))</f>
        <v> </v>
      </c>
      <c r="W213" s="282" t="str">
        <f aca="false">IF($A213="N/A"," ",IF(0&lt;&gt;P213,IF('Pricing Inputs'!$AN$3=2,8*VLOOKUP($A213,NumberofDaysTable,2),(xSPRDOPT(I213,$E213,$BU213,0,$BP213,$BS213,$BT213,$A213-Inputs!$D$1,1,1))*(8*VLOOKUP($A213,NumberofDaysTable,2))),0))</f>
        <v> </v>
      </c>
      <c r="X213" s="282" t="str">
        <f aca="false">IF($A213="N/A"," ",IF(Q213&lt;&gt;0,IF('Pricing Inputs'!$AN$3=2,8*VLOOKUP($A213,NumberofDaysTable,2),(xSPRDOPT(J213,$E213,$BU213,0,$BP213,$BS213,$BT213,$A213-Inputs!$D$1,1,1))*(8*VLOOKUP($A213,NumberofDaysTable,2))),0))</f>
        <v> </v>
      </c>
      <c r="Y213" s="282" t="str">
        <f aca="false">IF($A213="N/A"," ",IF(R213&lt;&gt;0,IF('Pricing Inputs'!$AN$3=2,8*VLOOKUP($A213,NumberofDaysTable,3),(xSPRDOPT(K213,$E213,$BU213,0,$BP213,$BS213,$BT213,$A213-Inputs!$D$1,1,1))*(8*VLOOKUP($A213,NumberofDaysTable,3))),0))</f>
        <v> </v>
      </c>
      <c r="Z213" s="282" t="str">
        <f aca="false">IF($A213="N/A"," ",IF(S213&lt;&gt;0,IF('Pricing Inputs'!$AN$3=2,8*VLOOKUP($A213,NumberofDaysTable,3),(xSPRDOPT(L213,$E213,$BU213,0,$BP213,$BS213,$BT213,$A213-Inputs!$D$1,1,1))*(8*VLOOKUP($A213,NumberofDaysTable,3))),0))</f>
        <v> </v>
      </c>
      <c r="AA213" s="282" t="str">
        <f aca="false">IF($A213="N/A"," ",IF(T213&lt;&gt;0,IF('Pricing Inputs'!$AN$3=2,8*VLOOKUP($A213,NumberofDaysTable,4),(xSPRDOPT(M213,$E213,$BU213,0,$BP213,$BS213,$BT213,$A213-Inputs!$D$1,1,1))*(8*VLOOKUP($A213,NumberofDaysTable,4))),0))</f>
        <v> </v>
      </c>
      <c r="AB213" s="282" t="str">
        <f aca="false">IF($A213="N/A"," ",IF(U213&lt;&gt;0,IF('Pricing Inputs'!$AN$3=2,8*VLOOKUP($A213,NumberofDaysTable,4),(xSPRDOPT(N213,$E213,$BU213,0,$BP213,$BS213,$BT213,$A213-Inputs!$D$1,1,1))*(8*VLOOKUP($A213,NumberofDaysTable,4))),0))</f>
        <v> </v>
      </c>
      <c r="AC213" s="282" t="str">
        <f aca="false">IF($A213="N/A"," ",(IF(V213&lt;&gt;0,(8*VLOOKUP($A213,NumberofDaysTable,6)),0)))</f>
        <v> </v>
      </c>
      <c r="AD213" s="298" t="str">
        <f aca="false">IF($A213="N/A"," ",RANK(P213,$P$208:$V$219))</f>
        <v> </v>
      </c>
      <c r="AE213" s="299" t="str">
        <f aca="false">IF($A213="N/A"," ",RANK(Q213,$P$208:$V$219))</f>
        <v> </v>
      </c>
      <c r="AF213" s="299" t="str">
        <f aca="false">IF($A213="N/A"," ",RANK(R213,$P$208:$V$219))</f>
        <v> </v>
      </c>
      <c r="AG213" s="299" t="str">
        <f aca="false">IF($A213="N/A"," ",RANK(S213,$P$208:$V$219))</f>
        <v> </v>
      </c>
      <c r="AH213" s="299" t="str">
        <f aca="false">IF($A213="N/A"," ",RANK(T213,$P$208:$V$219))</f>
        <v> </v>
      </c>
      <c r="AI213" s="299" t="str">
        <f aca="false">IF($A213="N/A"," ",RANK(U213,$P$208:$V$219))</f>
        <v> </v>
      </c>
      <c r="AJ213" s="300" t="str">
        <f aca="false">IF($A213="N/A"," ",RANK(V213,$P$208:$V$219))</f>
        <v> </v>
      </c>
      <c r="AK213" s="286" t="str">
        <f aca="false">IF($A213="N/A"," ",IF(AD213&lt;=$AJ$2,W213,0))</f>
        <v> </v>
      </c>
      <c r="AL213" s="301" t="str">
        <f aca="false">IF($A213="N/A"," ",IF(AE213&lt;=$AJ$2,X213,0))</f>
        <v> </v>
      </c>
      <c r="AM213" s="301" t="str">
        <f aca="false">IF($A213="N/A"," ",IF(AF213&lt;=$AJ$2,Y213,0))</f>
        <v> </v>
      </c>
      <c r="AN213" s="301" t="str">
        <f aca="false">IF($A213="N/A"," ",IF(AG213&lt;=$AJ$2,Z213,0))</f>
        <v> </v>
      </c>
      <c r="AO213" s="301" t="str">
        <f aca="false">IF($A213="N/A"," ",IF(AH213&lt;=$AJ$2,AA213,0))</f>
        <v> </v>
      </c>
      <c r="AP213" s="301" t="str">
        <f aca="false">IF($A213="N/A"," ",IF(AI213&lt;=$AJ$2,AB213,0))</f>
        <v> </v>
      </c>
      <c r="AQ213" s="301" t="str">
        <f aca="false">IF($A213="N/A"," ",IF(AJ213&lt;=$AJ$2,AC213,0))</f>
        <v> </v>
      </c>
      <c r="AR213" s="300"/>
      <c r="AS213" s="288" t="str">
        <f aca="false">IF($A213="N/A"," ",IF(AND(AD213=$AJ$2+1,AK213=0),MIN($AR$219,W213),0))</f>
        <v> </v>
      </c>
      <c r="AT213" s="302" t="str">
        <f aca="false">IF($A213="N/A"," ",IF(AND(AE213=$AJ$2+1,AL213=0),MIN($AR$219,X213),0))</f>
        <v> </v>
      </c>
      <c r="AU213" s="302" t="str">
        <f aca="false">IF($A213="N/A"," ",IF(AND(AF213=$AJ$2+1,AM213=0),MIN($AR$219,Y213),0))</f>
        <v> </v>
      </c>
      <c r="AV213" s="302" t="str">
        <f aca="false">IF($A213="N/A"," ",IF(AND(AG213=$AJ$2+1,AN213=0),MIN($AR$219,Z213),0))</f>
        <v> </v>
      </c>
      <c r="AW213" s="302" t="str">
        <f aca="false">IF($A213="N/A"," ",IF(AND(AH213=$AJ$2+1,AO213=0),MIN($AR$219,AA213),0))</f>
        <v> </v>
      </c>
      <c r="AX213" s="302" t="str">
        <f aca="false">IF($A213="N/A"," ",IF(AND(AI213=$AJ$2+1,AP213=0),MIN($AR$219,AB213),0))</f>
        <v> </v>
      </c>
      <c r="AY213" s="302" t="str">
        <f aca="false">IF($A213="N/A"," ",IF(AND(AJ213=$AJ$2+1,AQ213=0),MIN($AR$219,AC213),0))</f>
        <v> </v>
      </c>
      <c r="AZ213" s="300"/>
      <c r="BA213" s="291" t="str">
        <f aca="false">IF($A213="N/A"," ",(IF(MONTH(A213)&gt;=4,IF(MONTH(A213)&lt;=10,Inputs!$F$13,Inputs!$F$14),Inputs!$F$14))*$BW213)</f>
        <v> </v>
      </c>
      <c r="BB213" s="292" t="str">
        <f aca="false">IF($A213="N/A"," ",(IF(AK213&gt;0,($BA213*(8*(VLOOKUP($A213,NumberofDaysTable,2)))*P213),0)+IF(AS213&gt;0,($BA213*((AS213))*P213),0)))</f>
        <v> </v>
      </c>
      <c r="BC213" s="292" t="str">
        <f aca="false">IF($A213="N/A"," ",(IF(AL213&gt;0,($BA213*(8*(VLOOKUP($A213,NumberofDaysTable,2)))*Q213),0)+IF(AT213&gt;0,($BA213*((AT213))*Q213),0)))</f>
        <v> </v>
      </c>
      <c r="BD213" s="292" t="str">
        <f aca="false">IF($A213="N/A"," ",(IF(AM213&gt;0,($BA213*(8*(VLOOKUP($A213,NumberofDaysTable,3)))*R213),0)+IF(AU213&gt;0,($BA213*((AU213))*R213),0)))</f>
        <v> </v>
      </c>
      <c r="BE213" s="292" t="str">
        <f aca="false">IF($A213="N/A"," ",(IF(AN213&gt;0,($BA213*(8*(VLOOKUP($A213,NumberofDaysTable,3)))*S213),0)+IF(AV213&gt;0,($BA213*((AV213))*S213),0)))</f>
        <v> </v>
      </c>
      <c r="BF213" s="292" t="str">
        <f aca="false">IF($A213="N/A"," ",(IF(AO213&gt;0,($BA213*(8*(VLOOKUP($A213,NumberofDaysTable,4)+VLOOKUP($A213,NumberofDaysTable,5)))*T213),0)+IF(AW213&gt;0,($BA213*((AW213))*T213),0)))</f>
        <v> </v>
      </c>
      <c r="BG213" s="292" t="str">
        <f aca="false">IF($A213="N/A"," ",(IF(AP213&gt;0,($BA213*(8*(VLOOKUP($A213,NumberofDaysTable,4)+VLOOKUP($A213,NumberofDaysTable,5)))*U213),0)+IF(AX213&gt;0,($BA213*((AX213))*U213),0)))</f>
        <v> </v>
      </c>
      <c r="BH213" s="292" t="str">
        <f aca="false">IF($A213="N/A"," ",($BA213*AQ213*V213))</f>
        <v> </v>
      </c>
      <c r="BI213" s="292" t="str">
        <f aca="false">IF($A213="N/A"," ",SUM(BB213:BH213))</f>
        <v> </v>
      </c>
      <c r="BJ213" s="293" t="str">
        <f aca="false">IF($A213="N/A"," ",(H213*(SUM(AK213:AQ213)+SUM(AS213:AY213))*BA213))</f>
        <v> </v>
      </c>
      <c r="BK213" s="293" t="str">
        <f aca="false">IF($A213="N/A"," ",((C213*D213)*(SUM($AK213:$AQ213)+SUM($AS213:$AY213))*$BA213))</f>
        <v> </v>
      </c>
      <c r="BL213" s="293" t="str">
        <f aca="false">IF($A213="N/A"," ",(F213*(SUM($AK213:$AQ213)+SUM($AS213:$AY213))*$BA213))</f>
        <v> </v>
      </c>
      <c r="BM213" s="293" t="str">
        <f aca="false">IF($A213="N/A"," ",(G213*(SUM($AK213:$AQ213)+SUM($AS213:$AY213))*$BA213))</f>
        <v> </v>
      </c>
      <c r="BN213" s="294" t="str">
        <f aca="false">IF(A213="N/A"," ",(VLOOKUP(A213,PowerVolTable,(IF('Pricing Inputs'!$AT$3=2,7,IF('Pricing Inputs'!$AT$3=1,6,8))),FALSE())))</f>
        <v> </v>
      </c>
      <c r="BO213" s="294" t="str">
        <f aca="false">IF(A213="N/A"," ",(VLOOKUP(A213,IntraPowerVol,(IF('Pricing Inputs'!$AT$3=2,3,IF('Pricing Inputs'!$AT$3=1,2,4))),FALSE())*VLOOKUP(MONTH($A213),Inputs!$A$28:$B$39,2)))</f>
        <v> </v>
      </c>
      <c r="BP213" s="295" t="str">
        <f aca="false">IF($A213="N/A"," ",(IF(DateToday&gt;$A213,$BO213,((($BN213^2)*((($A213-1)-DateToday)/((EOMONTH($A213,0)+1)-DateToday-15)))+((($BO213)^2)*((15)/((EOMONTH($A213,0)+1)-DateToday-15))))^0.5)))</f>
        <v> </v>
      </c>
      <c r="BQ213" s="294" t="str">
        <f aca="false">IF($A213="N/A"," ",(VLOOKUP($A213,GasVolTable,(IF('Pricing Inputs'!$AT$3=2,6,IF('Pricing Inputs'!$AT$3=1,7,5))),FALSE())))</f>
        <v> </v>
      </c>
      <c r="BR213" s="294" t="str">
        <f aca="false">IF($A213="N/A"," ",(VLOOKUP($A213,OmicronVol,(IF('Pricing Inputs'!$AT$3=2,3,IF('Pricing Inputs'!$AT$3=1,4,2))),FALSE())))</f>
        <v> </v>
      </c>
      <c r="BS213" s="295" t="str">
        <f aca="false">IF($A213="N/A"," ",IF('Pricing Inputs'!$AN$3=1,(IF(DateToday&gt;$A213,$BR213,((($BQ213^2)*((($A213-1)-DateToday)/((EOMONTH($A213,0)+1)-DateToday-15)))+((($BR213)^2)*((15)/((EOMONTH($A213,0)+1)-DateToday-15))))^0.5)),0.0001))</f>
        <v> </v>
      </c>
      <c r="BT213" s="294" t="str">
        <f aca="false">IF($A213="N/A"," ",IF('Pricing Inputs'!$AN$3=1,(VLOOKUP($A213,CorrelationTable,2,FALSE())),0))</f>
        <v> </v>
      </c>
      <c r="BU213" s="296" t="str">
        <f aca="false">IF($A213="N/A"," ",F213+G213+(D213*(VLOOKUP($A213,'Gas Curves'!$B$17:$P$310,14,FALSE()))))</f>
        <v> </v>
      </c>
      <c r="BV213" s="294" t="str">
        <f aca="false">IF($A213="N/A"," ",IF('Pricing Inputs'!$AW$3=1,0,(VLOOKUP($A213,InterestRatesTable,2))))</f>
        <v> </v>
      </c>
      <c r="BW213" s="297" t="str">
        <f aca="false">IF($A213="N/A"," ",(1+BV213/2)^(-2*((EOMONTH(A213,0)+20)-DateToday)/365.25))</f>
        <v> </v>
      </c>
    </row>
    <row r="214" customFormat="false" ht="12.75" hidden="false" customHeight="false" outlineLevel="0" collapsed="false">
      <c r="A214" s="272" t="str">
        <f aca="false">IF(A213="N/A","N/A",IF(EDATE(A213,1)&gt;Inputs!$K$3,"N/A",EDATE(A213,1)))</f>
        <v>N/A</v>
      </c>
      <c r="B214" s="273" t="str">
        <f aca="false">IF(A214="N/A"," ",YEAR(A214))</f>
        <v> </v>
      </c>
      <c r="C214" s="274" t="str">
        <f aca="false">IF(A214="N/A"," ",VLOOKUP(A214,ScaledPrice,10))</f>
        <v> </v>
      </c>
      <c r="D214" s="275" t="str">
        <f aca="false">IF(A214="N/A"," ",(VLOOKUP(MONTH($A214),Inputs!$A$14:$B$25,2))/1000)</f>
        <v> </v>
      </c>
      <c r="E214" s="276" t="str">
        <f aca="false">IF($A214="N/A"," ",C214*D214)</f>
        <v> </v>
      </c>
      <c r="F214" s="277" t="str">
        <f aca="false">IF(A214="N/A"," ",Inputs!$F$6)</f>
        <v> </v>
      </c>
      <c r="G214" s="277" t="str">
        <f aca="false">IF(A214="N/A"," ",Inputs!$F$9/IF(AND('Pricing Inputs'!$AQ$3&gt;=4,'Pricing Inputs'!$AQ$3&lt;=6),16,IF(AND('Pricing Inputs'!$AQ$3&gt;=7,'Pricing Inputs'!$AQ$3&lt;=9),8,24))/(BA214/BW214))</f>
        <v> </v>
      </c>
      <c r="H214" s="278" t="str">
        <f aca="false">IF(A214="N/A"," ",(C214*D214)+F214+G214)</f>
        <v> </v>
      </c>
      <c r="I214" s="279" t="str">
        <f aca="false">VLOOKUP(A214,ScaledPrice,(IF(AND('Pricing Inputs'!$AQ$3&gt;=1,'Pricing Inputs'!$AQ$3&lt;=6),2,4)))</f>
        <v> </v>
      </c>
      <c r="J214" s="279" t="str">
        <f aca="false">IF(A214="N/A"," ",IF(AND('Pricing Inputs'!$AQ$3&gt;=1,'Pricing Inputs'!$AQ$3&lt;=6),I214,(VLOOKUP(A214,ScaledPrice,2))*(2-(VLOOKUP(A214,ScaledPrice,3)))))</f>
        <v> </v>
      </c>
      <c r="K214" s="279" t="str">
        <f aca="false">IF(A214="N/A"," ",IF(OR('Pricing Inputs'!$AQ$3=2,'Pricing Inputs'!$AQ$3=3,'Pricing Inputs'!$AQ$3=5,'Pricing Inputs'!$AQ$3=6,'Pricing Inputs'!$AQ$3=8,'Pricing Inputs'!$AQ$3=9),VLOOKUP(A214,ScaledPrice,IF(AND('Pricing Inputs'!$AQ$3&gt;=2,'Pricing Inputs'!$AQ$3&lt;=6),5,6)),0))</f>
        <v> </v>
      </c>
      <c r="L214" s="279" t="str">
        <f aca="false">IF(A214="N/A"," ",IF(OR('Pricing Inputs'!$AQ$3=2,'Pricing Inputs'!$AQ$3=3,'Pricing Inputs'!$AQ$3=5,'Pricing Inputs'!$AQ$3=6,'Pricing Inputs'!$AQ$3=8,'Pricing Inputs'!$AQ$3=9),IF(AND('Pricing Inputs'!$AQ$3&gt;=2,'Pricing Inputs'!$AQ$3&lt;=6),K214,(VLOOKUP(A214,ScaledPrice,5))*(2-(VLOOKUP(A214,ScaledPrice,3)))),0))</f>
        <v> </v>
      </c>
      <c r="M214" s="279" t="str">
        <f aca="false">IF(A214="N/A"," ",IF(OR('Pricing Inputs'!$AQ$3=3,'Pricing Inputs'!$AQ$3=6,'Pricing Inputs'!$AQ$3=9),(VLOOKUP(A214,ScaledPrice,IF(AND('Pricing Inputs'!$AQ$3&gt;=3,'Pricing Inputs'!$AQ$3&lt;=6),7,8))),0))</f>
        <v> </v>
      </c>
      <c r="N214" s="279" t="str">
        <f aca="false">IF(A214="N/A"," ",IF(OR('Pricing Inputs'!$AQ$3=3,'Pricing Inputs'!$AQ$3=6,'Pricing Inputs'!$AQ$3=9),IF(AND('Pricing Inputs'!$AQ$3&gt;=3,'Pricing Inputs'!$AQ$3&lt;=6),M214,(VLOOKUP(A214,ScaledPrice,7))*(2-(VLOOKUP(A214,ScaledPrice,3)))),0))</f>
        <v> </v>
      </c>
      <c r="O214" s="279" t="str">
        <f aca="false">IF(A214="N/A"," ",IF(AND('Pricing Inputs'!$AQ$3&gt;=1,'Pricing Inputs'!$AQ$3&lt;=3),VLOOKUP(A214,ScaledPrice,9),0))</f>
        <v> </v>
      </c>
      <c r="P214" s="280" t="str">
        <f aca="false">IF($A214="N/A"," ",IF('Pricing Inputs'!$AN$8=2,(I214-H214),IF('Pricing Inputs'!$AN$3=2,IF((I214-$H214)&gt;0,I214-$H214,0),(xSPRDOPT(I214,$E214,$BU214,0,$BP214,$BS214,$BT214,($A214-Inputs!$D$1)+15,1,0)))))</f>
        <v> </v>
      </c>
      <c r="Q214" s="280" t="str">
        <f aca="false">IF($A214="N/A"," ",IF('Pricing Inputs'!$AN$8=2,(J214-$H214),IF('Pricing Inputs'!$AN$3=2,IF((J214-$H214)&gt;0,J214-$H214,0),(xSPRDOPT(J214,$E214,$BU214,0,$BP214,$BS214,$BT214,($A214-Inputs!$D$1)+15,1,0)))))</f>
        <v> </v>
      </c>
      <c r="R214" s="280" t="str">
        <f aca="false">IF($A214="N/A"," ",IF('Pricing Inputs'!$AN$8=2,(K214-$H214),IF('Pricing Inputs'!$AN$3=2,IF((K214-$H214)&gt;0,K214-$H214,0),(xSPRDOPT(K214,$E214,$BU214,0,$BP214,$BS214,$BT214,($A214-Inputs!$D$1)+15,1,0)))))</f>
        <v> </v>
      </c>
      <c r="S214" s="280" t="str">
        <f aca="false">IF($A214="N/A"," ",IF('Pricing Inputs'!$AN$8=2,(L214-$H214),IF('Pricing Inputs'!$AN$3=2,IF((L214-$H214)&gt;0,L214-$H214,0),(xSPRDOPT(L214,$E214,$BU214,0,$BP214,$BS214,$BT214,($A214-Inputs!$D$1)+15,1,0)))))</f>
        <v> </v>
      </c>
      <c r="T214" s="280" t="str">
        <f aca="false">IF($A214="N/A"," ",IF('Pricing Inputs'!$AN$8=2,(M214-$H214),IF('Pricing Inputs'!$AN$3=2,IF((M214-$H214)&gt;0,M214-$H214,0),(xSPRDOPT(M214,$E214,$BU214,0,$BP214,$BS214,$BT214,($A214-Inputs!$D$1)+15,1,0)))))</f>
        <v> </v>
      </c>
      <c r="U214" s="280" t="str">
        <f aca="false">IF($A214="N/A"," ",IF('Pricing Inputs'!$AN$8=2,(N214-$H214),IF('Pricing Inputs'!$AN$3=2,IF((N214-$H214)&gt;0,N214-$H214,0),(xSPRDOPT(N214,$E214,$BU214,0,$BP214,$BS214,$BT214,($A214-Inputs!$D$1)+15,1,0)))))</f>
        <v> </v>
      </c>
      <c r="V214" s="281" t="str">
        <f aca="false">IF($A214="N/A"," ",(IF('Pricing Inputs'!$AN$8=2,(O214-$H214),IF((O214-$H214)&lt;=0,0,(O214-$H214)))))</f>
        <v> </v>
      </c>
      <c r="W214" s="282" t="str">
        <f aca="false">IF($A214="N/A"," ",IF(0&lt;&gt;P214,IF('Pricing Inputs'!$AN$3=2,8*VLOOKUP($A214,NumberofDaysTable,2),(xSPRDOPT(I214,$E214,$BU214,0,$BP214,$BS214,$BT214,$A214-Inputs!$D$1,1,1))*(8*VLOOKUP($A214,NumberofDaysTable,2))),0))</f>
        <v> </v>
      </c>
      <c r="X214" s="282" t="str">
        <f aca="false">IF($A214="N/A"," ",IF(Q214&lt;&gt;0,IF('Pricing Inputs'!$AN$3=2,8*VLOOKUP($A214,NumberofDaysTable,2),(xSPRDOPT(J214,$E214,$BU214,0,$BP214,$BS214,$BT214,$A214-Inputs!$D$1,1,1))*(8*VLOOKUP($A214,NumberofDaysTable,2))),0))</f>
        <v> </v>
      </c>
      <c r="Y214" s="282" t="str">
        <f aca="false">IF($A214="N/A"," ",IF(R214&lt;&gt;0,IF('Pricing Inputs'!$AN$3=2,8*VLOOKUP($A214,NumberofDaysTable,3),(xSPRDOPT(K214,$E214,$BU214,0,$BP214,$BS214,$BT214,$A214-Inputs!$D$1,1,1))*(8*VLOOKUP($A214,NumberofDaysTable,3))),0))</f>
        <v> </v>
      </c>
      <c r="Z214" s="282" t="str">
        <f aca="false">IF($A214="N/A"," ",IF(S214&lt;&gt;0,IF('Pricing Inputs'!$AN$3=2,8*VLOOKUP($A214,NumberofDaysTable,3),(xSPRDOPT(L214,$E214,$BU214,0,$BP214,$BS214,$BT214,$A214-Inputs!$D$1,1,1))*(8*VLOOKUP($A214,NumberofDaysTable,3))),0))</f>
        <v> </v>
      </c>
      <c r="AA214" s="282" t="str">
        <f aca="false">IF($A214="N/A"," ",IF(T214&lt;&gt;0,IF('Pricing Inputs'!$AN$3=2,8*VLOOKUP($A214,NumberofDaysTable,4),(xSPRDOPT(M214,$E214,$BU214,0,$BP214,$BS214,$BT214,$A214-Inputs!$D$1,1,1))*(8*VLOOKUP($A214,NumberofDaysTable,4))),0))</f>
        <v> </v>
      </c>
      <c r="AB214" s="282" t="str">
        <f aca="false">IF($A214="N/A"," ",IF(U214&lt;&gt;0,IF('Pricing Inputs'!$AN$3=2,8*VLOOKUP($A214,NumberofDaysTable,4),(xSPRDOPT(N214,$E214,$BU214,0,$BP214,$BS214,$BT214,$A214-Inputs!$D$1,1,1))*(8*VLOOKUP($A214,NumberofDaysTable,4))),0))</f>
        <v> </v>
      </c>
      <c r="AC214" s="282" t="str">
        <f aca="false">IF($A214="N/A"," ",(IF(V214&lt;&gt;0,(8*VLOOKUP($A214,NumberofDaysTable,6)),0)))</f>
        <v> </v>
      </c>
      <c r="AD214" s="298" t="str">
        <f aca="false">IF($A214="N/A"," ",RANK(P214,$P$208:$V$219))</f>
        <v> </v>
      </c>
      <c r="AE214" s="299" t="str">
        <f aca="false">IF($A214="N/A"," ",RANK(Q214,$P$208:$V$219))</f>
        <v> </v>
      </c>
      <c r="AF214" s="299" t="str">
        <f aca="false">IF($A214="N/A"," ",RANK(R214,$P$208:$V$219))</f>
        <v> </v>
      </c>
      <c r="AG214" s="299" t="str">
        <f aca="false">IF($A214="N/A"," ",RANK(S214,$P$208:$V$219))</f>
        <v> </v>
      </c>
      <c r="AH214" s="299" t="str">
        <f aca="false">IF($A214="N/A"," ",RANK(T214,$P$208:$V$219))</f>
        <v> </v>
      </c>
      <c r="AI214" s="299" t="str">
        <f aca="false">IF($A214="N/A"," ",RANK(U214,$P$208:$V$219))</f>
        <v> </v>
      </c>
      <c r="AJ214" s="300" t="str">
        <f aca="false">IF($A214="N/A"," ",RANK(V214,$P$208:$V$219))</f>
        <v> </v>
      </c>
      <c r="AK214" s="286" t="str">
        <f aca="false">IF($A214="N/A"," ",IF(AD214&lt;=$AJ$2,W214,0))</f>
        <v> </v>
      </c>
      <c r="AL214" s="301" t="str">
        <f aca="false">IF($A214="N/A"," ",IF(AE214&lt;=$AJ$2,X214,0))</f>
        <v> </v>
      </c>
      <c r="AM214" s="301" t="str">
        <f aca="false">IF($A214="N/A"," ",IF(AF214&lt;=$AJ$2,Y214,0))</f>
        <v> </v>
      </c>
      <c r="AN214" s="301" t="str">
        <f aca="false">IF($A214="N/A"," ",IF(AG214&lt;=$AJ$2,Z214,0))</f>
        <v> </v>
      </c>
      <c r="AO214" s="301" t="str">
        <f aca="false">IF($A214="N/A"," ",IF(AH214&lt;=$AJ$2,AA214,0))</f>
        <v> </v>
      </c>
      <c r="AP214" s="301" t="str">
        <f aca="false">IF($A214="N/A"," ",IF(AI214&lt;=$AJ$2,AB214,0))</f>
        <v> </v>
      </c>
      <c r="AQ214" s="301" t="str">
        <f aca="false">IF($A214="N/A"," ",IF(AJ214&lt;=$AJ$2,AC214,0))</f>
        <v> </v>
      </c>
      <c r="AR214" s="300"/>
      <c r="AS214" s="288" t="str">
        <f aca="false">IF($A214="N/A"," ",IF(AND(AD214=$AJ$2+1,AK214=0),MIN($AR$219,W214),0))</f>
        <v> </v>
      </c>
      <c r="AT214" s="302" t="str">
        <f aca="false">IF($A214="N/A"," ",IF(AND(AE214=$AJ$2+1,AL214=0),MIN($AR$219,X214),0))</f>
        <v> </v>
      </c>
      <c r="AU214" s="302" t="str">
        <f aca="false">IF($A214="N/A"," ",IF(AND(AF214=$AJ$2+1,AM214=0),MIN($AR$219,Y214),0))</f>
        <v> </v>
      </c>
      <c r="AV214" s="302" t="str">
        <f aca="false">IF($A214="N/A"," ",IF(AND(AG214=$AJ$2+1,AN214=0),MIN($AR$219,Z214),0))</f>
        <v> </v>
      </c>
      <c r="AW214" s="302" t="str">
        <f aca="false">IF($A214="N/A"," ",IF(AND(AH214=$AJ$2+1,AO214=0),MIN($AR$219,AA214),0))</f>
        <v> </v>
      </c>
      <c r="AX214" s="302" t="str">
        <f aca="false">IF($A214="N/A"," ",IF(AND(AI214=$AJ$2+1,AP214=0),MIN($AR$219,AB214),0))</f>
        <v> </v>
      </c>
      <c r="AY214" s="302" t="str">
        <f aca="false">IF($A214="N/A"," ",IF(AND(AJ214=$AJ$2+1,AQ214=0),MIN($AR$219,AC214),0))</f>
        <v> </v>
      </c>
      <c r="AZ214" s="300"/>
      <c r="BA214" s="291" t="str">
        <f aca="false">IF($A214="N/A"," ",(IF(MONTH(A214)&gt;=4,IF(MONTH(A214)&lt;=10,Inputs!$F$13,Inputs!$F$14),Inputs!$F$14))*$BW214)</f>
        <v> </v>
      </c>
      <c r="BB214" s="292" t="str">
        <f aca="false">IF($A214="N/A"," ",(IF(AK214&gt;0,($BA214*(8*(VLOOKUP($A214,NumberofDaysTable,2)))*P214),0)+IF(AS214&gt;0,($BA214*((AS214))*P214),0)))</f>
        <v> </v>
      </c>
      <c r="BC214" s="292" t="str">
        <f aca="false">IF($A214="N/A"," ",(IF(AL214&gt;0,($BA214*(8*(VLOOKUP($A214,NumberofDaysTable,2)))*Q214),0)+IF(AT214&gt;0,($BA214*((AT214))*Q214),0)))</f>
        <v> </v>
      </c>
      <c r="BD214" s="292" t="str">
        <f aca="false">IF($A214="N/A"," ",(IF(AM214&gt;0,($BA214*(8*(VLOOKUP($A214,NumberofDaysTable,3)))*R214),0)+IF(AU214&gt;0,($BA214*((AU214))*R214),0)))</f>
        <v> </v>
      </c>
      <c r="BE214" s="292" t="str">
        <f aca="false">IF($A214="N/A"," ",(IF(AN214&gt;0,($BA214*(8*(VLOOKUP($A214,NumberofDaysTable,3)))*S214),0)+IF(AV214&gt;0,($BA214*((AV214))*S214),0)))</f>
        <v> </v>
      </c>
      <c r="BF214" s="292" t="str">
        <f aca="false">IF($A214="N/A"," ",(IF(AO214&gt;0,($BA214*(8*(VLOOKUP($A214,NumberofDaysTable,4)+VLOOKUP($A214,NumberofDaysTable,5)))*T214),0)+IF(AW214&gt;0,($BA214*((AW214))*T214),0)))</f>
        <v> </v>
      </c>
      <c r="BG214" s="292" t="str">
        <f aca="false">IF($A214="N/A"," ",(IF(AP214&gt;0,($BA214*(8*(VLOOKUP($A214,NumberofDaysTable,4)+VLOOKUP($A214,NumberofDaysTable,5)))*U214),0)+IF(AX214&gt;0,($BA214*((AX214))*U214),0)))</f>
        <v> </v>
      </c>
      <c r="BH214" s="292" t="str">
        <f aca="false">IF($A214="N/A"," ",($BA214*AQ214*V214))</f>
        <v> </v>
      </c>
      <c r="BI214" s="292" t="str">
        <f aca="false">IF($A214="N/A"," ",SUM(BB214:BH214))</f>
        <v> </v>
      </c>
      <c r="BJ214" s="293" t="str">
        <f aca="false">IF($A214="N/A"," ",(H214*(SUM(AK214:AQ214)+SUM(AS214:AY214))*BA214))</f>
        <v> </v>
      </c>
      <c r="BK214" s="293" t="str">
        <f aca="false">IF($A214="N/A"," ",((C214*D214)*(SUM($AK214:$AQ214)+SUM($AS214:$AY214))*$BA214))</f>
        <v> </v>
      </c>
      <c r="BL214" s="293" t="str">
        <f aca="false">IF($A214="N/A"," ",(F214*(SUM($AK214:$AQ214)+SUM($AS214:$AY214))*$BA214))</f>
        <v> </v>
      </c>
      <c r="BM214" s="293" t="str">
        <f aca="false">IF($A214="N/A"," ",(G214*(SUM($AK214:$AQ214)+SUM($AS214:$AY214))*$BA214))</f>
        <v> </v>
      </c>
      <c r="BN214" s="294" t="str">
        <f aca="false">IF(A214="N/A"," ",(VLOOKUP(A214,PowerVolTable,(IF('Pricing Inputs'!$AT$3=2,7,IF('Pricing Inputs'!$AT$3=1,6,8))),FALSE())))</f>
        <v> </v>
      </c>
      <c r="BO214" s="294" t="str">
        <f aca="false">IF(A214="N/A"," ",(VLOOKUP(A214,IntraPowerVol,(IF('Pricing Inputs'!$AT$3=2,3,IF('Pricing Inputs'!$AT$3=1,2,4))),FALSE())*VLOOKUP(MONTH($A214),Inputs!$A$28:$B$39,2)))</f>
        <v> </v>
      </c>
      <c r="BP214" s="295" t="str">
        <f aca="false">IF($A214="N/A"," ",(IF(DateToday&gt;$A214,$BO214,((($BN214^2)*((($A214-1)-DateToday)/((EOMONTH($A214,0)+1)-DateToday-15)))+((($BO214)^2)*((15)/((EOMONTH($A214,0)+1)-DateToday-15))))^0.5)))</f>
        <v> </v>
      </c>
      <c r="BQ214" s="294" t="str">
        <f aca="false">IF($A214="N/A"," ",(VLOOKUP($A214,GasVolTable,(IF('Pricing Inputs'!$AT$3=2,6,IF('Pricing Inputs'!$AT$3=1,7,5))),FALSE())))</f>
        <v> </v>
      </c>
      <c r="BR214" s="294" t="str">
        <f aca="false">IF($A214="N/A"," ",(VLOOKUP($A214,OmicronVol,(IF('Pricing Inputs'!$AT$3=2,3,IF('Pricing Inputs'!$AT$3=1,4,2))),FALSE())))</f>
        <v> </v>
      </c>
      <c r="BS214" s="295" t="str">
        <f aca="false">IF($A214="N/A"," ",IF('Pricing Inputs'!$AN$3=1,(IF(DateToday&gt;$A214,$BR214,((($BQ214^2)*((($A214-1)-DateToday)/((EOMONTH($A214,0)+1)-DateToday-15)))+((($BR214)^2)*((15)/((EOMONTH($A214,0)+1)-DateToday-15))))^0.5)),0.0001))</f>
        <v> </v>
      </c>
      <c r="BT214" s="294" t="str">
        <f aca="false">IF($A214="N/A"," ",IF('Pricing Inputs'!$AN$3=1,(VLOOKUP($A214,CorrelationTable,2,FALSE())),0))</f>
        <v> </v>
      </c>
      <c r="BU214" s="296" t="str">
        <f aca="false">IF($A214="N/A"," ",F214+G214+(D214*(VLOOKUP($A214,'Gas Curves'!$B$17:$P$310,14,FALSE()))))</f>
        <v> </v>
      </c>
      <c r="BV214" s="294" t="str">
        <f aca="false">IF($A214="N/A"," ",IF('Pricing Inputs'!$AW$3=1,0,(VLOOKUP($A214,InterestRatesTable,2))))</f>
        <v> </v>
      </c>
      <c r="BW214" s="297" t="str">
        <f aca="false">IF($A214="N/A"," ",(1+BV214/2)^(-2*((EOMONTH(A214,0)+20)-DateToday)/365.25))</f>
        <v> </v>
      </c>
    </row>
    <row r="215" customFormat="false" ht="12.75" hidden="false" customHeight="false" outlineLevel="0" collapsed="false">
      <c r="A215" s="272" t="str">
        <f aca="false">IF(A214="N/A","N/A",IF(EDATE(A214,1)&gt;Inputs!$K$3,"N/A",EDATE(A214,1)))</f>
        <v>N/A</v>
      </c>
      <c r="B215" s="273" t="str">
        <f aca="false">IF(A215="N/A"," ",YEAR(A215))</f>
        <v> </v>
      </c>
      <c r="C215" s="274" t="str">
        <f aca="false">IF(A215="N/A"," ",VLOOKUP(A215,ScaledPrice,10))</f>
        <v> </v>
      </c>
      <c r="D215" s="275" t="str">
        <f aca="false">IF(A215="N/A"," ",(VLOOKUP(MONTH($A215),Inputs!$A$14:$B$25,2))/1000)</f>
        <v> </v>
      </c>
      <c r="E215" s="276" t="str">
        <f aca="false">IF($A215="N/A"," ",C215*D215)</f>
        <v> </v>
      </c>
      <c r="F215" s="277" t="str">
        <f aca="false">IF(A215="N/A"," ",Inputs!$F$6)</f>
        <v> </v>
      </c>
      <c r="G215" s="277" t="str">
        <f aca="false">IF(A215="N/A"," ",Inputs!$F$9/IF(AND('Pricing Inputs'!$AQ$3&gt;=4,'Pricing Inputs'!$AQ$3&lt;=6),16,IF(AND('Pricing Inputs'!$AQ$3&gt;=7,'Pricing Inputs'!$AQ$3&lt;=9),8,24))/(BA215/BW215))</f>
        <v> </v>
      </c>
      <c r="H215" s="278" t="str">
        <f aca="false">IF(A215="N/A"," ",(C215*D215)+F215+G215)</f>
        <v> </v>
      </c>
      <c r="I215" s="279" t="str">
        <f aca="false">VLOOKUP(A215,ScaledPrice,(IF(AND('Pricing Inputs'!$AQ$3&gt;=1,'Pricing Inputs'!$AQ$3&lt;=6),2,4)))</f>
        <v> </v>
      </c>
      <c r="J215" s="279" t="str">
        <f aca="false">IF(A215="N/A"," ",IF(AND('Pricing Inputs'!$AQ$3&gt;=1,'Pricing Inputs'!$AQ$3&lt;=6),I215,(VLOOKUP(A215,ScaledPrice,2))*(2-(VLOOKUP(A215,ScaledPrice,3)))))</f>
        <v> </v>
      </c>
      <c r="K215" s="279" t="str">
        <f aca="false">IF(A215="N/A"," ",IF(OR('Pricing Inputs'!$AQ$3=2,'Pricing Inputs'!$AQ$3=3,'Pricing Inputs'!$AQ$3=5,'Pricing Inputs'!$AQ$3=6,'Pricing Inputs'!$AQ$3=8,'Pricing Inputs'!$AQ$3=9),VLOOKUP(A215,ScaledPrice,IF(AND('Pricing Inputs'!$AQ$3&gt;=2,'Pricing Inputs'!$AQ$3&lt;=6),5,6)),0))</f>
        <v> </v>
      </c>
      <c r="L215" s="279" t="str">
        <f aca="false">IF(A215="N/A"," ",IF(OR('Pricing Inputs'!$AQ$3=2,'Pricing Inputs'!$AQ$3=3,'Pricing Inputs'!$AQ$3=5,'Pricing Inputs'!$AQ$3=6,'Pricing Inputs'!$AQ$3=8,'Pricing Inputs'!$AQ$3=9),IF(AND('Pricing Inputs'!$AQ$3&gt;=2,'Pricing Inputs'!$AQ$3&lt;=6),K215,(VLOOKUP(A215,ScaledPrice,5))*(2-(VLOOKUP(A215,ScaledPrice,3)))),0))</f>
        <v> </v>
      </c>
      <c r="M215" s="279" t="str">
        <f aca="false">IF(A215="N/A"," ",IF(OR('Pricing Inputs'!$AQ$3=3,'Pricing Inputs'!$AQ$3=6,'Pricing Inputs'!$AQ$3=9),(VLOOKUP(A215,ScaledPrice,IF(AND('Pricing Inputs'!$AQ$3&gt;=3,'Pricing Inputs'!$AQ$3&lt;=6),7,8))),0))</f>
        <v> </v>
      </c>
      <c r="N215" s="279" t="str">
        <f aca="false">IF(A215="N/A"," ",IF(OR('Pricing Inputs'!$AQ$3=3,'Pricing Inputs'!$AQ$3=6,'Pricing Inputs'!$AQ$3=9),IF(AND('Pricing Inputs'!$AQ$3&gt;=3,'Pricing Inputs'!$AQ$3&lt;=6),M215,(VLOOKUP(A215,ScaledPrice,7))*(2-(VLOOKUP(A215,ScaledPrice,3)))),0))</f>
        <v> </v>
      </c>
      <c r="O215" s="279" t="str">
        <f aca="false">IF(A215="N/A"," ",IF(AND('Pricing Inputs'!$AQ$3&gt;=1,'Pricing Inputs'!$AQ$3&lt;=3),VLOOKUP(A215,ScaledPrice,9),0))</f>
        <v> </v>
      </c>
      <c r="P215" s="280" t="str">
        <f aca="false">IF($A215="N/A"," ",IF('Pricing Inputs'!$AN$8=2,(I215-H215),IF('Pricing Inputs'!$AN$3=2,IF((I215-$H215)&gt;0,I215-$H215,0),(xSPRDOPT(I215,$E215,$BU215,0,$BP215,$BS215,$BT215,($A215-Inputs!$D$1)+15,1,0)))))</f>
        <v> </v>
      </c>
      <c r="Q215" s="280" t="str">
        <f aca="false">IF($A215="N/A"," ",IF('Pricing Inputs'!$AN$8=2,(J215-$H215),IF('Pricing Inputs'!$AN$3=2,IF((J215-$H215)&gt;0,J215-$H215,0),(xSPRDOPT(J215,$E215,$BU215,0,$BP215,$BS215,$BT215,($A215-Inputs!$D$1)+15,1,0)))))</f>
        <v> </v>
      </c>
      <c r="R215" s="280" t="str">
        <f aca="false">IF($A215="N/A"," ",IF('Pricing Inputs'!$AN$8=2,(K215-$H215),IF('Pricing Inputs'!$AN$3=2,IF((K215-$H215)&gt;0,K215-$H215,0),(xSPRDOPT(K215,$E215,$BU215,0,$BP215,$BS215,$BT215,($A215-Inputs!$D$1)+15,1,0)))))</f>
        <v> </v>
      </c>
      <c r="S215" s="280" t="str">
        <f aca="false">IF($A215="N/A"," ",IF('Pricing Inputs'!$AN$8=2,(L215-$H215),IF('Pricing Inputs'!$AN$3=2,IF((L215-$H215)&gt;0,L215-$H215,0),(xSPRDOPT(L215,$E215,$BU215,0,$BP215,$BS215,$BT215,($A215-Inputs!$D$1)+15,1,0)))))</f>
        <v> </v>
      </c>
      <c r="T215" s="280" t="str">
        <f aca="false">IF($A215="N/A"," ",IF('Pricing Inputs'!$AN$8=2,(M215-$H215),IF('Pricing Inputs'!$AN$3=2,IF((M215-$H215)&gt;0,M215-$H215,0),(xSPRDOPT(M215,$E215,$BU215,0,$BP215,$BS215,$BT215,($A215-Inputs!$D$1)+15,1,0)))))</f>
        <v> </v>
      </c>
      <c r="U215" s="280" t="str">
        <f aca="false">IF($A215="N/A"," ",IF('Pricing Inputs'!$AN$8=2,(N215-$H215),IF('Pricing Inputs'!$AN$3=2,IF((N215-$H215)&gt;0,N215-$H215,0),(xSPRDOPT(N215,$E215,$BU215,0,$BP215,$BS215,$BT215,($A215-Inputs!$D$1)+15,1,0)))))</f>
        <v> </v>
      </c>
      <c r="V215" s="281" t="str">
        <f aca="false">IF($A215="N/A"," ",(IF('Pricing Inputs'!$AN$8=2,(O215-$H215),IF((O215-$H215)&lt;=0,0,(O215-$H215)))))</f>
        <v> </v>
      </c>
      <c r="W215" s="282" t="str">
        <f aca="false">IF($A215="N/A"," ",IF(0&lt;&gt;P215,IF('Pricing Inputs'!$AN$3=2,8*VLOOKUP($A215,NumberofDaysTable,2),(xSPRDOPT(I215,$E215,$BU215,0,$BP215,$BS215,$BT215,$A215-Inputs!$D$1,1,1))*(8*VLOOKUP($A215,NumberofDaysTable,2))),0))</f>
        <v> </v>
      </c>
      <c r="X215" s="282" t="str">
        <f aca="false">IF($A215="N/A"," ",IF(Q215&lt;&gt;0,IF('Pricing Inputs'!$AN$3=2,8*VLOOKUP($A215,NumberofDaysTable,2),(xSPRDOPT(J215,$E215,$BU215,0,$BP215,$BS215,$BT215,$A215-Inputs!$D$1,1,1))*(8*VLOOKUP($A215,NumberofDaysTable,2))),0))</f>
        <v> </v>
      </c>
      <c r="Y215" s="282" t="str">
        <f aca="false">IF($A215="N/A"," ",IF(R215&lt;&gt;0,IF('Pricing Inputs'!$AN$3=2,8*VLOOKUP($A215,NumberofDaysTable,3),(xSPRDOPT(K215,$E215,$BU215,0,$BP215,$BS215,$BT215,$A215-Inputs!$D$1,1,1))*(8*VLOOKUP($A215,NumberofDaysTable,3))),0))</f>
        <v> </v>
      </c>
      <c r="Z215" s="282" t="str">
        <f aca="false">IF($A215="N/A"," ",IF(S215&lt;&gt;0,IF('Pricing Inputs'!$AN$3=2,8*VLOOKUP($A215,NumberofDaysTable,3),(xSPRDOPT(L215,$E215,$BU215,0,$BP215,$BS215,$BT215,$A215-Inputs!$D$1,1,1))*(8*VLOOKUP($A215,NumberofDaysTable,3))),0))</f>
        <v> </v>
      </c>
      <c r="AA215" s="282" t="str">
        <f aca="false">IF($A215="N/A"," ",IF(T215&lt;&gt;0,IF('Pricing Inputs'!$AN$3=2,8*VLOOKUP($A215,NumberofDaysTable,4),(xSPRDOPT(M215,$E215,$BU215,0,$BP215,$BS215,$BT215,$A215-Inputs!$D$1,1,1))*(8*VLOOKUP($A215,NumberofDaysTable,4))),0))</f>
        <v> </v>
      </c>
      <c r="AB215" s="282" t="str">
        <f aca="false">IF($A215="N/A"," ",IF(U215&lt;&gt;0,IF('Pricing Inputs'!$AN$3=2,8*VLOOKUP($A215,NumberofDaysTable,4),(xSPRDOPT(N215,$E215,$BU215,0,$BP215,$BS215,$BT215,$A215-Inputs!$D$1,1,1))*(8*VLOOKUP($A215,NumberofDaysTable,4))),0))</f>
        <v> </v>
      </c>
      <c r="AC215" s="282" t="str">
        <f aca="false">IF($A215="N/A"," ",(IF(V215&lt;&gt;0,(8*VLOOKUP($A215,NumberofDaysTable,6)),0)))</f>
        <v> </v>
      </c>
      <c r="AD215" s="298" t="str">
        <f aca="false">IF($A215="N/A"," ",RANK(P215,$P$208:$V$219))</f>
        <v> </v>
      </c>
      <c r="AE215" s="299" t="str">
        <f aca="false">IF($A215="N/A"," ",RANK(Q215,$P$208:$V$219))</f>
        <v> </v>
      </c>
      <c r="AF215" s="299" t="str">
        <f aca="false">IF($A215="N/A"," ",RANK(R215,$P$208:$V$219))</f>
        <v> </v>
      </c>
      <c r="AG215" s="299" t="str">
        <f aca="false">IF($A215="N/A"," ",RANK(S215,$P$208:$V$219))</f>
        <v> </v>
      </c>
      <c r="AH215" s="299" t="str">
        <f aca="false">IF($A215="N/A"," ",RANK(T215,$P$208:$V$219))</f>
        <v> </v>
      </c>
      <c r="AI215" s="299" t="str">
        <f aca="false">IF($A215="N/A"," ",RANK(U215,$P$208:$V$219))</f>
        <v> </v>
      </c>
      <c r="AJ215" s="300" t="str">
        <f aca="false">IF($A215="N/A"," ",RANK(V215,$P$208:$V$219))</f>
        <v> </v>
      </c>
      <c r="AK215" s="286" t="str">
        <f aca="false">IF($A215="N/A"," ",IF(AD215&lt;=$AJ$2,W215,0))</f>
        <v> </v>
      </c>
      <c r="AL215" s="301" t="str">
        <f aca="false">IF($A215="N/A"," ",IF(AE215&lt;=$AJ$2,X215,0))</f>
        <v> </v>
      </c>
      <c r="AM215" s="301" t="str">
        <f aca="false">IF($A215="N/A"," ",IF(AF215&lt;=$AJ$2,Y215,0))</f>
        <v> </v>
      </c>
      <c r="AN215" s="301" t="str">
        <f aca="false">IF($A215="N/A"," ",IF(AG215&lt;=$AJ$2,Z215,0))</f>
        <v> </v>
      </c>
      <c r="AO215" s="301" t="str">
        <f aca="false">IF($A215="N/A"," ",IF(AH215&lt;=$AJ$2,AA215,0))</f>
        <v> </v>
      </c>
      <c r="AP215" s="301" t="str">
        <f aca="false">IF($A215="N/A"," ",IF(AI215&lt;=$AJ$2,AB215,0))</f>
        <v> </v>
      </c>
      <c r="AQ215" s="301" t="str">
        <f aca="false">IF($A215="N/A"," ",IF(AJ215&lt;=$AJ$2,AC215,0))</f>
        <v> </v>
      </c>
      <c r="AR215" s="300"/>
      <c r="AS215" s="288" t="str">
        <f aca="false">IF($A215="N/A"," ",IF(AND(AD215=$AJ$2+1,AK215=0),MIN($AR$219,W215),0))</f>
        <v> </v>
      </c>
      <c r="AT215" s="302" t="str">
        <f aca="false">IF($A215="N/A"," ",IF(AND(AE215=$AJ$2+1,AL215=0),MIN($AR$219,X215),0))</f>
        <v> </v>
      </c>
      <c r="AU215" s="302" t="str">
        <f aca="false">IF($A215="N/A"," ",IF(AND(AF215=$AJ$2+1,AM215=0),MIN($AR$219,Y215),0))</f>
        <v> </v>
      </c>
      <c r="AV215" s="302" t="str">
        <f aca="false">IF($A215="N/A"," ",IF(AND(AG215=$AJ$2+1,AN215=0),MIN($AR$219,Z215),0))</f>
        <v> </v>
      </c>
      <c r="AW215" s="302" t="str">
        <f aca="false">IF($A215="N/A"," ",IF(AND(AH215=$AJ$2+1,AO215=0),MIN($AR$219,AA215),0))</f>
        <v> </v>
      </c>
      <c r="AX215" s="302" t="str">
        <f aca="false">IF($A215="N/A"," ",IF(AND(AI215=$AJ$2+1,AP215=0),MIN($AR$219,AB215),0))</f>
        <v> </v>
      </c>
      <c r="AY215" s="302" t="str">
        <f aca="false">IF($A215="N/A"," ",IF(AND(AJ215=$AJ$2+1,AQ215=0),MIN($AR$219,AC215),0))</f>
        <v> </v>
      </c>
      <c r="AZ215" s="300"/>
      <c r="BA215" s="291" t="str">
        <f aca="false">IF($A215="N/A"," ",(IF(MONTH(A215)&gt;=4,IF(MONTH(A215)&lt;=10,Inputs!$F$13,Inputs!$F$14),Inputs!$F$14))*$BW215)</f>
        <v> </v>
      </c>
      <c r="BB215" s="292" t="str">
        <f aca="false">IF($A215="N/A"," ",(IF(AK215&gt;0,($BA215*(8*(VLOOKUP($A215,NumberofDaysTable,2)))*P215),0)+IF(AS215&gt;0,($BA215*((AS215))*P215),0)))</f>
        <v> </v>
      </c>
      <c r="BC215" s="292" t="str">
        <f aca="false">IF($A215="N/A"," ",(IF(AL215&gt;0,($BA215*(8*(VLOOKUP($A215,NumberofDaysTable,2)))*Q215),0)+IF(AT215&gt;0,($BA215*((AT215))*Q215),0)))</f>
        <v> </v>
      </c>
      <c r="BD215" s="292" t="str">
        <f aca="false">IF($A215="N/A"," ",(IF(AM215&gt;0,($BA215*(8*(VLOOKUP($A215,NumberofDaysTable,3)))*R215),0)+IF(AU215&gt;0,($BA215*((AU215))*R215),0)))</f>
        <v> </v>
      </c>
      <c r="BE215" s="292" t="str">
        <f aca="false">IF($A215="N/A"," ",(IF(AN215&gt;0,($BA215*(8*(VLOOKUP($A215,NumberofDaysTable,3)))*S215),0)+IF(AV215&gt;0,($BA215*((AV215))*S215),0)))</f>
        <v> </v>
      </c>
      <c r="BF215" s="292" t="str">
        <f aca="false">IF($A215="N/A"," ",(IF(AO215&gt;0,($BA215*(8*(VLOOKUP($A215,NumberofDaysTable,4)+VLOOKUP($A215,NumberofDaysTable,5)))*T215),0)+IF(AW215&gt;0,($BA215*((AW215))*T215),0)))</f>
        <v> </v>
      </c>
      <c r="BG215" s="292" t="str">
        <f aca="false">IF($A215="N/A"," ",(IF(AP215&gt;0,($BA215*(8*(VLOOKUP($A215,NumberofDaysTable,4)+VLOOKUP($A215,NumberofDaysTable,5)))*U215),0)+IF(AX215&gt;0,($BA215*((AX215))*U215),0)))</f>
        <v> </v>
      </c>
      <c r="BH215" s="292" t="str">
        <f aca="false">IF($A215="N/A"," ",($BA215*AQ215*V215))</f>
        <v> </v>
      </c>
      <c r="BI215" s="292" t="str">
        <f aca="false">IF($A215="N/A"," ",SUM(BB215:BH215))</f>
        <v> </v>
      </c>
      <c r="BJ215" s="293" t="str">
        <f aca="false">IF($A215="N/A"," ",(H215*(SUM(AK215:AQ215)+SUM(AS215:AY215))*BA215))</f>
        <v> </v>
      </c>
      <c r="BK215" s="293" t="str">
        <f aca="false">IF($A215="N/A"," ",((C215*D215)*(SUM($AK215:$AQ215)+SUM($AS215:$AY215))*$BA215))</f>
        <v> </v>
      </c>
      <c r="BL215" s="293" t="str">
        <f aca="false">IF($A215="N/A"," ",(F215*(SUM($AK215:$AQ215)+SUM($AS215:$AY215))*$BA215))</f>
        <v> </v>
      </c>
      <c r="BM215" s="293" t="str">
        <f aca="false">IF($A215="N/A"," ",(G215*(SUM($AK215:$AQ215)+SUM($AS215:$AY215))*$BA215))</f>
        <v> </v>
      </c>
      <c r="BN215" s="294" t="str">
        <f aca="false">IF(A215="N/A"," ",(VLOOKUP(A215,PowerVolTable,(IF('Pricing Inputs'!$AT$3=2,7,IF('Pricing Inputs'!$AT$3=1,6,8))),FALSE())))</f>
        <v> </v>
      </c>
      <c r="BO215" s="294" t="str">
        <f aca="false">IF(A215="N/A"," ",(VLOOKUP(A215,IntraPowerVol,(IF('Pricing Inputs'!$AT$3=2,3,IF('Pricing Inputs'!$AT$3=1,2,4))),FALSE())*VLOOKUP(MONTH($A215),Inputs!$A$28:$B$39,2)))</f>
        <v> </v>
      </c>
      <c r="BP215" s="295" t="str">
        <f aca="false">IF($A215="N/A"," ",(IF(DateToday&gt;$A215,$BO215,((($BN215^2)*((($A215-1)-DateToday)/((EOMONTH($A215,0)+1)-DateToday-15)))+((($BO215)^2)*((15)/((EOMONTH($A215,0)+1)-DateToday-15))))^0.5)))</f>
        <v> </v>
      </c>
      <c r="BQ215" s="294" t="str">
        <f aca="false">IF($A215="N/A"," ",(VLOOKUP($A215,GasVolTable,(IF('Pricing Inputs'!$AT$3=2,6,IF('Pricing Inputs'!$AT$3=1,7,5))),FALSE())))</f>
        <v> </v>
      </c>
      <c r="BR215" s="294" t="str">
        <f aca="false">IF($A215="N/A"," ",(VLOOKUP($A215,OmicronVol,(IF('Pricing Inputs'!$AT$3=2,3,IF('Pricing Inputs'!$AT$3=1,4,2))),FALSE())))</f>
        <v> </v>
      </c>
      <c r="BS215" s="295" t="str">
        <f aca="false">IF($A215="N/A"," ",IF('Pricing Inputs'!$AN$3=1,(IF(DateToday&gt;$A215,$BR215,((($BQ215^2)*((($A215-1)-DateToday)/((EOMONTH($A215,0)+1)-DateToday-15)))+((($BR215)^2)*((15)/((EOMONTH($A215,0)+1)-DateToday-15))))^0.5)),0.0001))</f>
        <v> </v>
      </c>
      <c r="BT215" s="294" t="str">
        <f aca="false">IF($A215="N/A"," ",IF('Pricing Inputs'!$AN$3=1,(VLOOKUP($A215,CorrelationTable,2,FALSE())),0))</f>
        <v> </v>
      </c>
      <c r="BU215" s="296" t="str">
        <f aca="false">IF($A215="N/A"," ",F215+G215+(D215*(VLOOKUP($A215,'Gas Curves'!$B$17:$P$310,14,FALSE()))))</f>
        <v> </v>
      </c>
      <c r="BV215" s="294" t="str">
        <f aca="false">IF($A215="N/A"," ",IF('Pricing Inputs'!$AW$3=1,0,(VLOOKUP($A215,InterestRatesTable,2))))</f>
        <v> </v>
      </c>
      <c r="BW215" s="297" t="str">
        <f aca="false">IF($A215="N/A"," ",(1+BV215/2)^(-2*((EOMONTH(A215,0)+20)-DateToday)/365.25))</f>
        <v> </v>
      </c>
    </row>
    <row r="216" customFormat="false" ht="12.75" hidden="false" customHeight="false" outlineLevel="0" collapsed="false">
      <c r="A216" s="272" t="str">
        <f aca="false">IF(A215="N/A","N/A",IF(EDATE(A215,1)&gt;Inputs!$K$3,"N/A",EDATE(A215,1)))</f>
        <v>N/A</v>
      </c>
      <c r="B216" s="273" t="str">
        <f aca="false">IF(A216="N/A"," ",YEAR(A216))</f>
        <v> </v>
      </c>
      <c r="C216" s="274" t="str">
        <f aca="false">IF(A216="N/A"," ",VLOOKUP(A216,ScaledPrice,10))</f>
        <v> </v>
      </c>
      <c r="D216" s="275" t="str">
        <f aca="false">IF(A216="N/A"," ",(VLOOKUP(MONTH($A216),Inputs!$A$14:$B$25,2))/1000)</f>
        <v> </v>
      </c>
      <c r="E216" s="276" t="str">
        <f aca="false">IF($A216="N/A"," ",C216*D216)</f>
        <v> </v>
      </c>
      <c r="F216" s="277" t="str">
        <f aca="false">IF(A216="N/A"," ",Inputs!$F$6)</f>
        <v> </v>
      </c>
      <c r="G216" s="277" t="str">
        <f aca="false">IF(A216="N/A"," ",Inputs!$F$9/IF(AND('Pricing Inputs'!$AQ$3&gt;=4,'Pricing Inputs'!$AQ$3&lt;=6),16,IF(AND('Pricing Inputs'!$AQ$3&gt;=7,'Pricing Inputs'!$AQ$3&lt;=9),8,24))/(BA216/BW216))</f>
        <v> </v>
      </c>
      <c r="H216" s="278" t="str">
        <f aca="false">IF(A216="N/A"," ",(C216*D216)+F216+G216)</f>
        <v> </v>
      </c>
      <c r="I216" s="279" t="str">
        <f aca="false">VLOOKUP(A216,ScaledPrice,(IF(AND('Pricing Inputs'!$AQ$3&gt;=1,'Pricing Inputs'!$AQ$3&lt;=6),2,4)))</f>
        <v> </v>
      </c>
      <c r="J216" s="279" t="str">
        <f aca="false">IF(A216="N/A"," ",IF(AND('Pricing Inputs'!$AQ$3&gt;=1,'Pricing Inputs'!$AQ$3&lt;=6),I216,(VLOOKUP(A216,ScaledPrice,2))*(2-(VLOOKUP(A216,ScaledPrice,3)))))</f>
        <v> </v>
      </c>
      <c r="K216" s="279" t="str">
        <f aca="false">IF(A216="N/A"," ",IF(OR('Pricing Inputs'!$AQ$3=2,'Pricing Inputs'!$AQ$3=3,'Pricing Inputs'!$AQ$3=5,'Pricing Inputs'!$AQ$3=6,'Pricing Inputs'!$AQ$3=8,'Pricing Inputs'!$AQ$3=9),VLOOKUP(A216,ScaledPrice,IF(AND('Pricing Inputs'!$AQ$3&gt;=2,'Pricing Inputs'!$AQ$3&lt;=6),5,6)),0))</f>
        <v> </v>
      </c>
      <c r="L216" s="279" t="str">
        <f aca="false">IF(A216="N/A"," ",IF(OR('Pricing Inputs'!$AQ$3=2,'Pricing Inputs'!$AQ$3=3,'Pricing Inputs'!$AQ$3=5,'Pricing Inputs'!$AQ$3=6,'Pricing Inputs'!$AQ$3=8,'Pricing Inputs'!$AQ$3=9),IF(AND('Pricing Inputs'!$AQ$3&gt;=2,'Pricing Inputs'!$AQ$3&lt;=6),K216,(VLOOKUP(A216,ScaledPrice,5))*(2-(VLOOKUP(A216,ScaledPrice,3)))),0))</f>
        <v> </v>
      </c>
      <c r="M216" s="279" t="str">
        <f aca="false">IF(A216="N/A"," ",IF(OR('Pricing Inputs'!$AQ$3=3,'Pricing Inputs'!$AQ$3=6,'Pricing Inputs'!$AQ$3=9),(VLOOKUP(A216,ScaledPrice,IF(AND('Pricing Inputs'!$AQ$3&gt;=3,'Pricing Inputs'!$AQ$3&lt;=6),7,8))),0))</f>
        <v> </v>
      </c>
      <c r="N216" s="279" t="str">
        <f aca="false">IF(A216="N/A"," ",IF(OR('Pricing Inputs'!$AQ$3=3,'Pricing Inputs'!$AQ$3=6,'Pricing Inputs'!$AQ$3=9),IF(AND('Pricing Inputs'!$AQ$3&gt;=3,'Pricing Inputs'!$AQ$3&lt;=6),M216,(VLOOKUP(A216,ScaledPrice,7))*(2-(VLOOKUP(A216,ScaledPrice,3)))),0))</f>
        <v> </v>
      </c>
      <c r="O216" s="279" t="str">
        <f aca="false">IF(A216="N/A"," ",IF(AND('Pricing Inputs'!$AQ$3&gt;=1,'Pricing Inputs'!$AQ$3&lt;=3),VLOOKUP(A216,ScaledPrice,9),0))</f>
        <v> </v>
      </c>
      <c r="P216" s="280" t="str">
        <f aca="false">IF($A216="N/A"," ",IF('Pricing Inputs'!$AN$8=2,(I216-H216),IF('Pricing Inputs'!$AN$3=2,IF((I216-$H216)&gt;0,I216-$H216,0),(xSPRDOPT(I216,$E216,$BU216,0,$BP216,$BS216,$BT216,($A216-Inputs!$D$1)+15,1,0)))))</f>
        <v> </v>
      </c>
      <c r="Q216" s="280" t="str">
        <f aca="false">IF($A216="N/A"," ",IF('Pricing Inputs'!$AN$8=2,(J216-$H216),IF('Pricing Inputs'!$AN$3=2,IF((J216-$H216)&gt;0,J216-$H216,0),(xSPRDOPT(J216,$E216,$BU216,0,$BP216,$BS216,$BT216,($A216-Inputs!$D$1)+15,1,0)))))</f>
        <v> </v>
      </c>
      <c r="R216" s="280" t="str">
        <f aca="false">IF($A216="N/A"," ",IF('Pricing Inputs'!$AN$8=2,(K216-$H216),IF('Pricing Inputs'!$AN$3=2,IF((K216-$H216)&gt;0,K216-$H216,0),(xSPRDOPT(K216,$E216,$BU216,0,$BP216,$BS216,$BT216,($A216-Inputs!$D$1)+15,1,0)))))</f>
        <v> </v>
      </c>
      <c r="S216" s="280" t="str">
        <f aca="false">IF($A216="N/A"," ",IF('Pricing Inputs'!$AN$8=2,(L216-$H216),IF('Pricing Inputs'!$AN$3=2,IF((L216-$H216)&gt;0,L216-$H216,0),(xSPRDOPT(L216,$E216,$BU216,0,$BP216,$BS216,$BT216,($A216-Inputs!$D$1)+15,1,0)))))</f>
        <v> </v>
      </c>
      <c r="T216" s="280" t="str">
        <f aca="false">IF($A216="N/A"," ",IF('Pricing Inputs'!$AN$8=2,(M216-$H216),IF('Pricing Inputs'!$AN$3=2,IF((M216-$H216)&gt;0,M216-$H216,0),(xSPRDOPT(M216,$E216,$BU216,0,$BP216,$BS216,$BT216,($A216-Inputs!$D$1)+15,1,0)))))</f>
        <v> </v>
      </c>
      <c r="U216" s="280" t="str">
        <f aca="false">IF($A216="N/A"," ",IF('Pricing Inputs'!$AN$8=2,(N216-$H216),IF('Pricing Inputs'!$AN$3=2,IF((N216-$H216)&gt;0,N216-$H216,0),(xSPRDOPT(N216,$E216,$BU216,0,$BP216,$BS216,$BT216,($A216-Inputs!$D$1)+15,1,0)))))</f>
        <v> </v>
      </c>
      <c r="V216" s="281" t="str">
        <f aca="false">IF($A216="N/A"," ",(IF('Pricing Inputs'!$AN$8=2,(O216-$H216),IF((O216-$H216)&lt;=0,0,(O216-$H216)))))</f>
        <v> </v>
      </c>
      <c r="W216" s="282" t="str">
        <f aca="false">IF($A216="N/A"," ",IF(0&lt;&gt;P216,IF('Pricing Inputs'!$AN$3=2,8*VLOOKUP($A216,NumberofDaysTable,2),(xSPRDOPT(I216,$E216,$BU216,0,$BP216,$BS216,$BT216,$A216-Inputs!$D$1,1,1))*(8*VLOOKUP($A216,NumberofDaysTable,2))),0))</f>
        <v> </v>
      </c>
      <c r="X216" s="282" t="str">
        <f aca="false">IF($A216="N/A"," ",IF(Q216&lt;&gt;0,IF('Pricing Inputs'!$AN$3=2,8*VLOOKUP($A216,NumberofDaysTable,2),(xSPRDOPT(J216,$E216,$BU216,0,$BP216,$BS216,$BT216,$A216-Inputs!$D$1,1,1))*(8*VLOOKUP($A216,NumberofDaysTable,2))),0))</f>
        <v> </v>
      </c>
      <c r="Y216" s="282" t="str">
        <f aca="false">IF($A216="N/A"," ",IF(R216&lt;&gt;0,IF('Pricing Inputs'!$AN$3=2,8*VLOOKUP($A216,NumberofDaysTable,3),(xSPRDOPT(K216,$E216,$BU216,0,$BP216,$BS216,$BT216,$A216-Inputs!$D$1,1,1))*(8*VLOOKUP($A216,NumberofDaysTable,3))),0))</f>
        <v> </v>
      </c>
      <c r="Z216" s="282" t="str">
        <f aca="false">IF($A216="N/A"," ",IF(S216&lt;&gt;0,IF('Pricing Inputs'!$AN$3=2,8*VLOOKUP($A216,NumberofDaysTable,3),(xSPRDOPT(L216,$E216,$BU216,0,$BP216,$BS216,$BT216,$A216-Inputs!$D$1,1,1))*(8*VLOOKUP($A216,NumberofDaysTable,3))),0))</f>
        <v> </v>
      </c>
      <c r="AA216" s="282" t="str">
        <f aca="false">IF($A216="N/A"," ",IF(T216&lt;&gt;0,IF('Pricing Inputs'!$AN$3=2,8*VLOOKUP($A216,NumberofDaysTable,4),(xSPRDOPT(M216,$E216,$BU216,0,$BP216,$BS216,$BT216,$A216-Inputs!$D$1,1,1))*(8*VLOOKUP($A216,NumberofDaysTable,4))),0))</f>
        <v> </v>
      </c>
      <c r="AB216" s="282" t="str">
        <f aca="false">IF($A216="N/A"," ",IF(U216&lt;&gt;0,IF('Pricing Inputs'!$AN$3=2,8*VLOOKUP($A216,NumberofDaysTable,4),(xSPRDOPT(N216,$E216,$BU216,0,$BP216,$BS216,$BT216,$A216-Inputs!$D$1,1,1))*(8*VLOOKUP($A216,NumberofDaysTable,4))),0))</f>
        <v> </v>
      </c>
      <c r="AC216" s="282" t="str">
        <f aca="false">IF($A216="N/A"," ",(IF(V216&lt;&gt;0,(8*VLOOKUP($A216,NumberofDaysTable,6)),0)))</f>
        <v> </v>
      </c>
      <c r="AD216" s="298" t="str">
        <f aca="false">IF($A216="N/A"," ",RANK(P216,$P$208:$V$219))</f>
        <v> </v>
      </c>
      <c r="AE216" s="299" t="str">
        <f aca="false">IF($A216="N/A"," ",RANK(Q216,$P$208:$V$219))</f>
        <v> </v>
      </c>
      <c r="AF216" s="299" t="str">
        <f aca="false">IF($A216="N/A"," ",RANK(R216,$P$208:$V$219))</f>
        <v> </v>
      </c>
      <c r="AG216" s="299" t="str">
        <f aca="false">IF($A216="N/A"," ",RANK(S216,$P$208:$V$219))</f>
        <v> </v>
      </c>
      <c r="AH216" s="299" t="str">
        <f aca="false">IF($A216="N/A"," ",RANK(T216,$P$208:$V$219))</f>
        <v> </v>
      </c>
      <c r="AI216" s="299" t="str">
        <f aca="false">IF($A216="N/A"," ",RANK(U216,$P$208:$V$219))</f>
        <v> </v>
      </c>
      <c r="AJ216" s="300" t="str">
        <f aca="false">IF($A216="N/A"," ",RANK(V216,$P$208:$V$219))</f>
        <v> </v>
      </c>
      <c r="AK216" s="286" t="str">
        <f aca="false">IF($A216="N/A"," ",IF(AD216&lt;=$AJ$2,W216,0))</f>
        <v> </v>
      </c>
      <c r="AL216" s="301" t="str">
        <f aca="false">IF($A216="N/A"," ",IF(AE216&lt;=$AJ$2,X216,0))</f>
        <v> </v>
      </c>
      <c r="AM216" s="301" t="str">
        <f aca="false">IF($A216="N/A"," ",IF(AF216&lt;=$AJ$2,Y216,0))</f>
        <v> </v>
      </c>
      <c r="AN216" s="301" t="str">
        <f aca="false">IF($A216="N/A"," ",IF(AG216&lt;=$AJ$2,Z216,0))</f>
        <v> </v>
      </c>
      <c r="AO216" s="301" t="str">
        <f aca="false">IF($A216="N/A"," ",IF(AH216&lt;=$AJ$2,AA216,0))</f>
        <v> </v>
      </c>
      <c r="AP216" s="301" t="str">
        <f aca="false">IF($A216="N/A"," ",IF(AI216&lt;=$AJ$2,AB216,0))</f>
        <v> </v>
      </c>
      <c r="AQ216" s="301" t="str">
        <f aca="false">IF($A216="N/A"," ",IF(AJ216&lt;=$AJ$2,AC216,0))</f>
        <v> </v>
      </c>
      <c r="AR216" s="300"/>
      <c r="AS216" s="288" t="str">
        <f aca="false">IF($A216="N/A"," ",IF(AND(AD216=$AJ$2+1,AK216=0),MIN($AR$219,W216),0))</f>
        <v> </v>
      </c>
      <c r="AT216" s="302" t="str">
        <f aca="false">IF($A216="N/A"," ",IF(AND(AE216=$AJ$2+1,AL216=0),MIN($AR$219,X216),0))</f>
        <v> </v>
      </c>
      <c r="AU216" s="302" t="str">
        <f aca="false">IF($A216="N/A"," ",IF(AND(AF216=$AJ$2+1,AM216=0),MIN($AR$219,Y216),0))</f>
        <v> </v>
      </c>
      <c r="AV216" s="302" t="str">
        <f aca="false">IF($A216="N/A"," ",IF(AND(AG216=$AJ$2+1,AN216=0),MIN($AR$219,Z216),0))</f>
        <v> </v>
      </c>
      <c r="AW216" s="302" t="str">
        <f aca="false">IF($A216="N/A"," ",IF(AND(AH216=$AJ$2+1,AO216=0),MIN($AR$219,AA216),0))</f>
        <v> </v>
      </c>
      <c r="AX216" s="302" t="str">
        <f aca="false">IF($A216="N/A"," ",IF(AND(AI216=$AJ$2+1,AP216=0),MIN($AR$219,AB216),0))</f>
        <v> </v>
      </c>
      <c r="AY216" s="302" t="str">
        <f aca="false">IF($A216="N/A"," ",IF(AND(AJ216=$AJ$2+1,AQ216=0),MIN($AR$219,AC216),0))</f>
        <v> </v>
      </c>
      <c r="AZ216" s="300"/>
      <c r="BA216" s="291" t="str">
        <f aca="false">IF($A216="N/A"," ",(IF(MONTH(A216)&gt;=4,IF(MONTH(A216)&lt;=10,Inputs!$F$13,Inputs!$F$14),Inputs!$F$14))*$BW216)</f>
        <v> </v>
      </c>
      <c r="BB216" s="292" t="str">
        <f aca="false">IF($A216="N/A"," ",(IF(AK216&gt;0,($BA216*(8*(VLOOKUP($A216,NumberofDaysTable,2)))*P216),0)+IF(AS216&gt;0,($BA216*((AS216))*P216),0)))</f>
        <v> </v>
      </c>
      <c r="BC216" s="292" t="str">
        <f aca="false">IF($A216="N/A"," ",(IF(AL216&gt;0,($BA216*(8*(VLOOKUP($A216,NumberofDaysTable,2)))*Q216),0)+IF(AT216&gt;0,($BA216*((AT216))*Q216),0)))</f>
        <v> </v>
      </c>
      <c r="BD216" s="292" t="str">
        <f aca="false">IF($A216="N/A"," ",(IF(AM216&gt;0,($BA216*(8*(VLOOKUP($A216,NumberofDaysTable,3)))*R216),0)+IF(AU216&gt;0,($BA216*((AU216))*R216),0)))</f>
        <v> </v>
      </c>
      <c r="BE216" s="292" t="str">
        <f aca="false">IF($A216="N/A"," ",(IF(AN216&gt;0,($BA216*(8*(VLOOKUP($A216,NumberofDaysTable,3)))*S216),0)+IF(AV216&gt;0,($BA216*((AV216))*S216),0)))</f>
        <v> </v>
      </c>
      <c r="BF216" s="292" t="str">
        <f aca="false">IF($A216="N/A"," ",(IF(AO216&gt;0,($BA216*(8*(VLOOKUP($A216,NumberofDaysTable,4)+VLOOKUP($A216,NumberofDaysTable,5)))*T216),0)+IF(AW216&gt;0,($BA216*((AW216))*T216),0)))</f>
        <v> </v>
      </c>
      <c r="BG216" s="292" t="str">
        <f aca="false">IF($A216="N/A"," ",(IF(AP216&gt;0,($BA216*(8*(VLOOKUP($A216,NumberofDaysTable,4)+VLOOKUP($A216,NumberofDaysTable,5)))*U216),0)+IF(AX216&gt;0,($BA216*((AX216))*U216),0)))</f>
        <v> </v>
      </c>
      <c r="BH216" s="292" t="str">
        <f aca="false">IF($A216="N/A"," ",($BA216*AQ216*V216))</f>
        <v> </v>
      </c>
      <c r="BI216" s="292" t="str">
        <f aca="false">IF($A216="N/A"," ",SUM(BB216:BH216))</f>
        <v> </v>
      </c>
      <c r="BJ216" s="293" t="str">
        <f aca="false">IF($A216="N/A"," ",(H216*(SUM(AK216:AQ216)+SUM(AS216:AY216))*BA216))</f>
        <v> </v>
      </c>
      <c r="BK216" s="293" t="str">
        <f aca="false">IF($A216="N/A"," ",((C216*D216)*(SUM($AK216:$AQ216)+SUM($AS216:$AY216))*$BA216))</f>
        <v> </v>
      </c>
      <c r="BL216" s="293" t="str">
        <f aca="false">IF($A216="N/A"," ",(F216*(SUM($AK216:$AQ216)+SUM($AS216:$AY216))*$BA216))</f>
        <v> </v>
      </c>
      <c r="BM216" s="293" t="str">
        <f aca="false">IF($A216="N/A"," ",(G216*(SUM($AK216:$AQ216)+SUM($AS216:$AY216))*$BA216))</f>
        <v> </v>
      </c>
      <c r="BN216" s="294" t="str">
        <f aca="false">IF(A216="N/A"," ",(VLOOKUP(A216,PowerVolTable,(IF('Pricing Inputs'!$AT$3=2,7,IF('Pricing Inputs'!$AT$3=1,6,8))),FALSE())))</f>
        <v> </v>
      </c>
      <c r="BO216" s="294" t="str">
        <f aca="false">IF(A216="N/A"," ",(VLOOKUP(A216,IntraPowerVol,(IF('Pricing Inputs'!$AT$3=2,3,IF('Pricing Inputs'!$AT$3=1,2,4))),FALSE())*VLOOKUP(MONTH($A216),Inputs!$A$28:$B$39,2)))</f>
        <v> </v>
      </c>
      <c r="BP216" s="295" t="str">
        <f aca="false">IF($A216="N/A"," ",(IF(DateToday&gt;$A216,$BO216,((($BN216^2)*((($A216-1)-DateToday)/((EOMONTH($A216,0)+1)-DateToday-15)))+((($BO216)^2)*((15)/((EOMONTH($A216,0)+1)-DateToday-15))))^0.5)))</f>
        <v> </v>
      </c>
      <c r="BQ216" s="294" t="str">
        <f aca="false">IF($A216="N/A"," ",(VLOOKUP($A216,GasVolTable,(IF('Pricing Inputs'!$AT$3=2,6,IF('Pricing Inputs'!$AT$3=1,7,5))),FALSE())))</f>
        <v> </v>
      </c>
      <c r="BR216" s="294" t="str">
        <f aca="false">IF($A216="N/A"," ",(VLOOKUP($A216,OmicronVol,(IF('Pricing Inputs'!$AT$3=2,3,IF('Pricing Inputs'!$AT$3=1,4,2))),FALSE())))</f>
        <v> </v>
      </c>
      <c r="BS216" s="295" t="str">
        <f aca="false">IF($A216="N/A"," ",IF('Pricing Inputs'!$AN$3=1,(IF(DateToday&gt;$A216,$BR216,((($BQ216^2)*((($A216-1)-DateToday)/((EOMONTH($A216,0)+1)-DateToday-15)))+((($BR216)^2)*((15)/((EOMONTH($A216,0)+1)-DateToday-15))))^0.5)),0.0001))</f>
        <v> </v>
      </c>
      <c r="BT216" s="294" t="str">
        <f aca="false">IF($A216="N/A"," ",IF('Pricing Inputs'!$AN$3=1,(VLOOKUP($A216,CorrelationTable,2,FALSE())),0))</f>
        <v> </v>
      </c>
      <c r="BU216" s="296" t="str">
        <f aca="false">IF($A216="N/A"," ",F216+G216+(D216*(VLOOKUP($A216,'Gas Curves'!$B$17:$P$310,14,FALSE()))))</f>
        <v> </v>
      </c>
      <c r="BV216" s="294" t="str">
        <f aca="false">IF($A216="N/A"," ",IF('Pricing Inputs'!$AW$3=1,0,(VLOOKUP($A216,InterestRatesTable,2))))</f>
        <v> </v>
      </c>
      <c r="BW216" s="297" t="str">
        <f aca="false">IF($A216="N/A"," ",(1+BV216/2)^(-2*((EOMONTH(A216,0)+20)-DateToday)/365.25))</f>
        <v> </v>
      </c>
    </row>
    <row r="217" customFormat="false" ht="12.75" hidden="false" customHeight="false" outlineLevel="0" collapsed="false">
      <c r="A217" s="272" t="str">
        <f aca="false">IF(A216="N/A","N/A",IF(EDATE(A216,1)&gt;Inputs!$K$3,"N/A",EDATE(A216,1)))</f>
        <v>N/A</v>
      </c>
      <c r="B217" s="273" t="str">
        <f aca="false">IF(A217="N/A"," ",YEAR(A217))</f>
        <v> </v>
      </c>
      <c r="C217" s="274" t="str">
        <f aca="false">IF(A217="N/A"," ",VLOOKUP(A217,ScaledPrice,10))</f>
        <v> </v>
      </c>
      <c r="D217" s="275" t="str">
        <f aca="false">IF(A217="N/A"," ",(VLOOKUP(MONTH($A217),Inputs!$A$14:$B$25,2))/1000)</f>
        <v> </v>
      </c>
      <c r="E217" s="276" t="str">
        <f aca="false">IF($A217="N/A"," ",C217*D217)</f>
        <v> </v>
      </c>
      <c r="F217" s="277" t="str">
        <f aca="false">IF(A217="N/A"," ",Inputs!$F$6)</f>
        <v> </v>
      </c>
      <c r="G217" s="277" t="str">
        <f aca="false">IF(A217="N/A"," ",Inputs!$F$9/IF(AND('Pricing Inputs'!$AQ$3&gt;=4,'Pricing Inputs'!$AQ$3&lt;=6),16,IF(AND('Pricing Inputs'!$AQ$3&gt;=7,'Pricing Inputs'!$AQ$3&lt;=9),8,24))/(BA217/BW217))</f>
        <v> </v>
      </c>
      <c r="H217" s="278" t="str">
        <f aca="false">IF(A217="N/A"," ",(C217*D217)+F217+G217)</f>
        <v> </v>
      </c>
      <c r="I217" s="279" t="str">
        <f aca="false">VLOOKUP(A217,ScaledPrice,(IF(AND('Pricing Inputs'!$AQ$3&gt;=1,'Pricing Inputs'!$AQ$3&lt;=6),2,4)))</f>
        <v> </v>
      </c>
      <c r="J217" s="279" t="str">
        <f aca="false">IF(A217="N/A"," ",IF(AND('Pricing Inputs'!$AQ$3&gt;=1,'Pricing Inputs'!$AQ$3&lt;=6),I217,(VLOOKUP(A217,ScaledPrice,2))*(2-(VLOOKUP(A217,ScaledPrice,3)))))</f>
        <v> </v>
      </c>
      <c r="K217" s="279" t="str">
        <f aca="false">IF(A217="N/A"," ",IF(OR('Pricing Inputs'!$AQ$3=2,'Pricing Inputs'!$AQ$3=3,'Pricing Inputs'!$AQ$3=5,'Pricing Inputs'!$AQ$3=6,'Pricing Inputs'!$AQ$3=8,'Pricing Inputs'!$AQ$3=9),VLOOKUP(A217,ScaledPrice,IF(AND('Pricing Inputs'!$AQ$3&gt;=2,'Pricing Inputs'!$AQ$3&lt;=6),5,6)),0))</f>
        <v> </v>
      </c>
      <c r="L217" s="279" t="str">
        <f aca="false">IF(A217="N/A"," ",IF(OR('Pricing Inputs'!$AQ$3=2,'Pricing Inputs'!$AQ$3=3,'Pricing Inputs'!$AQ$3=5,'Pricing Inputs'!$AQ$3=6,'Pricing Inputs'!$AQ$3=8,'Pricing Inputs'!$AQ$3=9),IF(AND('Pricing Inputs'!$AQ$3&gt;=2,'Pricing Inputs'!$AQ$3&lt;=6),K217,(VLOOKUP(A217,ScaledPrice,5))*(2-(VLOOKUP(A217,ScaledPrice,3)))),0))</f>
        <v> </v>
      </c>
      <c r="M217" s="279" t="str">
        <f aca="false">IF(A217="N/A"," ",IF(OR('Pricing Inputs'!$AQ$3=3,'Pricing Inputs'!$AQ$3=6,'Pricing Inputs'!$AQ$3=9),(VLOOKUP(A217,ScaledPrice,IF(AND('Pricing Inputs'!$AQ$3&gt;=3,'Pricing Inputs'!$AQ$3&lt;=6),7,8))),0))</f>
        <v> </v>
      </c>
      <c r="N217" s="279" t="str">
        <f aca="false">IF(A217="N/A"," ",IF(OR('Pricing Inputs'!$AQ$3=3,'Pricing Inputs'!$AQ$3=6,'Pricing Inputs'!$AQ$3=9),IF(AND('Pricing Inputs'!$AQ$3&gt;=3,'Pricing Inputs'!$AQ$3&lt;=6),M217,(VLOOKUP(A217,ScaledPrice,7))*(2-(VLOOKUP(A217,ScaledPrice,3)))),0))</f>
        <v> </v>
      </c>
      <c r="O217" s="279" t="str">
        <f aca="false">IF(A217="N/A"," ",IF(AND('Pricing Inputs'!$AQ$3&gt;=1,'Pricing Inputs'!$AQ$3&lt;=3),VLOOKUP(A217,ScaledPrice,9),0))</f>
        <v> </v>
      </c>
      <c r="P217" s="280" t="str">
        <f aca="false">IF($A217="N/A"," ",IF('Pricing Inputs'!$AN$8=2,(I217-H217),IF('Pricing Inputs'!$AN$3=2,IF((I217-$H217)&gt;0,I217-$H217,0),(xSPRDOPT(I217,$E217,$BU217,0,$BP217,$BS217,$BT217,($A217-Inputs!$D$1)+15,1,0)))))</f>
        <v> </v>
      </c>
      <c r="Q217" s="280" t="str">
        <f aca="false">IF($A217="N/A"," ",IF('Pricing Inputs'!$AN$8=2,(J217-$H217),IF('Pricing Inputs'!$AN$3=2,IF((J217-$H217)&gt;0,J217-$H217,0),(xSPRDOPT(J217,$E217,$BU217,0,$BP217,$BS217,$BT217,($A217-Inputs!$D$1)+15,1,0)))))</f>
        <v> </v>
      </c>
      <c r="R217" s="280" t="str">
        <f aca="false">IF($A217="N/A"," ",IF('Pricing Inputs'!$AN$8=2,(K217-$H217),IF('Pricing Inputs'!$AN$3=2,IF((K217-$H217)&gt;0,K217-$H217,0),(xSPRDOPT(K217,$E217,$BU217,0,$BP217,$BS217,$BT217,($A217-Inputs!$D$1)+15,1,0)))))</f>
        <v> </v>
      </c>
      <c r="S217" s="280" t="str">
        <f aca="false">IF($A217="N/A"," ",IF('Pricing Inputs'!$AN$8=2,(L217-$H217),IF('Pricing Inputs'!$AN$3=2,IF((L217-$H217)&gt;0,L217-$H217,0),(xSPRDOPT(L217,$E217,$BU217,0,$BP217,$BS217,$BT217,($A217-Inputs!$D$1)+15,1,0)))))</f>
        <v> </v>
      </c>
      <c r="T217" s="280" t="str">
        <f aca="false">IF($A217="N/A"," ",IF('Pricing Inputs'!$AN$8=2,(M217-$H217),IF('Pricing Inputs'!$AN$3=2,IF((M217-$H217)&gt;0,M217-$H217,0),(xSPRDOPT(M217,$E217,$BU217,0,$BP217,$BS217,$BT217,($A217-Inputs!$D$1)+15,1,0)))))</f>
        <v> </v>
      </c>
      <c r="U217" s="280" t="str">
        <f aca="false">IF($A217="N/A"," ",IF('Pricing Inputs'!$AN$8=2,(N217-$H217),IF('Pricing Inputs'!$AN$3=2,IF((N217-$H217)&gt;0,N217-$H217,0),(xSPRDOPT(N217,$E217,$BU217,0,$BP217,$BS217,$BT217,($A217-Inputs!$D$1)+15,1,0)))))</f>
        <v> </v>
      </c>
      <c r="V217" s="281" t="str">
        <f aca="false">IF($A217="N/A"," ",(IF('Pricing Inputs'!$AN$8=2,(O217-$H217),IF((O217-$H217)&lt;=0,0,(O217-$H217)))))</f>
        <v> </v>
      </c>
      <c r="W217" s="282" t="str">
        <f aca="false">IF($A217="N/A"," ",IF(0&lt;&gt;P217,IF('Pricing Inputs'!$AN$3=2,8*VLOOKUP($A217,NumberofDaysTable,2),(xSPRDOPT(I217,$E217,$BU217,0,$BP217,$BS217,$BT217,$A217-Inputs!$D$1,1,1))*(8*VLOOKUP($A217,NumberofDaysTable,2))),0))</f>
        <v> </v>
      </c>
      <c r="X217" s="282" t="str">
        <f aca="false">IF($A217="N/A"," ",IF(Q217&lt;&gt;0,IF('Pricing Inputs'!$AN$3=2,8*VLOOKUP($A217,NumberofDaysTable,2),(xSPRDOPT(J217,$E217,$BU217,0,$BP217,$BS217,$BT217,$A217-Inputs!$D$1,1,1))*(8*VLOOKUP($A217,NumberofDaysTable,2))),0))</f>
        <v> </v>
      </c>
      <c r="Y217" s="282" t="str">
        <f aca="false">IF($A217="N/A"," ",IF(R217&lt;&gt;0,IF('Pricing Inputs'!$AN$3=2,8*VLOOKUP($A217,NumberofDaysTable,3),(xSPRDOPT(K217,$E217,$BU217,0,$BP217,$BS217,$BT217,$A217-Inputs!$D$1,1,1))*(8*VLOOKUP($A217,NumberofDaysTable,3))),0))</f>
        <v> </v>
      </c>
      <c r="Z217" s="282" t="str">
        <f aca="false">IF($A217="N/A"," ",IF(S217&lt;&gt;0,IF('Pricing Inputs'!$AN$3=2,8*VLOOKUP($A217,NumberofDaysTable,3),(xSPRDOPT(L217,$E217,$BU217,0,$BP217,$BS217,$BT217,$A217-Inputs!$D$1,1,1))*(8*VLOOKUP($A217,NumberofDaysTable,3))),0))</f>
        <v> </v>
      </c>
      <c r="AA217" s="282" t="str">
        <f aca="false">IF($A217="N/A"," ",IF(T217&lt;&gt;0,IF('Pricing Inputs'!$AN$3=2,8*VLOOKUP($A217,NumberofDaysTable,4),(xSPRDOPT(M217,$E217,$BU217,0,$BP217,$BS217,$BT217,$A217-Inputs!$D$1,1,1))*(8*VLOOKUP($A217,NumberofDaysTable,4))),0))</f>
        <v> </v>
      </c>
      <c r="AB217" s="282" t="str">
        <f aca="false">IF($A217="N/A"," ",IF(U217&lt;&gt;0,IF('Pricing Inputs'!$AN$3=2,8*VLOOKUP($A217,NumberofDaysTable,4),(xSPRDOPT(N217,$E217,$BU217,0,$BP217,$BS217,$BT217,$A217-Inputs!$D$1,1,1))*(8*VLOOKUP($A217,NumberofDaysTable,4))),0))</f>
        <v> </v>
      </c>
      <c r="AC217" s="282" t="str">
        <f aca="false">IF($A217="N/A"," ",(IF(V217&lt;&gt;0,(8*VLOOKUP($A217,NumberofDaysTable,6)),0)))</f>
        <v> </v>
      </c>
      <c r="AD217" s="298" t="str">
        <f aca="false">IF($A217="N/A"," ",RANK(P217,$P$208:$V$219))</f>
        <v> </v>
      </c>
      <c r="AE217" s="299" t="str">
        <f aca="false">IF($A217="N/A"," ",RANK(Q217,$P$208:$V$219))</f>
        <v> </v>
      </c>
      <c r="AF217" s="299" t="str">
        <f aca="false">IF($A217="N/A"," ",RANK(R217,$P$208:$V$219))</f>
        <v> </v>
      </c>
      <c r="AG217" s="299" t="str">
        <f aca="false">IF($A217="N/A"," ",RANK(S217,$P$208:$V$219))</f>
        <v> </v>
      </c>
      <c r="AH217" s="299" t="str">
        <f aca="false">IF($A217="N/A"," ",RANK(T217,$P$208:$V$219))</f>
        <v> </v>
      </c>
      <c r="AI217" s="299" t="str">
        <f aca="false">IF($A217="N/A"," ",RANK(U217,$P$208:$V$219))</f>
        <v> </v>
      </c>
      <c r="AJ217" s="300" t="str">
        <f aca="false">IF($A217="N/A"," ",RANK(V217,$P$208:$V$219))</f>
        <v> </v>
      </c>
      <c r="AK217" s="286" t="str">
        <f aca="false">IF($A217="N/A"," ",IF(AD217&lt;=$AJ$2,W217,0))</f>
        <v> </v>
      </c>
      <c r="AL217" s="301" t="str">
        <f aca="false">IF($A217="N/A"," ",IF(AE217&lt;=$AJ$2,X217,0))</f>
        <v> </v>
      </c>
      <c r="AM217" s="301" t="str">
        <f aca="false">IF($A217="N/A"," ",IF(AF217&lt;=$AJ$2,Y217,0))</f>
        <v> </v>
      </c>
      <c r="AN217" s="301" t="str">
        <f aca="false">IF($A217="N/A"," ",IF(AG217&lt;=$AJ$2,Z217,0))</f>
        <v> </v>
      </c>
      <c r="AO217" s="301" t="str">
        <f aca="false">IF($A217="N/A"," ",IF(AH217&lt;=$AJ$2,AA217,0))</f>
        <v> </v>
      </c>
      <c r="AP217" s="301" t="str">
        <f aca="false">IF($A217="N/A"," ",IF(AI217&lt;=$AJ$2,AB217,0))</f>
        <v> </v>
      </c>
      <c r="AQ217" s="301" t="str">
        <f aca="false">IF($A217="N/A"," ",IF(AJ217&lt;=$AJ$2,AC217,0))</f>
        <v> </v>
      </c>
      <c r="AR217" s="304" t="s">
        <v>1301</v>
      </c>
      <c r="AS217" s="288" t="str">
        <f aca="false">IF($A217="N/A"," ",IF(AND(AD217=$AJ$2+1,AK217=0),MIN($AR$219,W217),0))</f>
        <v> </v>
      </c>
      <c r="AT217" s="302" t="str">
        <f aca="false">IF($A217="N/A"," ",IF(AND(AE217=$AJ$2+1,AL217=0),MIN($AR$219,X217),0))</f>
        <v> </v>
      </c>
      <c r="AU217" s="302" t="str">
        <f aca="false">IF($A217="N/A"," ",IF(AND(AF217=$AJ$2+1,AM217=0),MIN($AR$219,Y217),0))</f>
        <v> </v>
      </c>
      <c r="AV217" s="302" t="str">
        <f aca="false">IF($A217="N/A"," ",IF(AND(AG217=$AJ$2+1,AN217=0),MIN($AR$219,Z217),0))</f>
        <v> </v>
      </c>
      <c r="AW217" s="302" t="str">
        <f aca="false">IF($A217="N/A"," ",IF(AND(AH217=$AJ$2+1,AO217=0),MIN($AR$219,AA217),0))</f>
        <v> </v>
      </c>
      <c r="AX217" s="302" t="str">
        <f aca="false">IF($A217="N/A"," ",IF(AND(AI217=$AJ$2+1,AP217=0),MIN($AR$219,AB217),0))</f>
        <v> </v>
      </c>
      <c r="AY217" s="302" t="str">
        <f aca="false">IF($A217="N/A"," ",IF(AND(AJ217=$AJ$2+1,AQ217=0),MIN($AR$219,AC217),0))</f>
        <v> </v>
      </c>
      <c r="AZ217" s="303" t="s">
        <v>1328</v>
      </c>
      <c r="BA217" s="291" t="str">
        <f aca="false">IF($A217="N/A"," ",(IF(MONTH(A217)&gt;=4,IF(MONTH(A217)&lt;=10,Inputs!$F$13,Inputs!$F$14),Inputs!$F$14))*$BW217)</f>
        <v> </v>
      </c>
      <c r="BB217" s="292" t="str">
        <f aca="false">IF($A217="N/A"," ",(IF(AK217&gt;0,($BA217*(8*(VLOOKUP($A217,NumberofDaysTable,2)))*P217),0)+IF(AS217&gt;0,($BA217*((AS217))*P217),0)))</f>
        <v> </v>
      </c>
      <c r="BC217" s="292" t="str">
        <f aca="false">IF($A217="N/A"," ",(IF(AL217&gt;0,($BA217*(8*(VLOOKUP($A217,NumberofDaysTable,2)))*Q217),0)+IF(AT217&gt;0,($BA217*((AT217))*Q217),0)))</f>
        <v> </v>
      </c>
      <c r="BD217" s="292" t="str">
        <f aca="false">IF($A217="N/A"," ",(IF(AM217&gt;0,($BA217*(8*(VLOOKUP($A217,NumberofDaysTable,3)))*R217),0)+IF(AU217&gt;0,($BA217*((AU217))*R217),0)))</f>
        <v> </v>
      </c>
      <c r="BE217" s="292" t="str">
        <f aca="false">IF($A217="N/A"," ",(IF(AN217&gt;0,($BA217*(8*(VLOOKUP($A217,NumberofDaysTable,3)))*S217),0)+IF(AV217&gt;0,($BA217*((AV217))*S217),0)))</f>
        <v> </v>
      </c>
      <c r="BF217" s="292" t="str">
        <f aca="false">IF($A217="N/A"," ",(IF(AO217&gt;0,($BA217*(8*(VLOOKUP($A217,NumberofDaysTable,4)+VLOOKUP($A217,NumberofDaysTable,5)))*T217),0)+IF(AW217&gt;0,($BA217*((AW217))*T217),0)))</f>
        <v> </v>
      </c>
      <c r="BG217" s="292" t="str">
        <f aca="false">IF($A217="N/A"," ",(IF(AP217&gt;0,($BA217*(8*(VLOOKUP($A217,NumberofDaysTable,4)+VLOOKUP($A217,NumberofDaysTable,5)))*U217),0)+IF(AX217&gt;0,($BA217*((AX217))*U217),0)))</f>
        <v> </v>
      </c>
      <c r="BH217" s="292" t="str">
        <f aca="false">IF($A217="N/A"," ",($BA217*AQ217*V217))</f>
        <v> </v>
      </c>
      <c r="BI217" s="292" t="str">
        <f aca="false">IF($A217="N/A"," ",SUM(BB217:BH217))</f>
        <v> </v>
      </c>
      <c r="BJ217" s="293" t="str">
        <f aca="false">IF($A217="N/A"," ",(H217*(SUM(AK217:AQ217)+SUM(AS217:AY217))*BA217))</f>
        <v> </v>
      </c>
      <c r="BK217" s="293" t="str">
        <f aca="false">IF($A217="N/A"," ",((C217*D217)*(SUM($AK217:$AQ217)+SUM($AS217:$AY217))*$BA217))</f>
        <v> </v>
      </c>
      <c r="BL217" s="293" t="str">
        <f aca="false">IF($A217="N/A"," ",(F217*(SUM($AK217:$AQ217)+SUM($AS217:$AY217))*$BA217))</f>
        <v> </v>
      </c>
      <c r="BM217" s="293" t="str">
        <f aca="false">IF($A217="N/A"," ",(G217*(SUM($AK217:$AQ217)+SUM($AS217:$AY217))*$BA217))</f>
        <v> </v>
      </c>
      <c r="BN217" s="294" t="str">
        <f aca="false">IF(A217="N/A"," ",(VLOOKUP(A217,PowerVolTable,(IF('Pricing Inputs'!$AT$3=2,7,IF('Pricing Inputs'!$AT$3=1,6,8))),FALSE())))</f>
        <v> </v>
      </c>
      <c r="BO217" s="294" t="str">
        <f aca="false">IF(A217="N/A"," ",(VLOOKUP(A217,IntraPowerVol,(IF('Pricing Inputs'!$AT$3=2,3,IF('Pricing Inputs'!$AT$3=1,2,4))),FALSE())*VLOOKUP(MONTH($A217),Inputs!$A$28:$B$39,2)))</f>
        <v> </v>
      </c>
      <c r="BP217" s="295" t="str">
        <f aca="false">IF($A217="N/A"," ",(IF(DateToday&gt;$A217,$BO217,((($BN217^2)*((($A217-1)-DateToday)/((EOMONTH($A217,0)+1)-DateToday-15)))+((($BO217)^2)*((15)/((EOMONTH($A217,0)+1)-DateToday-15))))^0.5)))</f>
        <v> </v>
      </c>
      <c r="BQ217" s="294" t="str">
        <f aca="false">IF($A217="N/A"," ",(VLOOKUP($A217,GasVolTable,(IF('Pricing Inputs'!$AT$3=2,6,IF('Pricing Inputs'!$AT$3=1,7,5))),FALSE())))</f>
        <v> </v>
      </c>
      <c r="BR217" s="294" t="str">
        <f aca="false">IF($A217="N/A"," ",(VLOOKUP($A217,OmicronVol,(IF('Pricing Inputs'!$AT$3=2,3,IF('Pricing Inputs'!$AT$3=1,4,2))),FALSE())))</f>
        <v> </v>
      </c>
      <c r="BS217" s="295" t="str">
        <f aca="false">IF($A217="N/A"," ",IF('Pricing Inputs'!$AN$3=1,(IF(DateToday&gt;$A217,$BR217,((($BQ217^2)*((($A217-1)-DateToday)/((EOMONTH($A217,0)+1)-DateToday-15)))+((($BR217)^2)*((15)/((EOMONTH($A217,0)+1)-DateToday-15))))^0.5)),0.0001))</f>
        <v> </v>
      </c>
      <c r="BT217" s="294" t="str">
        <f aca="false">IF($A217="N/A"," ",IF('Pricing Inputs'!$AN$3=1,(VLOOKUP($A217,CorrelationTable,2,FALSE())),0))</f>
        <v> </v>
      </c>
      <c r="BU217" s="296" t="str">
        <f aca="false">IF($A217="N/A"," ",F217+G217+(D217*(VLOOKUP($A217,'Gas Curves'!$B$17:$P$310,14,FALSE()))))</f>
        <v> </v>
      </c>
      <c r="BV217" s="294" t="str">
        <f aca="false">IF($A217="N/A"," ",IF('Pricing Inputs'!$AW$3=1,0,(VLOOKUP($A217,InterestRatesTable,2))))</f>
        <v> </v>
      </c>
      <c r="BW217" s="297" t="str">
        <f aca="false">IF($A217="N/A"," ",(1+BV217/2)^(-2*((EOMONTH(A217,0)+20)-DateToday)/365.25))</f>
        <v> </v>
      </c>
    </row>
    <row r="218" customFormat="false" ht="12.75" hidden="false" customHeight="false" outlineLevel="0" collapsed="false">
      <c r="A218" s="272" t="str">
        <f aca="false">IF(A217="N/A","N/A",IF(EDATE(A217,1)&gt;Inputs!$K$3,"N/A",EDATE(A217,1)))</f>
        <v>N/A</v>
      </c>
      <c r="B218" s="273" t="str">
        <f aca="false">IF(A218="N/A"," ",YEAR(A218))</f>
        <v> </v>
      </c>
      <c r="C218" s="274" t="str">
        <f aca="false">IF(A218="N/A"," ",VLOOKUP(A218,ScaledPrice,10))</f>
        <v> </v>
      </c>
      <c r="D218" s="275" t="str">
        <f aca="false">IF(A218="N/A"," ",(VLOOKUP(MONTH($A218),Inputs!$A$14:$B$25,2))/1000)</f>
        <v> </v>
      </c>
      <c r="E218" s="276" t="str">
        <f aca="false">IF($A218="N/A"," ",C218*D218)</f>
        <v> </v>
      </c>
      <c r="F218" s="277" t="str">
        <f aca="false">IF(A218="N/A"," ",Inputs!$F$6)</f>
        <v> </v>
      </c>
      <c r="G218" s="277" t="str">
        <f aca="false">IF(A218="N/A"," ",Inputs!$F$9/IF(AND('Pricing Inputs'!$AQ$3&gt;=4,'Pricing Inputs'!$AQ$3&lt;=6),16,IF(AND('Pricing Inputs'!$AQ$3&gt;=7,'Pricing Inputs'!$AQ$3&lt;=9),8,24))/(BA218/BW218))</f>
        <v> </v>
      </c>
      <c r="H218" s="278" t="str">
        <f aca="false">IF(A218="N/A"," ",(C218*D218)+F218+G218)</f>
        <v> </v>
      </c>
      <c r="I218" s="279" t="str">
        <f aca="false">VLOOKUP(A218,ScaledPrice,(IF(AND('Pricing Inputs'!$AQ$3&gt;=1,'Pricing Inputs'!$AQ$3&lt;=6),2,4)))</f>
        <v> </v>
      </c>
      <c r="J218" s="279" t="str">
        <f aca="false">IF(A218="N/A"," ",IF(AND('Pricing Inputs'!$AQ$3&gt;=1,'Pricing Inputs'!$AQ$3&lt;=6),I218,(VLOOKUP(A218,ScaledPrice,2))*(2-(VLOOKUP(A218,ScaledPrice,3)))))</f>
        <v> </v>
      </c>
      <c r="K218" s="279" t="str">
        <f aca="false">IF(A218="N/A"," ",IF(OR('Pricing Inputs'!$AQ$3=2,'Pricing Inputs'!$AQ$3=3,'Pricing Inputs'!$AQ$3=5,'Pricing Inputs'!$AQ$3=6,'Pricing Inputs'!$AQ$3=8,'Pricing Inputs'!$AQ$3=9),VLOOKUP(A218,ScaledPrice,IF(AND('Pricing Inputs'!$AQ$3&gt;=2,'Pricing Inputs'!$AQ$3&lt;=6),5,6)),0))</f>
        <v> </v>
      </c>
      <c r="L218" s="279" t="str">
        <f aca="false">IF(A218="N/A"," ",IF(OR('Pricing Inputs'!$AQ$3=2,'Pricing Inputs'!$AQ$3=3,'Pricing Inputs'!$AQ$3=5,'Pricing Inputs'!$AQ$3=6,'Pricing Inputs'!$AQ$3=8,'Pricing Inputs'!$AQ$3=9),IF(AND('Pricing Inputs'!$AQ$3&gt;=2,'Pricing Inputs'!$AQ$3&lt;=6),K218,(VLOOKUP(A218,ScaledPrice,5))*(2-(VLOOKUP(A218,ScaledPrice,3)))),0))</f>
        <v> </v>
      </c>
      <c r="M218" s="279" t="str">
        <f aca="false">IF(A218="N/A"," ",IF(OR('Pricing Inputs'!$AQ$3=3,'Pricing Inputs'!$AQ$3=6,'Pricing Inputs'!$AQ$3=9),(VLOOKUP(A218,ScaledPrice,IF(AND('Pricing Inputs'!$AQ$3&gt;=3,'Pricing Inputs'!$AQ$3&lt;=6),7,8))),0))</f>
        <v> </v>
      </c>
      <c r="N218" s="279" t="str">
        <f aca="false">IF(A218="N/A"," ",IF(OR('Pricing Inputs'!$AQ$3=3,'Pricing Inputs'!$AQ$3=6,'Pricing Inputs'!$AQ$3=9),IF(AND('Pricing Inputs'!$AQ$3&gt;=3,'Pricing Inputs'!$AQ$3&lt;=6),M218,(VLOOKUP(A218,ScaledPrice,7))*(2-(VLOOKUP(A218,ScaledPrice,3)))),0))</f>
        <v> </v>
      </c>
      <c r="O218" s="279" t="str">
        <f aca="false">IF(A218="N/A"," ",IF(AND('Pricing Inputs'!$AQ$3&gt;=1,'Pricing Inputs'!$AQ$3&lt;=3),VLOOKUP(A218,ScaledPrice,9),0))</f>
        <v> </v>
      </c>
      <c r="P218" s="280" t="str">
        <f aca="false">IF($A218="N/A"," ",IF('Pricing Inputs'!$AN$8=2,(I218-H218),IF('Pricing Inputs'!$AN$3=2,IF((I218-$H218)&gt;0,I218-$H218,0),(xSPRDOPT(I218,$E218,$BU218,0,$BP218,$BS218,$BT218,($A218-Inputs!$D$1)+15,1,0)))))</f>
        <v> </v>
      </c>
      <c r="Q218" s="280" t="str">
        <f aca="false">IF($A218="N/A"," ",IF('Pricing Inputs'!$AN$8=2,(J218-$H218),IF('Pricing Inputs'!$AN$3=2,IF((J218-$H218)&gt;0,J218-$H218,0),(xSPRDOPT(J218,$E218,$BU218,0,$BP218,$BS218,$BT218,($A218-Inputs!$D$1)+15,1,0)))))</f>
        <v> </v>
      </c>
      <c r="R218" s="280" t="str">
        <f aca="false">IF($A218="N/A"," ",IF('Pricing Inputs'!$AN$8=2,(K218-$H218),IF('Pricing Inputs'!$AN$3=2,IF((K218-$H218)&gt;0,K218-$H218,0),(xSPRDOPT(K218,$E218,$BU218,0,$BP218,$BS218,$BT218,($A218-Inputs!$D$1)+15,1,0)))))</f>
        <v> </v>
      </c>
      <c r="S218" s="280" t="str">
        <f aca="false">IF($A218="N/A"," ",IF('Pricing Inputs'!$AN$8=2,(L218-$H218),IF('Pricing Inputs'!$AN$3=2,IF((L218-$H218)&gt;0,L218-$H218,0),(xSPRDOPT(L218,$E218,$BU218,0,$BP218,$BS218,$BT218,($A218-Inputs!$D$1)+15,1,0)))))</f>
        <v> </v>
      </c>
      <c r="T218" s="280" t="str">
        <f aca="false">IF($A218="N/A"," ",IF('Pricing Inputs'!$AN$8=2,(M218-$H218),IF('Pricing Inputs'!$AN$3=2,IF((M218-$H218)&gt;0,M218-$H218,0),(xSPRDOPT(M218,$E218,$BU218,0,$BP218,$BS218,$BT218,($A218-Inputs!$D$1)+15,1,0)))))</f>
        <v> </v>
      </c>
      <c r="U218" s="280" t="str">
        <f aca="false">IF($A218="N/A"," ",IF('Pricing Inputs'!$AN$8=2,(N218-$H218),IF('Pricing Inputs'!$AN$3=2,IF((N218-$H218)&gt;0,N218-$H218,0),(xSPRDOPT(N218,$E218,$BU218,0,$BP218,$BS218,$BT218,($A218-Inputs!$D$1)+15,1,0)))))</f>
        <v> </v>
      </c>
      <c r="V218" s="281" t="str">
        <f aca="false">IF($A218="N/A"," ",(IF('Pricing Inputs'!$AN$8=2,(O218-$H218),IF((O218-$H218)&lt;=0,0,(O218-$H218)))))</f>
        <v> </v>
      </c>
      <c r="W218" s="282" t="str">
        <f aca="false">IF($A218="N/A"," ",IF(0&lt;&gt;P218,IF('Pricing Inputs'!$AN$3=2,8*VLOOKUP($A218,NumberofDaysTable,2),(xSPRDOPT(I218,$E218,$BU218,0,$BP218,$BS218,$BT218,$A218-Inputs!$D$1,1,1))*(8*VLOOKUP($A218,NumberofDaysTable,2))),0))</f>
        <v> </v>
      </c>
      <c r="X218" s="282" t="str">
        <f aca="false">IF($A218="N/A"," ",IF(Q218&lt;&gt;0,IF('Pricing Inputs'!$AN$3=2,8*VLOOKUP($A218,NumberofDaysTable,2),(xSPRDOPT(J218,$E218,$BU218,0,$BP218,$BS218,$BT218,$A218-Inputs!$D$1,1,1))*(8*VLOOKUP($A218,NumberofDaysTable,2))),0))</f>
        <v> </v>
      </c>
      <c r="Y218" s="282" t="str">
        <f aca="false">IF($A218="N/A"," ",IF(R218&lt;&gt;0,IF('Pricing Inputs'!$AN$3=2,8*VLOOKUP($A218,NumberofDaysTable,3),(xSPRDOPT(K218,$E218,$BU218,0,$BP218,$BS218,$BT218,$A218-Inputs!$D$1,1,1))*(8*VLOOKUP($A218,NumberofDaysTable,3))),0))</f>
        <v> </v>
      </c>
      <c r="Z218" s="282" t="str">
        <f aca="false">IF($A218="N/A"," ",IF(S218&lt;&gt;0,IF('Pricing Inputs'!$AN$3=2,8*VLOOKUP($A218,NumberofDaysTable,3),(xSPRDOPT(L218,$E218,$BU218,0,$BP218,$BS218,$BT218,$A218-Inputs!$D$1,1,1))*(8*VLOOKUP($A218,NumberofDaysTable,3))),0))</f>
        <v> </v>
      </c>
      <c r="AA218" s="282" t="str">
        <f aca="false">IF($A218="N/A"," ",IF(T218&lt;&gt;0,IF('Pricing Inputs'!$AN$3=2,8*VLOOKUP($A218,NumberofDaysTable,4),(xSPRDOPT(M218,$E218,$BU218,0,$BP218,$BS218,$BT218,$A218-Inputs!$D$1,1,1))*(8*VLOOKUP($A218,NumberofDaysTable,4))),0))</f>
        <v> </v>
      </c>
      <c r="AB218" s="282" t="str">
        <f aca="false">IF($A218="N/A"," ",IF(U218&lt;&gt;0,IF('Pricing Inputs'!$AN$3=2,8*VLOOKUP($A218,NumberofDaysTable,4),(xSPRDOPT(N218,$E218,$BU218,0,$BP218,$BS218,$BT218,$A218-Inputs!$D$1,1,1))*(8*VLOOKUP($A218,NumberofDaysTable,4))),0))</f>
        <v> </v>
      </c>
      <c r="AC218" s="282" t="str">
        <f aca="false">IF($A218="N/A"," ",(IF(V218&lt;&gt;0,(8*VLOOKUP($A218,NumberofDaysTable,6)),0)))</f>
        <v> </v>
      </c>
      <c r="AD218" s="298" t="str">
        <f aca="false">IF($A218="N/A"," ",RANK(P218,$P$208:$V$219))</f>
        <v> </v>
      </c>
      <c r="AE218" s="299" t="str">
        <f aca="false">IF($A218="N/A"," ",RANK(Q218,$P$208:$V$219))</f>
        <v> </v>
      </c>
      <c r="AF218" s="299" t="str">
        <f aca="false">IF($A218="N/A"," ",RANK(R218,$P$208:$V$219))</f>
        <v> </v>
      </c>
      <c r="AG218" s="299" t="str">
        <f aca="false">IF($A218="N/A"," ",RANK(S218,$P$208:$V$219))</f>
        <v> </v>
      </c>
      <c r="AH218" s="299" t="str">
        <f aca="false">IF($A218="N/A"," ",RANK(T218,$P$208:$V$219))</f>
        <v> </v>
      </c>
      <c r="AI218" s="299" t="str">
        <f aca="false">IF($A218="N/A"," ",RANK(U218,$P$208:$V$219))</f>
        <v> </v>
      </c>
      <c r="AJ218" s="300" t="str">
        <f aca="false">IF($A218="N/A"," ",RANK(V218,$P$208:$V$219))</f>
        <v> </v>
      </c>
      <c r="AK218" s="286" t="str">
        <f aca="false">IF($A218="N/A"," ",IF(AD218&lt;=$AJ$2,W218,0))</f>
        <v> </v>
      </c>
      <c r="AL218" s="301" t="str">
        <f aca="false">IF($A218="N/A"," ",IF(AE218&lt;=$AJ$2,X218,0))</f>
        <v> </v>
      </c>
      <c r="AM218" s="301" t="str">
        <f aca="false">IF($A218="N/A"," ",IF(AF218&lt;=$AJ$2,Y218,0))</f>
        <v> </v>
      </c>
      <c r="AN218" s="301" t="str">
        <f aca="false">IF($A218="N/A"," ",IF(AG218&lt;=$AJ$2,Z218,0))</f>
        <v> </v>
      </c>
      <c r="AO218" s="301" t="str">
        <f aca="false">IF($A218="N/A"," ",IF(AH218&lt;=$AJ$2,AA218,0))</f>
        <v> </v>
      </c>
      <c r="AP218" s="301" t="str">
        <f aca="false">IF($A218="N/A"," ",IF(AI218&lt;=$AJ$2,AB218,0))</f>
        <v> </v>
      </c>
      <c r="AQ218" s="301" t="str">
        <f aca="false">IF($A218="N/A"," ",IF(AJ218&lt;=$AJ$2,AC218,0))</f>
        <v> </v>
      </c>
      <c r="AR218" s="300" t="n">
        <f aca="false">SUM(AK208:AQ219)</f>
        <v>0</v>
      </c>
      <c r="AS218" s="288" t="str">
        <f aca="false">IF($A218="N/A"," ",IF(AND(AD218=$AJ$2+1,AK218=0),MIN($AR$219,W218),0))</f>
        <v> </v>
      </c>
      <c r="AT218" s="302" t="str">
        <f aca="false">IF($A218="N/A"," ",IF(AND(AE218=$AJ$2+1,AL218=0),MIN($AR$219,X218),0))</f>
        <v> </v>
      </c>
      <c r="AU218" s="302" t="str">
        <f aca="false">IF($A218="N/A"," ",IF(AND(AF218=$AJ$2+1,AM218=0),MIN($AR$219,Y218),0))</f>
        <v> </v>
      </c>
      <c r="AV218" s="302" t="str">
        <f aca="false">IF($A218="N/A"," ",IF(AND(AG218=$AJ$2+1,AN218=0),MIN($AR$219,Z218),0))</f>
        <v> </v>
      </c>
      <c r="AW218" s="302" t="str">
        <f aca="false">IF($A218="N/A"," ",IF(AND(AH218=$AJ$2+1,AO218=0),MIN($AR$219,AA218),0))</f>
        <v> </v>
      </c>
      <c r="AX218" s="302" t="str">
        <f aca="false">IF($A218="N/A"," ",IF(AND(AI218=$AJ$2+1,AP218=0),MIN($AR$219,AB218),0))</f>
        <v> </v>
      </c>
      <c r="AY218" s="302" t="str">
        <f aca="false">IF($A218="N/A"," ",IF(AND(AJ218=$AJ$2+1,AQ218=0),MIN($AR$219,AC218),0))</f>
        <v> </v>
      </c>
      <c r="AZ218" s="300" t="n">
        <f aca="false">SUM(AS208:AY219)</f>
        <v>0</v>
      </c>
      <c r="BA218" s="291" t="str">
        <f aca="false">IF($A218="N/A"," ",(IF(MONTH(A218)&gt;=4,IF(MONTH(A218)&lt;=10,Inputs!$F$13,Inputs!$F$14),Inputs!$F$14))*$BW218)</f>
        <v> </v>
      </c>
      <c r="BB218" s="292" t="str">
        <f aca="false">IF($A218="N/A"," ",(IF(AK218&gt;0,($BA218*(8*(VLOOKUP($A218,NumberofDaysTable,2)))*P218),0)+IF(AS218&gt;0,($BA218*((AS218))*P218),0)))</f>
        <v> </v>
      </c>
      <c r="BC218" s="292" t="str">
        <f aca="false">IF($A218="N/A"," ",(IF(AL218&gt;0,($BA218*(8*(VLOOKUP($A218,NumberofDaysTable,2)))*Q218),0)+IF(AT218&gt;0,($BA218*((AT218))*Q218),0)))</f>
        <v> </v>
      </c>
      <c r="BD218" s="292" t="str">
        <f aca="false">IF($A218="N/A"," ",(IF(AM218&gt;0,($BA218*(8*(VLOOKUP($A218,NumberofDaysTable,3)))*R218),0)+IF(AU218&gt;0,($BA218*((AU218))*R218),0)))</f>
        <v> </v>
      </c>
      <c r="BE218" s="292" t="str">
        <f aca="false">IF($A218="N/A"," ",(IF(AN218&gt;0,($BA218*(8*(VLOOKUP($A218,NumberofDaysTable,3)))*S218),0)+IF(AV218&gt;0,($BA218*((AV218))*S218),0)))</f>
        <v> </v>
      </c>
      <c r="BF218" s="292" t="str">
        <f aca="false">IF($A218="N/A"," ",(IF(AO218&gt;0,($BA218*(8*(VLOOKUP($A218,NumberofDaysTable,4)+VLOOKUP($A218,NumberofDaysTable,5)))*T218),0)+IF(AW218&gt;0,($BA218*((AW218))*T218),0)))</f>
        <v> </v>
      </c>
      <c r="BG218" s="292" t="str">
        <f aca="false">IF($A218="N/A"," ",(IF(AP218&gt;0,($BA218*(8*(VLOOKUP($A218,NumberofDaysTable,4)+VLOOKUP($A218,NumberofDaysTable,5)))*U218),0)+IF(AX218&gt;0,($BA218*((AX218))*U218),0)))</f>
        <v> </v>
      </c>
      <c r="BH218" s="292" t="str">
        <f aca="false">IF($A218="N/A"," ",($BA218*AQ218*V218))</f>
        <v> </v>
      </c>
      <c r="BI218" s="292" t="str">
        <f aca="false">IF($A218="N/A"," ",SUM(BB218:BH218))</f>
        <v> </v>
      </c>
      <c r="BJ218" s="293" t="str">
        <f aca="false">IF($A218="N/A"," ",(H218*(SUM(AK218:AQ218)+SUM(AS218:AY218))*BA218))</f>
        <v> </v>
      </c>
      <c r="BK218" s="293" t="str">
        <f aca="false">IF($A218="N/A"," ",((C218*D218)*(SUM($AK218:$AQ218)+SUM($AS218:$AY218))*$BA218))</f>
        <v> </v>
      </c>
      <c r="BL218" s="293" t="str">
        <f aca="false">IF($A218="N/A"," ",(F218*(SUM($AK218:$AQ218)+SUM($AS218:$AY218))*$BA218))</f>
        <v> </v>
      </c>
      <c r="BM218" s="293" t="str">
        <f aca="false">IF($A218="N/A"," ",(G218*(SUM($AK218:$AQ218)+SUM($AS218:$AY218))*$BA218))</f>
        <v> </v>
      </c>
      <c r="BN218" s="294" t="str">
        <f aca="false">IF(A218="N/A"," ",(VLOOKUP(A218,PowerVolTable,(IF('Pricing Inputs'!$AT$3=2,7,IF('Pricing Inputs'!$AT$3=1,6,8))),FALSE())))</f>
        <v> </v>
      </c>
      <c r="BO218" s="294" t="str">
        <f aca="false">IF(A218="N/A"," ",(VLOOKUP(A218,IntraPowerVol,(IF('Pricing Inputs'!$AT$3=2,3,IF('Pricing Inputs'!$AT$3=1,2,4))),FALSE())*VLOOKUP(MONTH($A218),Inputs!$A$28:$B$39,2)))</f>
        <v> </v>
      </c>
      <c r="BP218" s="295" t="str">
        <f aca="false">IF($A218="N/A"," ",(IF(DateToday&gt;$A218,$BO218,((($BN218^2)*((($A218-1)-DateToday)/((EOMONTH($A218,0)+1)-DateToday-15)))+((($BO218)^2)*((15)/((EOMONTH($A218,0)+1)-DateToday-15))))^0.5)))</f>
        <v> </v>
      </c>
      <c r="BQ218" s="294" t="str">
        <f aca="false">IF($A218="N/A"," ",(VLOOKUP($A218,GasVolTable,(IF('Pricing Inputs'!$AT$3=2,6,IF('Pricing Inputs'!$AT$3=1,7,5))),FALSE())))</f>
        <v> </v>
      </c>
      <c r="BR218" s="294" t="str">
        <f aca="false">IF($A218="N/A"," ",(VLOOKUP($A218,OmicronVol,(IF('Pricing Inputs'!$AT$3=2,3,IF('Pricing Inputs'!$AT$3=1,4,2))),FALSE())))</f>
        <v> </v>
      </c>
      <c r="BS218" s="295" t="str">
        <f aca="false">IF($A218="N/A"," ",IF('Pricing Inputs'!$AN$3=1,(IF(DateToday&gt;$A218,$BR218,((($BQ218^2)*((($A218-1)-DateToday)/((EOMONTH($A218,0)+1)-DateToday-15)))+((($BR218)^2)*((15)/((EOMONTH($A218,0)+1)-DateToday-15))))^0.5)),0.0001))</f>
        <v> </v>
      </c>
      <c r="BT218" s="294" t="str">
        <f aca="false">IF($A218="N/A"," ",IF('Pricing Inputs'!$AN$3=1,(VLOOKUP($A218,CorrelationTable,2,FALSE())),0))</f>
        <v> </v>
      </c>
      <c r="BU218" s="296" t="str">
        <f aca="false">IF($A218="N/A"," ",F218+G218+(D218*(VLOOKUP($A218,'Gas Curves'!$B$17:$P$310,14,FALSE()))))</f>
        <v> </v>
      </c>
      <c r="BV218" s="294" t="str">
        <f aca="false">IF($A218="N/A"," ",IF('Pricing Inputs'!$AW$3=1,0,(VLOOKUP($A218,InterestRatesTable,2))))</f>
        <v> </v>
      </c>
      <c r="BW218" s="297" t="str">
        <f aca="false">IF($A218="N/A"," ",(1+BV218/2)^(-2*((EOMONTH(A218,0)+20)-DateToday)/365.25))</f>
        <v> </v>
      </c>
    </row>
    <row r="219" customFormat="false" ht="12.75" hidden="false" customHeight="false" outlineLevel="0" collapsed="false">
      <c r="A219" s="272" t="str">
        <f aca="false">IF(A218="N/A","N/A",IF(EDATE(A218,1)&gt;Inputs!$K$3,"N/A",EDATE(A218,1)))</f>
        <v>N/A</v>
      </c>
      <c r="B219" s="273" t="str">
        <f aca="false">IF(A219="N/A"," ",YEAR(A219))</f>
        <v> </v>
      </c>
      <c r="C219" s="274" t="str">
        <f aca="false">IF(A219="N/A"," ",VLOOKUP(A219,ScaledPrice,10))</f>
        <v> </v>
      </c>
      <c r="D219" s="275" t="str">
        <f aca="false">IF(A219="N/A"," ",(VLOOKUP(MONTH($A219),Inputs!$A$14:$B$25,2))/1000)</f>
        <v> </v>
      </c>
      <c r="E219" s="276" t="str">
        <f aca="false">IF($A219="N/A"," ",C219*D219)</f>
        <v> </v>
      </c>
      <c r="F219" s="277" t="str">
        <f aca="false">IF(A219="N/A"," ",Inputs!$F$6)</f>
        <v> </v>
      </c>
      <c r="G219" s="277" t="str">
        <f aca="false">IF(A219="N/A"," ",Inputs!$F$9/IF(AND('Pricing Inputs'!$AQ$3&gt;=4,'Pricing Inputs'!$AQ$3&lt;=6),16,IF(AND('Pricing Inputs'!$AQ$3&gt;=7,'Pricing Inputs'!$AQ$3&lt;=9),8,24))/(BA219/BW219))</f>
        <v> </v>
      </c>
      <c r="H219" s="278" t="str">
        <f aca="false">IF(A219="N/A"," ",(C219*D219)+F219+G219)</f>
        <v> </v>
      </c>
      <c r="I219" s="279" t="str">
        <f aca="false">VLOOKUP(A219,ScaledPrice,(IF(AND('Pricing Inputs'!$AQ$3&gt;=1,'Pricing Inputs'!$AQ$3&lt;=6),2,4)))</f>
        <v> </v>
      </c>
      <c r="J219" s="279" t="str">
        <f aca="false">IF(A219="N/A"," ",IF(AND('Pricing Inputs'!$AQ$3&gt;=1,'Pricing Inputs'!$AQ$3&lt;=6),I219,(VLOOKUP(A219,ScaledPrice,2))*(2-(VLOOKUP(A219,ScaledPrice,3)))))</f>
        <v> </v>
      </c>
      <c r="K219" s="279" t="str">
        <f aca="false">IF(A219="N/A"," ",IF(OR('Pricing Inputs'!$AQ$3=2,'Pricing Inputs'!$AQ$3=3,'Pricing Inputs'!$AQ$3=5,'Pricing Inputs'!$AQ$3=6,'Pricing Inputs'!$AQ$3=8,'Pricing Inputs'!$AQ$3=9),VLOOKUP(A219,ScaledPrice,IF(AND('Pricing Inputs'!$AQ$3&gt;=2,'Pricing Inputs'!$AQ$3&lt;=6),5,6)),0))</f>
        <v> </v>
      </c>
      <c r="L219" s="279" t="str">
        <f aca="false">IF(A219="N/A"," ",IF(OR('Pricing Inputs'!$AQ$3=2,'Pricing Inputs'!$AQ$3=3,'Pricing Inputs'!$AQ$3=5,'Pricing Inputs'!$AQ$3=6,'Pricing Inputs'!$AQ$3=8,'Pricing Inputs'!$AQ$3=9),IF(AND('Pricing Inputs'!$AQ$3&gt;=2,'Pricing Inputs'!$AQ$3&lt;=6),K219,(VLOOKUP(A219,ScaledPrice,5))*(2-(VLOOKUP(A219,ScaledPrice,3)))),0))</f>
        <v> </v>
      </c>
      <c r="M219" s="279" t="str">
        <f aca="false">IF(A219="N/A"," ",IF(OR('Pricing Inputs'!$AQ$3=3,'Pricing Inputs'!$AQ$3=6,'Pricing Inputs'!$AQ$3=9),(VLOOKUP(A219,ScaledPrice,IF(AND('Pricing Inputs'!$AQ$3&gt;=3,'Pricing Inputs'!$AQ$3&lt;=6),7,8))),0))</f>
        <v> </v>
      </c>
      <c r="N219" s="279" t="str">
        <f aca="false">IF(A219="N/A"," ",IF(OR('Pricing Inputs'!$AQ$3=3,'Pricing Inputs'!$AQ$3=6,'Pricing Inputs'!$AQ$3=9),IF(AND('Pricing Inputs'!$AQ$3&gt;=3,'Pricing Inputs'!$AQ$3&lt;=6),M219,(VLOOKUP(A219,ScaledPrice,7))*(2-(VLOOKUP(A219,ScaledPrice,3)))),0))</f>
        <v> </v>
      </c>
      <c r="O219" s="279" t="str">
        <f aca="false">IF(A219="N/A"," ",IF(AND('Pricing Inputs'!$AQ$3&gt;=1,'Pricing Inputs'!$AQ$3&lt;=3),VLOOKUP(A219,ScaledPrice,9),0))</f>
        <v> </v>
      </c>
      <c r="P219" s="280" t="str">
        <f aca="false">IF($A219="N/A"," ",IF('Pricing Inputs'!$AN$8=2,(I219-H219),IF('Pricing Inputs'!$AN$3=2,IF((I219-$H219)&gt;0,I219-$H219,0),(xSPRDOPT(I219,$E219,$BU219,0,$BP219,$BS219,$BT219,($A219-Inputs!$D$1)+15,1,0)))))</f>
        <v> </v>
      </c>
      <c r="Q219" s="280" t="str">
        <f aca="false">IF($A219="N/A"," ",IF('Pricing Inputs'!$AN$8=2,(J219-$H219),IF('Pricing Inputs'!$AN$3=2,IF((J219-$H219)&gt;0,J219-$H219,0),(xSPRDOPT(J219,$E219,$BU219,0,$BP219,$BS219,$BT219,($A219-Inputs!$D$1)+15,1,0)))))</f>
        <v> </v>
      </c>
      <c r="R219" s="280" t="str">
        <f aca="false">IF($A219="N/A"," ",IF('Pricing Inputs'!$AN$8=2,(K219-$H219),IF('Pricing Inputs'!$AN$3=2,IF((K219-$H219)&gt;0,K219-$H219,0),(xSPRDOPT(K219,$E219,$BU219,0,$BP219,$BS219,$BT219,($A219-Inputs!$D$1)+15,1,0)))))</f>
        <v> </v>
      </c>
      <c r="S219" s="280" t="str">
        <f aca="false">IF($A219="N/A"," ",IF('Pricing Inputs'!$AN$8=2,(L219-$H219),IF('Pricing Inputs'!$AN$3=2,IF((L219-$H219)&gt;0,L219-$H219,0),(xSPRDOPT(L219,$E219,$BU219,0,$BP219,$BS219,$BT219,($A219-Inputs!$D$1)+15,1,0)))))</f>
        <v> </v>
      </c>
      <c r="T219" s="280" t="str">
        <f aca="false">IF($A219="N/A"," ",IF('Pricing Inputs'!$AN$8=2,(M219-$H219),IF('Pricing Inputs'!$AN$3=2,IF((M219-$H219)&gt;0,M219-$H219,0),(xSPRDOPT(M219,$E219,$BU219,0,$BP219,$BS219,$BT219,($A219-Inputs!$D$1)+15,1,0)))))</f>
        <v> </v>
      </c>
      <c r="U219" s="280" t="str">
        <f aca="false">IF($A219="N/A"," ",IF('Pricing Inputs'!$AN$8=2,(N219-$H219),IF('Pricing Inputs'!$AN$3=2,IF((N219-$H219)&gt;0,N219-$H219,0),(xSPRDOPT(N219,$E219,$BU219,0,$BP219,$BS219,$BT219,($A219-Inputs!$D$1)+15,1,0)))))</f>
        <v> </v>
      </c>
      <c r="V219" s="281" t="str">
        <f aca="false">IF($A219="N/A"," ",(IF('Pricing Inputs'!$AN$8=2,(O219-$H219),IF((O219-$H219)&lt;=0,0,(O219-$H219)))))</f>
        <v> </v>
      </c>
      <c r="W219" s="282" t="str">
        <f aca="false">IF($A219="N/A"," ",IF(0&lt;&gt;P219,IF('Pricing Inputs'!$AN$3=2,8*VLOOKUP($A219,NumberofDaysTable,2),(xSPRDOPT(I219,$E219,$BU219,0,$BP219,$BS219,$BT219,$A219-Inputs!$D$1,1,1))*(8*VLOOKUP($A219,NumberofDaysTable,2))),0))</f>
        <v> </v>
      </c>
      <c r="X219" s="282" t="str">
        <f aca="false">IF($A219="N/A"," ",IF(Q219&lt;&gt;0,IF('Pricing Inputs'!$AN$3=2,8*VLOOKUP($A219,NumberofDaysTable,2),(xSPRDOPT(J219,$E219,$BU219,0,$BP219,$BS219,$BT219,$A219-Inputs!$D$1,1,1))*(8*VLOOKUP($A219,NumberofDaysTable,2))),0))</f>
        <v> </v>
      </c>
      <c r="Y219" s="282" t="str">
        <f aca="false">IF($A219="N/A"," ",IF(R219&lt;&gt;0,IF('Pricing Inputs'!$AN$3=2,8*VLOOKUP($A219,NumberofDaysTable,3),(xSPRDOPT(K219,$E219,$BU219,0,$BP219,$BS219,$BT219,$A219-Inputs!$D$1,1,1))*(8*VLOOKUP($A219,NumberofDaysTable,3))),0))</f>
        <v> </v>
      </c>
      <c r="Z219" s="282" t="str">
        <f aca="false">IF($A219="N/A"," ",IF(S219&lt;&gt;0,IF('Pricing Inputs'!$AN$3=2,8*VLOOKUP($A219,NumberofDaysTable,3),(xSPRDOPT(L219,$E219,$BU219,0,$BP219,$BS219,$BT219,$A219-Inputs!$D$1,1,1))*(8*VLOOKUP($A219,NumberofDaysTable,3))),0))</f>
        <v> </v>
      </c>
      <c r="AA219" s="282" t="str">
        <f aca="false">IF($A219="N/A"," ",IF(T219&lt;&gt;0,IF('Pricing Inputs'!$AN$3=2,8*VLOOKUP($A219,NumberofDaysTable,4),(xSPRDOPT(M219,$E219,$BU219,0,$BP219,$BS219,$BT219,$A219-Inputs!$D$1,1,1))*(8*VLOOKUP($A219,NumberofDaysTable,4))),0))</f>
        <v> </v>
      </c>
      <c r="AB219" s="282" t="str">
        <f aca="false">IF($A219="N/A"," ",IF(U219&lt;&gt;0,IF('Pricing Inputs'!$AN$3=2,8*VLOOKUP($A219,NumberofDaysTable,4),(xSPRDOPT(N219,$E219,$BU219,0,$BP219,$BS219,$BT219,$A219-Inputs!$D$1,1,1))*(8*VLOOKUP($A219,NumberofDaysTable,4))),0))</f>
        <v> </v>
      </c>
      <c r="AC219" s="282" t="str">
        <f aca="false">IF($A219="N/A"," ",(IF(V219&lt;&gt;0,(8*VLOOKUP($A219,NumberofDaysTable,6)),0)))</f>
        <v> </v>
      </c>
      <c r="AD219" s="305" t="str">
        <f aca="false">IF($A219="N/A"," ",RANK(P219,$P$208:$V$219))</f>
        <v> </v>
      </c>
      <c r="AE219" s="306" t="str">
        <f aca="false">IF($A219="N/A"," ",RANK(Q219,$P$208:$V$219))</f>
        <v> </v>
      </c>
      <c r="AF219" s="306" t="str">
        <f aca="false">IF($A219="N/A"," ",RANK(R219,$P$208:$V$219))</f>
        <v> </v>
      </c>
      <c r="AG219" s="306" t="str">
        <f aca="false">IF($A219="N/A"," ",RANK(S219,$P$208:$V$219))</f>
        <v> </v>
      </c>
      <c r="AH219" s="306" t="str">
        <f aca="false">IF($A219="N/A"," ",RANK(T219,$P$208:$V$219))</f>
        <v> </v>
      </c>
      <c r="AI219" s="306" t="str">
        <f aca="false">IF($A219="N/A"," ",RANK(U219,$P$208:$V$219))</f>
        <v> </v>
      </c>
      <c r="AJ219" s="307" t="str">
        <f aca="false">IF($A219="N/A"," ",RANK(V219,$P$208:$V$219))</f>
        <v> </v>
      </c>
      <c r="AK219" s="308" t="str">
        <f aca="false">IF($A219="N/A"," ",IF(AD219&lt;=$AJ$2,W219,0))</f>
        <v> </v>
      </c>
      <c r="AL219" s="309" t="str">
        <f aca="false">IF($A219="N/A"," ",IF(AE219&lt;=$AJ$2,X219,0))</f>
        <v> </v>
      </c>
      <c r="AM219" s="309" t="str">
        <f aca="false">IF($A219="N/A"," ",IF(AF219&lt;=$AJ$2,Y219,0))</f>
        <v> </v>
      </c>
      <c r="AN219" s="309" t="str">
        <f aca="false">IF($A219="N/A"," ",IF(AG219&lt;=$AJ$2,Z219,0))</f>
        <v> </v>
      </c>
      <c r="AO219" s="309" t="str">
        <f aca="false">IF($A219="N/A"," ",IF(AH219&lt;=$AJ$2,AA219,0))</f>
        <v> </v>
      </c>
      <c r="AP219" s="309" t="str">
        <f aca="false">IF($A219="N/A"," ",IF(AI219&lt;=$AJ$2,AB219,0))</f>
        <v> </v>
      </c>
      <c r="AQ219" s="309" t="str">
        <f aca="false">IF($A219="N/A"," ",IF(AJ219&lt;=$AJ$2,AC219,0))</f>
        <v> </v>
      </c>
      <c r="AR219" s="307" t="n">
        <f aca="false">IF(($AP$2-AR218)&gt;=0,$AP$2-AR218,0)</f>
        <v>1400</v>
      </c>
      <c r="AS219" s="310" t="str">
        <f aca="false">IF($A219="N/A"," ",IF(AND(AD219=$AJ$2+1,AK219=0),MIN($AR$219,W219),0))</f>
        <v> </v>
      </c>
      <c r="AT219" s="311" t="str">
        <f aca="false">IF($A219="N/A"," ",IF(AND(AE219=$AJ$2+1,AL219=0),MIN($AR$219,X219),0))</f>
        <v> </v>
      </c>
      <c r="AU219" s="311" t="str">
        <f aca="false">IF($A219="N/A"," ",IF(AND(AF219=$AJ$2+1,AM219=0),MIN($AR$219,Y219),0))</f>
        <v> </v>
      </c>
      <c r="AV219" s="311" t="str">
        <f aca="false">IF($A219="N/A"," ",IF(AND(AG219=$AJ$2+1,AN219=0),MIN($AR$219,Z219),0))</f>
        <v> </v>
      </c>
      <c r="AW219" s="311" t="str">
        <f aca="false">IF($A219="N/A"," ",IF(AND(AH219=$AJ$2+1,AO219=0),MIN($AR$219,AA219),0))</f>
        <v> </v>
      </c>
      <c r="AX219" s="311" t="str">
        <f aca="false">IF($A219="N/A"," ",IF(AND(AI219=$AJ$2+1,AP219=0),MIN($AR$219,AB219),0))</f>
        <v> </v>
      </c>
      <c r="AY219" s="311" t="str">
        <f aca="false">IF($A219="N/A"," ",IF(AND(AJ219=$AJ$2+1,AQ219=0),MIN($AR$219,AC219),0))</f>
        <v> </v>
      </c>
      <c r="AZ219" s="312" t="n">
        <f aca="false">AR218+AZ218</f>
        <v>0</v>
      </c>
      <c r="BA219" s="291" t="str">
        <f aca="false">IF($A219="N/A"," ",(IF(MONTH(A219)&gt;=4,IF(MONTH(A219)&lt;=10,Inputs!$F$13,Inputs!$F$14),Inputs!$F$14))*$BW219)</f>
        <v> </v>
      </c>
      <c r="BB219" s="292" t="str">
        <f aca="false">IF($A219="N/A"," ",(IF(AK219&gt;0,($BA219*(8*(VLOOKUP($A219,NumberofDaysTable,2)))*P219),0)+IF(AS219&gt;0,($BA219*((AS219))*P219),0)))</f>
        <v> </v>
      </c>
      <c r="BC219" s="292" t="str">
        <f aca="false">IF($A219="N/A"," ",(IF(AL219&gt;0,($BA219*(8*(VLOOKUP($A219,NumberofDaysTable,2)))*Q219),0)+IF(AT219&gt;0,($BA219*((AT219))*Q219),0)))</f>
        <v> </v>
      </c>
      <c r="BD219" s="292" t="str">
        <f aca="false">IF($A219="N/A"," ",(IF(AM219&gt;0,($BA219*(8*(VLOOKUP($A219,NumberofDaysTable,3)))*R219),0)+IF(AU219&gt;0,($BA219*((AU219))*R219),0)))</f>
        <v> </v>
      </c>
      <c r="BE219" s="292" t="str">
        <f aca="false">IF($A219="N/A"," ",(IF(AN219&gt;0,($BA219*(8*(VLOOKUP($A219,NumberofDaysTable,3)))*S219),0)+IF(AV219&gt;0,($BA219*((AV219))*S219),0)))</f>
        <v> </v>
      </c>
      <c r="BF219" s="292" t="str">
        <f aca="false">IF($A219="N/A"," ",(IF(AO219&gt;0,($BA219*(8*(VLOOKUP($A219,NumberofDaysTable,4)+VLOOKUP($A219,NumberofDaysTable,5)))*T219),0)+IF(AW219&gt;0,($BA219*((AW219))*T219),0)))</f>
        <v> </v>
      </c>
      <c r="BG219" s="292" t="str">
        <f aca="false">IF($A219="N/A"," ",(IF(AP219&gt;0,($BA219*(8*(VLOOKUP($A219,NumberofDaysTable,4)+VLOOKUP($A219,NumberofDaysTable,5)))*U219),0)+IF(AX219&gt;0,($BA219*((AX219))*U219),0)))</f>
        <v> </v>
      </c>
      <c r="BH219" s="292" t="str">
        <f aca="false">IF($A219="N/A"," ",($BA219*AQ219*V219))</f>
        <v> </v>
      </c>
      <c r="BI219" s="292" t="str">
        <f aca="false">IF($A219="N/A"," ",SUM(BB219:BH219))</f>
        <v> </v>
      </c>
      <c r="BJ219" s="293" t="str">
        <f aca="false">IF($A219="N/A"," ",(H219*(SUM(AK219:AQ219)+SUM(AS219:AY219))*BA219))</f>
        <v> </v>
      </c>
      <c r="BK219" s="293" t="str">
        <f aca="false">IF($A219="N/A"," ",((C219*D219)*(SUM($AK219:$AQ219)+SUM($AS219:$AY219))*$BA219))</f>
        <v> </v>
      </c>
      <c r="BL219" s="293" t="str">
        <f aca="false">IF($A219="N/A"," ",(F219*(SUM($AK219:$AQ219)+SUM($AS219:$AY219))*$BA219))</f>
        <v> </v>
      </c>
      <c r="BM219" s="293" t="str">
        <f aca="false">IF($A219="N/A"," ",(G219*(SUM($AK219:$AQ219)+SUM($AS219:$AY219))*$BA219))</f>
        <v> </v>
      </c>
      <c r="BN219" s="294" t="str">
        <f aca="false">IF(A219="N/A"," ",(VLOOKUP(A219,PowerVolTable,(IF('Pricing Inputs'!$AT$3=2,7,IF('Pricing Inputs'!$AT$3=1,6,8))),FALSE())))</f>
        <v> </v>
      </c>
      <c r="BO219" s="294" t="str">
        <f aca="false">IF(A219="N/A"," ",(VLOOKUP(A219,IntraPowerVol,(IF('Pricing Inputs'!$AT$3=2,3,IF('Pricing Inputs'!$AT$3=1,2,4))),FALSE())*VLOOKUP(MONTH($A219),Inputs!$A$28:$B$39,2)))</f>
        <v> </v>
      </c>
      <c r="BP219" s="295" t="str">
        <f aca="false">IF($A219="N/A"," ",(IF(DateToday&gt;$A219,$BO219,((($BN219^2)*((($A219-1)-DateToday)/((EOMONTH($A219,0)+1)-DateToday-15)))+((($BO219)^2)*((15)/((EOMONTH($A219,0)+1)-DateToday-15))))^0.5)))</f>
        <v> </v>
      </c>
      <c r="BQ219" s="294" t="str">
        <f aca="false">IF($A219="N/A"," ",(VLOOKUP($A219,GasVolTable,(IF('Pricing Inputs'!$AT$3=2,6,IF('Pricing Inputs'!$AT$3=1,7,5))),FALSE())))</f>
        <v> </v>
      </c>
      <c r="BR219" s="294" t="str">
        <f aca="false">IF($A219="N/A"," ",(VLOOKUP($A219,OmicronVol,(IF('Pricing Inputs'!$AT$3=2,3,IF('Pricing Inputs'!$AT$3=1,4,2))),FALSE())))</f>
        <v> </v>
      </c>
      <c r="BS219" s="295" t="str">
        <f aca="false">IF($A219="N/A"," ",IF('Pricing Inputs'!$AN$3=1,(IF(DateToday&gt;$A219,$BR219,((($BQ219^2)*((($A219-1)-DateToday)/((EOMONTH($A219,0)+1)-DateToday-15)))+((($BR219)^2)*((15)/((EOMONTH($A219,0)+1)-DateToday-15))))^0.5)),0.0001))</f>
        <v> </v>
      </c>
      <c r="BT219" s="294" t="str">
        <f aca="false">IF($A219="N/A"," ",IF('Pricing Inputs'!$AN$3=1,(VLOOKUP($A219,CorrelationTable,2,FALSE())),0))</f>
        <v> </v>
      </c>
      <c r="BU219" s="296" t="str">
        <f aca="false">IF($A219="N/A"," ",F219+G219+(D219*(VLOOKUP($A219,'Gas Curves'!$B$17:$P$310,14,FALSE()))))</f>
        <v> </v>
      </c>
      <c r="BV219" s="294" t="str">
        <f aca="false">IF($A219="N/A"," ",IF('Pricing Inputs'!$AW$3=1,0,(VLOOKUP($A219,InterestRatesTable,2))))</f>
        <v> </v>
      </c>
      <c r="BW219" s="297" t="str">
        <f aca="false">IF($A219="N/A"," ",(1+BV219/2)^(-2*((EOMONTH(A219,0)+20)-DateToday)/365.25))</f>
        <v> </v>
      </c>
    </row>
    <row r="220" customFormat="false" ht="12.75" hidden="false" customHeight="false" outlineLevel="0" collapsed="false">
      <c r="A220" s="272" t="str">
        <f aca="false">IF(A219="N/A","N/A",IF(EDATE(A219,1)&gt;Inputs!$K$3,"N/A",EDATE(A219,1)))</f>
        <v>N/A</v>
      </c>
      <c r="B220" s="273" t="str">
        <f aca="false">IF(A220="N/A"," ",YEAR(A220))</f>
        <v> </v>
      </c>
      <c r="C220" s="274" t="str">
        <f aca="false">IF(A220="N/A"," ",VLOOKUP(A220,ScaledPrice,10))</f>
        <v> </v>
      </c>
      <c r="D220" s="275" t="str">
        <f aca="false">IF(A220="N/A"," ",(VLOOKUP(MONTH($A220),Inputs!$A$14:$B$25,2))/1000)</f>
        <v> </v>
      </c>
      <c r="E220" s="276" t="str">
        <f aca="false">IF($A220="N/A"," ",C220*D220)</f>
        <v> </v>
      </c>
      <c r="F220" s="277" t="str">
        <f aca="false">IF(A220="N/A"," ",Inputs!$F$6)</f>
        <v> </v>
      </c>
      <c r="G220" s="277" t="str">
        <f aca="false">IF(A220="N/A"," ",Inputs!$F$9/IF(AND('Pricing Inputs'!$AQ$3&gt;=4,'Pricing Inputs'!$AQ$3&lt;=6),16,IF(AND('Pricing Inputs'!$AQ$3&gt;=7,'Pricing Inputs'!$AQ$3&lt;=9),8,24))/(BA220/BW220))</f>
        <v> </v>
      </c>
      <c r="H220" s="278" t="str">
        <f aca="false">IF(A220="N/A"," ",(C220*D220)+F220+G220)</f>
        <v> </v>
      </c>
      <c r="I220" s="279" t="str">
        <f aca="false">VLOOKUP(A220,ScaledPrice,(IF(AND('Pricing Inputs'!$AQ$3&gt;=1,'Pricing Inputs'!$AQ$3&lt;=6),2,4)))</f>
        <v> </v>
      </c>
      <c r="J220" s="279" t="str">
        <f aca="false">IF(A220="N/A"," ",IF(AND('Pricing Inputs'!$AQ$3&gt;=1,'Pricing Inputs'!$AQ$3&lt;=6),I220,(VLOOKUP(A220,ScaledPrice,2))*(2-(VLOOKUP(A220,ScaledPrice,3)))))</f>
        <v> </v>
      </c>
      <c r="K220" s="279" t="str">
        <f aca="false">IF(A220="N/A"," ",IF(OR('Pricing Inputs'!$AQ$3=2,'Pricing Inputs'!$AQ$3=3,'Pricing Inputs'!$AQ$3=5,'Pricing Inputs'!$AQ$3=6,'Pricing Inputs'!$AQ$3=8,'Pricing Inputs'!$AQ$3=9),VLOOKUP(A220,ScaledPrice,IF(AND('Pricing Inputs'!$AQ$3&gt;=2,'Pricing Inputs'!$AQ$3&lt;=6),5,6)),0))</f>
        <v> </v>
      </c>
      <c r="L220" s="279" t="str">
        <f aca="false">IF(A220="N/A"," ",IF(OR('Pricing Inputs'!$AQ$3=2,'Pricing Inputs'!$AQ$3=3,'Pricing Inputs'!$AQ$3=5,'Pricing Inputs'!$AQ$3=6,'Pricing Inputs'!$AQ$3=8,'Pricing Inputs'!$AQ$3=9),IF(AND('Pricing Inputs'!$AQ$3&gt;=2,'Pricing Inputs'!$AQ$3&lt;=6),K220,(VLOOKUP(A220,ScaledPrice,5))*(2-(VLOOKUP(A220,ScaledPrice,3)))),0))</f>
        <v> </v>
      </c>
      <c r="M220" s="279" t="str">
        <f aca="false">IF(A220="N/A"," ",IF(OR('Pricing Inputs'!$AQ$3=3,'Pricing Inputs'!$AQ$3=6,'Pricing Inputs'!$AQ$3=9),(VLOOKUP(A220,ScaledPrice,IF(AND('Pricing Inputs'!$AQ$3&gt;=3,'Pricing Inputs'!$AQ$3&lt;=6),7,8))),0))</f>
        <v> </v>
      </c>
      <c r="N220" s="279" t="str">
        <f aca="false">IF(A220="N/A"," ",IF(OR('Pricing Inputs'!$AQ$3=3,'Pricing Inputs'!$AQ$3=6,'Pricing Inputs'!$AQ$3=9),IF(AND('Pricing Inputs'!$AQ$3&gt;=3,'Pricing Inputs'!$AQ$3&lt;=6),M220,(VLOOKUP(A220,ScaledPrice,7))*(2-(VLOOKUP(A220,ScaledPrice,3)))),0))</f>
        <v> </v>
      </c>
      <c r="O220" s="279" t="str">
        <f aca="false">IF(A220="N/A"," ",IF(AND('Pricing Inputs'!$AQ$3&gt;=1,'Pricing Inputs'!$AQ$3&lt;=3),VLOOKUP(A220,ScaledPrice,9),0))</f>
        <v> </v>
      </c>
      <c r="P220" s="280" t="str">
        <f aca="false">IF($A220="N/A"," ",IF('Pricing Inputs'!$AN$8=2,(I220-H220),IF('Pricing Inputs'!$AN$3=2,IF((I220-$H220)&gt;0,I220-$H220,0),(xSPRDOPT(I220,$E220,$BU220,0,$BP220,$BS220,$BT220,($A220-Inputs!$D$1)+15,1,0)))))</f>
        <v> </v>
      </c>
      <c r="Q220" s="280" t="str">
        <f aca="false">IF($A220="N/A"," ",IF('Pricing Inputs'!$AN$8=2,(J220-$H220),IF('Pricing Inputs'!$AN$3=2,IF((J220-$H220)&gt;0,J220-$H220,0),(xSPRDOPT(J220,$E220,$BU220,0,$BP220,$BS220,$BT220,($A220-Inputs!$D$1)+15,1,0)))))</f>
        <v> </v>
      </c>
      <c r="R220" s="280" t="str">
        <f aca="false">IF($A220="N/A"," ",IF('Pricing Inputs'!$AN$8=2,(K220-$H220),IF('Pricing Inputs'!$AN$3=2,IF((K220-$H220)&gt;0,K220-$H220,0),(xSPRDOPT(K220,$E220,$BU220,0,$BP220,$BS220,$BT220,($A220-Inputs!$D$1)+15,1,0)))))</f>
        <v> </v>
      </c>
      <c r="S220" s="280" t="str">
        <f aca="false">IF($A220="N/A"," ",IF('Pricing Inputs'!$AN$8=2,(L220-$H220),IF('Pricing Inputs'!$AN$3=2,IF((L220-$H220)&gt;0,L220-$H220,0),(xSPRDOPT(L220,$E220,$BU220,0,$BP220,$BS220,$BT220,($A220-Inputs!$D$1)+15,1,0)))))</f>
        <v> </v>
      </c>
      <c r="T220" s="280" t="str">
        <f aca="false">IF($A220="N/A"," ",IF('Pricing Inputs'!$AN$8=2,(M220-$H220),IF('Pricing Inputs'!$AN$3=2,IF((M220-$H220)&gt;0,M220-$H220,0),(xSPRDOPT(M220,$E220,$BU220,0,$BP220,$BS220,$BT220,($A220-Inputs!$D$1)+15,1,0)))))</f>
        <v> </v>
      </c>
      <c r="U220" s="280" t="str">
        <f aca="false">IF($A220="N/A"," ",IF('Pricing Inputs'!$AN$8=2,(N220-$H220),IF('Pricing Inputs'!$AN$3=2,IF((N220-$H220)&gt;0,N220-$H220,0),(xSPRDOPT(N220,$E220,$BU220,0,$BP220,$BS220,$BT220,($A220-Inputs!$D$1)+15,1,0)))))</f>
        <v> </v>
      </c>
      <c r="V220" s="281" t="str">
        <f aca="false">IF($A220="N/A"," ",(IF('Pricing Inputs'!$AN$8=2,(O220-$H220),IF((O220-$H220)&lt;=0,0,(O220-$H220)))))</f>
        <v> </v>
      </c>
      <c r="W220" s="282" t="str">
        <f aca="false">IF($A220="N/A"," ",IF(0&lt;&gt;P220,IF('Pricing Inputs'!$AN$3=2,8*VLOOKUP($A220,NumberofDaysTable,2),(xSPRDOPT(I220,$E220,$BU220,0,$BP220,$BS220,$BT220,$A220-Inputs!$D$1,1,1))*(8*VLOOKUP($A220,NumberofDaysTable,2))),0))</f>
        <v> </v>
      </c>
      <c r="X220" s="282" t="str">
        <f aca="false">IF($A220="N/A"," ",IF(Q220&lt;&gt;0,IF('Pricing Inputs'!$AN$3=2,8*VLOOKUP($A220,NumberofDaysTable,2),(xSPRDOPT(J220,$E220,$BU220,0,$BP220,$BS220,$BT220,$A220-Inputs!$D$1,1,1))*(8*VLOOKUP($A220,NumberofDaysTable,2))),0))</f>
        <v> </v>
      </c>
      <c r="Y220" s="282" t="str">
        <f aca="false">IF($A220="N/A"," ",IF(R220&lt;&gt;0,IF('Pricing Inputs'!$AN$3=2,8*VLOOKUP($A220,NumberofDaysTable,3),(xSPRDOPT(K220,$E220,$BU220,0,$BP220,$BS220,$BT220,$A220-Inputs!$D$1,1,1))*(8*VLOOKUP($A220,NumberofDaysTable,3))),0))</f>
        <v> </v>
      </c>
      <c r="Z220" s="282" t="str">
        <f aca="false">IF($A220="N/A"," ",IF(S220&lt;&gt;0,IF('Pricing Inputs'!$AN$3=2,8*VLOOKUP($A220,NumberofDaysTable,3),(xSPRDOPT(L220,$E220,$BU220,0,$BP220,$BS220,$BT220,$A220-Inputs!$D$1,1,1))*(8*VLOOKUP($A220,NumberofDaysTable,3))),0))</f>
        <v> </v>
      </c>
      <c r="AA220" s="282" t="str">
        <f aca="false">IF($A220="N/A"," ",IF(T220&lt;&gt;0,IF('Pricing Inputs'!$AN$3=2,8*VLOOKUP($A220,NumberofDaysTable,4),(xSPRDOPT(M220,$E220,$BU220,0,$BP220,$BS220,$BT220,$A220-Inputs!$D$1,1,1))*(8*VLOOKUP($A220,NumberofDaysTable,4))),0))</f>
        <v> </v>
      </c>
      <c r="AB220" s="282" t="str">
        <f aca="false">IF($A220="N/A"," ",IF(U220&lt;&gt;0,IF('Pricing Inputs'!$AN$3=2,8*VLOOKUP($A220,NumberofDaysTable,4),(xSPRDOPT(N220,$E220,$BU220,0,$BP220,$BS220,$BT220,$A220-Inputs!$D$1,1,1))*(8*VLOOKUP($A220,NumberofDaysTable,4))),0))</f>
        <v> </v>
      </c>
      <c r="AC220" s="282" t="str">
        <f aca="false">IF($A220="N/A"," ",(IF(V220&lt;&gt;0,(8*VLOOKUP($A220,NumberofDaysTable,6)),0)))</f>
        <v> </v>
      </c>
      <c r="AD220" s="283" t="str">
        <f aca="false">IF($A220="N/A"," ",RANK(P220,$P$220:$V$231))</f>
        <v> </v>
      </c>
      <c r="AE220" s="284" t="str">
        <f aca="false">IF($A220="N/A"," ",RANK(Q220,$P$220:$V$231))</f>
        <v> </v>
      </c>
      <c r="AF220" s="284" t="str">
        <f aca="false">IF($A220="N/A"," ",RANK(R220,$P$220:$V$231))</f>
        <v> </v>
      </c>
      <c r="AG220" s="284" t="str">
        <f aca="false">IF($A220="N/A"," ",RANK(S220,$P$220:$V$231))</f>
        <v> </v>
      </c>
      <c r="AH220" s="284" t="str">
        <f aca="false">IF($A220="N/A"," ",RANK(T220,$P$220:$V$231))</f>
        <v> </v>
      </c>
      <c r="AI220" s="284" t="str">
        <f aca="false">IF($A220="N/A"," ",RANK(U220,$P$220:$V$231))</f>
        <v> </v>
      </c>
      <c r="AJ220" s="285" t="str">
        <f aca="false">IF($A220="N/A"," ",RANK(V220,$P$220:$V$231))</f>
        <v> </v>
      </c>
      <c r="AK220" s="313" t="str">
        <f aca="false">IF($A220="N/A"," ",IF(AD220&lt;=$AJ$2,W220,0))</f>
        <v> </v>
      </c>
      <c r="AL220" s="287" t="str">
        <f aca="false">IF($A220="N/A"," ",IF(AE220&lt;=$AJ$2,X220,0))</f>
        <v> </v>
      </c>
      <c r="AM220" s="287" t="str">
        <f aca="false">IF($A220="N/A"," ",IF(AF220&lt;=$AJ$2,Y220,0))</f>
        <v> </v>
      </c>
      <c r="AN220" s="287" t="str">
        <f aca="false">IF($A220="N/A"," ",IF(AG220&lt;=$AJ$2,Z220,0))</f>
        <v> </v>
      </c>
      <c r="AO220" s="287" t="str">
        <f aca="false">IF($A220="N/A"," ",IF(AH220&lt;=$AJ$2,AA220,0))</f>
        <v> </v>
      </c>
      <c r="AP220" s="287" t="str">
        <f aca="false">IF($A220="N/A"," ",IF(AI220&lt;=$AJ$2,AB220,0))</f>
        <v> </v>
      </c>
      <c r="AQ220" s="287" t="str">
        <f aca="false">IF($A220="N/A"," ",IF(AJ220&lt;=$AJ$2,AC220,0))</f>
        <v> </v>
      </c>
      <c r="AR220" s="285"/>
      <c r="AS220" s="314" t="str">
        <f aca="false">IF($A220="N/A"," ",IF(AND(AD220=$AJ$2+1,AK220=0),MIN($AR$231,W220),0))</f>
        <v> </v>
      </c>
      <c r="AT220" s="289" t="str">
        <f aca="false">IF($A220="N/A"," ",IF(AND(AE220=$AJ$2+1,AL220=0),MIN($AR$231,X220),0))</f>
        <v> </v>
      </c>
      <c r="AU220" s="289" t="str">
        <f aca="false">IF($A220="N/A"," ",IF(AND(AF220=$AJ$2+1,AM220=0),MIN($AR$231,Y220),0))</f>
        <v> </v>
      </c>
      <c r="AV220" s="289" t="str">
        <f aca="false">IF($A220="N/A"," ",IF(AND(AG220=$AJ$2+1,AN220=0),MIN($AR$231,Z220),0))</f>
        <v> </v>
      </c>
      <c r="AW220" s="289" t="str">
        <f aca="false">IF($A220="N/A"," ",IF(AND(AH220=$AJ$2+1,AO220=0),MIN($AR$231,AA220),0))</f>
        <v> </v>
      </c>
      <c r="AX220" s="289" t="str">
        <f aca="false">IF($A220="N/A"," ",IF(AND(AI220=$AJ$2+1,AP220=0),MIN($AR$231,AB220),0))</f>
        <v> </v>
      </c>
      <c r="AY220" s="289" t="str">
        <f aca="false">IF($A220="N/A"," ",IF(AND(AJ220=$AJ$2+1,AQ220=0),MIN($AR$231,AC220),0))</f>
        <v> </v>
      </c>
      <c r="AZ220" s="285"/>
      <c r="BA220" s="291" t="str">
        <f aca="false">IF($A220="N/A"," ",(IF(MONTH(A220)&gt;=4,IF(MONTH(A220)&lt;=10,Inputs!$F$13,Inputs!$F$14),Inputs!$F$14))*$BW220)</f>
        <v> </v>
      </c>
      <c r="BB220" s="292" t="str">
        <f aca="false">IF($A220="N/A"," ",(IF(AK220&gt;0,($BA220*(8*(VLOOKUP($A220,NumberofDaysTable,2)))*P220),0)+IF(AS220&gt;0,($BA220*((AS220))*P220),0)))</f>
        <v> </v>
      </c>
      <c r="BC220" s="292" t="str">
        <f aca="false">IF($A220="N/A"," ",(IF(AL220&gt;0,($BA220*(8*(VLOOKUP($A220,NumberofDaysTable,2)))*Q220),0)+IF(AT220&gt;0,($BA220*((AT220))*Q220),0)))</f>
        <v> </v>
      </c>
      <c r="BD220" s="292" t="str">
        <f aca="false">IF($A220="N/A"," ",(IF(AM220&gt;0,($BA220*(8*(VLOOKUP($A220,NumberofDaysTable,3)))*R220),0)+IF(AU220&gt;0,($BA220*((AU220))*R220),0)))</f>
        <v> </v>
      </c>
      <c r="BE220" s="292" t="str">
        <f aca="false">IF($A220="N/A"," ",(IF(AN220&gt;0,($BA220*(8*(VLOOKUP($A220,NumberofDaysTable,3)))*S220),0)+IF(AV220&gt;0,($BA220*((AV220))*S220),0)))</f>
        <v> </v>
      </c>
      <c r="BF220" s="292" t="str">
        <f aca="false">IF($A220="N/A"," ",(IF(AO220&gt;0,($BA220*(8*(VLOOKUP($A220,NumberofDaysTable,4)+VLOOKUP($A220,NumberofDaysTable,5)))*T220),0)+IF(AW220&gt;0,($BA220*((AW220))*T220),0)))</f>
        <v> </v>
      </c>
      <c r="BG220" s="292" t="str">
        <f aca="false">IF($A220="N/A"," ",(IF(AP220&gt;0,($BA220*(8*(VLOOKUP($A220,NumberofDaysTable,4)+VLOOKUP($A220,NumberofDaysTable,5)))*U220),0)+IF(AX220&gt;0,($BA220*((AX220))*U220),0)))</f>
        <v> </v>
      </c>
      <c r="BH220" s="292" t="str">
        <f aca="false">IF($A220="N/A"," ",($BA220*AQ220*V220))</f>
        <v> </v>
      </c>
      <c r="BI220" s="292" t="str">
        <f aca="false">IF($A220="N/A"," ",SUM(BB220:BH220))</f>
        <v> </v>
      </c>
      <c r="BJ220" s="293" t="str">
        <f aca="false">IF($A220="N/A"," ",(H220*(SUM(AK220:AQ220)+SUM(AS220:AY220))*BA220))</f>
        <v> </v>
      </c>
      <c r="BK220" s="293" t="str">
        <f aca="false">IF($A220="N/A"," ",((C220*D220)*(SUM($AK220:$AQ220)+SUM($AS220:$AY220))*$BA220))</f>
        <v> </v>
      </c>
      <c r="BL220" s="293" t="str">
        <f aca="false">IF($A220="N/A"," ",(F220*(SUM($AK220:$AQ220)+SUM($AS220:$AY220))*$BA220))</f>
        <v> </v>
      </c>
      <c r="BM220" s="293" t="str">
        <f aca="false">IF($A220="N/A"," ",(G220*(SUM($AK220:$AQ220)+SUM($AS220:$AY220))*$BA220))</f>
        <v> </v>
      </c>
      <c r="BN220" s="294" t="str">
        <f aca="false">IF(A220="N/A"," ",(VLOOKUP(A220,PowerVolTable,(IF('Pricing Inputs'!$AT$3=2,7,IF('Pricing Inputs'!$AT$3=1,6,8))),FALSE())))</f>
        <v> </v>
      </c>
      <c r="BO220" s="294" t="str">
        <f aca="false">IF(A220="N/A"," ",(VLOOKUP(A220,IntraPowerVol,(IF('Pricing Inputs'!$AT$3=2,3,IF('Pricing Inputs'!$AT$3=1,2,4))),FALSE())*VLOOKUP(MONTH($A220),Inputs!$A$28:$B$39,2)))</f>
        <v> </v>
      </c>
      <c r="BP220" s="295" t="str">
        <f aca="false">IF($A220="N/A"," ",(IF(DateToday&gt;$A220,$BO220,((($BN220^2)*((($A220-1)-DateToday)/((EOMONTH($A220,0)+1)-DateToday-15)))+((($BO220)^2)*((15)/((EOMONTH($A220,0)+1)-DateToday-15))))^0.5)))</f>
        <v> </v>
      </c>
      <c r="BQ220" s="294" t="str">
        <f aca="false">IF($A220="N/A"," ",(VLOOKUP($A220,GasVolTable,(IF('Pricing Inputs'!$AT$3=2,6,IF('Pricing Inputs'!$AT$3=1,7,5))),FALSE())))</f>
        <v> </v>
      </c>
      <c r="BR220" s="294" t="str">
        <f aca="false">IF($A220="N/A"," ",(VLOOKUP($A220,OmicronVol,(IF('Pricing Inputs'!$AT$3=2,3,IF('Pricing Inputs'!$AT$3=1,4,2))),FALSE())))</f>
        <v> </v>
      </c>
      <c r="BS220" s="295" t="str">
        <f aca="false">IF($A220="N/A"," ",IF('Pricing Inputs'!$AN$3=1,(IF(DateToday&gt;$A220,$BR220,((($BQ220^2)*((($A220-1)-DateToday)/((EOMONTH($A220,0)+1)-DateToday-15)))+((($BR220)^2)*((15)/((EOMONTH($A220,0)+1)-DateToday-15))))^0.5)),0.0001))</f>
        <v> </v>
      </c>
      <c r="BT220" s="294" t="str">
        <f aca="false">IF($A220="N/A"," ",IF('Pricing Inputs'!$AN$3=1,(VLOOKUP($A220,CorrelationTable,2,FALSE())),0))</f>
        <v> </v>
      </c>
      <c r="BU220" s="296" t="str">
        <f aca="false">IF($A220="N/A"," ",F220+G220+(D220*(VLOOKUP($A220,'Gas Curves'!$B$17:$P$310,14,FALSE()))))</f>
        <v> </v>
      </c>
      <c r="BV220" s="294" t="str">
        <f aca="false">IF($A220="N/A"," ",IF('Pricing Inputs'!$AW$3=1,0,(VLOOKUP($A220,InterestRatesTable,2))))</f>
        <v> </v>
      </c>
      <c r="BW220" s="297" t="str">
        <f aca="false">IF($A220="N/A"," ",(1+BV220/2)^(-2*((EOMONTH(A220,0)+20)-DateToday)/365.25))</f>
        <v> </v>
      </c>
    </row>
    <row r="221" customFormat="false" ht="12.75" hidden="false" customHeight="false" outlineLevel="0" collapsed="false">
      <c r="A221" s="272" t="str">
        <f aca="false">IF(A220="N/A","N/A",IF(EDATE(A220,1)&gt;Inputs!$K$3,"N/A",EDATE(A220,1)))</f>
        <v>N/A</v>
      </c>
      <c r="B221" s="273" t="str">
        <f aca="false">IF(A221="N/A"," ",YEAR(A221))</f>
        <v> </v>
      </c>
      <c r="C221" s="274" t="str">
        <f aca="false">IF(A221="N/A"," ",VLOOKUP(A221,ScaledPrice,10))</f>
        <v> </v>
      </c>
      <c r="D221" s="275" t="str">
        <f aca="false">IF(A221="N/A"," ",(VLOOKUP(MONTH($A221),Inputs!$A$14:$B$25,2))/1000)</f>
        <v> </v>
      </c>
      <c r="E221" s="276" t="str">
        <f aca="false">IF($A221="N/A"," ",C221*D221)</f>
        <v> </v>
      </c>
      <c r="F221" s="277" t="str">
        <f aca="false">IF(A221="N/A"," ",Inputs!$F$6)</f>
        <v> </v>
      </c>
      <c r="G221" s="277" t="str">
        <f aca="false">IF(A221="N/A"," ",Inputs!$F$9/IF(AND('Pricing Inputs'!$AQ$3&gt;=4,'Pricing Inputs'!$AQ$3&lt;=6),16,IF(AND('Pricing Inputs'!$AQ$3&gt;=7,'Pricing Inputs'!$AQ$3&lt;=9),8,24))/(BA221/BW221))</f>
        <v> </v>
      </c>
      <c r="H221" s="278" t="str">
        <f aca="false">IF(A221="N/A"," ",(C221*D221)+F221+G221)</f>
        <v> </v>
      </c>
      <c r="I221" s="279" t="str">
        <f aca="false">VLOOKUP(A221,ScaledPrice,(IF(AND('Pricing Inputs'!$AQ$3&gt;=1,'Pricing Inputs'!$AQ$3&lt;=6),2,4)))</f>
        <v> </v>
      </c>
      <c r="J221" s="279" t="str">
        <f aca="false">IF(A221="N/A"," ",IF(AND('Pricing Inputs'!$AQ$3&gt;=1,'Pricing Inputs'!$AQ$3&lt;=6),I221,(VLOOKUP(A221,ScaledPrice,2))*(2-(VLOOKUP(A221,ScaledPrice,3)))))</f>
        <v> </v>
      </c>
      <c r="K221" s="279" t="str">
        <f aca="false">IF(A221="N/A"," ",IF(OR('Pricing Inputs'!$AQ$3=2,'Pricing Inputs'!$AQ$3=3,'Pricing Inputs'!$AQ$3=5,'Pricing Inputs'!$AQ$3=6,'Pricing Inputs'!$AQ$3=8,'Pricing Inputs'!$AQ$3=9),VLOOKUP(A221,ScaledPrice,IF(AND('Pricing Inputs'!$AQ$3&gt;=2,'Pricing Inputs'!$AQ$3&lt;=6),5,6)),0))</f>
        <v> </v>
      </c>
      <c r="L221" s="279" t="str">
        <f aca="false">IF(A221="N/A"," ",IF(OR('Pricing Inputs'!$AQ$3=2,'Pricing Inputs'!$AQ$3=3,'Pricing Inputs'!$AQ$3=5,'Pricing Inputs'!$AQ$3=6,'Pricing Inputs'!$AQ$3=8,'Pricing Inputs'!$AQ$3=9),IF(AND('Pricing Inputs'!$AQ$3&gt;=2,'Pricing Inputs'!$AQ$3&lt;=6),K221,(VLOOKUP(A221,ScaledPrice,5))*(2-(VLOOKUP(A221,ScaledPrice,3)))),0))</f>
        <v> </v>
      </c>
      <c r="M221" s="279" t="str">
        <f aca="false">IF(A221="N/A"," ",IF(OR('Pricing Inputs'!$AQ$3=3,'Pricing Inputs'!$AQ$3=6,'Pricing Inputs'!$AQ$3=9),(VLOOKUP(A221,ScaledPrice,IF(AND('Pricing Inputs'!$AQ$3&gt;=3,'Pricing Inputs'!$AQ$3&lt;=6),7,8))),0))</f>
        <v> </v>
      </c>
      <c r="N221" s="279" t="str">
        <f aca="false">IF(A221="N/A"," ",IF(OR('Pricing Inputs'!$AQ$3=3,'Pricing Inputs'!$AQ$3=6,'Pricing Inputs'!$AQ$3=9),IF(AND('Pricing Inputs'!$AQ$3&gt;=3,'Pricing Inputs'!$AQ$3&lt;=6),M221,(VLOOKUP(A221,ScaledPrice,7))*(2-(VLOOKUP(A221,ScaledPrice,3)))),0))</f>
        <v> </v>
      </c>
      <c r="O221" s="279" t="str">
        <f aca="false">IF(A221="N/A"," ",IF(AND('Pricing Inputs'!$AQ$3&gt;=1,'Pricing Inputs'!$AQ$3&lt;=3),VLOOKUP(A221,ScaledPrice,9),0))</f>
        <v> </v>
      </c>
      <c r="P221" s="280" t="str">
        <f aca="false">IF($A221="N/A"," ",IF('Pricing Inputs'!$AN$8=2,(I221-H221),IF('Pricing Inputs'!$AN$3=2,IF((I221-$H221)&gt;0,I221-$H221,0),(xSPRDOPT(I221,$E221,$BU221,0,$BP221,$BS221,$BT221,($A221-Inputs!$D$1)+15,1,0)))))</f>
        <v> </v>
      </c>
      <c r="Q221" s="280" t="str">
        <f aca="false">IF($A221="N/A"," ",IF('Pricing Inputs'!$AN$8=2,(J221-$H221),IF('Pricing Inputs'!$AN$3=2,IF((J221-$H221)&gt;0,J221-$H221,0),(xSPRDOPT(J221,$E221,$BU221,0,$BP221,$BS221,$BT221,($A221-Inputs!$D$1)+15,1,0)))))</f>
        <v> </v>
      </c>
      <c r="R221" s="280" t="str">
        <f aca="false">IF($A221="N/A"," ",IF('Pricing Inputs'!$AN$8=2,(K221-$H221),IF('Pricing Inputs'!$AN$3=2,IF((K221-$H221)&gt;0,K221-$H221,0),(xSPRDOPT(K221,$E221,$BU221,0,$BP221,$BS221,$BT221,($A221-Inputs!$D$1)+15,1,0)))))</f>
        <v> </v>
      </c>
      <c r="S221" s="280" t="str">
        <f aca="false">IF($A221="N/A"," ",IF('Pricing Inputs'!$AN$8=2,(L221-$H221),IF('Pricing Inputs'!$AN$3=2,IF((L221-$H221)&gt;0,L221-$H221,0),(xSPRDOPT(L221,$E221,$BU221,0,$BP221,$BS221,$BT221,($A221-Inputs!$D$1)+15,1,0)))))</f>
        <v> </v>
      </c>
      <c r="T221" s="280" t="str">
        <f aca="false">IF($A221="N/A"," ",IF('Pricing Inputs'!$AN$8=2,(M221-$H221),IF('Pricing Inputs'!$AN$3=2,IF((M221-$H221)&gt;0,M221-$H221,0),(xSPRDOPT(M221,$E221,$BU221,0,$BP221,$BS221,$BT221,($A221-Inputs!$D$1)+15,1,0)))))</f>
        <v> </v>
      </c>
      <c r="U221" s="280" t="str">
        <f aca="false">IF($A221="N/A"," ",IF('Pricing Inputs'!$AN$8=2,(N221-$H221),IF('Pricing Inputs'!$AN$3=2,IF((N221-$H221)&gt;0,N221-$H221,0),(xSPRDOPT(N221,$E221,$BU221,0,$BP221,$BS221,$BT221,($A221-Inputs!$D$1)+15,1,0)))))</f>
        <v> </v>
      </c>
      <c r="V221" s="281" t="str">
        <f aca="false">IF($A221="N/A"," ",(IF('Pricing Inputs'!$AN$8=2,(O221-$H221),IF((O221-$H221)&lt;=0,0,(O221-$H221)))))</f>
        <v> </v>
      </c>
      <c r="W221" s="282" t="str">
        <f aca="false">IF($A221="N/A"," ",IF(0&lt;&gt;P221,IF('Pricing Inputs'!$AN$3=2,8*VLOOKUP($A221,NumberofDaysTable,2),(xSPRDOPT(I221,$E221,$BU221,0,$BP221,$BS221,$BT221,$A221-Inputs!$D$1,1,1))*(8*VLOOKUP($A221,NumberofDaysTable,2))),0))</f>
        <v> </v>
      </c>
      <c r="X221" s="282" t="str">
        <f aca="false">IF($A221="N/A"," ",IF(Q221&lt;&gt;0,IF('Pricing Inputs'!$AN$3=2,8*VLOOKUP($A221,NumberofDaysTable,2),(xSPRDOPT(J221,$E221,$BU221,0,$BP221,$BS221,$BT221,$A221-Inputs!$D$1,1,1))*(8*VLOOKUP($A221,NumberofDaysTable,2))),0))</f>
        <v> </v>
      </c>
      <c r="Y221" s="282" t="str">
        <f aca="false">IF($A221="N/A"," ",IF(R221&lt;&gt;0,IF('Pricing Inputs'!$AN$3=2,8*VLOOKUP($A221,NumberofDaysTable,3),(xSPRDOPT(K221,$E221,$BU221,0,$BP221,$BS221,$BT221,$A221-Inputs!$D$1,1,1))*(8*VLOOKUP($A221,NumberofDaysTable,3))),0))</f>
        <v> </v>
      </c>
      <c r="Z221" s="282" t="str">
        <f aca="false">IF($A221="N/A"," ",IF(S221&lt;&gt;0,IF('Pricing Inputs'!$AN$3=2,8*VLOOKUP($A221,NumberofDaysTable,3),(xSPRDOPT(L221,$E221,$BU221,0,$BP221,$BS221,$BT221,$A221-Inputs!$D$1,1,1))*(8*VLOOKUP($A221,NumberofDaysTable,3))),0))</f>
        <v> </v>
      </c>
      <c r="AA221" s="282" t="str">
        <f aca="false">IF($A221="N/A"," ",IF(T221&lt;&gt;0,IF('Pricing Inputs'!$AN$3=2,8*VLOOKUP($A221,NumberofDaysTable,4),(xSPRDOPT(M221,$E221,$BU221,0,$BP221,$BS221,$BT221,$A221-Inputs!$D$1,1,1))*(8*VLOOKUP($A221,NumberofDaysTable,4))),0))</f>
        <v> </v>
      </c>
      <c r="AB221" s="282" t="str">
        <f aca="false">IF($A221="N/A"," ",IF(U221&lt;&gt;0,IF('Pricing Inputs'!$AN$3=2,8*VLOOKUP($A221,NumberofDaysTable,4),(xSPRDOPT(N221,$E221,$BU221,0,$BP221,$BS221,$BT221,$A221-Inputs!$D$1,1,1))*(8*VLOOKUP($A221,NumberofDaysTable,4))),0))</f>
        <v> </v>
      </c>
      <c r="AC221" s="282" t="str">
        <f aca="false">IF($A221="N/A"," ",(IF(V221&lt;&gt;0,(8*VLOOKUP($A221,NumberofDaysTable,6)),0)))</f>
        <v> </v>
      </c>
      <c r="AD221" s="298" t="str">
        <f aca="false">IF($A221="N/A"," ",RANK(P221,$P$220:$V$231))</f>
        <v> </v>
      </c>
      <c r="AE221" s="299" t="str">
        <f aca="false">IF($A221="N/A"," ",RANK(Q221,$P$220:$V$231))</f>
        <v> </v>
      </c>
      <c r="AF221" s="299" t="str">
        <f aca="false">IF($A221="N/A"," ",RANK(R221,$P$220:$V$231))</f>
        <v> </v>
      </c>
      <c r="AG221" s="299" t="str">
        <f aca="false">IF($A221="N/A"," ",RANK(S221,$P$220:$V$231))</f>
        <v> </v>
      </c>
      <c r="AH221" s="299" t="str">
        <f aca="false">IF($A221="N/A"," ",RANK(T221,$P$220:$V$231))</f>
        <v> </v>
      </c>
      <c r="AI221" s="299" t="str">
        <f aca="false">IF($A221="N/A"," ",RANK(U221,$P$220:$V$231))</f>
        <v> </v>
      </c>
      <c r="AJ221" s="300" t="str">
        <f aca="false">IF($A221="N/A"," ",RANK(V221,$P$220:$V$231))</f>
        <v> </v>
      </c>
      <c r="AK221" s="286" t="str">
        <f aca="false">IF($A221="N/A"," ",IF(AD221&lt;=$AJ$2,W221,0))</f>
        <v> </v>
      </c>
      <c r="AL221" s="301" t="str">
        <f aca="false">IF($A221="N/A"," ",IF(AE221&lt;=$AJ$2,X221,0))</f>
        <v> </v>
      </c>
      <c r="AM221" s="301" t="str">
        <f aca="false">IF($A221="N/A"," ",IF(AF221&lt;=$AJ$2,Y221,0))</f>
        <v> </v>
      </c>
      <c r="AN221" s="301" t="str">
        <f aca="false">IF($A221="N/A"," ",IF(AG221&lt;=$AJ$2,Z221,0))</f>
        <v> </v>
      </c>
      <c r="AO221" s="301" t="str">
        <f aca="false">IF($A221="N/A"," ",IF(AH221&lt;=$AJ$2,AA221,0))</f>
        <v> </v>
      </c>
      <c r="AP221" s="301" t="str">
        <f aca="false">IF($A221="N/A"," ",IF(AI221&lt;=$AJ$2,AB221,0))</f>
        <v> </v>
      </c>
      <c r="AQ221" s="301" t="str">
        <f aca="false">IF($A221="N/A"," ",IF(AJ221&lt;=$AJ$2,AC221,0))</f>
        <v> </v>
      </c>
      <c r="AR221" s="300"/>
      <c r="AS221" s="288" t="str">
        <f aca="false">IF($A221="N/A"," ",IF(AND(AD221=$AJ$2+1,AK221=0),MIN($AR$231,W221),0))</f>
        <v> </v>
      </c>
      <c r="AT221" s="302" t="str">
        <f aca="false">IF($A221="N/A"," ",IF(AND(AE221=$AJ$2+1,AL221=0),MIN($AR$231,X221),0))</f>
        <v> </v>
      </c>
      <c r="AU221" s="302" t="str">
        <f aca="false">IF($A221="N/A"," ",IF(AND(AF221=$AJ$2+1,AM221=0),MIN($AR$231,Y221),0))</f>
        <v> </v>
      </c>
      <c r="AV221" s="302" t="str">
        <f aca="false">IF($A221="N/A"," ",IF(AND(AG221=$AJ$2+1,AN221=0),MIN($AR$231,Z221),0))</f>
        <v> </v>
      </c>
      <c r="AW221" s="302" t="str">
        <f aca="false">IF($A221="N/A"," ",IF(AND(AH221=$AJ$2+1,AO221=0),MIN($AR$231,AA221),0))</f>
        <v> </v>
      </c>
      <c r="AX221" s="302" t="str">
        <f aca="false">IF($A221="N/A"," ",IF(AND(AI221=$AJ$2+1,AP221=0),MIN($AR$231,AB221),0))</f>
        <v> </v>
      </c>
      <c r="AY221" s="302" t="str">
        <f aca="false">IF($A221="N/A"," ",IF(AND(AJ221=$AJ$2+1,AQ221=0),MIN($AR$231,AC221),0))</f>
        <v> </v>
      </c>
      <c r="AZ221" s="300"/>
      <c r="BA221" s="291" t="str">
        <f aca="false">IF($A221="N/A"," ",(IF(MONTH(A221)&gt;=4,IF(MONTH(A221)&lt;=10,Inputs!$F$13,Inputs!$F$14),Inputs!$F$14))*$BW221)</f>
        <v> </v>
      </c>
      <c r="BB221" s="292" t="str">
        <f aca="false">IF($A221="N/A"," ",(IF(AK221&gt;0,($BA221*(8*(VLOOKUP($A221,NumberofDaysTable,2)))*P221),0)+IF(AS221&gt;0,($BA221*((AS221))*P221),0)))</f>
        <v> </v>
      </c>
      <c r="BC221" s="292" t="str">
        <f aca="false">IF($A221="N/A"," ",(IF(AL221&gt;0,($BA221*(8*(VLOOKUP($A221,NumberofDaysTable,2)))*Q221),0)+IF(AT221&gt;0,($BA221*((AT221))*Q221),0)))</f>
        <v> </v>
      </c>
      <c r="BD221" s="292" t="str">
        <f aca="false">IF($A221="N/A"," ",(IF(AM221&gt;0,($BA221*(8*(VLOOKUP($A221,NumberofDaysTable,3)))*R221),0)+IF(AU221&gt;0,($BA221*((AU221))*R221),0)))</f>
        <v> </v>
      </c>
      <c r="BE221" s="292" t="str">
        <f aca="false">IF($A221="N/A"," ",(IF(AN221&gt;0,($BA221*(8*(VLOOKUP($A221,NumberofDaysTable,3)))*S221),0)+IF(AV221&gt;0,($BA221*((AV221))*S221),0)))</f>
        <v> </v>
      </c>
      <c r="BF221" s="292" t="str">
        <f aca="false">IF($A221="N/A"," ",(IF(AO221&gt;0,($BA221*(8*(VLOOKUP($A221,NumberofDaysTable,4)+VLOOKUP($A221,NumberofDaysTable,5)))*T221),0)+IF(AW221&gt;0,($BA221*((AW221))*T221),0)))</f>
        <v> </v>
      </c>
      <c r="BG221" s="292" t="str">
        <f aca="false">IF($A221="N/A"," ",(IF(AP221&gt;0,($BA221*(8*(VLOOKUP($A221,NumberofDaysTable,4)+VLOOKUP($A221,NumberofDaysTable,5)))*U221),0)+IF(AX221&gt;0,($BA221*((AX221))*U221),0)))</f>
        <v> </v>
      </c>
      <c r="BH221" s="292" t="str">
        <f aca="false">IF($A221="N/A"," ",($BA221*AQ221*V221))</f>
        <v> </v>
      </c>
      <c r="BI221" s="292" t="str">
        <f aca="false">IF($A221="N/A"," ",SUM(BB221:BH221))</f>
        <v> </v>
      </c>
      <c r="BJ221" s="293" t="str">
        <f aca="false">IF($A221="N/A"," ",(H221*(SUM(AK221:AQ221)+SUM(AS221:AY221))*BA221))</f>
        <v> </v>
      </c>
      <c r="BK221" s="293" t="str">
        <f aca="false">IF($A221="N/A"," ",((C221*D221)*(SUM($AK221:$AQ221)+SUM($AS221:$AY221))*$BA221))</f>
        <v> </v>
      </c>
      <c r="BL221" s="293" t="str">
        <f aca="false">IF($A221="N/A"," ",(F221*(SUM($AK221:$AQ221)+SUM($AS221:$AY221))*$BA221))</f>
        <v> </v>
      </c>
      <c r="BM221" s="293" t="str">
        <f aca="false">IF($A221="N/A"," ",(G221*(SUM($AK221:$AQ221)+SUM($AS221:$AY221))*$BA221))</f>
        <v> </v>
      </c>
      <c r="BN221" s="294" t="str">
        <f aca="false">IF(A221="N/A"," ",(VLOOKUP(A221,PowerVolTable,(IF('Pricing Inputs'!$AT$3=2,7,IF('Pricing Inputs'!$AT$3=1,6,8))),FALSE())))</f>
        <v> </v>
      </c>
      <c r="BO221" s="294" t="str">
        <f aca="false">IF(A221="N/A"," ",(VLOOKUP(A221,IntraPowerVol,(IF('Pricing Inputs'!$AT$3=2,3,IF('Pricing Inputs'!$AT$3=1,2,4))),FALSE())*VLOOKUP(MONTH($A221),Inputs!$A$28:$B$39,2)))</f>
        <v> </v>
      </c>
      <c r="BP221" s="295" t="str">
        <f aca="false">IF($A221="N/A"," ",(IF(DateToday&gt;$A221,$BO221,((($BN221^2)*((($A221-1)-DateToday)/((EOMONTH($A221,0)+1)-DateToday-15)))+((($BO221)^2)*((15)/((EOMONTH($A221,0)+1)-DateToday-15))))^0.5)))</f>
        <v> </v>
      </c>
      <c r="BQ221" s="294" t="str">
        <f aca="false">IF($A221="N/A"," ",(VLOOKUP($A221,GasVolTable,(IF('Pricing Inputs'!$AT$3=2,6,IF('Pricing Inputs'!$AT$3=1,7,5))),FALSE())))</f>
        <v> </v>
      </c>
      <c r="BR221" s="294" t="str">
        <f aca="false">IF($A221="N/A"," ",(VLOOKUP($A221,OmicronVol,(IF('Pricing Inputs'!$AT$3=2,3,IF('Pricing Inputs'!$AT$3=1,4,2))),FALSE())))</f>
        <v> </v>
      </c>
      <c r="BS221" s="295" t="str">
        <f aca="false">IF($A221="N/A"," ",IF('Pricing Inputs'!$AN$3=1,(IF(DateToday&gt;$A221,$BR221,((($BQ221^2)*((($A221-1)-DateToday)/((EOMONTH($A221,0)+1)-DateToday-15)))+((($BR221)^2)*((15)/((EOMONTH($A221,0)+1)-DateToday-15))))^0.5)),0.0001))</f>
        <v> </v>
      </c>
      <c r="BT221" s="294" t="str">
        <f aca="false">IF($A221="N/A"," ",IF('Pricing Inputs'!$AN$3=1,(VLOOKUP($A221,CorrelationTable,2,FALSE())),0))</f>
        <v> </v>
      </c>
      <c r="BU221" s="296" t="str">
        <f aca="false">IF($A221="N/A"," ",F221+G221+(D221*(VLOOKUP($A221,'Gas Curves'!$B$17:$P$310,14,FALSE()))))</f>
        <v> </v>
      </c>
      <c r="BV221" s="294" t="str">
        <f aca="false">IF($A221="N/A"," ",IF('Pricing Inputs'!$AW$3=1,0,(VLOOKUP($A221,InterestRatesTable,2))))</f>
        <v> </v>
      </c>
      <c r="BW221" s="297" t="str">
        <f aca="false">IF($A221="N/A"," ",(1+BV221/2)^(-2*((EOMONTH(A221,0)+20)-DateToday)/365.25))</f>
        <v> </v>
      </c>
    </row>
    <row r="222" customFormat="false" ht="12.75" hidden="false" customHeight="false" outlineLevel="0" collapsed="false">
      <c r="A222" s="272" t="str">
        <f aca="false">IF(A221="N/A","N/A",IF(EDATE(A221,1)&gt;Inputs!$K$3,"N/A",EDATE(A221,1)))</f>
        <v>N/A</v>
      </c>
      <c r="B222" s="273" t="str">
        <f aca="false">IF(A222="N/A"," ",YEAR(A222))</f>
        <v> </v>
      </c>
      <c r="C222" s="274" t="str">
        <f aca="false">IF(A222="N/A"," ",VLOOKUP(A222,ScaledPrice,10))</f>
        <v> </v>
      </c>
      <c r="D222" s="275" t="str">
        <f aca="false">IF(A222="N/A"," ",(VLOOKUP(MONTH($A222),Inputs!$A$14:$B$25,2))/1000)</f>
        <v> </v>
      </c>
      <c r="E222" s="276" t="str">
        <f aca="false">IF($A222="N/A"," ",C222*D222)</f>
        <v> </v>
      </c>
      <c r="F222" s="277" t="str">
        <f aca="false">IF(A222="N/A"," ",Inputs!$F$6)</f>
        <v> </v>
      </c>
      <c r="G222" s="277" t="str">
        <f aca="false">IF(A222="N/A"," ",Inputs!$F$9/IF(AND('Pricing Inputs'!$AQ$3&gt;=4,'Pricing Inputs'!$AQ$3&lt;=6),16,IF(AND('Pricing Inputs'!$AQ$3&gt;=7,'Pricing Inputs'!$AQ$3&lt;=9),8,24))/(BA222/BW222))</f>
        <v> </v>
      </c>
      <c r="H222" s="278" t="str">
        <f aca="false">IF(A222="N/A"," ",(C222*D222)+F222+G222)</f>
        <v> </v>
      </c>
      <c r="I222" s="279" t="str">
        <f aca="false">VLOOKUP(A222,ScaledPrice,(IF(AND('Pricing Inputs'!$AQ$3&gt;=1,'Pricing Inputs'!$AQ$3&lt;=6),2,4)))</f>
        <v> </v>
      </c>
      <c r="J222" s="279" t="str">
        <f aca="false">IF(A222="N/A"," ",IF(AND('Pricing Inputs'!$AQ$3&gt;=1,'Pricing Inputs'!$AQ$3&lt;=6),I222,(VLOOKUP(A222,ScaledPrice,2))*(2-(VLOOKUP(A222,ScaledPrice,3)))))</f>
        <v> </v>
      </c>
      <c r="K222" s="279" t="str">
        <f aca="false">IF(A222="N/A"," ",IF(OR('Pricing Inputs'!$AQ$3=2,'Pricing Inputs'!$AQ$3=3,'Pricing Inputs'!$AQ$3=5,'Pricing Inputs'!$AQ$3=6,'Pricing Inputs'!$AQ$3=8,'Pricing Inputs'!$AQ$3=9),VLOOKUP(A222,ScaledPrice,IF(AND('Pricing Inputs'!$AQ$3&gt;=2,'Pricing Inputs'!$AQ$3&lt;=6),5,6)),0))</f>
        <v> </v>
      </c>
      <c r="L222" s="279" t="str">
        <f aca="false">IF(A222="N/A"," ",IF(OR('Pricing Inputs'!$AQ$3=2,'Pricing Inputs'!$AQ$3=3,'Pricing Inputs'!$AQ$3=5,'Pricing Inputs'!$AQ$3=6,'Pricing Inputs'!$AQ$3=8,'Pricing Inputs'!$AQ$3=9),IF(AND('Pricing Inputs'!$AQ$3&gt;=2,'Pricing Inputs'!$AQ$3&lt;=6),K222,(VLOOKUP(A222,ScaledPrice,5))*(2-(VLOOKUP(A222,ScaledPrice,3)))),0))</f>
        <v> </v>
      </c>
      <c r="M222" s="279" t="str">
        <f aca="false">IF(A222="N/A"," ",IF(OR('Pricing Inputs'!$AQ$3=3,'Pricing Inputs'!$AQ$3=6,'Pricing Inputs'!$AQ$3=9),(VLOOKUP(A222,ScaledPrice,IF(AND('Pricing Inputs'!$AQ$3&gt;=3,'Pricing Inputs'!$AQ$3&lt;=6),7,8))),0))</f>
        <v> </v>
      </c>
      <c r="N222" s="279" t="str">
        <f aca="false">IF(A222="N/A"," ",IF(OR('Pricing Inputs'!$AQ$3=3,'Pricing Inputs'!$AQ$3=6,'Pricing Inputs'!$AQ$3=9),IF(AND('Pricing Inputs'!$AQ$3&gt;=3,'Pricing Inputs'!$AQ$3&lt;=6),M222,(VLOOKUP(A222,ScaledPrice,7))*(2-(VLOOKUP(A222,ScaledPrice,3)))),0))</f>
        <v> </v>
      </c>
      <c r="O222" s="279" t="str">
        <f aca="false">IF(A222="N/A"," ",IF(AND('Pricing Inputs'!$AQ$3&gt;=1,'Pricing Inputs'!$AQ$3&lt;=3),VLOOKUP(A222,ScaledPrice,9),0))</f>
        <v> </v>
      </c>
      <c r="P222" s="280" t="str">
        <f aca="false">IF($A222="N/A"," ",IF('Pricing Inputs'!$AN$8=2,(I222-H222),IF('Pricing Inputs'!$AN$3=2,IF((I222-$H222)&gt;0,I222-$H222,0),(xSPRDOPT(I222,$E222,$BU222,0,$BP222,$BS222,$BT222,($A222-Inputs!$D$1)+15,1,0)))))</f>
        <v> </v>
      </c>
      <c r="Q222" s="280" t="str">
        <f aca="false">IF($A222="N/A"," ",IF('Pricing Inputs'!$AN$8=2,(J222-$H222),IF('Pricing Inputs'!$AN$3=2,IF((J222-$H222)&gt;0,J222-$H222,0),(xSPRDOPT(J222,$E222,$BU222,0,$BP222,$BS222,$BT222,($A222-Inputs!$D$1)+15,1,0)))))</f>
        <v> </v>
      </c>
      <c r="R222" s="280" t="str">
        <f aca="false">IF($A222="N/A"," ",IF('Pricing Inputs'!$AN$8=2,(K222-$H222),IF('Pricing Inputs'!$AN$3=2,IF((K222-$H222)&gt;0,K222-$H222,0),(xSPRDOPT(K222,$E222,$BU222,0,$BP222,$BS222,$BT222,($A222-Inputs!$D$1)+15,1,0)))))</f>
        <v> </v>
      </c>
      <c r="S222" s="280" t="str">
        <f aca="false">IF($A222="N/A"," ",IF('Pricing Inputs'!$AN$8=2,(L222-$H222),IF('Pricing Inputs'!$AN$3=2,IF((L222-$H222)&gt;0,L222-$H222,0),(xSPRDOPT(L222,$E222,$BU222,0,$BP222,$BS222,$BT222,($A222-Inputs!$D$1)+15,1,0)))))</f>
        <v> </v>
      </c>
      <c r="T222" s="280" t="str">
        <f aca="false">IF($A222="N/A"," ",IF('Pricing Inputs'!$AN$8=2,(M222-$H222),IF('Pricing Inputs'!$AN$3=2,IF((M222-$H222)&gt;0,M222-$H222,0),(xSPRDOPT(M222,$E222,$BU222,0,$BP222,$BS222,$BT222,($A222-Inputs!$D$1)+15,1,0)))))</f>
        <v> </v>
      </c>
      <c r="U222" s="280" t="str">
        <f aca="false">IF($A222="N/A"," ",IF('Pricing Inputs'!$AN$8=2,(N222-$H222),IF('Pricing Inputs'!$AN$3=2,IF((N222-$H222)&gt;0,N222-$H222,0),(xSPRDOPT(N222,$E222,$BU222,0,$BP222,$BS222,$BT222,($A222-Inputs!$D$1)+15,1,0)))))</f>
        <v> </v>
      </c>
      <c r="V222" s="281" t="str">
        <f aca="false">IF($A222="N/A"," ",(IF('Pricing Inputs'!$AN$8=2,(O222-$H222),IF((O222-$H222)&lt;=0,0,(O222-$H222)))))</f>
        <v> </v>
      </c>
      <c r="W222" s="282" t="str">
        <f aca="false">IF($A222="N/A"," ",IF(0&lt;&gt;P222,IF('Pricing Inputs'!$AN$3=2,8*VLOOKUP($A222,NumberofDaysTable,2),(xSPRDOPT(I222,$E222,$BU222,0,$BP222,$BS222,$BT222,$A222-Inputs!$D$1,1,1))*(8*VLOOKUP($A222,NumberofDaysTable,2))),0))</f>
        <v> </v>
      </c>
      <c r="X222" s="282" t="str">
        <f aca="false">IF($A222="N/A"," ",IF(Q222&lt;&gt;0,IF('Pricing Inputs'!$AN$3=2,8*VLOOKUP($A222,NumberofDaysTable,2),(xSPRDOPT(J222,$E222,$BU222,0,$BP222,$BS222,$BT222,$A222-Inputs!$D$1,1,1))*(8*VLOOKUP($A222,NumberofDaysTable,2))),0))</f>
        <v> </v>
      </c>
      <c r="Y222" s="282" t="str">
        <f aca="false">IF($A222="N/A"," ",IF(R222&lt;&gt;0,IF('Pricing Inputs'!$AN$3=2,8*VLOOKUP($A222,NumberofDaysTable,3),(xSPRDOPT(K222,$E222,$BU222,0,$BP222,$BS222,$BT222,$A222-Inputs!$D$1,1,1))*(8*VLOOKUP($A222,NumberofDaysTable,3))),0))</f>
        <v> </v>
      </c>
      <c r="Z222" s="282" t="str">
        <f aca="false">IF($A222="N/A"," ",IF(S222&lt;&gt;0,IF('Pricing Inputs'!$AN$3=2,8*VLOOKUP($A222,NumberofDaysTable,3),(xSPRDOPT(L222,$E222,$BU222,0,$BP222,$BS222,$BT222,$A222-Inputs!$D$1,1,1))*(8*VLOOKUP($A222,NumberofDaysTable,3))),0))</f>
        <v> </v>
      </c>
      <c r="AA222" s="282" t="str">
        <f aca="false">IF($A222="N/A"," ",IF(T222&lt;&gt;0,IF('Pricing Inputs'!$AN$3=2,8*VLOOKUP($A222,NumberofDaysTable,4),(xSPRDOPT(M222,$E222,$BU222,0,$BP222,$BS222,$BT222,$A222-Inputs!$D$1,1,1))*(8*VLOOKUP($A222,NumberofDaysTable,4))),0))</f>
        <v> </v>
      </c>
      <c r="AB222" s="282" t="str">
        <f aca="false">IF($A222="N/A"," ",IF(U222&lt;&gt;0,IF('Pricing Inputs'!$AN$3=2,8*VLOOKUP($A222,NumberofDaysTable,4),(xSPRDOPT(N222,$E222,$BU222,0,$BP222,$BS222,$BT222,$A222-Inputs!$D$1,1,1))*(8*VLOOKUP($A222,NumberofDaysTable,4))),0))</f>
        <v> </v>
      </c>
      <c r="AC222" s="282" t="str">
        <f aca="false">IF($A222="N/A"," ",(IF(V222&lt;&gt;0,(8*VLOOKUP($A222,NumberofDaysTable,6)),0)))</f>
        <v> </v>
      </c>
      <c r="AD222" s="298" t="str">
        <f aca="false">IF($A222="N/A"," ",RANK(P222,$P$220:$V$231))</f>
        <v> </v>
      </c>
      <c r="AE222" s="299" t="str">
        <f aca="false">IF($A222="N/A"," ",RANK(Q222,$P$220:$V$231))</f>
        <v> </v>
      </c>
      <c r="AF222" s="299" t="str">
        <f aca="false">IF($A222="N/A"," ",RANK(R222,$P$220:$V$231))</f>
        <v> </v>
      </c>
      <c r="AG222" s="299" t="str">
        <f aca="false">IF($A222="N/A"," ",RANK(S222,$P$220:$V$231))</f>
        <v> </v>
      </c>
      <c r="AH222" s="299" t="str">
        <f aca="false">IF($A222="N/A"," ",RANK(T222,$P$220:$V$231))</f>
        <v> </v>
      </c>
      <c r="AI222" s="299" t="str">
        <f aca="false">IF($A222="N/A"," ",RANK(U222,$P$220:$V$231))</f>
        <v> </v>
      </c>
      <c r="AJ222" s="300" t="str">
        <f aca="false">IF($A222="N/A"," ",RANK(V222,$P$220:$V$231))</f>
        <v> </v>
      </c>
      <c r="AK222" s="286" t="str">
        <f aca="false">IF($A222="N/A"," ",IF(AD222&lt;=$AJ$2,W222,0))</f>
        <v> </v>
      </c>
      <c r="AL222" s="301" t="str">
        <f aca="false">IF($A222="N/A"," ",IF(AE222&lt;=$AJ$2,X222,0))</f>
        <v> </v>
      </c>
      <c r="AM222" s="301" t="str">
        <f aca="false">IF($A222="N/A"," ",IF(AF222&lt;=$AJ$2,Y222,0))</f>
        <v> </v>
      </c>
      <c r="AN222" s="301" t="str">
        <f aca="false">IF($A222="N/A"," ",IF(AG222&lt;=$AJ$2,Z222,0))</f>
        <v> </v>
      </c>
      <c r="AO222" s="301" t="str">
        <f aca="false">IF($A222="N/A"," ",IF(AH222&lt;=$AJ$2,AA222,0))</f>
        <v> </v>
      </c>
      <c r="AP222" s="301" t="str">
        <f aca="false">IF($A222="N/A"," ",IF(AI222&lt;=$AJ$2,AB222,0))</f>
        <v> </v>
      </c>
      <c r="AQ222" s="301" t="str">
        <f aca="false">IF($A222="N/A"," ",IF(AJ222&lt;=$AJ$2,AC222,0))</f>
        <v> </v>
      </c>
      <c r="AR222" s="300"/>
      <c r="AS222" s="288" t="str">
        <f aca="false">IF($A222="N/A"," ",IF(AND(AD222=$AJ$2+1,AK222=0),MIN($AR$231,W222),0))</f>
        <v> </v>
      </c>
      <c r="AT222" s="302" t="str">
        <f aca="false">IF($A222="N/A"," ",IF(AND(AE222=$AJ$2+1,AL222=0),MIN($AR$231,X222),0))</f>
        <v> </v>
      </c>
      <c r="AU222" s="302" t="str">
        <f aca="false">IF($A222="N/A"," ",IF(AND(AF222=$AJ$2+1,AM222=0),MIN($AR$231,Y222),0))</f>
        <v> </v>
      </c>
      <c r="AV222" s="302" t="str">
        <f aca="false">IF($A222="N/A"," ",IF(AND(AG222=$AJ$2+1,AN222=0),MIN($AR$231,Z222),0))</f>
        <v> </v>
      </c>
      <c r="AW222" s="302" t="str">
        <f aca="false">IF($A222="N/A"," ",IF(AND(AH222=$AJ$2+1,AO222=0),MIN($AR$231,AA222),0))</f>
        <v> </v>
      </c>
      <c r="AX222" s="302" t="str">
        <f aca="false">IF($A222="N/A"," ",IF(AND(AI222=$AJ$2+1,AP222=0),MIN($AR$231,AB222),0))</f>
        <v> </v>
      </c>
      <c r="AY222" s="302" t="str">
        <f aca="false">IF($A222="N/A"," ",IF(AND(AJ222=$AJ$2+1,AQ222=0),MIN($AR$231,AC222),0))</f>
        <v> </v>
      </c>
      <c r="AZ222" s="300"/>
      <c r="BA222" s="291" t="str">
        <f aca="false">IF($A222="N/A"," ",(IF(MONTH(A222)&gt;=4,IF(MONTH(A222)&lt;=10,Inputs!$F$13,Inputs!$F$14),Inputs!$F$14))*$BW222)</f>
        <v> </v>
      </c>
      <c r="BB222" s="292" t="str">
        <f aca="false">IF($A222="N/A"," ",(IF(AK222&gt;0,($BA222*(8*(VLOOKUP($A222,NumberofDaysTable,2)))*P222),0)+IF(AS222&gt;0,($BA222*((AS222))*P222),0)))</f>
        <v> </v>
      </c>
      <c r="BC222" s="292" t="str">
        <f aca="false">IF($A222="N/A"," ",(IF(AL222&gt;0,($BA222*(8*(VLOOKUP($A222,NumberofDaysTable,2)))*Q222),0)+IF(AT222&gt;0,($BA222*((AT222))*Q222),0)))</f>
        <v> </v>
      </c>
      <c r="BD222" s="292" t="str">
        <f aca="false">IF($A222="N/A"," ",(IF(AM222&gt;0,($BA222*(8*(VLOOKUP($A222,NumberofDaysTable,3)))*R222),0)+IF(AU222&gt;0,($BA222*((AU222))*R222),0)))</f>
        <v> </v>
      </c>
      <c r="BE222" s="292" t="str">
        <f aca="false">IF($A222="N/A"," ",(IF(AN222&gt;0,($BA222*(8*(VLOOKUP($A222,NumberofDaysTable,3)))*S222),0)+IF(AV222&gt;0,($BA222*((AV222))*S222),0)))</f>
        <v> </v>
      </c>
      <c r="BF222" s="292" t="str">
        <f aca="false">IF($A222="N/A"," ",(IF(AO222&gt;0,($BA222*(8*(VLOOKUP($A222,NumberofDaysTable,4)+VLOOKUP($A222,NumberofDaysTable,5)))*T222),0)+IF(AW222&gt;0,($BA222*((AW222))*T222),0)))</f>
        <v> </v>
      </c>
      <c r="BG222" s="292" t="str">
        <f aca="false">IF($A222="N/A"," ",(IF(AP222&gt;0,($BA222*(8*(VLOOKUP($A222,NumberofDaysTable,4)+VLOOKUP($A222,NumberofDaysTable,5)))*U222),0)+IF(AX222&gt;0,($BA222*((AX222))*U222),0)))</f>
        <v> </v>
      </c>
      <c r="BH222" s="292" t="str">
        <f aca="false">IF($A222="N/A"," ",($BA222*AQ222*V222))</f>
        <v> </v>
      </c>
      <c r="BI222" s="292" t="str">
        <f aca="false">IF($A222="N/A"," ",SUM(BB222:BH222))</f>
        <v> </v>
      </c>
      <c r="BJ222" s="293" t="str">
        <f aca="false">IF($A222="N/A"," ",(H222*(SUM(AK222:AQ222)+SUM(AS222:AY222))*BA222))</f>
        <v> </v>
      </c>
      <c r="BK222" s="293" t="str">
        <f aca="false">IF($A222="N/A"," ",((C222*D222)*(SUM($AK222:$AQ222)+SUM($AS222:$AY222))*$BA222))</f>
        <v> </v>
      </c>
      <c r="BL222" s="293" t="str">
        <f aca="false">IF($A222="N/A"," ",(F222*(SUM($AK222:$AQ222)+SUM($AS222:$AY222))*$BA222))</f>
        <v> </v>
      </c>
      <c r="BM222" s="293" t="str">
        <f aca="false">IF($A222="N/A"," ",(G222*(SUM($AK222:$AQ222)+SUM($AS222:$AY222))*$BA222))</f>
        <v> </v>
      </c>
      <c r="BN222" s="294" t="str">
        <f aca="false">IF(A222="N/A"," ",(VLOOKUP(A222,PowerVolTable,(IF('Pricing Inputs'!$AT$3=2,7,IF('Pricing Inputs'!$AT$3=1,6,8))),FALSE())))</f>
        <v> </v>
      </c>
      <c r="BO222" s="294" t="str">
        <f aca="false">IF(A222="N/A"," ",(VLOOKUP(A222,IntraPowerVol,(IF('Pricing Inputs'!$AT$3=2,3,IF('Pricing Inputs'!$AT$3=1,2,4))),FALSE())*VLOOKUP(MONTH($A222),Inputs!$A$28:$B$39,2)))</f>
        <v> </v>
      </c>
      <c r="BP222" s="295" t="str">
        <f aca="false">IF($A222="N/A"," ",(IF(DateToday&gt;$A222,$BO222,((($BN222^2)*((($A222-1)-DateToday)/((EOMONTH($A222,0)+1)-DateToday-15)))+((($BO222)^2)*((15)/((EOMONTH($A222,0)+1)-DateToday-15))))^0.5)))</f>
        <v> </v>
      </c>
      <c r="BQ222" s="294" t="str">
        <f aca="false">IF($A222="N/A"," ",(VLOOKUP($A222,GasVolTable,(IF('Pricing Inputs'!$AT$3=2,6,IF('Pricing Inputs'!$AT$3=1,7,5))),FALSE())))</f>
        <v> </v>
      </c>
      <c r="BR222" s="294" t="str">
        <f aca="false">IF($A222="N/A"," ",(VLOOKUP($A222,OmicronVol,(IF('Pricing Inputs'!$AT$3=2,3,IF('Pricing Inputs'!$AT$3=1,4,2))),FALSE())))</f>
        <v> </v>
      </c>
      <c r="BS222" s="295" t="str">
        <f aca="false">IF($A222="N/A"," ",IF('Pricing Inputs'!$AN$3=1,(IF(DateToday&gt;$A222,$BR222,((($BQ222^2)*((($A222-1)-DateToday)/((EOMONTH($A222,0)+1)-DateToday-15)))+((($BR222)^2)*((15)/((EOMONTH($A222,0)+1)-DateToday-15))))^0.5)),0.0001))</f>
        <v> </v>
      </c>
      <c r="BT222" s="294" t="str">
        <f aca="false">IF($A222="N/A"," ",IF('Pricing Inputs'!$AN$3=1,(VLOOKUP($A222,CorrelationTable,2,FALSE())),0))</f>
        <v> </v>
      </c>
      <c r="BU222" s="296" t="str">
        <f aca="false">IF($A222="N/A"," ",F222+G222+(D222*(VLOOKUP($A222,'Gas Curves'!$B$17:$P$310,14,FALSE()))))</f>
        <v> </v>
      </c>
      <c r="BV222" s="294" t="str">
        <f aca="false">IF($A222="N/A"," ",IF('Pricing Inputs'!$AW$3=1,0,(VLOOKUP($A222,InterestRatesTable,2))))</f>
        <v> </v>
      </c>
      <c r="BW222" s="297" t="str">
        <f aca="false">IF($A222="N/A"," ",(1+BV222/2)^(-2*((EOMONTH(A222,0)+20)-DateToday)/365.25))</f>
        <v> </v>
      </c>
    </row>
    <row r="223" customFormat="false" ht="12.75" hidden="false" customHeight="false" outlineLevel="0" collapsed="false">
      <c r="A223" s="272" t="str">
        <f aca="false">IF(A222="N/A","N/A",IF(EDATE(A222,1)&gt;Inputs!$K$3,"N/A",EDATE(A222,1)))</f>
        <v>N/A</v>
      </c>
      <c r="B223" s="273" t="str">
        <f aca="false">IF(A223="N/A"," ",YEAR(A223))</f>
        <v> </v>
      </c>
      <c r="C223" s="274" t="str">
        <f aca="false">IF(A223="N/A"," ",VLOOKUP(A223,ScaledPrice,10))</f>
        <v> </v>
      </c>
      <c r="D223" s="275" t="str">
        <f aca="false">IF(A223="N/A"," ",(VLOOKUP(MONTH($A223),Inputs!$A$14:$B$25,2))/1000)</f>
        <v> </v>
      </c>
      <c r="E223" s="276" t="str">
        <f aca="false">IF($A223="N/A"," ",C223*D223)</f>
        <v> </v>
      </c>
      <c r="F223" s="277" t="str">
        <f aca="false">IF(A223="N/A"," ",Inputs!$F$6)</f>
        <v> </v>
      </c>
      <c r="G223" s="277" t="str">
        <f aca="false">IF(A223="N/A"," ",Inputs!$F$9/IF(AND('Pricing Inputs'!$AQ$3&gt;=4,'Pricing Inputs'!$AQ$3&lt;=6),16,IF(AND('Pricing Inputs'!$AQ$3&gt;=7,'Pricing Inputs'!$AQ$3&lt;=9),8,24))/(BA223/BW223))</f>
        <v> </v>
      </c>
      <c r="H223" s="278" t="str">
        <f aca="false">IF(A223="N/A"," ",(C223*D223)+F223+G223)</f>
        <v> </v>
      </c>
      <c r="I223" s="279" t="str">
        <f aca="false">VLOOKUP(A223,ScaledPrice,(IF(AND('Pricing Inputs'!$AQ$3&gt;=1,'Pricing Inputs'!$AQ$3&lt;=6),2,4)))</f>
        <v> </v>
      </c>
      <c r="J223" s="279" t="str">
        <f aca="false">IF(A223="N/A"," ",IF(AND('Pricing Inputs'!$AQ$3&gt;=1,'Pricing Inputs'!$AQ$3&lt;=6),I223,(VLOOKUP(A223,ScaledPrice,2))*(2-(VLOOKUP(A223,ScaledPrice,3)))))</f>
        <v> </v>
      </c>
      <c r="K223" s="279" t="str">
        <f aca="false">IF(A223="N/A"," ",IF(OR('Pricing Inputs'!$AQ$3=2,'Pricing Inputs'!$AQ$3=3,'Pricing Inputs'!$AQ$3=5,'Pricing Inputs'!$AQ$3=6,'Pricing Inputs'!$AQ$3=8,'Pricing Inputs'!$AQ$3=9),VLOOKUP(A223,ScaledPrice,IF(AND('Pricing Inputs'!$AQ$3&gt;=2,'Pricing Inputs'!$AQ$3&lt;=6),5,6)),0))</f>
        <v> </v>
      </c>
      <c r="L223" s="279" t="str">
        <f aca="false">IF(A223="N/A"," ",IF(OR('Pricing Inputs'!$AQ$3=2,'Pricing Inputs'!$AQ$3=3,'Pricing Inputs'!$AQ$3=5,'Pricing Inputs'!$AQ$3=6,'Pricing Inputs'!$AQ$3=8,'Pricing Inputs'!$AQ$3=9),IF(AND('Pricing Inputs'!$AQ$3&gt;=2,'Pricing Inputs'!$AQ$3&lt;=6),K223,(VLOOKUP(A223,ScaledPrice,5))*(2-(VLOOKUP(A223,ScaledPrice,3)))),0))</f>
        <v> </v>
      </c>
      <c r="M223" s="279" t="str">
        <f aca="false">IF(A223="N/A"," ",IF(OR('Pricing Inputs'!$AQ$3=3,'Pricing Inputs'!$AQ$3=6,'Pricing Inputs'!$AQ$3=9),(VLOOKUP(A223,ScaledPrice,IF(AND('Pricing Inputs'!$AQ$3&gt;=3,'Pricing Inputs'!$AQ$3&lt;=6),7,8))),0))</f>
        <v> </v>
      </c>
      <c r="N223" s="279" t="str">
        <f aca="false">IF(A223="N/A"," ",IF(OR('Pricing Inputs'!$AQ$3=3,'Pricing Inputs'!$AQ$3=6,'Pricing Inputs'!$AQ$3=9),IF(AND('Pricing Inputs'!$AQ$3&gt;=3,'Pricing Inputs'!$AQ$3&lt;=6),M223,(VLOOKUP(A223,ScaledPrice,7))*(2-(VLOOKUP(A223,ScaledPrice,3)))),0))</f>
        <v> </v>
      </c>
      <c r="O223" s="279" t="str">
        <f aca="false">IF(A223="N/A"," ",IF(AND('Pricing Inputs'!$AQ$3&gt;=1,'Pricing Inputs'!$AQ$3&lt;=3),VLOOKUP(A223,ScaledPrice,9),0))</f>
        <v> </v>
      </c>
      <c r="P223" s="280" t="str">
        <f aca="false">IF($A223="N/A"," ",IF('Pricing Inputs'!$AN$8=2,(I223-H223),IF('Pricing Inputs'!$AN$3=2,IF((I223-$H223)&gt;0,I223-$H223,0),(xSPRDOPT(I223,$E223,$BU223,0,$BP223,$BS223,$BT223,($A223-Inputs!$D$1)+15,1,0)))))</f>
        <v> </v>
      </c>
      <c r="Q223" s="280" t="str">
        <f aca="false">IF($A223="N/A"," ",IF('Pricing Inputs'!$AN$8=2,(J223-$H223),IF('Pricing Inputs'!$AN$3=2,IF((J223-$H223)&gt;0,J223-$H223,0),(xSPRDOPT(J223,$E223,$BU223,0,$BP223,$BS223,$BT223,($A223-Inputs!$D$1)+15,1,0)))))</f>
        <v> </v>
      </c>
      <c r="R223" s="280" t="str">
        <f aca="false">IF($A223="N/A"," ",IF('Pricing Inputs'!$AN$8=2,(K223-$H223),IF('Pricing Inputs'!$AN$3=2,IF((K223-$H223)&gt;0,K223-$H223,0),(xSPRDOPT(K223,$E223,$BU223,0,$BP223,$BS223,$BT223,($A223-Inputs!$D$1)+15,1,0)))))</f>
        <v> </v>
      </c>
      <c r="S223" s="280" t="str">
        <f aca="false">IF($A223="N/A"," ",IF('Pricing Inputs'!$AN$8=2,(L223-$H223),IF('Pricing Inputs'!$AN$3=2,IF((L223-$H223)&gt;0,L223-$H223,0),(xSPRDOPT(L223,$E223,$BU223,0,$BP223,$BS223,$BT223,($A223-Inputs!$D$1)+15,1,0)))))</f>
        <v> </v>
      </c>
      <c r="T223" s="280" t="str">
        <f aca="false">IF($A223="N/A"," ",IF('Pricing Inputs'!$AN$8=2,(M223-$H223),IF('Pricing Inputs'!$AN$3=2,IF((M223-$H223)&gt;0,M223-$H223,0),(xSPRDOPT(M223,$E223,$BU223,0,$BP223,$BS223,$BT223,($A223-Inputs!$D$1)+15,1,0)))))</f>
        <v> </v>
      </c>
      <c r="U223" s="280" t="str">
        <f aca="false">IF($A223="N/A"," ",IF('Pricing Inputs'!$AN$8=2,(N223-$H223),IF('Pricing Inputs'!$AN$3=2,IF((N223-$H223)&gt;0,N223-$H223,0),(xSPRDOPT(N223,$E223,$BU223,0,$BP223,$BS223,$BT223,($A223-Inputs!$D$1)+15,1,0)))))</f>
        <v> </v>
      </c>
      <c r="V223" s="281" t="str">
        <f aca="false">IF($A223="N/A"," ",(IF('Pricing Inputs'!$AN$8=2,(O223-$H223),IF((O223-$H223)&lt;=0,0,(O223-$H223)))))</f>
        <v> </v>
      </c>
      <c r="W223" s="282" t="str">
        <f aca="false">IF($A223="N/A"," ",IF(0&lt;&gt;P223,IF('Pricing Inputs'!$AN$3=2,8*VLOOKUP($A223,NumberofDaysTable,2),(xSPRDOPT(I223,$E223,$BU223,0,$BP223,$BS223,$BT223,$A223-Inputs!$D$1,1,1))*(8*VLOOKUP($A223,NumberofDaysTable,2))),0))</f>
        <v> </v>
      </c>
      <c r="X223" s="282" t="str">
        <f aca="false">IF($A223="N/A"," ",IF(Q223&lt;&gt;0,IF('Pricing Inputs'!$AN$3=2,8*VLOOKUP($A223,NumberofDaysTable,2),(xSPRDOPT(J223,$E223,$BU223,0,$BP223,$BS223,$BT223,$A223-Inputs!$D$1,1,1))*(8*VLOOKUP($A223,NumberofDaysTable,2))),0))</f>
        <v> </v>
      </c>
      <c r="Y223" s="282" t="str">
        <f aca="false">IF($A223="N/A"," ",IF(R223&lt;&gt;0,IF('Pricing Inputs'!$AN$3=2,8*VLOOKUP($A223,NumberofDaysTable,3),(xSPRDOPT(K223,$E223,$BU223,0,$BP223,$BS223,$BT223,$A223-Inputs!$D$1,1,1))*(8*VLOOKUP($A223,NumberofDaysTable,3))),0))</f>
        <v> </v>
      </c>
      <c r="Z223" s="282" t="str">
        <f aca="false">IF($A223="N/A"," ",IF(S223&lt;&gt;0,IF('Pricing Inputs'!$AN$3=2,8*VLOOKUP($A223,NumberofDaysTable,3),(xSPRDOPT(L223,$E223,$BU223,0,$BP223,$BS223,$BT223,$A223-Inputs!$D$1,1,1))*(8*VLOOKUP($A223,NumberofDaysTable,3))),0))</f>
        <v> </v>
      </c>
      <c r="AA223" s="282" t="str">
        <f aca="false">IF($A223="N/A"," ",IF(T223&lt;&gt;0,IF('Pricing Inputs'!$AN$3=2,8*VLOOKUP($A223,NumberofDaysTable,4),(xSPRDOPT(M223,$E223,$BU223,0,$BP223,$BS223,$BT223,$A223-Inputs!$D$1,1,1))*(8*VLOOKUP($A223,NumberofDaysTable,4))),0))</f>
        <v> </v>
      </c>
      <c r="AB223" s="282" t="str">
        <f aca="false">IF($A223="N/A"," ",IF(U223&lt;&gt;0,IF('Pricing Inputs'!$AN$3=2,8*VLOOKUP($A223,NumberofDaysTable,4),(xSPRDOPT(N223,$E223,$BU223,0,$BP223,$BS223,$BT223,$A223-Inputs!$D$1,1,1))*(8*VLOOKUP($A223,NumberofDaysTable,4))),0))</f>
        <v> </v>
      </c>
      <c r="AC223" s="282" t="str">
        <f aca="false">IF($A223="N/A"," ",(IF(V223&lt;&gt;0,(8*VLOOKUP($A223,NumberofDaysTable,6)),0)))</f>
        <v> </v>
      </c>
      <c r="AD223" s="298" t="str">
        <f aca="false">IF($A223="N/A"," ",RANK(P223,$P$220:$V$231))</f>
        <v> </v>
      </c>
      <c r="AE223" s="299" t="str">
        <f aca="false">IF($A223="N/A"," ",RANK(Q223,$P$220:$V$231))</f>
        <v> </v>
      </c>
      <c r="AF223" s="299" t="str">
        <f aca="false">IF($A223="N/A"," ",RANK(R223,$P$220:$V$231))</f>
        <v> </v>
      </c>
      <c r="AG223" s="299" t="str">
        <f aca="false">IF($A223="N/A"," ",RANK(S223,$P$220:$V$231))</f>
        <v> </v>
      </c>
      <c r="AH223" s="299" t="str">
        <f aca="false">IF($A223="N/A"," ",RANK(T223,$P$220:$V$231))</f>
        <v> </v>
      </c>
      <c r="AI223" s="299" t="str">
        <f aca="false">IF($A223="N/A"," ",RANK(U223,$P$220:$V$231))</f>
        <v> </v>
      </c>
      <c r="AJ223" s="300" t="str">
        <f aca="false">IF($A223="N/A"," ",RANK(V223,$P$220:$V$231))</f>
        <v> </v>
      </c>
      <c r="AK223" s="286" t="str">
        <f aca="false">IF($A223="N/A"," ",IF(AD223&lt;=$AJ$2,W223,0))</f>
        <v> </v>
      </c>
      <c r="AL223" s="301" t="str">
        <f aca="false">IF($A223="N/A"," ",IF(AE223&lt;=$AJ$2,X223,0))</f>
        <v> </v>
      </c>
      <c r="AM223" s="301" t="str">
        <f aca="false">IF($A223="N/A"," ",IF(AF223&lt;=$AJ$2,Y223,0))</f>
        <v> </v>
      </c>
      <c r="AN223" s="301" t="str">
        <f aca="false">IF($A223="N/A"," ",IF(AG223&lt;=$AJ$2,Z223,0))</f>
        <v> </v>
      </c>
      <c r="AO223" s="301" t="str">
        <f aca="false">IF($A223="N/A"," ",IF(AH223&lt;=$AJ$2,AA223,0))</f>
        <v> </v>
      </c>
      <c r="AP223" s="301" t="str">
        <f aca="false">IF($A223="N/A"," ",IF(AI223&lt;=$AJ$2,AB223,0))</f>
        <v> </v>
      </c>
      <c r="AQ223" s="301" t="str">
        <f aca="false">IF($A223="N/A"," ",IF(AJ223&lt;=$AJ$2,AC223,0))</f>
        <v> </v>
      </c>
      <c r="AR223" s="300"/>
      <c r="AS223" s="288" t="str">
        <f aca="false">IF($A223="N/A"," ",IF(AND(AD223=$AJ$2+1,AK223=0),MIN($AR$231,W223),0))</f>
        <v> </v>
      </c>
      <c r="AT223" s="302" t="str">
        <f aca="false">IF($A223="N/A"," ",IF(AND(AE223=$AJ$2+1,AL223=0),MIN($AR$231,X223),0))</f>
        <v> </v>
      </c>
      <c r="AU223" s="302" t="str">
        <f aca="false">IF($A223="N/A"," ",IF(AND(AF223=$AJ$2+1,AM223=0),MIN($AR$231,Y223),0))</f>
        <v> </v>
      </c>
      <c r="AV223" s="302" t="str">
        <f aca="false">IF($A223="N/A"," ",IF(AND(AG223=$AJ$2+1,AN223=0),MIN($AR$231,Z223),0))</f>
        <v> </v>
      </c>
      <c r="AW223" s="302" t="str">
        <f aca="false">IF($A223="N/A"," ",IF(AND(AH223=$AJ$2+1,AO223=0),MIN($AR$231,AA223),0))</f>
        <v> </v>
      </c>
      <c r="AX223" s="302" t="str">
        <f aca="false">IF($A223="N/A"," ",IF(AND(AI223=$AJ$2+1,AP223=0),MIN($AR$231,AB223),0))</f>
        <v> </v>
      </c>
      <c r="AY223" s="302" t="str">
        <f aca="false">IF($A223="N/A"," ",IF(AND(AJ223=$AJ$2+1,AQ223=0),MIN($AR$231,AC223),0))</f>
        <v> </v>
      </c>
      <c r="AZ223" s="300"/>
      <c r="BA223" s="291" t="str">
        <f aca="false">IF($A223="N/A"," ",(IF(MONTH(A223)&gt;=4,IF(MONTH(A223)&lt;=10,Inputs!$F$13,Inputs!$F$14),Inputs!$F$14))*$BW223)</f>
        <v> </v>
      </c>
      <c r="BB223" s="292" t="str">
        <f aca="false">IF($A223="N/A"," ",(IF(AK223&gt;0,($BA223*(8*(VLOOKUP($A223,NumberofDaysTable,2)))*P223),0)+IF(AS223&gt;0,($BA223*((AS223))*P223),0)))</f>
        <v> </v>
      </c>
      <c r="BC223" s="292" t="str">
        <f aca="false">IF($A223="N/A"," ",(IF(AL223&gt;0,($BA223*(8*(VLOOKUP($A223,NumberofDaysTable,2)))*Q223),0)+IF(AT223&gt;0,($BA223*((AT223))*Q223),0)))</f>
        <v> </v>
      </c>
      <c r="BD223" s="292" t="str">
        <f aca="false">IF($A223="N/A"," ",(IF(AM223&gt;0,($BA223*(8*(VLOOKUP($A223,NumberofDaysTable,3)))*R223),0)+IF(AU223&gt;0,($BA223*((AU223))*R223),0)))</f>
        <v> </v>
      </c>
      <c r="BE223" s="292" t="str">
        <f aca="false">IF($A223="N/A"," ",(IF(AN223&gt;0,($BA223*(8*(VLOOKUP($A223,NumberofDaysTable,3)))*S223),0)+IF(AV223&gt;0,($BA223*((AV223))*S223),0)))</f>
        <v> </v>
      </c>
      <c r="BF223" s="292" t="str">
        <f aca="false">IF($A223="N/A"," ",(IF(AO223&gt;0,($BA223*(8*(VLOOKUP($A223,NumberofDaysTable,4)+VLOOKUP($A223,NumberofDaysTable,5)))*T223),0)+IF(AW223&gt;0,($BA223*((AW223))*T223),0)))</f>
        <v> </v>
      </c>
      <c r="BG223" s="292" t="str">
        <f aca="false">IF($A223="N/A"," ",(IF(AP223&gt;0,($BA223*(8*(VLOOKUP($A223,NumberofDaysTable,4)+VLOOKUP($A223,NumberofDaysTable,5)))*U223),0)+IF(AX223&gt;0,($BA223*((AX223))*U223),0)))</f>
        <v> </v>
      </c>
      <c r="BH223" s="292" t="str">
        <f aca="false">IF($A223="N/A"," ",($BA223*AQ223*V223))</f>
        <v> </v>
      </c>
      <c r="BI223" s="292" t="str">
        <f aca="false">IF($A223="N/A"," ",SUM(BB223:BH223))</f>
        <v> </v>
      </c>
      <c r="BJ223" s="293" t="str">
        <f aca="false">IF($A223="N/A"," ",(H223*(SUM(AK223:AQ223)+SUM(AS223:AY223))*BA223))</f>
        <v> </v>
      </c>
      <c r="BK223" s="293" t="str">
        <f aca="false">IF($A223="N/A"," ",((C223*D223)*(SUM($AK223:$AQ223)+SUM($AS223:$AY223))*$BA223))</f>
        <v> </v>
      </c>
      <c r="BL223" s="293" t="str">
        <f aca="false">IF($A223="N/A"," ",(F223*(SUM($AK223:$AQ223)+SUM($AS223:$AY223))*$BA223))</f>
        <v> </v>
      </c>
      <c r="BM223" s="293" t="str">
        <f aca="false">IF($A223="N/A"," ",(G223*(SUM($AK223:$AQ223)+SUM($AS223:$AY223))*$BA223))</f>
        <v> </v>
      </c>
      <c r="BN223" s="294" t="str">
        <f aca="false">IF(A223="N/A"," ",(VLOOKUP(A223,PowerVolTable,(IF('Pricing Inputs'!$AT$3=2,7,IF('Pricing Inputs'!$AT$3=1,6,8))),FALSE())))</f>
        <v> </v>
      </c>
      <c r="BO223" s="294" t="str">
        <f aca="false">IF(A223="N/A"," ",(VLOOKUP(A223,IntraPowerVol,(IF('Pricing Inputs'!$AT$3=2,3,IF('Pricing Inputs'!$AT$3=1,2,4))),FALSE())*VLOOKUP(MONTH($A223),Inputs!$A$28:$B$39,2)))</f>
        <v> </v>
      </c>
      <c r="BP223" s="295" t="str">
        <f aca="false">IF($A223="N/A"," ",(IF(DateToday&gt;$A223,$BO223,((($BN223^2)*((($A223-1)-DateToday)/((EOMONTH($A223,0)+1)-DateToday-15)))+((($BO223)^2)*((15)/((EOMONTH($A223,0)+1)-DateToday-15))))^0.5)))</f>
        <v> </v>
      </c>
      <c r="BQ223" s="294" t="str">
        <f aca="false">IF($A223="N/A"," ",(VLOOKUP($A223,GasVolTable,(IF('Pricing Inputs'!$AT$3=2,6,IF('Pricing Inputs'!$AT$3=1,7,5))),FALSE())))</f>
        <v> </v>
      </c>
      <c r="BR223" s="294" t="str">
        <f aca="false">IF($A223="N/A"," ",(VLOOKUP($A223,OmicronVol,(IF('Pricing Inputs'!$AT$3=2,3,IF('Pricing Inputs'!$AT$3=1,4,2))),FALSE())))</f>
        <v> </v>
      </c>
      <c r="BS223" s="295" t="str">
        <f aca="false">IF($A223="N/A"," ",IF('Pricing Inputs'!$AN$3=1,(IF(DateToday&gt;$A223,$BR223,((($BQ223^2)*((($A223-1)-DateToday)/((EOMONTH($A223,0)+1)-DateToday-15)))+((($BR223)^2)*((15)/((EOMONTH($A223,0)+1)-DateToday-15))))^0.5)),0.0001))</f>
        <v> </v>
      </c>
      <c r="BT223" s="294" t="str">
        <f aca="false">IF($A223="N/A"," ",IF('Pricing Inputs'!$AN$3=1,(VLOOKUP($A223,CorrelationTable,2,FALSE())),0))</f>
        <v> </v>
      </c>
      <c r="BU223" s="296" t="str">
        <f aca="false">IF($A223="N/A"," ",F223+G223+(D223*(VLOOKUP($A223,'Gas Curves'!$B$17:$P$310,14,FALSE()))))</f>
        <v> </v>
      </c>
      <c r="BV223" s="294" t="str">
        <f aca="false">IF($A223="N/A"," ",IF('Pricing Inputs'!$AW$3=1,0,(VLOOKUP($A223,InterestRatesTable,2))))</f>
        <v> </v>
      </c>
      <c r="BW223" s="297" t="str">
        <f aca="false">IF($A223="N/A"," ",(1+BV223/2)^(-2*((EOMONTH(A223,0)+20)-DateToday)/365.25))</f>
        <v> </v>
      </c>
    </row>
    <row r="224" customFormat="false" ht="12.75" hidden="false" customHeight="false" outlineLevel="0" collapsed="false">
      <c r="A224" s="272" t="str">
        <f aca="false">IF(A223="N/A","N/A",IF(EDATE(A223,1)&gt;Inputs!$K$3,"N/A",EDATE(A223,1)))</f>
        <v>N/A</v>
      </c>
      <c r="B224" s="273" t="str">
        <f aca="false">IF(A224="N/A"," ",YEAR(A224))</f>
        <v> </v>
      </c>
      <c r="C224" s="274" t="str">
        <f aca="false">IF(A224="N/A"," ",VLOOKUP(A224,ScaledPrice,10))</f>
        <v> </v>
      </c>
      <c r="D224" s="275" t="str">
        <f aca="false">IF(A224="N/A"," ",(VLOOKUP(MONTH($A224),Inputs!$A$14:$B$25,2))/1000)</f>
        <v> </v>
      </c>
      <c r="E224" s="276" t="str">
        <f aca="false">IF($A224="N/A"," ",C224*D224)</f>
        <v> </v>
      </c>
      <c r="F224" s="277" t="str">
        <f aca="false">IF(A224="N/A"," ",Inputs!$F$6)</f>
        <v> </v>
      </c>
      <c r="G224" s="277" t="str">
        <f aca="false">IF(A224="N/A"," ",Inputs!$F$9/IF(AND('Pricing Inputs'!$AQ$3&gt;=4,'Pricing Inputs'!$AQ$3&lt;=6),16,IF(AND('Pricing Inputs'!$AQ$3&gt;=7,'Pricing Inputs'!$AQ$3&lt;=9),8,24))/(BA224/BW224))</f>
        <v> </v>
      </c>
      <c r="H224" s="278" t="str">
        <f aca="false">IF(A224="N/A"," ",(C224*D224)+F224+G224)</f>
        <v> </v>
      </c>
      <c r="I224" s="279" t="str">
        <f aca="false">VLOOKUP(A224,ScaledPrice,(IF(AND('Pricing Inputs'!$AQ$3&gt;=1,'Pricing Inputs'!$AQ$3&lt;=6),2,4)))</f>
        <v> </v>
      </c>
      <c r="J224" s="279" t="str">
        <f aca="false">IF(A224="N/A"," ",IF(AND('Pricing Inputs'!$AQ$3&gt;=1,'Pricing Inputs'!$AQ$3&lt;=6),I224,(VLOOKUP(A224,ScaledPrice,2))*(2-(VLOOKUP(A224,ScaledPrice,3)))))</f>
        <v> </v>
      </c>
      <c r="K224" s="279" t="str">
        <f aca="false">IF(A224="N/A"," ",IF(OR('Pricing Inputs'!$AQ$3=2,'Pricing Inputs'!$AQ$3=3,'Pricing Inputs'!$AQ$3=5,'Pricing Inputs'!$AQ$3=6,'Pricing Inputs'!$AQ$3=8,'Pricing Inputs'!$AQ$3=9),VLOOKUP(A224,ScaledPrice,IF(AND('Pricing Inputs'!$AQ$3&gt;=2,'Pricing Inputs'!$AQ$3&lt;=6),5,6)),0))</f>
        <v> </v>
      </c>
      <c r="L224" s="279" t="str">
        <f aca="false">IF(A224="N/A"," ",IF(OR('Pricing Inputs'!$AQ$3=2,'Pricing Inputs'!$AQ$3=3,'Pricing Inputs'!$AQ$3=5,'Pricing Inputs'!$AQ$3=6,'Pricing Inputs'!$AQ$3=8,'Pricing Inputs'!$AQ$3=9),IF(AND('Pricing Inputs'!$AQ$3&gt;=2,'Pricing Inputs'!$AQ$3&lt;=6),K224,(VLOOKUP(A224,ScaledPrice,5))*(2-(VLOOKUP(A224,ScaledPrice,3)))),0))</f>
        <v> </v>
      </c>
      <c r="M224" s="279" t="str">
        <f aca="false">IF(A224="N/A"," ",IF(OR('Pricing Inputs'!$AQ$3=3,'Pricing Inputs'!$AQ$3=6,'Pricing Inputs'!$AQ$3=9),(VLOOKUP(A224,ScaledPrice,IF(AND('Pricing Inputs'!$AQ$3&gt;=3,'Pricing Inputs'!$AQ$3&lt;=6),7,8))),0))</f>
        <v> </v>
      </c>
      <c r="N224" s="279" t="str">
        <f aca="false">IF(A224="N/A"," ",IF(OR('Pricing Inputs'!$AQ$3=3,'Pricing Inputs'!$AQ$3=6,'Pricing Inputs'!$AQ$3=9),IF(AND('Pricing Inputs'!$AQ$3&gt;=3,'Pricing Inputs'!$AQ$3&lt;=6),M224,(VLOOKUP(A224,ScaledPrice,7))*(2-(VLOOKUP(A224,ScaledPrice,3)))),0))</f>
        <v> </v>
      </c>
      <c r="O224" s="279" t="str">
        <f aca="false">IF(A224="N/A"," ",IF(AND('Pricing Inputs'!$AQ$3&gt;=1,'Pricing Inputs'!$AQ$3&lt;=3),VLOOKUP(A224,ScaledPrice,9),0))</f>
        <v> </v>
      </c>
      <c r="P224" s="280" t="str">
        <f aca="false">IF($A224="N/A"," ",IF('Pricing Inputs'!$AN$8=2,(I224-H224),IF('Pricing Inputs'!$AN$3=2,IF((I224-$H224)&gt;0,I224-$H224,0),(xSPRDOPT(I224,$E224,$BU224,0,$BP224,$BS224,$BT224,($A224-Inputs!$D$1)+15,1,0)))))</f>
        <v> </v>
      </c>
      <c r="Q224" s="280" t="str">
        <f aca="false">IF($A224="N/A"," ",IF('Pricing Inputs'!$AN$8=2,(J224-$H224),IF('Pricing Inputs'!$AN$3=2,IF((J224-$H224)&gt;0,J224-$H224,0),(xSPRDOPT(J224,$E224,$BU224,0,$BP224,$BS224,$BT224,($A224-Inputs!$D$1)+15,1,0)))))</f>
        <v> </v>
      </c>
      <c r="R224" s="280" t="str">
        <f aca="false">IF($A224="N/A"," ",IF('Pricing Inputs'!$AN$8=2,(K224-$H224),IF('Pricing Inputs'!$AN$3=2,IF((K224-$H224)&gt;0,K224-$H224,0),(xSPRDOPT(K224,$E224,$BU224,0,$BP224,$BS224,$BT224,($A224-Inputs!$D$1)+15,1,0)))))</f>
        <v> </v>
      </c>
      <c r="S224" s="280" t="str">
        <f aca="false">IF($A224="N/A"," ",IF('Pricing Inputs'!$AN$8=2,(L224-$H224),IF('Pricing Inputs'!$AN$3=2,IF((L224-$H224)&gt;0,L224-$H224,0),(xSPRDOPT(L224,$E224,$BU224,0,$BP224,$BS224,$BT224,($A224-Inputs!$D$1)+15,1,0)))))</f>
        <v> </v>
      </c>
      <c r="T224" s="280" t="str">
        <f aca="false">IF($A224="N/A"," ",IF('Pricing Inputs'!$AN$8=2,(M224-$H224),IF('Pricing Inputs'!$AN$3=2,IF((M224-$H224)&gt;0,M224-$H224,0),(xSPRDOPT(M224,$E224,$BU224,0,$BP224,$BS224,$BT224,($A224-Inputs!$D$1)+15,1,0)))))</f>
        <v> </v>
      </c>
      <c r="U224" s="280" t="str">
        <f aca="false">IF($A224="N/A"," ",IF('Pricing Inputs'!$AN$8=2,(N224-$H224),IF('Pricing Inputs'!$AN$3=2,IF((N224-$H224)&gt;0,N224-$H224,0),(xSPRDOPT(N224,$E224,$BU224,0,$BP224,$BS224,$BT224,($A224-Inputs!$D$1)+15,1,0)))))</f>
        <v> </v>
      </c>
      <c r="V224" s="281" t="str">
        <f aca="false">IF($A224="N/A"," ",(IF('Pricing Inputs'!$AN$8=2,(O224-$H224),IF((O224-$H224)&lt;=0,0,(O224-$H224)))))</f>
        <v> </v>
      </c>
      <c r="W224" s="282" t="str">
        <f aca="false">IF($A224="N/A"," ",IF(0&lt;&gt;P224,IF('Pricing Inputs'!$AN$3=2,8*VLOOKUP($A224,NumberofDaysTable,2),(xSPRDOPT(I224,$E224,$BU224,0,$BP224,$BS224,$BT224,$A224-Inputs!$D$1,1,1))*(8*VLOOKUP($A224,NumberofDaysTable,2))),0))</f>
        <v> </v>
      </c>
      <c r="X224" s="282" t="str">
        <f aca="false">IF($A224="N/A"," ",IF(Q224&lt;&gt;0,IF('Pricing Inputs'!$AN$3=2,8*VLOOKUP($A224,NumberofDaysTable,2),(xSPRDOPT(J224,$E224,$BU224,0,$BP224,$BS224,$BT224,$A224-Inputs!$D$1,1,1))*(8*VLOOKUP($A224,NumberofDaysTable,2))),0))</f>
        <v> </v>
      </c>
      <c r="Y224" s="282" t="str">
        <f aca="false">IF($A224="N/A"," ",IF(R224&lt;&gt;0,IF('Pricing Inputs'!$AN$3=2,8*VLOOKUP($A224,NumberofDaysTable,3),(xSPRDOPT(K224,$E224,$BU224,0,$BP224,$BS224,$BT224,$A224-Inputs!$D$1,1,1))*(8*VLOOKUP($A224,NumberofDaysTable,3))),0))</f>
        <v> </v>
      </c>
      <c r="Z224" s="282" t="str">
        <f aca="false">IF($A224="N/A"," ",IF(S224&lt;&gt;0,IF('Pricing Inputs'!$AN$3=2,8*VLOOKUP($A224,NumberofDaysTable,3),(xSPRDOPT(L224,$E224,$BU224,0,$BP224,$BS224,$BT224,$A224-Inputs!$D$1,1,1))*(8*VLOOKUP($A224,NumberofDaysTable,3))),0))</f>
        <v> </v>
      </c>
      <c r="AA224" s="282" t="str">
        <f aca="false">IF($A224="N/A"," ",IF(T224&lt;&gt;0,IF('Pricing Inputs'!$AN$3=2,8*VLOOKUP($A224,NumberofDaysTable,4),(xSPRDOPT(M224,$E224,$BU224,0,$BP224,$BS224,$BT224,$A224-Inputs!$D$1,1,1))*(8*VLOOKUP($A224,NumberofDaysTable,4))),0))</f>
        <v> </v>
      </c>
      <c r="AB224" s="282" t="str">
        <f aca="false">IF($A224="N/A"," ",IF(U224&lt;&gt;0,IF('Pricing Inputs'!$AN$3=2,8*VLOOKUP($A224,NumberofDaysTable,4),(xSPRDOPT(N224,$E224,$BU224,0,$BP224,$BS224,$BT224,$A224-Inputs!$D$1,1,1))*(8*VLOOKUP($A224,NumberofDaysTable,4))),0))</f>
        <v> </v>
      </c>
      <c r="AC224" s="282" t="str">
        <f aca="false">IF($A224="N/A"," ",(IF(V224&lt;&gt;0,(8*VLOOKUP($A224,NumberofDaysTable,6)),0)))</f>
        <v> </v>
      </c>
      <c r="AD224" s="298" t="str">
        <f aca="false">IF($A224="N/A"," ",RANK(P224,$P$220:$V$231))</f>
        <v> </v>
      </c>
      <c r="AE224" s="299" t="str">
        <f aca="false">IF($A224="N/A"," ",RANK(Q224,$P$220:$V$231))</f>
        <v> </v>
      </c>
      <c r="AF224" s="299" t="str">
        <f aca="false">IF($A224="N/A"," ",RANK(R224,$P$220:$V$231))</f>
        <v> </v>
      </c>
      <c r="AG224" s="299" t="str">
        <f aca="false">IF($A224="N/A"," ",RANK(S224,$P$220:$V$231))</f>
        <v> </v>
      </c>
      <c r="AH224" s="299" t="str">
        <f aca="false">IF($A224="N/A"," ",RANK(T224,$P$220:$V$231))</f>
        <v> </v>
      </c>
      <c r="AI224" s="299" t="str">
        <f aca="false">IF($A224="N/A"," ",RANK(U224,$P$220:$V$231))</f>
        <v> </v>
      </c>
      <c r="AJ224" s="300" t="str">
        <f aca="false">IF($A224="N/A"," ",RANK(V224,$P$220:$V$231))</f>
        <v> </v>
      </c>
      <c r="AK224" s="286" t="str">
        <f aca="false">IF($A224="N/A"," ",IF(AD224&lt;=$AJ$2,W224,0))</f>
        <v> </v>
      </c>
      <c r="AL224" s="301" t="str">
        <f aca="false">IF($A224="N/A"," ",IF(AE224&lt;=$AJ$2,X224,0))</f>
        <v> </v>
      </c>
      <c r="AM224" s="301" t="str">
        <f aca="false">IF($A224="N/A"," ",IF(AF224&lt;=$AJ$2,Y224,0))</f>
        <v> </v>
      </c>
      <c r="AN224" s="301" t="str">
        <f aca="false">IF($A224="N/A"," ",IF(AG224&lt;=$AJ$2,Z224,0))</f>
        <v> </v>
      </c>
      <c r="AO224" s="301" t="str">
        <f aca="false">IF($A224="N/A"," ",IF(AH224&lt;=$AJ$2,AA224,0))</f>
        <v> </v>
      </c>
      <c r="AP224" s="301" t="str">
        <f aca="false">IF($A224="N/A"," ",IF(AI224&lt;=$AJ$2,AB224,0))</f>
        <v> </v>
      </c>
      <c r="AQ224" s="301" t="str">
        <f aca="false">IF($A224="N/A"," ",IF(AJ224&lt;=$AJ$2,AC224,0))</f>
        <v> </v>
      </c>
      <c r="AR224" s="300"/>
      <c r="AS224" s="288" t="str">
        <f aca="false">IF($A224="N/A"," ",IF(AND(AD224=$AJ$2+1,AK224=0),MIN($AR$231,W224),0))</f>
        <v> </v>
      </c>
      <c r="AT224" s="302" t="str">
        <f aca="false">IF($A224="N/A"," ",IF(AND(AE224=$AJ$2+1,AL224=0),MIN($AR$231,X224),0))</f>
        <v> </v>
      </c>
      <c r="AU224" s="302" t="str">
        <f aca="false">IF($A224="N/A"," ",IF(AND(AF224=$AJ$2+1,AM224=0),MIN($AR$231,Y224),0))</f>
        <v> </v>
      </c>
      <c r="AV224" s="302" t="str">
        <f aca="false">IF($A224="N/A"," ",IF(AND(AG224=$AJ$2+1,AN224=0),MIN($AR$231,Z224),0))</f>
        <v> </v>
      </c>
      <c r="AW224" s="302" t="str">
        <f aca="false">IF($A224="N/A"," ",IF(AND(AH224=$AJ$2+1,AO224=0),MIN($AR$231,AA224),0))</f>
        <v> </v>
      </c>
      <c r="AX224" s="302" t="str">
        <f aca="false">IF($A224="N/A"," ",IF(AND(AI224=$AJ$2+1,AP224=0),MIN($AR$231,AB224),0))</f>
        <v> </v>
      </c>
      <c r="AY224" s="302" t="str">
        <f aca="false">IF($A224="N/A"," ",IF(AND(AJ224=$AJ$2+1,AQ224=0),MIN($AR$231,AC224),0))</f>
        <v> </v>
      </c>
      <c r="AZ224" s="300"/>
      <c r="BA224" s="291" t="str">
        <f aca="false">IF($A224="N/A"," ",(IF(MONTH(A224)&gt;=4,IF(MONTH(A224)&lt;=10,Inputs!$F$13,Inputs!$F$14),Inputs!$F$14))*$BW224)</f>
        <v> </v>
      </c>
      <c r="BB224" s="292" t="str">
        <f aca="false">IF($A224="N/A"," ",(IF(AK224&gt;0,($BA224*(8*(VLOOKUP($A224,NumberofDaysTable,2)))*P224),0)+IF(AS224&gt;0,($BA224*((AS224))*P224),0)))</f>
        <v> </v>
      </c>
      <c r="BC224" s="292" t="str">
        <f aca="false">IF($A224="N/A"," ",(IF(AL224&gt;0,($BA224*(8*(VLOOKUP($A224,NumberofDaysTable,2)))*Q224),0)+IF(AT224&gt;0,($BA224*((AT224))*Q224),0)))</f>
        <v> </v>
      </c>
      <c r="BD224" s="292" t="str">
        <f aca="false">IF($A224="N/A"," ",(IF(AM224&gt;0,($BA224*(8*(VLOOKUP($A224,NumberofDaysTable,3)))*R224),0)+IF(AU224&gt;0,($BA224*((AU224))*R224),0)))</f>
        <v> </v>
      </c>
      <c r="BE224" s="292" t="str">
        <f aca="false">IF($A224="N/A"," ",(IF(AN224&gt;0,($BA224*(8*(VLOOKUP($A224,NumberofDaysTable,3)))*S224),0)+IF(AV224&gt;0,($BA224*((AV224))*S224),0)))</f>
        <v> </v>
      </c>
      <c r="BF224" s="292" t="str">
        <f aca="false">IF($A224="N/A"," ",(IF(AO224&gt;0,($BA224*(8*(VLOOKUP($A224,NumberofDaysTable,4)+VLOOKUP($A224,NumberofDaysTable,5)))*T224),0)+IF(AW224&gt;0,($BA224*((AW224))*T224),0)))</f>
        <v> </v>
      </c>
      <c r="BG224" s="292" t="str">
        <f aca="false">IF($A224="N/A"," ",(IF(AP224&gt;0,($BA224*(8*(VLOOKUP($A224,NumberofDaysTable,4)+VLOOKUP($A224,NumberofDaysTable,5)))*U224),0)+IF(AX224&gt;0,($BA224*((AX224))*U224),0)))</f>
        <v> </v>
      </c>
      <c r="BH224" s="292" t="str">
        <f aca="false">IF($A224="N/A"," ",($BA224*AQ224*V224))</f>
        <v> </v>
      </c>
      <c r="BI224" s="292" t="str">
        <f aca="false">IF($A224="N/A"," ",SUM(BB224:BH224))</f>
        <v> </v>
      </c>
      <c r="BJ224" s="293" t="str">
        <f aca="false">IF($A224="N/A"," ",(H224*(SUM(AK224:AQ224)+SUM(AS224:AY224))*BA224))</f>
        <v> </v>
      </c>
      <c r="BK224" s="293" t="str">
        <f aca="false">IF($A224="N/A"," ",((C224*D224)*(SUM($AK224:$AQ224)+SUM($AS224:$AY224))*$BA224))</f>
        <v> </v>
      </c>
      <c r="BL224" s="293" t="str">
        <f aca="false">IF($A224="N/A"," ",(F224*(SUM($AK224:$AQ224)+SUM($AS224:$AY224))*$BA224))</f>
        <v> </v>
      </c>
      <c r="BM224" s="293" t="str">
        <f aca="false">IF($A224="N/A"," ",(G224*(SUM($AK224:$AQ224)+SUM($AS224:$AY224))*$BA224))</f>
        <v> </v>
      </c>
      <c r="BN224" s="294" t="str">
        <f aca="false">IF(A224="N/A"," ",(VLOOKUP(A224,PowerVolTable,(IF('Pricing Inputs'!$AT$3=2,7,IF('Pricing Inputs'!$AT$3=1,6,8))),FALSE())))</f>
        <v> </v>
      </c>
      <c r="BO224" s="294" t="str">
        <f aca="false">IF(A224="N/A"," ",(VLOOKUP(A224,IntraPowerVol,(IF('Pricing Inputs'!$AT$3=2,3,IF('Pricing Inputs'!$AT$3=1,2,4))),FALSE())*VLOOKUP(MONTH($A224),Inputs!$A$28:$B$39,2)))</f>
        <v> </v>
      </c>
      <c r="BP224" s="295" t="str">
        <f aca="false">IF($A224="N/A"," ",(IF(DateToday&gt;$A224,$BO224,((($BN224^2)*((($A224-1)-DateToday)/((EOMONTH($A224,0)+1)-DateToday-15)))+((($BO224)^2)*((15)/((EOMONTH($A224,0)+1)-DateToday-15))))^0.5)))</f>
        <v> </v>
      </c>
      <c r="BQ224" s="294" t="str">
        <f aca="false">IF($A224="N/A"," ",(VLOOKUP($A224,GasVolTable,(IF('Pricing Inputs'!$AT$3=2,6,IF('Pricing Inputs'!$AT$3=1,7,5))),FALSE())))</f>
        <v> </v>
      </c>
      <c r="BR224" s="294" t="str">
        <f aca="false">IF($A224="N/A"," ",(VLOOKUP($A224,OmicronVol,(IF('Pricing Inputs'!$AT$3=2,3,IF('Pricing Inputs'!$AT$3=1,4,2))),FALSE())))</f>
        <v> </v>
      </c>
      <c r="BS224" s="295" t="str">
        <f aca="false">IF($A224="N/A"," ",IF('Pricing Inputs'!$AN$3=1,(IF(DateToday&gt;$A224,$BR224,((($BQ224^2)*((($A224-1)-DateToday)/((EOMONTH($A224,0)+1)-DateToday-15)))+((($BR224)^2)*((15)/((EOMONTH($A224,0)+1)-DateToday-15))))^0.5)),0.0001))</f>
        <v> </v>
      </c>
      <c r="BT224" s="294" t="str">
        <f aca="false">IF($A224="N/A"," ",IF('Pricing Inputs'!$AN$3=1,(VLOOKUP($A224,CorrelationTable,2,FALSE())),0))</f>
        <v> </v>
      </c>
      <c r="BU224" s="296" t="str">
        <f aca="false">IF($A224="N/A"," ",F224+G224+(D224*(VLOOKUP($A224,'Gas Curves'!$B$17:$P$310,14,FALSE()))))</f>
        <v> </v>
      </c>
      <c r="BV224" s="294" t="str">
        <f aca="false">IF($A224="N/A"," ",IF('Pricing Inputs'!$AW$3=1,0,(VLOOKUP($A224,InterestRatesTable,2))))</f>
        <v> </v>
      </c>
      <c r="BW224" s="297" t="str">
        <f aca="false">IF($A224="N/A"," ",(1+BV224/2)^(-2*((EOMONTH(A224,0)+20)-DateToday)/365.25))</f>
        <v> </v>
      </c>
    </row>
    <row r="225" customFormat="false" ht="12.75" hidden="false" customHeight="false" outlineLevel="0" collapsed="false">
      <c r="A225" s="272" t="str">
        <f aca="false">IF(A224="N/A","N/A",IF(EDATE(A224,1)&gt;Inputs!$K$3,"N/A",EDATE(A224,1)))</f>
        <v>N/A</v>
      </c>
      <c r="B225" s="273" t="str">
        <f aca="false">IF(A225="N/A"," ",YEAR(A225))</f>
        <v> </v>
      </c>
      <c r="C225" s="274" t="str">
        <f aca="false">IF(A225="N/A"," ",VLOOKUP(A225,ScaledPrice,10))</f>
        <v> </v>
      </c>
      <c r="D225" s="275" t="str">
        <f aca="false">IF(A225="N/A"," ",(VLOOKUP(MONTH($A225),Inputs!$A$14:$B$25,2))/1000)</f>
        <v> </v>
      </c>
      <c r="E225" s="276" t="str">
        <f aca="false">IF($A225="N/A"," ",C225*D225)</f>
        <v> </v>
      </c>
      <c r="F225" s="277" t="str">
        <f aca="false">IF(A225="N/A"," ",Inputs!$F$6)</f>
        <v> </v>
      </c>
      <c r="G225" s="277" t="str">
        <f aca="false">IF(A225="N/A"," ",Inputs!$F$9/IF(AND('Pricing Inputs'!$AQ$3&gt;=4,'Pricing Inputs'!$AQ$3&lt;=6),16,IF(AND('Pricing Inputs'!$AQ$3&gt;=7,'Pricing Inputs'!$AQ$3&lt;=9),8,24))/(BA225/BW225))</f>
        <v> </v>
      </c>
      <c r="H225" s="278" t="str">
        <f aca="false">IF(A225="N/A"," ",(C225*D225)+F225+G225)</f>
        <v> </v>
      </c>
      <c r="I225" s="279" t="str">
        <f aca="false">VLOOKUP(A225,ScaledPrice,(IF(AND('Pricing Inputs'!$AQ$3&gt;=1,'Pricing Inputs'!$AQ$3&lt;=6),2,4)))</f>
        <v> </v>
      </c>
      <c r="J225" s="279" t="str">
        <f aca="false">IF(A225="N/A"," ",IF(AND('Pricing Inputs'!$AQ$3&gt;=1,'Pricing Inputs'!$AQ$3&lt;=6),I225,(VLOOKUP(A225,ScaledPrice,2))*(2-(VLOOKUP(A225,ScaledPrice,3)))))</f>
        <v> </v>
      </c>
      <c r="K225" s="279" t="str">
        <f aca="false">IF(A225="N/A"," ",IF(OR('Pricing Inputs'!$AQ$3=2,'Pricing Inputs'!$AQ$3=3,'Pricing Inputs'!$AQ$3=5,'Pricing Inputs'!$AQ$3=6,'Pricing Inputs'!$AQ$3=8,'Pricing Inputs'!$AQ$3=9),VLOOKUP(A225,ScaledPrice,IF(AND('Pricing Inputs'!$AQ$3&gt;=2,'Pricing Inputs'!$AQ$3&lt;=6),5,6)),0))</f>
        <v> </v>
      </c>
      <c r="L225" s="279" t="str">
        <f aca="false">IF(A225="N/A"," ",IF(OR('Pricing Inputs'!$AQ$3=2,'Pricing Inputs'!$AQ$3=3,'Pricing Inputs'!$AQ$3=5,'Pricing Inputs'!$AQ$3=6,'Pricing Inputs'!$AQ$3=8,'Pricing Inputs'!$AQ$3=9),IF(AND('Pricing Inputs'!$AQ$3&gt;=2,'Pricing Inputs'!$AQ$3&lt;=6),K225,(VLOOKUP(A225,ScaledPrice,5))*(2-(VLOOKUP(A225,ScaledPrice,3)))),0))</f>
        <v> </v>
      </c>
      <c r="M225" s="279" t="str">
        <f aca="false">IF(A225="N/A"," ",IF(OR('Pricing Inputs'!$AQ$3=3,'Pricing Inputs'!$AQ$3=6,'Pricing Inputs'!$AQ$3=9),(VLOOKUP(A225,ScaledPrice,IF(AND('Pricing Inputs'!$AQ$3&gt;=3,'Pricing Inputs'!$AQ$3&lt;=6),7,8))),0))</f>
        <v> </v>
      </c>
      <c r="N225" s="279" t="str">
        <f aca="false">IF(A225="N/A"," ",IF(OR('Pricing Inputs'!$AQ$3=3,'Pricing Inputs'!$AQ$3=6,'Pricing Inputs'!$AQ$3=9),IF(AND('Pricing Inputs'!$AQ$3&gt;=3,'Pricing Inputs'!$AQ$3&lt;=6),M225,(VLOOKUP(A225,ScaledPrice,7))*(2-(VLOOKUP(A225,ScaledPrice,3)))),0))</f>
        <v> </v>
      </c>
      <c r="O225" s="279" t="str">
        <f aca="false">IF(A225="N/A"," ",IF(AND('Pricing Inputs'!$AQ$3&gt;=1,'Pricing Inputs'!$AQ$3&lt;=3),VLOOKUP(A225,ScaledPrice,9),0))</f>
        <v> </v>
      </c>
      <c r="P225" s="280" t="str">
        <f aca="false">IF($A225="N/A"," ",IF('Pricing Inputs'!$AN$8=2,(I225-H225),IF('Pricing Inputs'!$AN$3=2,IF((I225-$H225)&gt;0,I225-$H225,0),(xSPRDOPT(I225,$E225,$BU225,0,$BP225,$BS225,$BT225,($A225-Inputs!$D$1)+15,1,0)))))</f>
        <v> </v>
      </c>
      <c r="Q225" s="280" t="str">
        <f aca="false">IF($A225="N/A"," ",IF('Pricing Inputs'!$AN$8=2,(J225-$H225),IF('Pricing Inputs'!$AN$3=2,IF((J225-$H225)&gt;0,J225-$H225,0),(xSPRDOPT(J225,$E225,$BU225,0,$BP225,$BS225,$BT225,($A225-Inputs!$D$1)+15,1,0)))))</f>
        <v> </v>
      </c>
      <c r="R225" s="280" t="str">
        <f aca="false">IF($A225="N/A"," ",IF('Pricing Inputs'!$AN$8=2,(K225-$H225),IF('Pricing Inputs'!$AN$3=2,IF((K225-$H225)&gt;0,K225-$H225,0),(xSPRDOPT(K225,$E225,$BU225,0,$BP225,$BS225,$BT225,($A225-Inputs!$D$1)+15,1,0)))))</f>
        <v> </v>
      </c>
      <c r="S225" s="280" t="str">
        <f aca="false">IF($A225="N/A"," ",IF('Pricing Inputs'!$AN$8=2,(L225-$H225),IF('Pricing Inputs'!$AN$3=2,IF((L225-$H225)&gt;0,L225-$H225,0),(xSPRDOPT(L225,$E225,$BU225,0,$BP225,$BS225,$BT225,($A225-Inputs!$D$1)+15,1,0)))))</f>
        <v> </v>
      </c>
      <c r="T225" s="280" t="str">
        <f aca="false">IF($A225="N/A"," ",IF('Pricing Inputs'!$AN$8=2,(M225-$H225),IF('Pricing Inputs'!$AN$3=2,IF((M225-$H225)&gt;0,M225-$H225,0),(xSPRDOPT(M225,$E225,$BU225,0,$BP225,$BS225,$BT225,($A225-Inputs!$D$1)+15,1,0)))))</f>
        <v> </v>
      </c>
      <c r="U225" s="280" t="str">
        <f aca="false">IF($A225="N/A"," ",IF('Pricing Inputs'!$AN$8=2,(N225-$H225),IF('Pricing Inputs'!$AN$3=2,IF((N225-$H225)&gt;0,N225-$H225,0),(xSPRDOPT(N225,$E225,$BU225,0,$BP225,$BS225,$BT225,($A225-Inputs!$D$1)+15,1,0)))))</f>
        <v> </v>
      </c>
      <c r="V225" s="281" t="str">
        <f aca="false">IF($A225="N/A"," ",(IF('Pricing Inputs'!$AN$8=2,(O225-$H225),IF((O225-$H225)&lt;=0,0,(O225-$H225)))))</f>
        <v> </v>
      </c>
      <c r="W225" s="282" t="str">
        <f aca="false">IF($A225="N/A"," ",IF(0&lt;&gt;P225,IF('Pricing Inputs'!$AN$3=2,8*VLOOKUP($A225,NumberofDaysTable,2),(xSPRDOPT(I225,$E225,$BU225,0,$BP225,$BS225,$BT225,$A225-Inputs!$D$1,1,1))*(8*VLOOKUP($A225,NumberofDaysTable,2))),0))</f>
        <v> </v>
      </c>
      <c r="X225" s="282" t="str">
        <f aca="false">IF($A225="N/A"," ",IF(Q225&lt;&gt;0,IF('Pricing Inputs'!$AN$3=2,8*VLOOKUP($A225,NumberofDaysTable,2),(xSPRDOPT(J225,$E225,$BU225,0,$BP225,$BS225,$BT225,$A225-Inputs!$D$1,1,1))*(8*VLOOKUP($A225,NumberofDaysTable,2))),0))</f>
        <v> </v>
      </c>
      <c r="Y225" s="282" t="str">
        <f aca="false">IF($A225="N/A"," ",IF(R225&lt;&gt;0,IF('Pricing Inputs'!$AN$3=2,8*VLOOKUP($A225,NumberofDaysTable,3),(xSPRDOPT(K225,$E225,$BU225,0,$BP225,$BS225,$BT225,$A225-Inputs!$D$1,1,1))*(8*VLOOKUP($A225,NumberofDaysTable,3))),0))</f>
        <v> </v>
      </c>
      <c r="Z225" s="282" t="str">
        <f aca="false">IF($A225="N/A"," ",IF(S225&lt;&gt;0,IF('Pricing Inputs'!$AN$3=2,8*VLOOKUP($A225,NumberofDaysTable,3),(xSPRDOPT(L225,$E225,$BU225,0,$BP225,$BS225,$BT225,$A225-Inputs!$D$1,1,1))*(8*VLOOKUP($A225,NumberofDaysTable,3))),0))</f>
        <v> </v>
      </c>
      <c r="AA225" s="282" t="str">
        <f aca="false">IF($A225="N/A"," ",IF(T225&lt;&gt;0,IF('Pricing Inputs'!$AN$3=2,8*VLOOKUP($A225,NumberofDaysTable,4),(xSPRDOPT(M225,$E225,$BU225,0,$BP225,$BS225,$BT225,$A225-Inputs!$D$1,1,1))*(8*VLOOKUP($A225,NumberofDaysTable,4))),0))</f>
        <v> </v>
      </c>
      <c r="AB225" s="282" t="str">
        <f aca="false">IF($A225="N/A"," ",IF(U225&lt;&gt;0,IF('Pricing Inputs'!$AN$3=2,8*VLOOKUP($A225,NumberofDaysTable,4),(xSPRDOPT(N225,$E225,$BU225,0,$BP225,$BS225,$BT225,$A225-Inputs!$D$1,1,1))*(8*VLOOKUP($A225,NumberofDaysTable,4))),0))</f>
        <v> </v>
      </c>
      <c r="AC225" s="282" t="str">
        <f aca="false">IF($A225="N/A"," ",(IF(V225&lt;&gt;0,(8*VLOOKUP($A225,NumberofDaysTable,6)),0)))</f>
        <v> </v>
      </c>
      <c r="AD225" s="298" t="str">
        <f aca="false">IF($A225="N/A"," ",RANK(P225,$P$220:$V$231))</f>
        <v> </v>
      </c>
      <c r="AE225" s="299" t="str">
        <f aca="false">IF($A225="N/A"," ",RANK(Q225,$P$220:$V$231))</f>
        <v> </v>
      </c>
      <c r="AF225" s="299" t="str">
        <f aca="false">IF($A225="N/A"," ",RANK(R225,$P$220:$V$231))</f>
        <v> </v>
      </c>
      <c r="AG225" s="299" t="str">
        <f aca="false">IF($A225="N/A"," ",RANK(S225,$P$220:$V$231))</f>
        <v> </v>
      </c>
      <c r="AH225" s="299" t="str">
        <f aca="false">IF($A225="N/A"," ",RANK(T225,$P$220:$V$231))</f>
        <v> </v>
      </c>
      <c r="AI225" s="299" t="str">
        <f aca="false">IF($A225="N/A"," ",RANK(U225,$P$220:$V$231))</f>
        <v> </v>
      </c>
      <c r="AJ225" s="300" t="str">
        <f aca="false">IF($A225="N/A"," ",RANK(V225,$P$220:$V$231))</f>
        <v> </v>
      </c>
      <c r="AK225" s="286" t="str">
        <f aca="false">IF($A225="N/A"," ",IF(AD225&lt;=$AJ$2,W225,0))</f>
        <v> </v>
      </c>
      <c r="AL225" s="301" t="str">
        <f aca="false">IF($A225="N/A"," ",IF(AE225&lt;=$AJ$2,X225,0))</f>
        <v> </v>
      </c>
      <c r="AM225" s="301" t="str">
        <f aca="false">IF($A225="N/A"," ",IF(AF225&lt;=$AJ$2,Y225,0))</f>
        <v> </v>
      </c>
      <c r="AN225" s="301" t="str">
        <f aca="false">IF($A225="N/A"," ",IF(AG225&lt;=$AJ$2,Z225,0))</f>
        <v> </v>
      </c>
      <c r="AO225" s="301" t="str">
        <f aca="false">IF($A225="N/A"," ",IF(AH225&lt;=$AJ$2,AA225,0))</f>
        <v> </v>
      </c>
      <c r="AP225" s="301" t="str">
        <f aca="false">IF($A225="N/A"," ",IF(AI225&lt;=$AJ$2,AB225,0))</f>
        <v> </v>
      </c>
      <c r="AQ225" s="301" t="str">
        <f aca="false">IF($A225="N/A"," ",IF(AJ225&lt;=$AJ$2,AC225,0))</f>
        <v> </v>
      </c>
      <c r="AR225" s="300"/>
      <c r="AS225" s="288" t="str">
        <f aca="false">IF($A225="N/A"," ",IF(AND(AD225=$AJ$2+1,AK225=0),MIN($AR$231,W225),0))</f>
        <v> </v>
      </c>
      <c r="AT225" s="302" t="str">
        <f aca="false">IF($A225="N/A"," ",IF(AND(AE225=$AJ$2+1,AL225=0),MIN($AR$231,X225),0))</f>
        <v> </v>
      </c>
      <c r="AU225" s="302" t="str">
        <f aca="false">IF($A225="N/A"," ",IF(AND(AF225=$AJ$2+1,AM225=0),MIN($AR$231,Y225),0))</f>
        <v> </v>
      </c>
      <c r="AV225" s="302" t="str">
        <f aca="false">IF($A225="N/A"," ",IF(AND(AG225=$AJ$2+1,AN225=0),MIN($AR$231,Z225),0))</f>
        <v> </v>
      </c>
      <c r="AW225" s="302" t="str">
        <f aca="false">IF($A225="N/A"," ",IF(AND(AH225=$AJ$2+1,AO225=0),MIN($AR$231,AA225),0))</f>
        <v> </v>
      </c>
      <c r="AX225" s="302" t="str">
        <f aca="false">IF($A225="N/A"," ",IF(AND(AI225=$AJ$2+1,AP225=0),MIN($AR$231,AB225),0))</f>
        <v> </v>
      </c>
      <c r="AY225" s="302" t="str">
        <f aca="false">IF($A225="N/A"," ",IF(AND(AJ225=$AJ$2+1,AQ225=0),MIN($AR$231,AC225),0))</f>
        <v> </v>
      </c>
      <c r="AZ225" s="300"/>
      <c r="BA225" s="291" t="str">
        <f aca="false">IF($A225="N/A"," ",(IF(MONTH(A225)&gt;=4,IF(MONTH(A225)&lt;=10,Inputs!$F$13,Inputs!$F$14),Inputs!$F$14))*$BW225)</f>
        <v> </v>
      </c>
      <c r="BB225" s="292" t="str">
        <f aca="false">IF($A225="N/A"," ",(IF(AK225&gt;0,($BA225*(8*(VLOOKUP($A225,NumberofDaysTable,2)))*P225),0)+IF(AS225&gt;0,($BA225*((AS225))*P225),0)))</f>
        <v> </v>
      </c>
      <c r="BC225" s="292" t="str">
        <f aca="false">IF($A225="N/A"," ",(IF(AL225&gt;0,($BA225*(8*(VLOOKUP($A225,NumberofDaysTable,2)))*Q225),0)+IF(AT225&gt;0,($BA225*((AT225))*Q225),0)))</f>
        <v> </v>
      </c>
      <c r="BD225" s="292" t="str">
        <f aca="false">IF($A225="N/A"," ",(IF(AM225&gt;0,($BA225*(8*(VLOOKUP($A225,NumberofDaysTable,3)))*R225),0)+IF(AU225&gt;0,($BA225*((AU225))*R225),0)))</f>
        <v> </v>
      </c>
      <c r="BE225" s="292" t="str">
        <f aca="false">IF($A225="N/A"," ",(IF(AN225&gt;0,($BA225*(8*(VLOOKUP($A225,NumberofDaysTable,3)))*S225),0)+IF(AV225&gt;0,($BA225*((AV225))*S225),0)))</f>
        <v> </v>
      </c>
      <c r="BF225" s="292" t="str">
        <f aca="false">IF($A225="N/A"," ",(IF(AO225&gt;0,($BA225*(8*(VLOOKUP($A225,NumberofDaysTable,4)+VLOOKUP($A225,NumberofDaysTable,5)))*T225),0)+IF(AW225&gt;0,($BA225*((AW225))*T225),0)))</f>
        <v> </v>
      </c>
      <c r="BG225" s="292" t="str">
        <f aca="false">IF($A225="N/A"," ",(IF(AP225&gt;0,($BA225*(8*(VLOOKUP($A225,NumberofDaysTable,4)+VLOOKUP($A225,NumberofDaysTable,5)))*U225),0)+IF(AX225&gt;0,($BA225*((AX225))*U225),0)))</f>
        <v> </v>
      </c>
      <c r="BH225" s="292" t="str">
        <f aca="false">IF($A225="N/A"," ",($BA225*AQ225*V225))</f>
        <v> </v>
      </c>
      <c r="BI225" s="292" t="str">
        <f aca="false">IF($A225="N/A"," ",SUM(BB225:BH225))</f>
        <v> </v>
      </c>
      <c r="BJ225" s="293" t="str">
        <f aca="false">IF($A225="N/A"," ",(H225*(SUM(AK225:AQ225)+SUM(AS225:AY225))*BA225))</f>
        <v> </v>
      </c>
      <c r="BK225" s="293" t="str">
        <f aca="false">IF($A225="N/A"," ",((C225*D225)*(SUM($AK225:$AQ225)+SUM($AS225:$AY225))*$BA225))</f>
        <v> </v>
      </c>
      <c r="BL225" s="293" t="str">
        <f aca="false">IF($A225="N/A"," ",(F225*(SUM($AK225:$AQ225)+SUM($AS225:$AY225))*$BA225))</f>
        <v> </v>
      </c>
      <c r="BM225" s="293" t="str">
        <f aca="false">IF($A225="N/A"," ",(G225*(SUM($AK225:$AQ225)+SUM($AS225:$AY225))*$BA225))</f>
        <v> </v>
      </c>
      <c r="BN225" s="294" t="str">
        <f aca="false">IF(A225="N/A"," ",(VLOOKUP(A225,PowerVolTable,(IF('Pricing Inputs'!$AT$3=2,7,IF('Pricing Inputs'!$AT$3=1,6,8))),FALSE())))</f>
        <v> </v>
      </c>
      <c r="BO225" s="294" t="str">
        <f aca="false">IF(A225="N/A"," ",(VLOOKUP(A225,IntraPowerVol,(IF('Pricing Inputs'!$AT$3=2,3,IF('Pricing Inputs'!$AT$3=1,2,4))),FALSE())*VLOOKUP(MONTH($A225),Inputs!$A$28:$B$39,2)))</f>
        <v> </v>
      </c>
      <c r="BP225" s="295" t="str">
        <f aca="false">IF($A225="N/A"," ",(IF(DateToday&gt;$A225,$BO225,((($BN225^2)*((($A225-1)-DateToday)/((EOMONTH($A225,0)+1)-DateToday-15)))+((($BO225)^2)*((15)/((EOMONTH($A225,0)+1)-DateToday-15))))^0.5)))</f>
        <v> </v>
      </c>
      <c r="BQ225" s="294" t="str">
        <f aca="false">IF($A225="N/A"," ",(VLOOKUP($A225,GasVolTable,(IF('Pricing Inputs'!$AT$3=2,6,IF('Pricing Inputs'!$AT$3=1,7,5))),FALSE())))</f>
        <v> </v>
      </c>
      <c r="BR225" s="294" t="str">
        <f aca="false">IF($A225="N/A"," ",(VLOOKUP($A225,OmicronVol,(IF('Pricing Inputs'!$AT$3=2,3,IF('Pricing Inputs'!$AT$3=1,4,2))),FALSE())))</f>
        <v> </v>
      </c>
      <c r="BS225" s="295" t="str">
        <f aca="false">IF($A225="N/A"," ",IF('Pricing Inputs'!$AN$3=1,(IF(DateToday&gt;$A225,$BR225,((($BQ225^2)*((($A225-1)-DateToday)/((EOMONTH($A225,0)+1)-DateToday-15)))+((($BR225)^2)*((15)/((EOMONTH($A225,0)+1)-DateToday-15))))^0.5)),0.0001))</f>
        <v> </v>
      </c>
      <c r="BT225" s="294" t="str">
        <f aca="false">IF($A225="N/A"," ",IF('Pricing Inputs'!$AN$3=1,(VLOOKUP($A225,CorrelationTable,2,FALSE())),0))</f>
        <v> </v>
      </c>
      <c r="BU225" s="296" t="str">
        <f aca="false">IF($A225="N/A"," ",F225+G225+(D225*(VLOOKUP($A225,'Gas Curves'!$B$17:$P$310,14,FALSE()))))</f>
        <v> </v>
      </c>
      <c r="BV225" s="294" t="str">
        <f aca="false">IF($A225="N/A"," ",IF('Pricing Inputs'!$AW$3=1,0,(VLOOKUP($A225,InterestRatesTable,2))))</f>
        <v> </v>
      </c>
      <c r="BW225" s="297" t="str">
        <f aca="false">IF($A225="N/A"," ",(1+BV225/2)^(-2*((EOMONTH(A225,0)+20)-DateToday)/365.25))</f>
        <v> </v>
      </c>
    </row>
    <row r="226" customFormat="false" ht="12.75" hidden="false" customHeight="false" outlineLevel="0" collapsed="false">
      <c r="A226" s="272" t="str">
        <f aca="false">IF(A225="N/A","N/A",IF(EDATE(A225,1)&gt;Inputs!$K$3,"N/A",EDATE(A225,1)))</f>
        <v>N/A</v>
      </c>
      <c r="B226" s="273" t="str">
        <f aca="false">IF(A226="N/A"," ",YEAR(A226))</f>
        <v> </v>
      </c>
      <c r="C226" s="274" t="str">
        <f aca="false">IF(A226="N/A"," ",VLOOKUP(A226,ScaledPrice,10))</f>
        <v> </v>
      </c>
      <c r="D226" s="275" t="str">
        <f aca="false">IF(A226="N/A"," ",(VLOOKUP(MONTH($A226),Inputs!$A$14:$B$25,2))/1000)</f>
        <v> </v>
      </c>
      <c r="E226" s="276" t="str">
        <f aca="false">IF($A226="N/A"," ",C226*D226)</f>
        <v> </v>
      </c>
      <c r="F226" s="277" t="str">
        <f aca="false">IF(A226="N/A"," ",Inputs!$F$6)</f>
        <v> </v>
      </c>
      <c r="G226" s="277" t="str">
        <f aca="false">IF(A226="N/A"," ",Inputs!$F$9/IF(AND('Pricing Inputs'!$AQ$3&gt;=4,'Pricing Inputs'!$AQ$3&lt;=6),16,IF(AND('Pricing Inputs'!$AQ$3&gt;=7,'Pricing Inputs'!$AQ$3&lt;=9),8,24))/(BA226/BW226))</f>
        <v> </v>
      </c>
      <c r="H226" s="278" t="str">
        <f aca="false">IF(A226="N/A"," ",(C226*D226)+F226+G226)</f>
        <v> </v>
      </c>
      <c r="I226" s="279" t="str">
        <f aca="false">VLOOKUP(A226,ScaledPrice,(IF(AND('Pricing Inputs'!$AQ$3&gt;=1,'Pricing Inputs'!$AQ$3&lt;=6),2,4)))</f>
        <v> </v>
      </c>
      <c r="J226" s="279" t="str">
        <f aca="false">IF(A226="N/A"," ",IF(AND('Pricing Inputs'!$AQ$3&gt;=1,'Pricing Inputs'!$AQ$3&lt;=6),I226,(VLOOKUP(A226,ScaledPrice,2))*(2-(VLOOKUP(A226,ScaledPrice,3)))))</f>
        <v> </v>
      </c>
      <c r="K226" s="279" t="str">
        <f aca="false">IF(A226="N/A"," ",IF(OR('Pricing Inputs'!$AQ$3=2,'Pricing Inputs'!$AQ$3=3,'Pricing Inputs'!$AQ$3=5,'Pricing Inputs'!$AQ$3=6,'Pricing Inputs'!$AQ$3=8,'Pricing Inputs'!$AQ$3=9),VLOOKUP(A226,ScaledPrice,IF(AND('Pricing Inputs'!$AQ$3&gt;=2,'Pricing Inputs'!$AQ$3&lt;=6),5,6)),0))</f>
        <v> </v>
      </c>
      <c r="L226" s="279" t="str">
        <f aca="false">IF(A226="N/A"," ",IF(OR('Pricing Inputs'!$AQ$3=2,'Pricing Inputs'!$AQ$3=3,'Pricing Inputs'!$AQ$3=5,'Pricing Inputs'!$AQ$3=6,'Pricing Inputs'!$AQ$3=8,'Pricing Inputs'!$AQ$3=9),IF(AND('Pricing Inputs'!$AQ$3&gt;=2,'Pricing Inputs'!$AQ$3&lt;=6),K226,(VLOOKUP(A226,ScaledPrice,5))*(2-(VLOOKUP(A226,ScaledPrice,3)))),0))</f>
        <v> </v>
      </c>
      <c r="M226" s="279" t="str">
        <f aca="false">IF(A226="N/A"," ",IF(OR('Pricing Inputs'!$AQ$3=3,'Pricing Inputs'!$AQ$3=6,'Pricing Inputs'!$AQ$3=9),(VLOOKUP(A226,ScaledPrice,IF(AND('Pricing Inputs'!$AQ$3&gt;=3,'Pricing Inputs'!$AQ$3&lt;=6),7,8))),0))</f>
        <v> </v>
      </c>
      <c r="N226" s="279" t="str">
        <f aca="false">IF(A226="N/A"," ",IF(OR('Pricing Inputs'!$AQ$3=3,'Pricing Inputs'!$AQ$3=6,'Pricing Inputs'!$AQ$3=9),IF(AND('Pricing Inputs'!$AQ$3&gt;=3,'Pricing Inputs'!$AQ$3&lt;=6),M226,(VLOOKUP(A226,ScaledPrice,7))*(2-(VLOOKUP(A226,ScaledPrice,3)))),0))</f>
        <v> </v>
      </c>
      <c r="O226" s="279" t="str">
        <f aca="false">IF(A226="N/A"," ",IF(AND('Pricing Inputs'!$AQ$3&gt;=1,'Pricing Inputs'!$AQ$3&lt;=3),VLOOKUP(A226,ScaledPrice,9),0))</f>
        <v> </v>
      </c>
      <c r="P226" s="280" t="str">
        <f aca="false">IF($A226="N/A"," ",IF('Pricing Inputs'!$AN$8=2,(I226-H226),IF('Pricing Inputs'!$AN$3=2,IF((I226-$H226)&gt;0,I226-$H226,0),(xSPRDOPT(I226,$E226,$BU226,0,$BP226,$BS226,$BT226,($A226-Inputs!$D$1)+15,1,0)))))</f>
        <v> </v>
      </c>
      <c r="Q226" s="280" t="str">
        <f aca="false">IF($A226="N/A"," ",IF('Pricing Inputs'!$AN$8=2,(J226-$H226),IF('Pricing Inputs'!$AN$3=2,IF((J226-$H226)&gt;0,J226-$H226,0),(xSPRDOPT(J226,$E226,$BU226,0,$BP226,$BS226,$BT226,($A226-Inputs!$D$1)+15,1,0)))))</f>
        <v> </v>
      </c>
      <c r="R226" s="280" t="str">
        <f aca="false">IF($A226="N/A"," ",IF('Pricing Inputs'!$AN$8=2,(K226-$H226),IF('Pricing Inputs'!$AN$3=2,IF((K226-$H226)&gt;0,K226-$H226,0),(xSPRDOPT(K226,$E226,$BU226,0,$BP226,$BS226,$BT226,($A226-Inputs!$D$1)+15,1,0)))))</f>
        <v> </v>
      </c>
      <c r="S226" s="280" t="str">
        <f aca="false">IF($A226="N/A"," ",IF('Pricing Inputs'!$AN$8=2,(L226-$H226),IF('Pricing Inputs'!$AN$3=2,IF((L226-$H226)&gt;0,L226-$H226,0),(xSPRDOPT(L226,$E226,$BU226,0,$BP226,$BS226,$BT226,($A226-Inputs!$D$1)+15,1,0)))))</f>
        <v> </v>
      </c>
      <c r="T226" s="280" t="str">
        <f aca="false">IF($A226="N/A"," ",IF('Pricing Inputs'!$AN$8=2,(M226-$H226),IF('Pricing Inputs'!$AN$3=2,IF((M226-$H226)&gt;0,M226-$H226,0),(xSPRDOPT(M226,$E226,$BU226,0,$BP226,$BS226,$BT226,($A226-Inputs!$D$1)+15,1,0)))))</f>
        <v> </v>
      </c>
      <c r="U226" s="280" t="str">
        <f aca="false">IF($A226="N/A"," ",IF('Pricing Inputs'!$AN$8=2,(N226-$H226),IF('Pricing Inputs'!$AN$3=2,IF((N226-$H226)&gt;0,N226-$H226,0),(xSPRDOPT(N226,$E226,$BU226,0,$BP226,$BS226,$BT226,($A226-Inputs!$D$1)+15,1,0)))))</f>
        <v> </v>
      </c>
      <c r="V226" s="281" t="str">
        <f aca="false">IF($A226="N/A"," ",(IF('Pricing Inputs'!$AN$8=2,(O226-$H226),IF((O226-$H226)&lt;=0,0,(O226-$H226)))))</f>
        <v> </v>
      </c>
      <c r="W226" s="282" t="str">
        <f aca="false">IF($A226="N/A"," ",IF(0&lt;&gt;P226,IF('Pricing Inputs'!$AN$3=2,8*VLOOKUP($A226,NumberofDaysTable,2),(xSPRDOPT(I226,$E226,$BU226,0,$BP226,$BS226,$BT226,$A226-Inputs!$D$1,1,1))*(8*VLOOKUP($A226,NumberofDaysTable,2))),0))</f>
        <v> </v>
      </c>
      <c r="X226" s="282" t="str">
        <f aca="false">IF($A226="N/A"," ",IF(Q226&lt;&gt;0,IF('Pricing Inputs'!$AN$3=2,8*VLOOKUP($A226,NumberofDaysTable,2),(xSPRDOPT(J226,$E226,$BU226,0,$BP226,$BS226,$BT226,$A226-Inputs!$D$1,1,1))*(8*VLOOKUP($A226,NumberofDaysTable,2))),0))</f>
        <v> </v>
      </c>
      <c r="Y226" s="282" t="str">
        <f aca="false">IF($A226="N/A"," ",IF(R226&lt;&gt;0,IF('Pricing Inputs'!$AN$3=2,8*VLOOKUP($A226,NumberofDaysTable,3),(xSPRDOPT(K226,$E226,$BU226,0,$BP226,$BS226,$BT226,$A226-Inputs!$D$1,1,1))*(8*VLOOKUP($A226,NumberofDaysTable,3))),0))</f>
        <v> </v>
      </c>
      <c r="Z226" s="282" t="str">
        <f aca="false">IF($A226="N/A"," ",IF(S226&lt;&gt;0,IF('Pricing Inputs'!$AN$3=2,8*VLOOKUP($A226,NumberofDaysTable,3),(xSPRDOPT(L226,$E226,$BU226,0,$BP226,$BS226,$BT226,$A226-Inputs!$D$1,1,1))*(8*VLOOKUP($A226,NumberofDaysTable,3))),0))</f>
        <v> </v>
      </c>
      <c r="AA226" s="282" t="str">
        <f aca="false">IF($A226="N/A"," ",IF(T226&lt;&gt;0,IF('Pricing Inputs'!$AN$3=2,8*VLOOKUP($A226,NumberofDaysTable,4),(xSPRDOPT(M226,$E226,$BU226,0,$BP226,$BS226,$BT226,$A226-Inputs!$D$1,1,1))*(8*VLOOKUP($A226,NumberofDaysTable,4))),0))</f>
        <v> </v>
      </c>
      <c r="AB226" s="282" t="str">
        <f aca="false">IF($A226="N/A"," ",IF(U226&lt;&gt;0,IF('Pricing Inputs'!$AN$3=2,8*VLOOKUP($A226,NumberofDaysTable,4),(xSPRDOPT(N226,$E226,$BU226,0,$BP226,$BS226,$BT226,$A226-Inputs!$D$1,1,1))*(8*VLOOKUP($A226,NumberofDaysTable,4))),0))</f>
        <v> </v>
      </c>
      <c r="AC226" s="282" t="str">
        <f aca="false">IF($A226="N/A"," ",(IF(V226&lt;&gt;0,(8*VLOOKUP($A226,NumberofDaysTable,6)),0)))</f>
        <v> </v>
      </c>
      <c r="AD226" s="298" t="str">
        <f aca="false">IF($A226="N/A"," ",RANK(P226,$P$220:$V$231))</f>
        <v> </v>
      </c>
      <c r="AE226" s="299" t="str">
        <f aca="false">IF($A226="N/A"," ",RANK(Q226,$P$220:$V$231))</f>
        <v> </v>
      </c>
      <c r="AF226" s="299" t="str">
        <f aca="false">IF($A226="N/A"," ",RANK(R226,$P$220:$V$231))</f>
        <v> </v>
      </c>
      <c r="AG226" s="299" t="str">
        <f aca="false">IF($A226="N/A"," ",RANK(S226,$P$220:$V$231))</f>
        <v> </v>
      </c>
      <c r="AH226" s="299" t="str">
        <f aca="false">IF($A226="N/A"," ",RANK(T226,$P$220:$V$231))</f>
        <v> </v>
      </c>
      <c r="AI226" s="299" t="str">
        <f aca="false">IF($A226="N/A"," ",RANK(U226,$P$220:$V$231))</f>
        <v> </v>
      </c>
      <c r="AJ226" s="300" t="str">
        <f aca="false">IF($A226="N/A"," ",RANK(V226,$P$220:$V$231))</f>
        <v> </v>
      </c>
      <c r="AK226" s="286" t="str">
        <f aca="false">IF($A226="N/A"," ",IF(AD226&lt;=$AJ$2,W226,0))</f>
        <v> </v>
      </c>
      <c r="AL226" s="301" t="str">
        <f aca="false">IF($A226="N/A"," ",IF(AE226&lt;=$AJ$2,X226,0))</f>
        <v> </v>
      </c>
      <c r="AM226" s="301" t="str">
        <f aca="false">IF($A226="N/A"," ",IF(AF226&lt;=$AJ$2,Y226,0))</f>
        <v> </v>
      </c>
      <c r="AN226" s="301" t="str">
        <f aca="false">IF($A226="N/A"," ",IF(AG226&lt;=$AJ$2,Z226,0))</f>
        <v> </v>
      </c>
      <c r="AO226" s="301" t="str">
        <f aca="false">IF($A226="N/A"," ",IF(AH226&lt;=$AJ$2,AA226,0))</f>
        <v> </v>
      </c>
      <c r="AP226" s="301" t="str">
        <f aca="false">IF($A226="N/A"," ",IF(AI226&lt;=$AJ$2,AB226,0))</f>
        <v> </v>
      </c>
      <c r="AQ226" s="301" t="str">
        <f aca="false">IF($A226="N/A"," ",IF(AJ226&lt;=$AJ$2,AC226,0))</f>
        <v> </v>
      </c>
      <c r="AR226" s="300"/>
      <c r="AS226" s="288" t="str">
        <f aca="false">IF($A226="N/A"," ",IF(AND(AD226=$AJ$2+1,AK226=0),MIN($AR$231,W226),0))</f>
        <v> </v>
      </c>
      <c r="AT226" s="302" t="str">
        <f aca="false">IF($A226="N/A"," ",IF(AND(AE226=$AJ$2+1,AL226=0),MIN($AR$231,X226),0))</f>
        <v> </v>
      </c>
      <c r="AU226" s="302" t="str">
        <f aca="false">IF($A226="N/A"," ",IF(AND(AF226=$AJ$2+1,AM226=0),MIN($AR$231,Y226),0))</f>
        <v> </v>
      </c>
      <c r="AV226" s="302" t="str">
        <f aca="false">IF($A226="N/A"," ",IF(AND(AG226=$AJ$2+1,AN226=0),MIN($AR$231,Z226),0))</f>
        <v> </v>
      </c>
      <c r="AW226" s="302" t="str">
        <f aca="false">IF($A226="N/A"," ",IF(AND(AH226=$AJ$2+1,AO226=0),MIN($AR$231,AA226),0))</f>
        <v> </v>
      </c>
      <c r="AX226" s="302" t="str">
        <f aca="false">IF($A226="N/A"," ",IF(AND(AI226=$AJ$2+1,AP226=0),MIN($AR$231,AB226),0))</f>
        <v> </v>
      </c>
      <c r="AY226" s="302" t="str">
        <f aca="false">IF($A226="N/A"," ",IF(AND(AJ226=$AJ$2+1,AQ226=0),MIN($AR$231,AC226),0))</f>
        <v> </v>
      </c>
      <c r="AZ226" s="300"/>
      <c r="BA226" s="291" t="str">
        <f aca="false">IF($A226="N/A"," ",(IF(MONTH(A226)&gt;=4,IF(MONTH(A226)&lt;=10,Inputs!$F$13,Inputs!$F$14),Inputs!$F$14))*$BW226)</f>
        <v> </v>
      </c>
      <c r="BB226" s="292" t="str">
        <f aca="false">IF($A226="N/A"," ",(IF(AK226&gt;0,($BA226*(8*(VLOOKUP($A226,NumberofDaysTable,2)))*P226),0)+IF(AS226&gt;0,($BA226*((AS226))*P226),0)))</f>
        <v> </v>
      </c>
      <c r="BC226" s="292" t="str">
        <f aca="false">IF($A226="N/A"," ",(IF(AL226&gt;0,($BA226*(8*(VLOOKUP($A226,NumberofDaysTable,2)))*Q226),0)+IF(AT226&gt;0,($BA226*((AT226))*Q226),0)))</f>
        <v> </v>
      </c>
      <c r="BD226" s="292" t="str">
        <f aca="false">IF($A226="N/A"," ",(IF(AM226&gt;0,($BA226*(8*(VLOOKUP($A226,NumberofDaysTable,3)))*R226),0)+IF(AU226&gt;0,($BA226*((AU226))*R226),0)))</f>
        <v> </v>
      </c>
      <c r="BE226" s="292" t="str">
        <f aca="false">IF($A226="N/A"," ",(IF(AN226&gt;0,($BA226*(8*(VLOOKUP($A226,NumberofDaysTable,3)))*S226),0)+IF(AV226&gt;0,($BA226*((AV226))*S226),0)))</f>
        <v> </v>
      </c>
      <c r="BF226" s="292" t="str">
        <f aca="false">IF($A226="N/A"," ",(IF(AO226&gt;0,($BA226*(8*(VLOOKUP($A226,NumberofDaysTable,4)+VLOOKUP($A226,NumberofDaysTable,5)))*T226),0)+IF(AW226&gt;0,($BA226*((AW226))*T226),0)))</f>
        <v> </v>
      </c>
      <c r="BG226" s="292" t="str">
        <f aca="false">IF($A226="N/A"," ",(IF(AP226&gt;0,($BA226*(8*(VLOOKUP($A226,NumberofDaysTable,4)+VLOOKUP($A226,NumberofDaysTable,5)))*U226),0)+IF(AX226&gt;0,($BA226*((AX226))*U226),0)))</f>
        <v> </v>
      </c>
      <c r="BH226" s="292" t="str">
        <f aca="false">IF($A226="N/A"," ",($BA226*AQ226*V226))</f>
        <v> </v>
      </c>
      <c r="BI226" s="292" t="str">
        <f aca="false">IF($A226="N/A"," ",SUM(BB226:BH226))</f>
        <v> </v>
      </c>
      <c r="BJ226" s="293" t="str">
        <f aca="false">IF($A226="N/A"," ",(H226*(SUM(AK226:AQ226)+SUM(AS226:AY226))*BA226))</f>
        <v> </v>
      </c>
      <c r="BK226" s="293" t="str">
        <f aca="false">IF($A226="N/A"," ",((C226*D226)*(SUM($AK226:$AQ226)+SUM($AS226:$AY226))*$BA226))</f>
        <v> </v>
      </c>
      <c r="BL226" s="293" t="str">
        <f aca="false">IF($A226="N/A"," ",(F226*(SUM($AK226:$AQ226)+SUM($AS226:$AY226))*$BA226))</f>
        <v> </v>
      </c>
      <c r="BM226" s="293" t="str">
        <f aca="false">IF($A226="N/A"," ",(G226*(SUM($AK226:$AQ226)+SUM($AS226:$AY226))*$BA226))</f>
        <v> </v>
      </c>
      <c r="BN226" s="294" t="str">
        <f aca="false">IF(A226="N/A"," ",(VLOOKUP(A226,PowerVolTable,(IF('Pricing Inputs'!$AT$3=2,7,IF('Pricing Inputs'!$AT$3=1,6,8))),FALSE())))</f>
        <v> </v>
      </c>
      <c r="BO226" s="294" t="str">
        <f aca="false">IF(A226="N/A"," ",(VLOOKUP(A226,IntraPowerVol,(IF('Pricing Inputs'!$AT$3=2,3,IF('Pricing Inputs'!$AT$3=1,2,4))),FALSE())*VLOOKUP(MONTH($A226),Inputs!$A$28:$B$39,2)))</f>
        <v> </v>
      </c>
      <c r="BP226" s="295" t="str">
        <f aca="false">IF($A226="N/A"," ",(IF(DateToday&gt;$A226,$BO226,((($BN226^2)*((($A226-1)-DateToday)/((EOMONTH($A226,0)+1)-DateToday-15)))+((($BO226)^2)*((15)/((EOMONTH($A226,0)+1)-DateToday-15))))^0.5)))</f>
        <v> </v>
      </c>
      <c r="BQ226" s="294" t="str">
        <f aca="false">IF($A226="N/A"," ",(VLOOKUP($A226,GasVolTable,(IF('Pricing Inputs'!$AT$3=2,6,IF('Pricing Inputs'!$AT$3=1,7,5))),FALSE())))</f>
        <v> </v>
      </c>
      <c r="BR226" s="294" t="str">
        <f aca="false">IF($A226="N/A"," ",(VLOOKUP($A226,OmicronVol,(IF('Pricing Inputs'!$AT$3=2,3,IF('Pricing Inputs'!$AT$3=1,4,2))),FALSE())))</f>
        <v> </v>
      </c>
      <c r="BS226" s="295" t="str">
        <f aca="false">IF($A226="N/A"," ",IF('Pricing Inputs'!$AN$3=1,(IF(DateToday&gt;$A226,$BR226,((($BQ226^2)*((($A226-1)-DateToday)/((EOMONTH($A226,0)+1)-DateToday-15)))+((($BR226)^2)*((15)/((EOMONTH($A226,0)+1)-DateToday-15))))^0.5)),0.0001))</f>
        <v> </v>
      </c>
      <c r="BT226" s="294" t="str">
        <f aca="false">IF($A226="N/A"," ",IF('Pricing Inputs'!$AN$3=1,(VLOOKUP($A226,CorrelationTable,2,FALSE())),0))</f>
        <v> </v>
      </c>
      <c r="BU226" s="296" t="str">
        <f aca="false">IF($A226="N/A"," ",F226+G226+(D226*(VLOOKUP($A226,'Gas Curves'!$B$17:$P$310,14,FALSE()))))</f>
        <v> </v>
      </c>
      <c r="BV226" s="294" t="str">
        <f aca="false">IF($A226="N/A"," ",IF('Pricing Inputs'!$AW$3=1,0,(VLOOKUP($A226,InterestRatesTable,2))))</f>
        <v> </v>
      </c>
      <c r="BW226" s="297" t="str">
        <f aca="false">IF($A226="N/A"," ",(1+BV226/2)^(-2*((EOMONTH(A226,0)+20)-DateToday)/365.25))</f>
        <v> </v>
      </c>
    </row>
    <row r="227" customFormat="false" ht="12.75" hidden="false" customHeight="false" outlineLevel="0" collapsed="false">
      <c r="A227" s="272" t="str">
        <f aca="false">IF(A226="N/A","N/A",IF(EDATE(A226,1)&gt;Inputs!$K$3,"N/A",EDATE(A226,1)))</f>
        <v>N/A</v>
      </c>
      <c r="B227" s="273" t="str">
        <f aca="false">IF(A227="N/A"," ",YEAR(A227))</f>
        <v> </v>
      </c>
      <c r="C227" s="274" t="str">
        <f aca="false">IF(A227="N/A"," ",VLOOKUP(A227,ScaledPrice,10))</f>
        <v> </v>
      </c>
      <c r="D227" s="275" t="str">
        <f aca="false">IF(A227="N/A"," ",(VLOOKUP(MONTH($A227),Inputs!$A$14:$B$25,2))/1000)</f>
        <v> </v>
      </c>
      <c r="E227" s="276" t="str">
        <f aca="false">IF($A227="N/A"," ",C227*D227)</f>
        <v> </v>
      </c>
      <c r="F227" s="277" t="str">
        <f aca="false">IF(A227="N/A"," ",Inputs!$F$6)</f>
        <v> </v>
      </c>
      <c r="G227" s="277" t="str">
        <f aca="false">IF(A227="N/A"," ",Inputs!$F$9/IF(AND('Pricing Inputs'!$AQ$3&gt;=4,'Pricing Inputs'!$AQ$3&lt;=6),16,IF(AND('Pricing Inputs'!$AQ$3&gt;=7,'Pricing Inputs'!$AQ$3&lt;=9),8,24))/(BA227/BW227))</f>
        <v> </v>
      </c>
      <c r="H227" s="278" t="str">
        <f aca="false">IF(A227="N/A"," ",(C227*D227)+F227+G227)</f>
        <v> </v>
      </c>
      <c r="I227" s="279" t="str">
        <f aca="false">VLOOKUP(A227,ScaledPrice,(IF(AND('Pricing Inputs'!$AQ$3&gt;=1,'Pricing Inputs'!$AQ$3&lt;=6),2,4)))</f>
        <v> </v>
      </c>
      <c r="J227" s="279" t="str">
        <f aca="false">IF(A227="N/A"," ",IF(AND('Pricing Inputs'!$AQ$3&gt;=1,'Pricing Inputs'!$AQ$3&lt;=6),I227,(VLOOKUP(A227,ScaledPrice,2))*(2-(VLOOKUP(A227,ScaledPrice,3)))))</f>
        <v> </v>
      </c>
      <c r="K227" s="279" t="str">
        <f aca="false">IF(A227="N/A"," ",IF(OR('Pricing Inputs'!$AQ$3=2,'Pricing Inputs'!$AQ$3=3,'Pricing Inputs'!$AQ$3=5,'Pricing Inputs'!$AQ$3=6,'Pricing Inputs'!$AQ$3=8,'Pricing Inputs'!$AQ$3=9),VLOOKUP(A227,ScaledPrice,IF(AND('Pricing Inputs'!$AQ$3&gt;=2,'Pricing Inputs'!$AQ$3&lt;=6),5,6)),0))</f>
        <v> </v>
      </c>
      <c r="L227" s="279" t="str">
        <f aca="false">IF(A227="N/A"," ",IF(OR('Pricing Inputs'!$AQ$3=2,'Pricing Inputs'!$AQ$3=3,'Pricing Inputs'!$AQ$3=5,'Pricing Inputs'!$AQ$3=6,'Pricing Inputs'!$AQ$3=8,'Pricing Inputs'!$AQ$3=9),IF(AND('Pricing Inputs'!$AQ$3&gt;=2,'Pricing Inputs'!$AQ$3&lt;=6),K227,(VLOOKUP(A227,ScaledPrice,5))*(2-(VLOOKUP(A227,ScaledPrice,3)))),0))</f>
        <v> </v>
      </c>
      <c r="M227" s="279" t="str">
        <f aca="false">IF(A227="N/A"," ",IF(OR('Pricing Inputs'!$AQ$3=3,'Pricing Inputs'!$AQ$3=6,'Pricing Inputs'!$AQ$3=9),(VLOOKUP(A227,ScaledPrice,IF(AND('Pricing Inputs'!$AQ$3&gt;=3,'Pricing Inputs'!$AQ$3&lt;=6),7,8))),0))</f>
        <v> </v>
      </c>
      <c r="N227" s="279" t="str">
        <f aca="false">IF(A227="N/A"," ",IF(OR('Pricing Inputs'!$AQ$3=3,'Pricing Inputs'!$AQ$3=6,'Pricing Inputs'!$AQ$3=9),IF(AND('Pricing Inputs'!$AQ$3&gt;=3,'Pricing Inputs'!$AQ$3&lt;=6),M227,(VLOOKUP(A227,ScaledPrice,7))*(2-(VLOOKUP(A227,ScaledPrice,3)))),0))</f>
        <v> </v>
      </c>
      <c r="O227" s="279" t="str">
        <f aca="false">IF(A227="N/A"," ",IF(AND('Pricing Inputs'!$AQ$3&gt;=1,'Pricing Inputs'!$AQ$3&lt;=3),VLOOKUP(A227,ScaledPrice,9),0))</f>
        <v> </v>
      </c>
      <c r="P227" s="280" t="str">
        <f aca="false">IF($A227="N/A"," ",IF('Pricing Inputs'!$AN$8=2,(I227-H227),IF('Pricing Inputs'!$AN$3=2,IF((I227-$H227)&gt;0,I227-$H227,0),(xSPRDOPT(I227,$E227,$BU227,0,$BP227,$BS227,$BT227,($A227-Inputs!$D$1)+15,1,0)))))</f>
        <v> </v>
      </c>
      <c r="Q227" s="280" t="str">
        <f aca="false">IF($A227="N/A"," ",IF('Pricing Inputs'!$AN$8=2,(J227-$H227),IF('Pricing Inputs'!$AN$3=2,IF((J227-$H227)&gt;0,J227-$H227,0),(xSPRDOPT(J227,$E227,$BU227,0,$BP227,$BS227,$BT227,($A227-Inputs!$D$1)+15,1,0)))))</f>
        <v> </v>
      </c>
      <c r="R227" s="280" t="str">
        <f aca="false">IF($A227="N/A"," ",IF('Pricing Inputs'!$AN$8=2,(K227-$H227),IF('Pricing Inputs'!$AN$3=2,IF((K227-$H227)&gt;0,K227-$H227,0),(xSPRDOPT(K227,$E227,$BU227,0,$BP227,$BS227,$BT227,($A227-Inputs!$D$1)+15,1,0)))))</f>
        <v> </v>
      </c>
      <c r="S227" s="280" t="str">
        <f aca="false">IF($A227="N/A"," ",IF('Pricing Inputs'!$AN$8=2,(L227-$H227),IF('Pricing Inputs'!$AN$3=2,IF((L227-$H227)&gt;0,L227-$H227,0),(xSPRDOPT(L227,$E227,$BU227,0,$BP227,$BS227,$BT227,($A227-Inputs!$D$1)+15,1,0)))))</f>
        <v> </v>
      </c>
      <c r="T227" s="280" t="str">
        <f aca="false">IF($A227="N/A"," ",IF('Pricing Inputs'!$AN$8=2,(M227-$H227),IF('Pricing Inputs'!$AN$3=2,IF((M227-$H227)&gt;0,M227-$H227,0),(xSPRDOPT(M227,$E227,$BU227,0,$BP227,$BS227,$BT227,($A227-Inputs!$D$1)+15,1,0)))))</f>
        <v> </v>
      </c>
      <c r="U227" s="280" t="str">
        <f aca="false">IF($A227="N/A"," ",IF('Pricing Inputs'!$AN$8=2,(N227-$H227),IF('Pricing Inputs'!$AN$3=2,IF((N227-$H227)&gt;0,N227-$H227,0),(xSPRDOPT(N227,$E227,$BU227,0,$BP227,$BS227,$BT227,($A227-Inputs!$D$1)+15,1,0)))))</f>
        <v> </v>
      </c>
      <c r="V227" s="281" t="str">
        <f aca="false">IF($A227="N/A"," ",(IF('Pricing Inputs'!$AN$8=2,(O227-$H227),IF((O227-$H227)&lt;=0,0,(O227-$H227)))))</f>
        <v> </v>
      </c>
      <c r="W227" s="282" t="str">
        <f aca="false">IF($A227="N/A"," ",IF(0&lt;&gt;P227,IF('Pricing Inputs'!$AN$3=2,8*VLOOKUP($A227,NumberofDaysTable,2),(xSPRDOPT(I227,$E227,$BU227,0,$BP227,$BS227,$BT227,$A227-Inputs!$D$1,1,1))*(8*VLOOKUP($A227,NumberofDaysTable,2))),0))</f>
        <v> </v>
      </c>
      <c r="X227" s="282" t="str">
        <f aca="false">IF($A227="N/A"," ",IF(Q227&lt;&gt;0,IF('Pricing Inputs'!$AN$3=2,8*VLOOKUP($A227,NumberofDaysTable,2),(xSPRDOPT(J227,$E227,$BU227,0,$BP227,$BS227,$BT227,$A227-Inputs!$D$1,1,1))*(8*VLOOKUP($A227,NumberofDaysTable,2))),0))</f>
        <v> </v>
      </c>
      <c r="Y227" s="282" t="str">
        <f aca="false">IF($A227="N/A"," ",IF(R227&lt;&gt;0,IF('Pricing Inputs'!$AN$3=2,8*VLOOKUP($A227,NumberofDaysTable,3),(xSPRDOPT(K227,$E227,$BU227,0,$BP227,$BS227,$BT227,$A227-Inputs!$D$1,1,1))*(8*VLOOKUP($A227,NumberofDaysTable,3))),0))</f>
        <v> </v>
      </c>
      <c r="Z227" s="282" t="str">
        <f aca="false">IF($A227="N/A"," ",IF(S227&lt;&gt;0,IF('Pricing Inputs'!$AN$3=2,8*VLOOKUP($A227,NumberofDaysTable,3),(xSPRDOPT(L227,$E227,$BU227,0,$BP227,$BS227,$BT227,$A227-Inputs!$D$1,1,1))*(8*VLOOKUP($A227,NumberofDaysTable,3))),0))</f>
        <v> </v>
      </c>
      <c r="AA227" s="282" t="str">
        <f aca="false">IF($A227="N/A"," ",IF(T227&lt;&gt;0,IF('Pricing Inputs'!$AN$3=2,8*VLOOKUP($A227,NumberofDaysTable,4),(xSPRDOPT(M227,$E227,$BU227,0,$BP227,$BS227,$BT227,$A227-Inputs!$D$1,1,1))*(8*VLOOKUP($A227,NumberofDaysTable,4))),0))</f>
        <v> </v>
      </c>
      <c r="AB227" s="282" t="str">
        <f aca="false">IF($A227="N/A"," ",IF(U227&lt;&gt;0,IF('Pricing Inputs'!$AN$3=2,8*VLOOKUP($A227,NumberofDaysTable,4),(xSPRDOPT(N227,$E227,$BU227,0,$BP227,$BS227,$BT227,$A227-Inputs!$D$1,1,1))*(8*VLOOKUP($A227,NumberofDaysTable,4))),0))</f>
        <v> </v>
      </c>
      <c r="AC227" s="282" t="str">
        <f aca="false">IF($A227="N/A"," ",(IF(V227&lt;&gt;0,(8*VLOOKUP($A227,NumberofDaysTable,6)),0)))</f>
        <v> </v>
      </c>
      <c r="AD227" s="298" t="str">
        <f aca="false">IF($A227="N/A"," ",RANK(P227,$P$220:$V$231))</f>
        <v> </v>
      </c>
      <c r="AE227" s="299" t="str">
        <f aca="false">IF($A227="N/A"," ",RANK(Q227,$P$220:$V$231))</f>
        <v> </v>
      </c>
      <c r="AF227" s="299" t="str">
        <f aca="false">IF($A227="N/A"," ",RANK(R227,$P$220:$V$231))</f>
        <v> </v>
      </c>
      <c r="AG227" s="299" t="str">
        <f aca="false">IF($A227="N/A"," ",RANK(S227,$P$220:$V$231))</f>
        <v> </v>
      </c>
      <c r="AH227" s="299" t="str">
        <f aca="false">IF($A227="N/A"," ",RANK(T227,$P$220:$V$231))</f>
        <v> </v>
      </c>
      <c r="AI227" s="299" t="str">
        <f aca="false">IF($A227="N/A"," ",RANK(U227,$P$220:$V$231))</f>
        <v> </v>
      </c>
      <c r="AJ227" s="300" t="str">
        <f aca="false">IF($A227="N/A"," ",RANK(V227,$P$220:$V$231))</f>
        <v> </v>
      </c>
      <c r="AK227" s="286" t="str">
        <f aca="false">IF($A227="N/A"," ",IF(AD227&lt;=$AJ$2,W227,0))</f>
        <v> </v>
      </c>
      <c r="AL227" s="301" t="str">
        <f aca="false">IF($A227="N/A"," ",IF(AE227&lt;=$AJ$2,X227,0))</f>
        <v> </v>
      </c>
      <c r="AM227" s="301" t="str">
        <f aca="false">IF($A227="N/A"," ",IF(AF227&lt;=$AJ$2,Y227,0))</f>
        <v> </v>
      </c>
      <c r="AN227" s="301" t="str">
        <f aca="false">IF($A227="N/A"," ",IF(AG227&lt;=$AJ$2,Z227,0))</f>
        <v> </v>
      </c>
      <c r="AO227" s="301" t="str">
        <f aca="false">IF($A227="N/A"," ",IF(AH227&lt;=$AJ$2,AA227,0))</f>
        <v> </v>
      </c>
      <c r="AP227" s="301" t="str">
        <f aca="false">IF($A227="N/A"," ",IF(AI227&lt;=$AJ$2,AB227,0))</f>
        <v> </v>
      </c>
      <c r="AQ227" s="301" t="str">
        <f aca="false">IF($A227="N/A"," ",IF(AJ227&lt;=$AJ$2,AC227,0))</f>
        <v> </v>
      </c>
      <c r="AR227" s="300"/>
      <c r="AS227" s="288" t="str">
        <f aca="false">IF($A227="N/A"," ",IF(AND(AD227=$AJ$2+1,AK227=0),MIN($AR$231,W227),0))</f>
        <v> </v>
      </c>
      <c r="AT227" s="302" t="str">
        <f aca="false">IF($A227="N/A"," ",IF(AND(AE227=$AJ$2+1,AL227=0),MIN($AR$231,X227),0))</f>
        <v> </v>
      </c>
      <c r="AU227" s="302" t="str">
        <f aca="false">IF($A227="N/A"," ",IF(AND(AF227=$AJ$2+1,AM227=0),MIN($AR$231,Y227),0))</f>
        <v> </v>
      </c>
      <c r="AV227" s="302" t="str">
        <f aca="false">IF($A227="N/A"," ",IF(AND(AG227=$AJ$2+1,AN227=0),MIN($AR$231,Z227),0))</f>
        <v> </v>
      </c>
      <c r="AW227" s="302" t="str">
        <f aca="false">IF($A227="N/A"," ",IF(AND(AH227=$AJ$2+1,AO227=0),MIN($AR$231,AA227),0))</f>
        <v> </v>
      </c>
      <c r="AX227" s="302" t="str">
        <f aca="false">IF($A227="N/A"," ",IF(AND(AI227=$AJ$2+1,AP227=0),MIN($AR$231,AB227),0))</f>
        <v> </v>
      </c>
      <c r="AY227" s="302" t="str">
        <f aca="false">IF($A227="N/A"," ",IF(AND(AJ227=$AJ$2+1,AQ227=0),MIN($AR$231,AC227),0))</f>
        <v> </v>
      </c>
      <c r="AZ227" s="300"/>
      <c r="BA227" s="291" t="str">
        <f aca="false">IF($A227="N/A"," ",(IF(MONTH(A227)&gt;=4,IF(MONTH(A227)&lt;=10,Inputs!$F$13,Inputs!$F$14),Inputs!$F$14))*$BW227)</f>
        <v> </v>
      </c>
      <c r="BB227" s="292" t="str">
        <f aca="false">IF($A227="N/A"," ",(IF(AK227&gt;0,($BA227*(8*(VLOOKUP($A227,NumberofDaysTable,2)))*P227),0)+IF(AS227&gt;0,($BA227*((AS227))*P227),0)))</f>
        <v> </v>
      </c>
      <c r="BC227" s="292" t="str">
        <f aca="false">IF($A227="N/A"," ",(IF(AL227&gt;0,($BA227*(8*(VLOOKUP($A227,NumberofDaysTable,2)))*Q227),0)+IF(AT227&gt;0,($BA227*((AT227))*Q227),0)))</f>
        <v> </v>
      </c>
      <c r="BD227" s="292" t="str">
        <f aca="false">IF($A227="N/A"," ",(IF(AM227&gt;0,($BA227*(8*(VLOOKUP($A227,NumberofDaysTable,3)))*R227),0)+IF(AU227&gt;0,($BA227*((AU227))*R227),0)))</f>
        <v> </v>
      </c>
      <c r="BE227" s="292" t="str">
        <f aca="false">IF($A227="N/A"," ",(IF(AN227&gt;0,($BA227*(8*(VLOOKUP($A227,NumberofDaysTable,3)))*S227),0)+IF(AV227&gt;0,($BA227*((AV227))*S227),0)))</f>
        <v> </v>
      </c>
      <c r="BF227" s="292" t="str">
        <f aca="false">IF($A227="N/A"," ",(IF(AO227&gt;0,($BA227*(8*(VLOOKUP($A227,NumberofDaysTable,4)+VLOOKUP($A227,NumberofDaysTable,5)))*T227),0)+IF(AW227&gt;0,($BA227*((AW227))*T227),0)))</f>
        <v> </v>
      </c>
      <c r="BG227" s="292" t="str">
        <f aca="false">IF($A227="N/A"," ",(IF(AP227&gt;0,($BA227*(8*(VLOOKUP($A227,NumberofDaysTable,4)+VLOOKUP($A227,NumberofDaysTable,5)))*U227),0)+IF(AX227&gt;0,($BA227*((AX227))*U227),0)))</f>
        <v> </v>
      </c>
      <c r="BH227" s="292" t="str">
        <f aca="false">IF($A227="N/A"," ",($BA227*AQ227*V227))</f>
        <v> </v>
      </c>
      <c r="BI227" s="292" t="str">
        <f aca="false">IF($A227="N/A"," ",SUM(BB227:BH227))</f>
        <v> </v>
      </c>
      <c r="BJ227" s="293" t="str">
        <f aca="false">IF($A227="N/A"," ",(H227*(SUM(AK227:AQ227)+SUM(AS227:AY227))*BA227))</f>
        <v> </v>
      </c>
      <c r="BK227" s="293" t="str">
        <f aca="false">IF($A227="N/A"," ",((C227*D227)*(SUM($AK227:$AQ227)+SUM($AS227:$AY227))*$BA227))</f>
        <v> </v>
      </c>
      <c r="BL227" s="293" t="str">
        <f aca="false">IF($A227="N/A"," ",(F227*(SUM($AK227:$AQ227)+SUM($AS227:$AY227))*$BA227))</f>
        <v> </v>
      </c>
      <c r="BM227" s="293" t="str">
        <f aca="false">IF($A227="N/A"," ",(G227*(SUM($AK227:$AQ227)+SUM($AS227:$AY227))*$BA227))</f>
        <v> </v>
      </c>
      <c r="BN227" s="294" t="str">
        <f aca="false">IF(A227="N/A"," ",(VLOOKUP(A227,PowerVolTable,(IF('Pricing Inputs'!$AT$3=2,7,IF('Pricing Inputs'!$AT$3=1,6,8))),FALSE())))</f>
        <v> </v>
      </c>
      <c r="BO227" s="294" t="str">
        <f aca="false">IF(A227="N/A"," ",(VLOOKUP(A227,IntraPowerVol,(IF('Pricing Inputs'!$AT$3=2,3,IF('Pricing Inputs'!$AT$3=1,2,4))),FALSE())*VLOOKUP(MONTH($A227),Inputs!$A$28:$B$39,2)))</f>
        <v> </v>
      </c>
      <c r="BP227" s="295" t="str">
        <f aca="false">IF($A227="N/A"," ",(IF(DateToday&gt;$A227,$BO227,((($BN227^2)*((($A227-1)-DateToday)/((EOMONTH($A227,0)+1)-DateToday-15)))+((($BO227)^2)*((15)/((EOMONTH($A227,0)+1)-DateToday-15))))^0.5)))</f>
        <v> </v>
      </c>
      <c r="BQ227" s="294" t="str">
        <f aca="false">IF($A227="N/A"," ",(VLOOKUP($A227,GasVolTable,(IF('Pricing Inputs'!$AT$3=2,6,IF('Pricing Inputs'!$AT$3=1,7,5))),FALSE())))</f>
        <v> </v>
      </c>
      <c r="BR227" s="294" t="str">
        <f aca="false">IF($A227="N/A"," ",(VLOOKUP($A227,OmicronVol,(IF('Pricing Inputs'!$AT$3=2,3,IF('Pricing Inputs'!$AT$3=1,4,2))),FALSE())))</f>
        <v> </v>
      </c>
      <c r="BS227" s="295" t="str">
        <f aca="false">IF($A227="N/A"," ",IF('Pricing Inputs'!$AN$3=1,(IF(DateToday&gt;$A227,$BR227,((($BQ227^2)*((($A227-1)-DateToday)/((EOMONTH($A227,0)+1)-DateToday-15)))+((($BR227)^2)*((15)/((EOMONTH($A227,0)+1)-DateToday-15))))^0.5)),0.0001))</f>
        <v> </v>
      </c>
      <c r="BT227" s="294" t="str">
        <f aca="false">IF($A227="N/A"," ",IF('Pricing Inputs'!$AN$3=1,(VLOOKUP($A227,CorrelationTable,2,FALSE())),0))</f>
        <v> </v>
      </c>
      <c r="BU227" s="296" t="str">
        <f aca="false">IF($A227="N/A"," ",F227+G227+(D227*(VLOOKUP($A227,'Gas Curves'!$B$17:$P$310,14,FALSE()))))</f>
        <v> </v>
      </c>
      <c r="BV227" s="294" t="str">
        <f aca="false">IF($A227="N/A"," ",IF('Pricing Inputs'!$AW$3=1,0,(VLOOKUP($A227,InterestRatesTable,2))))</f>
        <v> </v>
      </c>
      <c r="BW227" s="297" t="str">
        <f aca="false">IF($A227="N/A"," ",(1+BV227/2)^(-2*((EOMONTH(A227,0)+20)-DateToday)/365.25))</f>
        <v> </v>
      </c>
    </row>
    <row r="228" customFormat="false" ht="12.75" hidden="false" customHeight="false" outlineLevel="0" collapsed="false">
      <c r="A228" s="272" t="str">
        <f aca="false">IF(A227="N/A","N/A",IF(EDATE(A227,1)&gt;Inputs!$K$3,"N/A",EDATE(A227,1)))</f>
        <v>N/A</v>
      </c>
      <c r="B228" s="273" t="str">
        <f aca="false">IF(A228="N/A"," ",YEAR(A228))</f>
        <v> </v>
      </c>
      <c r="C228" s="274" t="str">
        <f aca="false">IF(A228="N/A"," ",VLOOKUP(A228,ScaledPrice,10))</f>
        <v> </v>
      </c>
      <c r="D228" s="275" t="str">
        <f aca="false">IF(A228="N/A"," ",(VLOOKUP(MONTH($A228),Inputs!$A$14:$B$25,2))/1000)</f>
        <v> </v>
      </c>
      <c r="E228" s="276" t="str">
        <f aca="false">IF($A228="N/A"," ",C228*D228)</f>
        <v> </v>
      </c>
      <c r="F228" s="277" t="str">
        <f aca="false">IF(A228="N/A"," ",Inputs!$F$6)</f>
        <v> </v>
      </c>
      <c r="G228" s="277" t="str">
        <f aca="false">IF(A228="N/A"," ",Inputs!$F$9/IF(AND('Pricing Inputs'!$AQ$3&gt;=4,'Pricing Inputs'!$AQ$3&lt;=6),16,IF(AND('Pricing Inputs'!$AQ$3&gt;=7,'Pricing Inputs'!$AQ$3&lt;=9),8,24))/(BA228/BW228))</f>
        <v> </v>
      </c>
      <c r="H228" s="278" t="str">
        <f aca="false">IF(A228="N/A"," ",(C228*D228)+F228+G228)</f>
        <v> </v>
      </c>
      <c r="I228" s="279" t="str">
        <f aca="false">VLOOKUP(A228,ScaledPrice,(IF(AND('Pricing Inputs'!$AQ$3&gt;=1,'Pricing Inputs'!$AQ$3&lt;=6),2,4)))</f>
        <v> </v>
      </c>
      <c r="J228" s="279" t="str">
        <f aca="false">IF(A228="N/A"," ",IF(AND('Pricing Inputs'!$AQ$3&gt;=1,'Pricing Inputs'!$AQ$3&lt;=6),I228,(VLOOKUP(A228,ScaledPrice,2))*(2-(VLOOKUP(A228,ScaledPrice,3)))))</f>
        <v> </v>
      </c>
      <c r="K228" s="279" t="str">
        <f aca="false">IF(A228="N/A"," ",IF(OR('Pricing Inputs'!$AQ$3=2,'Pricing Inputs'!$AQ$3=3,'Pricing Inputs'!$AQ$3=5,'Pricing Inputs'!$AQ$3=6,'Pricing Inputs'!$AQ$3=8,'Pricing Inputs'!$AQ$3=9),VLOOKUP(A228,ScaledPrice,IF(AND('Pricing Inputs'!$AQ$3&gt;=2,'Pricing Inputs'!$AQ$3&lt;=6),5,6)),0))</f>
        <v> </v>
      </c>
      <c r="L228" s="279" t="str">
        <f aca="false">IF(A228="N/A"," ",IF(OR('Pricing Inputs'!$AQ$3=2,'Pricing Inputs'!$AQ$3=3,'Pricing Inputs'!$AQ$3=5,'Pricing Inputs'!$AQ$3=6,'Pricing Inputs'!$AQ$3=8,'Pricing Inputs'!$AQ$3=9),IF(AND('Pricing Inputs'!$AQ$3&gt;=2,'Pricing Inputs'!$AQ$3&lt;=6),K228,(VLOOKUP(A228,ScaledPrice,5))*(2-(VLOOKUP(A228,ScaledPrice,3)))),0))</f>
        <v> </v>
      </c>
      <c r="M228" s="279" t="str">
        <f aca="false">IF(A228="N/A"," ",IF(OR('Pricing Inputs'!$AQ$3=3,'Pricing Inputs'!$AQ$3=6,'Pricing Inputs'!$AQ$3=9),(VLOOKUP(A228,ScaledPrice,IF(AND('Pricing Inputs'!$AQ$3&gt;=3,'Pricing Inputs'!$AQ$3&lt;=6),7,8))),0))</f>
        <v> </v>
      </c>
      <c r="N228" s="279" t="str">
        <f aca="false">IF(A228="N/A"," ",IF(OR('Pricing Inputs'!$AQ$3=3,'Pricing Inputs'!$AQ$3=6,'Pricing Inputs'!$AQ$3=9),IF(AND('Pricing Inputs'!$AQ$3&gt;=3,'Pricing Inputs'!$AQ$3&lt;=6),M228,(VLOOKUP(A228,ScaledPrice,7))*(2-(VLOOKUP(A228,ScaledPrice,3)))),0))</f>
        <v> </v>
      </c>
      <c r="O228" s="279" t="str">
        <f aca="false">IF(A228="N/A"," ",IF(AND('Pricing Inputs'!$AQ$3&gt;=1,'Pricing Inputs'!$AQ$3&lt;=3),VLOOKUP(A228,ScaledPrice,9),0))</f>
        <v> </v>
      </c>
      <c r="P228" s="280" t="str">
        <f aca="false">IF($A228="N/A"," ",IF('Pricing Inputs'!$AN$8=2,(I228-H228),IF('Pricing Inputs'!$AN$3=2,IF((I228-$H228)&gt;0,I228-$H228,0),(xSPRDOPT(I228,$E228,$BU228,0,$BP228,$BS228,$BT228,($A228-Inputs!$D$1)+15,1,0)))))</f>
        <v> </v>
      </c>
      <c r="Q228" s="280" t="str">
        <f aca="false">IF($A228="N/A"," ",IF('Pricing Inputs'!$AN$8=2,(J228-$H228),IF('Pricing Inputs'!$AN$3=2,IF((J228-$H228)&gt;0,J228-$H228,0),(xSPRDOPT(J228,$E228,$BU228,0,$BP228,$BS228,$BT228,($A228-Inputs!$D$1)+15,1,0)))))</f>
        <v> </v>
      </c>
      <c r="R228" s="280" t="str">
        <f aca="false">IF($A228="N/A"," ",IF('Pricing Inputs'!$AN$8=2,(K228-$H228),IF('Pricing Inputs'!$AN$3=2,IF((K228-$H228)&gt;0,K228-$H228,0),(xSPRDOPT(K228,$E228,$BU228,0,$BP228,$BS228,$BT228,($A228-Inputs!$D$1)+15,1,0)))))</f>
        <v> </v>
      </c>
      <c r="S228" s="280" t="str">
        <f aca="false">IF($A228="N/A"," ",IF('Pricing Inputs'!$AN$8=2,(L228-$H228),IF('Pricing Inputs'!$AN$3=2,IF((L228-$H228)&gt;0,L228-$H228,0),(xSPRDOPT(L228,$E228,$BU228,0,$BP228,$BS228,$BT228,($A228-Inputs!$D$1)+15,1,0)))))</f>
        <v> </v>
      </c>
      <c r="T228" s="280" t="str">
        <f aca="false">IF($A228="N/A"," ",IF('Pricing Inputs'!$AN$8=2,(M228-$H228),IF('Pricing Inputs'!$AN$3=2,IF((M228-$H228)&gt;0,M228-$H228,0),(xSPRDOPT(M228,$E228,$BU228,0,$BP228,$BS228,$BT228,($A228-Inputs!$D$1)+15,1,0)))))</f>
        <v> </v>
      </c>
      <c r="U228" s="280" t="str">
        <f aca="false">IF($A228="N/A"," ",IF('Pricing Inputs'!$AN$8=2,(N228-$H228),IF('Pricing Inputs'!$AN$3=2,IF((N228-$H228)&gt;0,N228-$H228,0),(xSPRDOPT(N228,$E228,$BU228,0,$BP228,$BS228,$BT228,($A228-Inputs!$D$1)+15,1,0)))))</f>
        <v> </v>
      </c>
      <c r="V228" s="281" t="str">
        <f aca="false">IF($A228="N/A"," ",(IF('Pricing Inputs'!$AN$8=2,(O228-$H228),IF((O228-$H228)&lt;=0,0,(O228-$H228)))))</f>
        <v> </v>
      </c>
      <c r="W228" s="282" t="str">
        <f aca="false">IF($A228="N/A"," ",IF(0&lt;&gt;P228,IF('Pricing Inputs'!$AN$3=2,8*VLOOKUP($A228,NumberofDaysTable,2),(xSPRDOPT(I228,$E228,$BU228,0,$BP228,$BS228,$BT228,$A228-Inputs!$D$1,1,1))*(8*VLOOKUP($A228,NumberofDaysTable,2))),0))</f>
        <v> </v>
      </c>
      <c r="X228" s="282" t="str">
        <f aca="false">IF($A228="N/A"," ",IF(Q228&lt;&gt;0,IF('Pricing Inputs'!$AN$3=2,8*VLOOKUP($A228,NumberofDaysTable,2),(xSPRDOPT(J228,$E228,$BU228,0,$BP228,$BS228,$BT228,$A228-Inputs!$D$1,1,1))*(8*VLOOKUP($A228,NumberofDaysTable,2))),0))</f>
        <v> </v>
      </c>
      <c r="Y228" s="282" t="str">
        <f aca="false">IF($A228="N/A"," ",IF(R228&lt;&gt;0,IF('Pricing Inputs'!$AN$3=2,8*VLOOKUP($A228,NumberofDaysTable,3),(xSPRDOPT(K228,$E228,$BU228,0,$BP228,$BS228,$BT228,$A228-Inputs!$D$1,1,1))*(8*VLOOKUP($A228,NumberofDaysTable,3))),0))</f>
        <v> </v>
      </c>
      <c r="Z228" s="282" t="str">
        <f aca="false">IF($A228="N/A"," ",IF(S228&lt;&gt;0,IF('Pricing Inputs'!$AN$3=2,8*VLOOKUP($A228,NumberofDaysTable,3),(xSPRDOPT(L228,$E228,$BU228,0,$BP228,$BS228,$BT228,$A228-Inputs!$D$1,1,1))*(8*VLOOKUP($A228,NumberofDaysTable,3))),0))</f>
        <v> </v>
      </c>
      <c r="AA228" s="282" t="str">
        <f aca="false">IF($A228="N/A"," ",IF(T228&lt;&gt;0,IF('Pricing Inputs'!$AN$3=2,8*VLOOKUP($A228,NumberofDaysTable,4),(xSPRDOPT(M228,$E228,$BU228,0,$BP228,$BS228,$BT228,$A228-Inputs!$D$1,1,1))*(8*VLOOKUP($A228,NumberofDaysTable,4))),0))</f>
        <v> </v>
      </c>
      <c r="AB228" s="282" t="str">
        <f aca="false">IF($A228="N/A"," ",IF(U228&lt;&gt;0,IF('Pricing Inputs'!$AN$3=2,8*VLOOKUP($A228,NumberofDaysTable,4),(xSPRDOPT(N228,$E228,$BU228,0,$BP228,$BS228,$BT228,$A228-Inputs!$D$1,1,1))*(8*VLOOKUP($A228,NumberofDaysTable,4))),0))</f>
        <v> </v>
      </c>
      <c r="AC228" s="282" t="str">
        <f aca="false">IF($A228="N/A"," ",(IF(V228&lt;&gt;0,(8*VLOOKUP($A228,NumberofDaysTable,6)),0)))</f>
        <v> </v>
      </c>
      <c r="AD228" s="298" t="str">
        <f aca="false">IF($A228="N/A"," ",RANK(P228,$P$220:$V$231))</f>
        <v> </v>
      </c>
      <c r="AE228" s="299" t="str">
        <f aca="false">IF($A228="N/A"," ",RANK(Q228,$P$220:$V$231))</f>
        <v> </v>
      </c>
      <c r="AF228" s="299" t="str">
        <f aca="false">IF($A228="N/A"," ",RANK(R228,$P$220:$V$231))</f>
        <v> </v>
      </c>
      <c r="AG228" s="299" t="str">
        <f aca="false">IF($A228="N/A"," ",RANK(S228,$P$220:$V$231))</f>
        <v> </v>
      </c>
      <c r="AH228" s="299" t="str">
        <f aca="false">IF($A228="N/A"," ",RANK(T228,$P$220:$V$231))</f>
        <v> </v>
      </c>
      <c r="AI228" s="299" t="str">
        <f aca="false">IF($A228="N/A"," ",RANK(U228,$P$220:$V$231))</f>
        <v> </v>
      </c>
      <c r="AJ228" s="300" t="str">
        <f aca="false">IF($A228="N/A"," ",RANK(V228,$P$220:$V$231))</f>
        <v> </v>
      </c>
      <c r="AK228" s="286" t="str">
        <f aca="false">IF($A228="N/A"," ",IF(AD228&lt;=$AJ$2,W228,0))</f>
        <v> </v>
      </c>
      <c r="AL228" s="301" t="str">
        <f aca="false">IF($A228="N/A"," ",IF(AE228&lt;=$AJ$2,X228,0))</f>
        <v> </v>
      </c>
      <c r="AM228" s="301" t="str">
        <f aca="false">IF($A228="N/A"," ",IF(AF228&lt;=$AJ$2,Y228,0))</f>
        <v> </v>
      </c>
      <c r="AN228" s="301" t="str">
        <f aca="false">IF($A228="N/A"," ",IF(AG228&lt;=$AJ$2,Z228,0))</f>
        <v> </v>
      </c>
      <c r="AO228" s="301" t="str">
        <f aca="false">IF($A228="N/A"," ",IF(AH228&lt;=$AJ$2,AA228,0))</f>
        <v> </v>
      </c>
      <c r="AP228" s="301" t="str">
        <f aca="false">IF($A228="N/A"," ",IF(AI228&lt;=$AJ$2,AB228,0))</f>
        <v> </v>
      </c>
      <c r="AQ228" s="301" t="str">
        <f aca="false">IF($A228="N/A"," ",IF(AJ228&lt;=$AJ$2,AC228,0))</f>
        <v> </v>
      </c>
      <c r="AR228" s="300"/>
      <c r="AS228" s="288" t="str">
        <f aca="false">IF($A228="N/A"," ",IF(AND(AD228=$AJ$2+1,AK228=0),MIN($AR$231,W228),0))</f>
        <v> </v>
      </c>
      <c r="AT228" s="302" t="str">
        <f aca="false">IF($A228="N/A"," ",IF(AND(AE228=$AJ$2+1,AL228=0),MIN($AR$231,X228),0))</f>
        <v> </v>
      </c>
      <c r="AU228" s="302" t="str">
        <f aca="false">IF($A228="N/A"," ",IF(AND(AF228=$AJ$2+1,AM228=0),MIN($AR$231,Y228),0))</f>
        <v> </v>
      </c>
      <c r="AV228" s="302" t="str">
        <f aca="false">IF($A228="N/A"," ",IF(AND(AG228=$AJ$2+1,AN228=0),MIN($AR$231,Z228),0))</f>
        <v> </v>
      </c>
      <c r="AW228" s="302" t="str">
        <f aca="false">IF($A228="N/A"," ",IF(AND(AH228=$AJ$2+1,AO228=0),MIN($AR$231,AA228),0))</f>
        <v> </v>
      </c>
      <c r="AX228" s="302" t="str">
        <f aca="false">IF($A228="N/A"," ",IF(AND(AI228=$AJ$2+1,AP228=0),MIN($AR$231,AB228),0))</f>
        <v> </v>
      </c>
      <c r="AY228" s="302" t="str">
        <f aca="false">IF($A228="N/A"," ",IF(AND(AJ228=$AJ$2+1,AQ228=0),MIN($AR$231,AC228),0))</f>
        <v> </v>
      </c>
      <c r="AZ228" s="300"/>
      <c r="BA228" s="291" t="str">
        <f aca="false">IF($A228="N/A"," ",(IF(MONTH(A228)&gt;=4,IF(MONTH(A228)&lt;=10,Inputs!$F$13,Inputs!$F$14),Inputs!$F$14))*$BW228)</f>
        <v> </v>
      </c>
      <c r="BB228" s="292" t="str">
        <f aca="false">IF($A228="N/A"," ",(IF(AK228&gt;0,($BA228*(8*(VLOOKUP($A228,NumberofDaysTable,2)))*P228),0)+IF(AS228&gt;0,($BA228*((AS228))*P228),0)))</f>
        <v> </v>
      </c>
      <c r="BC228" s="292" t="str">
        <f aca="false">IF($A228="N/A"," ",(IF(AL228&gt;0,($BA228*(8*(VLOOKUP($A228,NumberofDaysTable,2)))*Q228),0)+IF(AT228&gt;0,($BA228*((AT228))*Q228),0)))</f>
        <v> </v>
      </c>
      <c r="BD228" s="292" t="str">
        <f aca="false">IF($A228="N/A"," ",(IF(AM228&gt;0,($BA228*(8*(VLOOKUP($A228,NumberofDaysTable,3)))*R228),0)+IF(AU228&gt;0,($BA228*((AU228))*R228),0)))</f>
        <v> </v>
      </c>
      <c r="BE228" s="292" t="str">
        <f aca="false">IF($A228="N/A"," ",(IF(AN228&gt;0,($BA228*(8*(VLOOKUP($A228,NumberofDaysTable,3)))*S228),0)+IF(AV228&gt;0,($BA228*((AV228))*S228),0)))</f>
        <v> </v>
      </c>
      <c r="BF228" s="292" t="str">
        <f aca="false">IF($A228="N/A"," ",(IF(AO228&gt;0,($BA228*(8*(VLOOKUP($A228,NumberofDaysTable,4)+VLOOKUP($A228,NumberofDaysTable,5)))*T228),0)+IF(AW228&gt;0,($BA228*((AW228))*T228),0)))</f>
        <v> </v>
      </c>
      <c r="BG228" s="292" t="str">
        <f aca="false">IF($A228="N/A"," ",(IF(AP228&gt;0,($BA228*(8*(VLOOKUP($A228,NumberofDaysTable,4)+VLOOKUP($A228,NumberofDaysTable,5)))*U228),0)+IF(AX228&gt;0,($BA228*((AX228))*U228),0)))</f>
        <v> </v>
      </c>
      <c r="BH228" s="292" t="str">
        <f aca="false">IF($A228="N/A"," ",($BA228*AQ228*V228))</f>
        <v> </v>
      </c>
      <c r="BI228" s="292" t="str">
        <f aca="false">IF($A228="N/A"," ",SUM(BB228:BH228))</f>
        <v> </v>
      </c>
      <c r="BJ228" s="293" t="str">
        <f aca="false">IF($A228="N/A"," ",(H228*(SUM(AK228:AQ228)+SUM(AS228:AY228))*BA228))</f>
        <v> </v>
      </c>
      <c r="BK228" s="293" t="str">
        <f aca="false">IF($A228="N/A"," ",((C228*D228)*(SUM($AK228:$AQ228)+SUM($AS228:$AY228))*$BA228))</f>
        <v> </v>
      </c>
      <c r="BL228" s="293" t="str">
        <f aca="false">IF($A228="N/A"," ",(F228*(SUM($AK228:$AQ228)+SUM($AS228:$AY228))*$BA228))</f>
        <v> </v>
      </c>
      <c r="BM228" s="293" t="str">
        <f aca="false">IF($A228="N/A"," ",(G228*(SUM($AK228:$AQ228)+SUM($AS228:$AY228))*$BA228))</f>
        <v> </v>
      </c>
      <c r="BN228" s="294" t="str">
        <f aca="false">IF(A228="N/A"," ",(VLOOKUP(A228,PowerVolTable,(IF('Pricing Inputs'!$AT$3=2,7,IF('Pricing Inputs'!$AT$3=1,6,8))),FALSE())))</f>
        <v> </v>
      </c>
      <c r="BO228" s="294" t="str">
        <f aca="false">IF(A228="N/A"," ",(VLOOKUP(A228,IntraPowerVol,(IF('Pricing Inputs'!$AT$3=2,3,IF('Pricing Inputs'!$AT$3=1,2,4))),FALSE())*VLOOKUP(MONTH($A228),Inputs!$A$28:$B$39,2)))</f>
        <v> </v>
      </c>
      <c r="BP228" s="295" t="str">
        <f aca="false">IF($A228="N/A"," ",(IF(DateToday&gt;$A228,$BO228,((($BN228^2)*((($A228-1)-DateToday)/((EOMONTH($A228,0)+1)-DateToday-15)))+((($BO228)^2)*((15)/((EOMONTH($A228,0)+1)-DateToday-15))))^0.5)))</f>
        <v> </v>
      </c>
      <c r="BQ228" s="294" t="str">
        <f aca="false">IF($A228="N/A"," ",(VLOOKUP($A228,GasVolTable,(IF('Pricing Inputs'!$AT$3=2,6,IF('Pricing Inputs'!$AT$3=1,7,5))),FALSE())))</f>
        <v> </v>
      </c>
      <c r="BR228" s="294" t="str">
        <f aca="false">IF($A228="N/A"," ",(VLOOKUP($A228,OmicronVol,(IF('Pricing Inputs'!$AT$3=2,3,IF('Pricing Inputs'!$AT$3=1,4,2))),FALSE())))</f>
        <v> </v>
      </c>
      <c r="BS228" s="295" t="str">
        <f aca="false">IF($A228="N/A"," ",IF('Pricing Inputs'!$AN$3=1,(IF(DateToday&gt;$A228,$BR228,((($BQ228^2)*((($A228-1)-DateToday)/((EOMONTH($A228,0)+1)-DateToday-15)))+((($BR228)^2)*((15)/((EOMONTH($A228,0)+1)-DateToday-15))))^0.5)),0.0001))</f>
        <v> </v>
      </c>
      <c r="BT228" s="294" t="str">
        <f aca="false">IF($A228="N/A"," ",IF('Pricing Inputs'!$AN$3=1,(VLOOKUP($A228,CorrelationTable,2,FALSE())),0))</f>
        <v> </v>
      </c>
      <c r="BU228" s="296" t="str">
        <f aca="false">IF($A228="N/A"," ",F228+G228+(D228*(VLOOKUP($A228,'Gas Curves'!$B$17:$P$310,14,FALSE()))))</f>
        <v> </v>
      </c>
      <c r="BV228" s="294" t="str">
        <f aca="false">IF($A228="N/A"," ",IF('Pricing Inputs'!$AW$3=1,0,(VLOOKUP($A228,InterestRatesTable,2))))</f>
        <v> </v>
      </c>
      <c r="BW228" s="297" t="str">
        <f aca="false">IF($A228="N/A"," ",(1+BV228/2)^(-2*((EOMONTH(A228,0)+20)-DateToday)/365.25))</f>
        <v> </v>
      </c>
    </row>
    <row r="229" customFormat="false" ht="12.75" hidden="false" customHeight="false" outlineLevel="0" collapsed="false">
      <c r="A229" s="272" t="str">
        <f aca="false">IF(A228="N/A","N/A",IF(EDATE(A228,1)&gt;Inputs!$K$3,"N/A",EDATE(A228,1)))</f>
        <v>N/A</v>
      </c>
      <c r="B229" s="273" t="str">
        <f aca="false">IF(A229="N/A"," ",YEAR(A229))</f>
        <v> </v>
      </c>
      <c r="C229" s="274" t="str">
        <f aca="false">IF(A229="N/A"," ",VLOOKUP(A229,ScaledPrice,10))</f>
        <v> </v>
      </c>
      <c r="D229" s="275" t="str">
        <f aca="false">IF(A229="N/A"," ",(VLOOKUP(MONTH($A229),Inputs!$A$14:$B$25,2))/1000)</f>
        <v> </v>
      </c>
      <c r="E229" s="276" t="str">
        <f aca="false">IF($A229="N/A"," ",C229*D229)</f>
        <v> </v>
      </c>
      <c r="F229" s="277" t="str">
        <f aca="false">IF(A229="N/A"," ",Inputs!$F$6)</f>
        <v> </v>
      </c>
      <c r="G229" s="277" t="str">
        <f aca="false">IF(A229="N/A"," ",Inputs!$F$9/IF(AND('Pricing Inputs'!$AQ$3&gt;=4,'Pricing Inputs'!$AQ$3&lt;=6),16,IF(AND('Pricing Inputs'!$AQ$3&gt;=7,'Pricing Inputs'!$AQ$3&lt;=9),8,24))/(BA229/BW229))</f>
        <v> </v>
      </c>
      <c r="H229" s="278" t="str">
        <f aca="false">IF(A229="N/A"," ",(C229*D229)+F229+G229)</f>
        <v> </v>
      </c>
      <c r="I229" s="279" t="str">
        <f aca="false">VLOOKUP(A229,ScaledPrice,(IF(AND('Pricing Inputs'!$AQ$3&gt;=1,'Pricing Inputs'!$AQ$3&lt;=6),2,4)))</f>
        <v> </v>
      </c>
      <c r="J229" s="279" t="str">
        <f aca="false">IF(A229="N/A"," ",IF(AND('Pricing Inputs'!$AQ$3&gt;=1,'Pricing Inputs'!$AQ$3&lt;=6),I229,(VLOOKUP(A229,ScaledPrice,2))*(2-(VLOOKUP(A229,ScaledPrice,3)))))</f>
        <v> </v>
      </c>
      <c r="K229" s="279" t="str">
        <f aca="false">IF(A229="N/A"," ",IF(OR('Pricing Inputs'!$AQ$3=2,'Pricing Inputs'!$AQ$3=3,'Pricing Inputs'!$AQ$3=5,'Pricing Inputs'!$AQ$3=6,'Pricing Inputs'!$AQ$3=8,'Pricing Inputs'!$AQ$3=9),VLOOKUP(A229,ScaledPrice,IF(AND('Pricing Inputs'!$AQ$3&gt;=2,'Pricing Inputs'!$AQ$3&lt;=6),5,6)),0))</f>
        <v> </v>
      </c>
      <c r="L229" s="279" t="str">
        <f aca="false">IF(A229="N/A"," ",IF(OR('Pricing Inputs'!$AQ$3=2,'Pricing Inputs'!$AQ$3=3,'Pricing Inputs'!$AQ$3=5,'Pricing Inputs'!$AQ$3=6,'Pricing Inputs'!$AQ$3=8,'Pricing Inputs'!$AQ$3=9),IF(AND('Pricing Inputs'!$AQ$3&gt;=2,'Pricing Inputs'!$AQ$3&lt;=6),K229,(VLOOKUP(A229,ScaledPrice,5))*(2-(VLOOKUP(A229,ScaledPrice,3)))),0))</f>
        <v> </v>
      </c>
      <c r="M229" s="279" t="str">
        <f aca="false">IF(A229="N/A"," ",IF(OR('Pricing Inputs'!$AQ$3=3,'Pricing Inputs'!$AQ$3=6,'Pricing Inputs'!$AQ$3=9),(VLOOKUP(A229,ScaledPrice,IF(AND('Pricing Inputs'!$AQ$3&gt;=3,'Pricing Inputs'!$AQ$3&lt;=6),7,8))),0))</f>
        <v> </v>
      </c>
      <c r="N229" s="279" t="str">
        <f aca="false">IF(A229="N/A"," ",IF(OR('Pricing Inputs'!$AQ$3=3,'Pricing Inputs'!$AQ$3=6,'Pricing Inputs'!$AQ$3=9),IF(AND('Pricing Inputs'!$AQ$3&gt;=3,'Pricing Inputs'!$AQ$3&lt;=6),M229,(VLOOKUP(A229,ScaledPrice,7))*(2-(VLOOKUP(A229,ScaledPrice,3)))),0))</f>
        <v> </v>
      </c>
      <c r="O229" s="279" t="str">
        <f aca="false">IF(A229="N/A"," ",IF(AND('Pricing Inputs'!$AQ$3&gt;=1,'Pricing Inputs'!$AQ$3&lt;=3),VLOOKUP(A229,ScaledPrice,9),0))</f>
        <v> </v>
      </c>
      <c r="P229" s="280" t="str">
        <f aca="false">IF($A229="N/A"," ",IF('Pricing Inputs'!$AN$8=2,(I229-H229),IF('Pricing Inputs'!$AN$3=2,IF((I229-$H229)&gt;0,I229-$H229,0),(xSPRDOPT(I229,$E229,$BU229,0,$BP229,$BS229,$BT229,($A229-Inputs!$D$1)+15,1,0)))))</f>
        <v> </v>
      </c>
      <c r="Q229" s="280" t="str">
        <f aca="false">IF($A229="N/A"," ",IF('Pricing Inputs'!$AN$8=2,(J229-$H229),IF('Pricing Inputs'!$AN$3=2,IF((J229-$H229)&gt;0,J229-$H229,0),(xSPRDOPT(J229,$E229,$BU229,0,$BP229,$BS229,$BT229,($A229-Inputs!$D$1)+15,1,0)))))</f>
        <v> </v>
      </c>
      <c r="R229" s="280" t="str">
        <f aca="false">IF($A229="N/A"," ",IF('Pricing Inputs'!$AN$8=2,(K229-$H229),IF('Pricing Inputs'!$AN$3=2,IF((K229-$H229)&gt;0,K229-$H229,0),(xSPRDOPT(K229,$E229,$BU229,0,$BP229,$BS229,$BT229,($A229-Inputs!$D$1)+15,1,0)))))</f>
        <v> </v>
      </c>
      <c r="S229" s="280" t="str">
        <f aca="false">IF($A229="N/A"," ",IF('Pricing Inputs'!$AN$8=2,(L229-$H229),IF('Pricing Inputs'!$AN$3=2,IF((L229-$H229)&gt;0,L229-$H229,0),(xSPRDOPT(L229,$E229,$BU229,0,$BP229,$BS229,$BT229,($A229-Inputs!$D$1)+15,1,0)))))</f>
        <v> </v>
      </c>
      <c r="T229" s="280" t="str">
        <f aca="false">IF($A229="N/A"," ",IF('Pricing Inputs'!$AN$8=2,(M229-$H229),IF('Pricing Inputs'!$AN$3=2,IF((M229-$H229)&gt;0,M229-$H229,0),(xSPRDOPT(M229,$E229,$BU229,0,$BP229,$BS229,$BT229,($A229-Inputs!$D$1)+15,1,0)))))</f>
        <v> </v>
      </c>
      <c r="U229" s="280" t="str">
        <f aca="false">IF($A229="N/A"," ",IF('Pricing Inputs'!$AN$8=2,(N229-$H229),IF('Pricing Inputs'!$AN$3=2,IF((N229-$H229)&gt;0,N229-$H229,0),(xSPRDOPT(N229,$E229,$BU229,0,$BP229,$BS229,$BT229,($A229-Inputs!$D$1)+15,1,0)))))</f>
        <v> </v>
      </c>
      <c r="V229" s="281" t="str">
        <f aca="false">IF($A229="N/A"," ",(IF('Pricing Inputs'!$AN$8=2,(O229-$H229),IF((O229-$H229)&lt;=0,0,(O229-$H229)))))</f>
        <v> </v>
      </c>
      <c r="W229" s="282" t="str">
        <f aca="false">IF($A229="N/A"," ",IF(0&lt;&gt;P229,IF('Pricing Inputs'!$AN$3=2,8*VLOOKUP($A229,NumberofDaysTable,2),(xSPRDOPT(I229,$E229,$BU229,0,$BP229,$BS229,$BT229,$A229-Inputs!$D$1,1,1))*(8*VLOOKUP($A229,NumberofDaysTable,2))),0))</f>
        <v> </v>
      </c>
      <c r="X229" s="282" t="str">
        <f aca="false">IF($A229="N/A"," ",IF(Q229&lt;&gt;0,IF('Pricing Inputs'!$AN$3=2,8*VLOOKUP($A229,NumberofDaysTable,2),(xSPRDOPT(J229,$E229,$BU229,0,$BP229,$BS229,$BT229,$A229-Inputs!$D$1,1,1))*(8*VLOOKUP($A229,NumberofDaysTable,2))),0))</f>
        <v> </v>
      </c>
      <c r="Y229" s="282" t="str">
        <f aca="false">IF($A229="N/A"," ",IF(R229&lt;&gt;0,IF('Pricing Inputs'!$AN$3=2,8*VLOOKUP($A229,NumberofDaysTable,3),(xSPRDOPT(K229,$E229,$BU229,0,$BP229,$BS229,$BT229,$A229-Inputs!$D$1,1,1))*(8*VLOOKUP($A229,NumberofDaysTable,3))),0))</f>
        <v> </v>
      </c>
      <c r="Z229" s="282" t="str">
        <f aca="false">IF($A229="N/A"," ",IF(S229&lt;&gt;0,IF('Pricing Inputs'!$AN$3=2,8*VLOOKUP($A229,NumberofDaysTable,3),(xSPRDOPT(L229,$E229,$BU229,0,$BP229,$BS229,$BT229,$A229-Inputs!$D$1,1,1))*(8*VLOOKUP($A229,NumberofDaysTable,3))),0))</f>
        <v> </v>
      </c>
      <c r="AA229" s="282" t="str">
        <f aca="false">IF($A229="N/A"," ",IF(T229&lt;&gt;0,IF('Pricing Inputs'!$AN$3=2,8*VLOOKUP($A229,NumberofDaysTable,4),(xSPRDOPT(M229,$E229,$BU229,0,$BP229,$BS229,$BT229,$A229-Inputs!$D$1,1,1))*(8*VLOOKUP($A229,NumberofDaysTable,4))),0))</f>
        <v> </v>
      </c>
      <c r="AB229" s="282" t="str">
        <f aca="false">IF($A229="N/A"," ",IF(U229&lt;&gt;0,IF('Pricing Inputs'!$AN$3=2,8*VLOOKUP($A229,NumberofDaysTable,4),(xSPRDOPT(N229,$E229,$BU229,0,$BP229,$BS229,$BT229,$A229-Inputs!$D$1,1,1))*(8*VLOOKUP($A229,NumberofDaysTable,4))),0))</f>
        <v> </v>
      </c>
      <c r="AC229" s="282" t="str">
        <f aca="false">IF($A229="N/A"," ",(IF(V229&lt;&gt;0,(8*VLOOKUP($A229,NumberofDaysTable,6)),0)))</f>
        <v> </v>
      </c>
      <c r="AD229" s="298" t="str">
        <f aca="false">IF($A229="N/A"," ",RANK(P229,$P$220:$V$231))</f>
        <v> </v>
      </c>
      <c r="AE229" s="299" t="str">
        <f aca="false">IF($A229="N/A"," ",RANK(Q229,$P$220:$V$231))</f>
        <v> </v>
      </c>
      <c r="AF229" s="299" t="str">
        <f aca="false">IF($A229="N/A"," ",RANK(R229,$P$220:$V$231))</f>
        <v> </v>
      </c>
      <c r="AG229" s="299" t="str">
        <f aca="false">IF($A229="N/A"," ",RANK(S229,$P$220:$V$231))</f>
        <v> </v>
      </c>
      <c r="AH229" s="299" t="str">
        <f aca="false">IF($A229="N/A"," ",RANK(T229,$P$220:$V$231))</f>
        <v> </v>
      </c>
      <c r="AI229" s="299" t="str">
        <f aca="false">IF($A229="N/A"," ",RANK(U229,$P$220:$V$231))</f>
        <v> </v>
      </c>
      <c r="AJ229" s="300" t="str">
        <f aca="false">IF($A229="N/A"," ",RANK(V229,$P$220:$V$231))</f>
        <v> </v>
      </c>
      <c r="AK229" s="286" t="str">
        <f aca="false">IF($A229="N/A"," ",IF(AD229&lt;=$AJ$2,W229,0))</f>
        <v> </v>
      </c>
      <c r="AL229" s="301" t="str">
        <f aca="false">IF($A229="N/A"," ",IF(AE229&lt;=$AJ$2,X229,0))</f>
        <v> </v>
      </c>
      <c r="AM229" s="301" t="str">
        <f aca="false">IF($A229="N/A"," ",IF(AF229&lt;=$AJ$2,Y229,0))</f>
        <v> </v>
      </c>
      <c r="AN229" s="301" t="str">
        <f aca="false">IF($A229="N/A"," ",IF(AG229&lt;=$AJ$2,Z229,0))</f>
        <v> </v>
      </c>
      <c r="AO229" s="301" t="str">
        <f aca="false">IF($A229="N/A"," ",IF(AH229&lt;=$AJ$2,AA229,0))</f>
        <v> </v>
      </c>
      <c r="AP229" s="301" t="str">
        <f aca="false">IF($A229="N/A"," ",IF(AI229&lt;=$AJ$2,AB229,0))</f>
        <v> </v>
      </c>
      <c r="AQ229" s="301" t="str">
        <f aca="false">IF($A229="N/A"," ",IF(AJ229&lt;=$AJ$2,AC229,0))</f>
        <v> </v>
      </c>
      <c r="AR229" s="304" t="s">
        <v>1301</v>
      </c>
      <c r="AS229" s="288" t="str">
        <f aca="false">IF($A229="N/A"," ",IF(AND(AD229=$AJ$2+1,AK229=0),MIN($AR$231,W229),0))</f>
        <v> </v>
      </c>
      <c r="AT229" s="302" t="str">
        <f aca="false">IF($A229="N/A"," ",IF(AND(AE229=$AJ$2+1,AL229=0),MIN($AR$231,X229),0))</f>
        <v> </v>
      </c>
      <c r="AU229" s="302" t="str">
        <f aca="false">IF($A229="N/A"," ",IF(AND(AF229=$AJ$2+1,AM229=0),MIN($AR$231,Y229),0))</f>
        <v> </v>
      </c>
      <c r="AV229" s="302" t="str">
        <f aca="false">IF($A229="N/A"," ",IF(AND(AG229=$AJ$2+1,AN229=0),MIN($AR$231,Z229),0))</f>
        <v> </v>
      </c>
      <c r="AW229" s="302" t="str">
        <f aca="false">IF($A229="N/A"," ",IF(AND(AH229=$AJ$2+1,AO229=0),MIN($AR$231,AA229),0))</f>
        <v> </v>
      </c>
      <c r="AX229" s="302" t="str">
        <f aca="false">IF($A229="N/A"," ",IF(AND(AI229=$AJ$2+1,AP229=0),MIN($AR$231,AB229),0))</f>
        <v> </v>
      </c>
      <c r="AY229" s="302" t="str">
        <f aca="false">IF($A229="N/A"," ",IF(AND(AJ229=$AJ$2+1,AQ229=0),MIN($AR$231,AC229),0))</f>
        <v> </v>
      </c>
      <c r="AZ229" s="303" t="s">
        <v>1328</v>
      </c>
      <c r="BA229" s="291" t="str">
        <f aca="false">IF($A229="N/A"," ",(IF(MONTH(A229)&gt;=4,IF(MONTH(A229)&lt;=10,Inputs!$F$13,Inputs!$F$14),Inputs!$F$14))*$BW229)</f>
        <v> </v>
      </c>
      <c r="BB229" s="292" t="str">
        <f aca="false">IF($A229="N/A"," ",(IF(AK229&gt;0,($BA229*(8*(VLOOKUP($A229,NumberofDaysTable,2)))*P229),0)+IF(AS229&gt;0,($BA229*((AS229))*P229),0)))</f>
        <v> </v>
      </c>
      <c r="BC229" s="292" t="str">
        <f aca="false">IF($A229="N/A"," ",(IF(AL229&gt;0,($BA229*(8*(VLOOKUP($A229,NumberofDaysTable,2)))*Q229),0)+IF(AT229&gt;0,($BA229*((AT229))*Q229),0)))</f>
        <v> </v>
      </c>
      <c r="BD229" s="292" t="str">
        <f aca="false">IF($A229="N/A"," ",(IF(AM229&gt;0,($BA229*(8*(VLOOKUP($A229,NumberofDaysTable,3)))*R229),0)+IF(AU229&gt;0,($BA229*((AU229))*R229),0)))</f>
        <v> </v>
      </c>
      <c r="BE229" s="292" t="str">
        <f aca="false">IF($A229="N/A"," ",(IF(AN229&gt;0,($BA229*(8*(VLOOKUP($A229,NumberofDaysTable,3)))*S229),0)+IF(AV229&gt;0,($BA229*((AV229))*S229),0)))</f>
        <v> </v>
      </c>
      <c r="BF229" s="292" t="str">
        <f aca="false">IF($A229="N/A"," ",(IF(AO229&gt;0,($BA229*(8*(VLOOKUP($A229,NumberofDaysTable,4)+VLOOKUP($A229,NumberofDaysTable,5)))*T229),0)+IF(AW229&gt;0,($BA229*((AW229))*T229),0)))</f>
        <v> </v>
      </c>
      <c r="BG229" s="292" t="str">
        <f aca="false">IF($A229="N/A"," ",(IF(AP229&gt;0,($BA229*(8*(VLOOKUP($A229,NumberofDaysTable,4)+VLOOKUP($A229,NumberofDaysTable,5)))*U229),0)+IF(AX229&gt;0,($BA229*((AX229))*U229),0)))</f>
        <v> </v>
      </c>
      <c r="BH229" s="292" t="str">
        <f aca="false">IF($A229="N/A"," ",($BA229*AQ229*V229))</f>
        <v> </v>
      </c>
      <c r="BI229" s="292" t="str">
        <f aca="false">IF($A229="N/A"," ",SUM(BB229:BH229))</f>
        <v> </v>
      </c>
      <c r="BJ229" s="293" t="str">
        <f aca="false">IF($A229="N/A"," ",(H229*(SUM(AK229:AQ229)+SUM(AS229:AY229))*BA229))</f>
        <v> </v>
      </c>
      <c r="BK229" s="293" t="str">
        <f aca="false">IF($A229="N/A"," ",((C229*D229)*(SUM($AK229:$AQ229)+SUM($AS229:$AY229))*$BA229))</f>
        <v> </v>
      </c>
      <c r="BL229" s="293" t="str">
        <f aca="false">IF($A229="N/A"," ",(F229*(SUM($AK229:$AQ229)+SUM($AS229:$AY229))*$BA229))</f>
        <v> </v>
      </c>
      <c r="BM229" s="293" t="str">
        <f aca="false">IF($A229="N/A"," ",(G229*(SUM($AK229:$AQ229)+SUM($AS229:$AY229))*$BA229))</f>
        <v> </v>
      </c>
      <c r="BN229" s="294" t="str">
        <f aca="false">IF(A229="N/A"," ",(VLOOKUP(A229,PowerVolTable,(IF('Pricing Inputs'!$AT$3=2,7,IF('Pricing Inputs'!$AT$3=1,6,8))),FALSE())))</f>
        <v> </v>
      </c>
      <c r="BO229" s="294" t="str">
        <f aca="false">IF(A229="N/A"," ",(VLOOKUP(A229,IntraPowerVol,(IF('Pricing Inputs'!$AT$3=2,3,IF('Pricing Inputs'!$AT$3=1,2,4))),FALSE())*VLOOKUP(MONTH($A229),Inputs!$A$28:$B$39,2)))</f>
        <v> </v>
      </c>
      <c r="BP229" s="295" t="str">
        <f aca="false">IF($A229="N/A"," ",(IF(DateToday&gt;$A229,$BO229,((($BN229^2)*((($A229-1)-DateToday)/((EOMONTH($A229,0)+1)-DateToday-15)))+((($BO229)^2)*((15)/((EOMONTH($A229,0)+1)-DateToday-15))))^0.5)))</f>
        <v> </v>
      </c>
      <c r="BQ229" s="294" t="str">
        <f aca="false">IF($A229="N/A"," ",(VLOOKUP($A229,GasVolTable,(IF('Pricing Inputs'!$AT$3=2,6,IF('Pricing Inputs'!$AT$3=1,7,5))),FALSE())))</f>
        <v> </v>
      </c>
      <c r="BR229" s="294" t="str">
        <f aca="false">IF($A229="N/A"," ",(VLOOKUP($A229,OmicronVol,(IF('Pricing Inputs'!$AT$3=2,3,IF('Pricing Inputs'!$AT$3=1,4,2))),FALSE())))</f>
        <v> </v>
      </c>
      <c r="BS229" s="295" t="str">
        <f aca="false">IF($A229="N/A"," ",IF('Pricing Inputs'!$AN$3=1,(IF(DateToday&gt;$A229,$BR229,((($BQ229^2)*((($A229-1)-DateToday)/((EOMONTH($A229,0)+1)-DateToday-15)))+((($BR229)^2)*((15)/((EOMONTH($A229,0)+1)-DateToday-15))))^0.5)),0.0001))</f>
        <v> </v>
      </c>
      <c r="BT229" s="294" t="str">
        <f aca="false">IF($A229="N/A"," ",IF('Pricing Inputs'!$AN$3=1,(VLOOKUP($A229,CorrelationTable,2,FALSE())),0))</f>
        <v> </v>
      </c>
      <c r="BU229" s="296" t="str">
        <f aca="false">IF($A229="N/A"," ",F229+G229+(D229*(VLOOKUP($A229,'Gas Curves'!$B$17:$P$310,14,FALSE()))))</f>
        <v> </v>
      </c>
      <c r="BV229" s="294" t="str">
        <f aca="false">IF($A229="N/A"," ",IF('Pricing Inputs'!$AW$3=1,0,(VLOOKUP($A229,InterestRatesTable,2))))</f>
        <v> </v>
      </c>
      <c r="BW229" s="297" t="str">
        <f aca="false">IF($A229="N/A"," ",(1+BV229/2)^(-2*((EOMONTH(A229,0)+20)-DateToday)/365.25))</f>
        <v> </v>
      </c>
    </row>
    <row r="230" customFormat="false" ht="12.75" hidden="false" customHeight="false" outlineLevel="0" collapsed="false">
      <c r="A230" s="272" t="str">
        <f aca="false">IF(A229="N/A","N/A",IF(EDATE(A229,1)&gt;Inputs!$K$3,"N/A",EDATE(A229,1)))</f>
        <v>N/A</v>
      </c>
      <c r="B230" s="273" t="str">
        <f aca="false">IF(A230="N/A"," ",YEAR(A230))</f>
        <v> </v>
      </c>
      <c r="C230" s="274" t="str">
        <f aca="false">IF(A230="N/A"," ",VLOOKUP(A230,ScaledPrice,10))</f>
        <v> </v>
      </c>
      <c r="D230" s="275" t="str">
        <f aca="false">IF(A230="N/A"," ",(VLOOKUP(MONTH($A230),Inputs!$A$14:$B$25,2))/1000)</f>
        <v> </v>
      </c>
      <c r="E230" s="276" t="str">
        <f aca="false">IF($A230="N/A"," ",C230*D230)</f>
        <v> </v>
      </c>
      <c r="F230" s="277" t="str">
        <f aca="false">IF(A230="N/A"," ",Inputs!$F$6)</f>
        <v> </v>
      </c>
      <c r="G230" s="277" t="str">
        <f aca="false">IF(A230="N/A"," ",Inputs!$F$9/IF(AND('Pricing Inputs'!$AQ$3&gt;=4,'Pricing Inputs'!$AQ$3&lt;=6),16,IF(AND('Pricing Inputs'!$AQ$3&gt;=7,'Pricing Inputs'!$AQ$3&lt;=9),8,24))/(BA230/BW230))</f>
        <v> </v>
      </c>
      <c r="H230" s="278" t="str">
        <f aca="false">IF(A230="N/A"," ",(C230*D230)+F230+G230)</f>
        <v> </v>
      </c>
      <c r="I230" s="279" t="str">
        <f aca="false">VLOOKUP(A230,ScaledPrice,(IF(AND('Pricing Inputs'!$AQ$3&gt;=1,'Pricing Inputs'!$AQ$3&lt;=6),2,4)))</f>
        <v> </v>
      </c>
      <c r="J230" s="279" t="str">
        <f aca="false">IF(A230="N/A"," ",IF(AND('Pricing Inputs'!$AQ$3&gt;=1,'Pricing Inputs'!$AQ$3&lt;=6),I230,(VLOOKUP(A230,ScaledPrice,2))*(2-(VLOOKUP(A230,ScaledPrice,3)))))</f>
        <v> </v>
      </c>
      <c r="K230" s="279" t="str">
        <f aca="false">IF(A230="N/A"," ",IF(OR('Pricing Inputs'!$AQ$3=2,'Pricing Inputs'!$AQ$3=3,'Pricing Inputs'!$AQ$3=5,'Pricing Inputs'!$AQ$3=6,'Pricing Inputs'!$AQ$3=8,'Pricing Inputs'!$AQ$3=9),VLOOKUP(A230,ScaledPrice,IF(AND('Pricing Inputs'!$AQ$3&gt;=2,'Pricing Inputs'!$AQ$3&lt;=6),5,6)),0))</f>
        <v> </v>
      </c>
      <c r="L230" s="279" t="str">
        <f aca="false">IF(A230="N/A"," ",IF(OR('Pricing Inputs'!$AQ$3=2,'Pricing Inputs'!$AQ$3=3,'Pricing Inputs'!$AQ$3=5,'Pricing Inputs'!$AQ$3=6,'Pricing Inputs'!$AQ$3=8,'Pricing Inputs'!$AQ$3=9),IF(AND('Pricing Inputs'!$AQ$3&gt;=2,'Pricing Inputs'!$AQ$3&lt;=6),K230,(VLOOKUP(A230,ScaledPrice,5))*(2-(VLOOKUP(A230,ScaledPrice,3)))),0))</f>
        <v> </v>
      </c>
      <c r="M230" s="279" t="str">
        <f aca="false">IF(A230="N/A"," ",IF(OR('Pricing Inputs'!$AQ$3=3,'Pricing Inputs'!$AQ$3=6,'Pricing Inputs'!$AQ$3=9),(VLOOKUP(A230,ScaledPrice,IF(AND('Pricing Inputs'!$AQ$3&gt;=3,'Pricing Inputs'!$AQ$3&lt;=6),7,8))),0))</f>
        <v> </v>
      </c>
      <c r="N230" s="279" t="str">
        <f aca="false">IF(A230="N/A"," ",IF(OR('Pricing Inputs'!$AQ$3=3,'Pricing Inputs'!$AQ$3=6,'Pricing Inputs'!$AQ$3=9),IF(AND('Pricing Inputs'!$AQ$3&gt;=3,'Pricing Inputs'!$AQ$3&lt;=6),M230,(VLOOKUP(A230,ScaledPrice,7))*(2-(VLOOKUP(A230,ScaledPrice,3)))),0))</f>
        <v> </v>
      </c>
      <c r="O230" s="279" t="str">
        <f aca="false">IF(A230="N/A"," ",IF(AND('Pricing Inputs'!$AQ$3&gt;=1,'Pricing Inputs'!$AQ$3&lt;=3),VLOOKUP(A230,ScaledPrice,9),0))</f>
        <v> </v>
      </c>
      <c r="P230" s="280" t="str">
        <f aca="false">IF($A230="N/A"," ",IF('Pricing Inputs'!$AN$8=2,(I230-H230),IF('Pricing Inputs'!$AN$3=2,IF((I230-$H230)&gt;0,I230-$H230,0),(xSPRDOPT(I230,$E230,$BU230,0,$BP230,$BS230,$BT230,($A230-Inputs!$D$1)+15,1,0)))))</f>
        <v> </v>
      </c>
      <c r="Q230" s="280" t="str">
        <f aca="false">IF($A230="N/A"," ",IF('Pricing Inputs'!$AN$8=2,(J230-$H230),IF('Pricing Inputs'!$AN$3=2,IF((J230-$H230)&gt;0,J230-$H230,0),(xSPRDOPT(J230,$E230,$BU230,0,$BP230,$BS230,$BT230,($A230-Inputs!$D$1)+15,1,0)))))</f>
        <v> </v>
      </c>
      <c r="R230" s="280" t="str">
        <f aca="false">IF($A230="N/A"," ",IF('Pricing Inputs'!$AN$8=2,(K230-$H230),IF('Pricing Inputs'!$AN$3=2,IF((K230-$H230)&gt;0,K230-$H230,0),(xSPRDOPT(K230,$E230,$BU230,0,$BP230,$BS230,$BT230,($A230-Inputs!$D$1)+15,1,0)))))</f>
        <v> </v>
      </c>
      <c r="S230" s="280" t="str">
        <f aca="false">IF($A230="N/A"," ",IF('Pricing Inputs'!$AN$8=2,(L230-$H230),IF('Pricing Inputs'!$AN$3=2,IF((L230-$H230)&gt;0,L230-$H230,0),(xSPRDOPT(L230,$E230,$BU230,0,$BP230,$BS230,$BT230,($A230-Inputs!$D$1)+15,1,0)))))</f>
        <v> </v>
      </c>
      <c r="T230" s="280" t="str">
        <f aca="false">IF($A230="N/A"," ",IF('Pricing Inputs'!$AN$8=2,(M230-$H230),IF('Pricing Inputs'!$AN$3=2,IF((M230-$H230)&gt;0,M230-$H230,0),(xSPRDOPT(M230,$E230,$BU230,0,$BP230,$BS230,$BT230,($A230-Inputs!$D$1)+15,1,0)))))</f>
        <v> </v>
      </c>
      <c r="U230" s="280" t="str">
        <f aca="false">IF($A230="N/A"," ",IF('Pricing Inputs'!$AN$8=2,(N230-$H230),IF('Pricing Inputs'!$AN$3=2,IF((N230-$H230)&gt;0,N230-$H230,0),(xSPRDOPT(N230,$E230,$BU230,0,$BP230,$BS230,$BT230,($A230-Inputs!$D$1)+15,1,0)))))</f>
        <v> </v>
      </c>
      <c r="V230" s="281" t="str">
        <f aca="false">IF($A230="N/A"," ",(IF('Pricing Inputs'!$AN$8=2,(O230-$H230),IF((O230-$H230)&lt;=0,0,(O230-$H230)))))</f>
        <v> </v>
      </c>
      <c r="W230" s="282" t="str">
        <f aca="false">IF($A230="N/A"," ",IF(0&lt;&gt;P230,IF('Pricing Inputs'!$AN$3=2,8*VLOOKUP($A230,NumberofDaysTable,2),(xSPRDOPT(I230,$E230,$BU230,0,$BP230,$BS230,$BT230,$A230-Inputs!$D$1,1,1))*(8*VLOOKUP($A230,NumberofDaysTable,2))),0))</f>
        <v> </v>
      </c>
      <c r="X230" s="282" t="str">
        <f aca="false">IF($A230="N/A"," ",IF(Q230&lt;&gt;0,IF('Pricing Inputs'!$AN$3=2,8*VLOOKUP($A230,NumberofDaysTable,2),(xSPRDOPT(J230,$E230,$BU230,0,$BP230,$BS230,$BT230,$A230-Inputs!$D$1,1,1))*(8*VLOOKUP($A230,NumberofDaysTable,2))),0))</f>
        <v> </v>
      </c>
      <c r="Y230" s="282" t="str">
        <f aca="false">IF($A230="N/A"," ",IF(R230&lt;&gt;0,IF('Pricing Inputs'!$AN$3=2,8*VLOOKUP($A230,NumberofDaysTable,3),(xSPRDOPT(K230,$E230,$BU230,0,$BP230,$BS230,$BT230,$A230-Inputs!$D$1,1,1))*(8*VLOOKUP($A230,NumberofDaysTable,3))),0))</f>
        <v> </v>
      </c>
      <c r="Z230" s="282" t="str">
        <f aca="false">IF($A230="N/A"," ",IF(S230&lt;&gt;0,IF('Pricing Inputs'!$AN$3=2,8*VLOOKUP($A230,NumberofDaysTable,3),(xSPRDOPT(L230,$E230,$BU230,0,$BP230,$BS230,$BT230,$A230-Inputs!$D$1,1,1))*(8*VLOOKUP($A230,NumberofDaysTable,3))),0))</f>
        <v> </v>
      </c>
      <c r="AA230" s="282" t="str">
        <f aca="false">IF($A230="N/A"," ",IF(T230&lt;&gt;0,IF('Pricing Inputs'!$AN$3=2,8*VLOOKUP($A230,NumberofDaysTable,4),(xSPRDOPT(M230,$E230,$BU230,0,$BP230,$BS230,$BT230,$A230-Inputs!$D$1,1,1))*(8*VLOOKUP($A230,NumberofDaysTable,4))),0))</f>
        <v> </v>
      </c>
      <c r="AB230" s="282" t="str">
        <f aca="false">IF($A230="N/A"," ",IF(U230&lt;&gt;0,IF('Pricing Inputs'!$AN$3=2,8*VLOOKUP($A230,NumberofDaysTable,4),(xSPRDOPT(N230,$E230,$BU230,0,$BP230,$BS230,$BT230,$A230-Inputs!$D$1,1,1))*(8*VLOOKUP($A230,NumberofDaysTable,4))),0))</f>
        <v> </v>
      </c>
      <c r="AC230" s="282" t="str">
        <f aca="false">IF($A230="N/A"," ",(IF(V230&lt;&gt;0,(8*VLOOKUP($A230,NumberofDaysTable,6)),0)))</f>
        <v> </v>
      </c>
      <c r="AD230" s="298" t="str">
        <f aca="false">IF($A230="N/A"," ",RANK(P230,$P$220:$V$231))</f>
        <v> </v>
      </c>
      <c r="AE230" s="299" t="str">
        <f aca="false">IF($A230="N/A"," ",RANK(Q230,$P$220:$V$231))</f>
        <v> </v>
      </c>
      <c r="AF230" s="299" t="str">
        <f aca="false">IF($A230="N/A"," ",RANK(R230,$P$220:$V$231))</f>
        <v> </v>
      </c>
      <c r="AG230" s="299" t="str">
        <f aca="false">IF($A230="N/A"," ",RANK(S230,$P$220:$V$231))</f>
        <v> </v>
      </c>
      <c r="AH230" s="299" t="str">
        <f aca="false">IF($A230="N/A"," ",RANK(T230,$P$220:$V$231))</f>
        <v> </v>
      </c>
      <c r="AI230" s="299" t="str">
        <f aca="false">IF($A230="N/A"," ",RANK(U230,$P$220:$V$231))</f>
        <v> </v>
      </c>
      <c r="AJ230" s="300" t="str">
        <f aca="false">IF($A230="N/A"," ",RANK(V230,$P$220:$V$231))</f>
        <v> </v>
      </c>
      <c r="AK230" s="286" t="str">
        <f aca="false">IF($A230="N/A"," ",IF(AD230&lt;=$AJ$2,W230,0))</f>
        <v> </v>
      </c>
      <c r="AL230" s="301" t="str">
        <f aca="false">IF($A230="N/A"," ",IF(AE230&lt;=$AJ$2,X230,0))</f>
        <v> </v>
      </c>
      <c r="AM230" s="301" t="str">
        <f aca="false">IF($A230="N/A"," ",IF(AF230&lt;=$AJ$2,Y230,0))</f>
        <v> </v>
      </c>
      <c r="AN230" s="301" t="str">
        <f aca="false">IF($A230="N/A"," ",IF(AG230&lt;=$AJ$2,Z230,0))</f>
        <v> </v>
      </c>
      <c r="AO230" s="301" t="str">
        <f aca="false">IF($A230="N/A"," ",IF(AH230&lt;=$AJ$2,AA230,0))</f>
        <v> </v>
      </c>
      <c r="AP230" s="301" t="str">
        <f aca="false">IF($A230="N/A"," ",IF(AI230&lt;=$AJ$2,AB230,0))</f>
        <v> </v>
      </c>
      <c r="AQ230" s="301" t="str">
        <f aca="false">IF($A230="N/A"," ",IF(AJ230&lt;=$AJ$2,AC230,0))</f>
        <v> </v>
      </c>
      <c r="AR230" s="300" t="n">
        <f aca="false">SUM(AK220:AQ231)</f>
        <v>0</v>
      </c>
      <c r="AS230" s="288" t="str">
        <f aca="false">IF($A230="N/A"," ",IF(AND(AD230=$AJ$2+1,AK230=0),MIN($AR$231,W230),0))</f>
        <v> </v>
      </c>
      <c r="AT230" s="302" t="str">
        <f aca="false">IF($A230="N/A"," ",IF(AND(AE230=$AJ$2+1,AL230=0),MIN($AR$231,X230),0))</f>
        <v> </v>
      </c>
      <c r="AU230" s="302" t="str">
        <f aca="false">IF($A230="N/A"," ",IF(AND(AF230=$AJ$2+1,AM230=0),MIN($AR$231,Y230),0))</f>
        <v> </v>
      </c>
      <c r="AV230" s="302" t="str">
        <f aca="false">IF($A230="N/A"," ",IF(AND(AG230=$AJ$2+1,AN230=0),MIN($AR$231,Z230),0))</f>
        <v> </v>
      </c>
      <c r="AW230" s="302" t="str">
        <f aca="false">IF($A230="N/A"," ",IF(AND(AH230=$AJ$2+1,AO230=0),MIN($AR$231,AA230),0))</f>
        <v> </v>
      </c>
      <c r="AX230" s="302" t="str">
        <f aca="false">IF($A230="N/A"," ",IF(AND(AI230=$AJ$2+1,AP230=0),MIN($AR$231,AB230),0))</f>
        <v> </v>
      </c>
      <c r="AY230" s="302" t="str">
        <f aca="false">IF($A230="N/A"," ",IF(AND(AJ230=$AJ$2+1,AQ230=0),MIN($AR$231,AC230),0))</f>
        <v> </v>
      </c>
      <c r="AZ230" s="300" t="n">
        <f aca="false">SUM(AS220:AY231)</f>
        <v>0</v>
      </c>
      <c r="BA230" s="291" t="str">
        <f aca="false">IF($A230="N/A"," ",(IF(MONTH(A230)&gt;=4,IF(MONTH(A230)&lt;=10,Inputs!$F$13,Inputs!$F$14),Inputs!$F$14))*$BW230)</f>
        <v> </v>
      </c>
      <c r="BB230" s="292" t="str">
        <f aca="false">IF($A230="N/A"," ",(IF(AK230&gt;0,($BA230*(8*(VLOOKUP($A230,NumberofDaysTable,2)))*P230),0)+IF(AS230&gt;0,($BA230*((AS230))*P230),0)))</f>
        <v> </v>
      </c>
      <c r="BC230" s="292" t="str">
        <f aca="false">IF($A230="N/A"," ",(IF(AL230&gt;0,($BA230*(8*(VLOOKUP($A230,NumberofDaysTable,2)))*Q230),0)+IF(AT230&gt;0,($BA230*((AT230))*Q230),0)))</f>
        <v> </v>
      </c>
      <c r="BD230" s="292" t="str">
        <f aca="false">IF($A230="N/A"," ",(IF(AM230&gt;0,($BA230*(8*(VLOOKUP($A230,NumberofDaysTable,3)))*R230),0)+IF(AU230&gt;0,($BA230*((AU230))*R230),0)))</f>
        <v> </v>
      </c>
      <c r="BE230" s="292" t="str">
        <f aca="false">IF($A230="N/A"," ",(IF(AN230&gt;0,($BA230*(8*(VLOOKUP($A230,NumberofDaysTable,3)))*S230),0)+IF(AV230&gt;0,($BA230*((AV230))*S230),0)))</f>
        <v> </v>
      </c>
      <c r="BF230" s="292" t="str">
        <f aca="false">IF($A230="N/A"," ",(IF(AO230&gt;0,($BA230*(8*(VLOOKUP($A230,NumberofDaysTable,4)+VLOOKUP($A230,NumberofDaysTable,5)))*T230),0)+IF(AW230&gt;0,($BA230*((AW230))*T230),0)))</f>
        <v> </v>
      </c>
      <c r="BG230" s="292" t="str">
        <f aca="false">IF($A230="N/A"," ",(IF(AP230&gt;0,($BA230*(8*(VLOOKUP($A230,NumberofDaysTable,4)+VLOOKUP($A230,NumberofDaysTable,5)))*U230),0)+IF(AX230&gt;0,($BA230*((AX230))*U230),0)))</f>
        <v> </v>
      </c>
      <c r="BH230" s="292" t="str">
        <f aca="false">IF($A230="N/A"," ",($BA230*AQ230*V230))</f>
        <v> </v>
      </c>
      <c r="BI230" s="292" t="str">
        <f aca="false">IF($A230="N/A"," ",SUM(BB230:BH230))</f>
        <v> </v>
      </c>
      <c r="BJ230" s="293" t="str">
        <f aca="false">IF($A230="N/A"," ",(H230*(SUM(AK230:AQ230)+SUM(AS230:AY230))*BA230))</f>
        <v> </v>
      </c>
      <c r="BK230" s="293" t="str">
        <f aca="false">IF($A230="N/A"," ",((C230*D230)*(SUM($AK230:$AQ230)+SUM($AS230:$AY230))*$BA230))</f>
        <v> </v>
      </c>
      <c r="BL230" s="293" t="str">
        <f aca="false">IF($A230="N/A"," ",(F230*(SUM($AK230:$AQ230)+SUM($AS230:$AY230))*$BA230))</f>
        <v> </v>
      </c>
      <c r="BM230" s="293" t="str">
        <f aca="false">IF($A230="N/A"," ",(G230*(SUM($AK230:$AQ230)+SUM($AS230:$AY230))*$BA230))</f>
        <v> </v>
      </c>
      <c r="BN230" s="294" t="str">
        <f aca="false">IF(A230="N/A"," ",(VLOOKUP(A230,PowerVolTable,(IF('Pricing Inputs'!$AT$3=2,7,IF('Pricing Inputs'!$AT$3=1,6,8))),FALSE())))</f>
        <v> </v>
      </c>
      <c r="BO230" s="294" t="str">
        <f aca="false">IF(A230="N/A"," ",(VLOOKUP(A230,IntraPowerVol,(IF('Pricing Inputs'!$AT$3=2,3,IF('Pricing Inputs'!$AT$3=1,2,4))),FALSE())*VLOOKUP(MONTH($A230),Inputs!$A$28:$B$39,2)))</f>
        <v> </v>
      </c>
      <c r="BP230" s="295" t="str">
        <f aca="false">IF($A230="N/A"," ",(IF(DateToday&gt;$A230,$BO230,((($BN230^2)*((($A230-1)-DateToday)/((EOMONTH($A230,0)+1)-DateToday-15)))+((($BO230)^2)*((15)/((EOMONTH($A230,0)+1)-DateToday-15))))^0.5)))</f>
        <v> </v>
      </c>
      <c r="BQ230" s="294" t="str">
        <f aca="false">IF($A230="N/A"," ",(VLOOKUP($A230,GasVolTable,(IF('Pricing Inputs'!$AT$3=2,6,IF('Pricing Inputs'!$AT$3=1,7,5))),FALSE())))</f>
        <v> </v>
      </c>
      <c r="BR230" s="294" t="str">
        <f aca="false">IF($A230="N/A"," ",(VLOOKUP($A230,OmicronVol,(IF('Pricing Inputs'!$AT$3=2,3,IF('Pricing Inputs'!$AT$3=1,4,2))),FALSE())))</f>
        <v> </v>
      </c>
      <c r="BS230" s="295" t="str">
        <f aca="false">IF($A230="N/A"," ",IF('Pricing Inputs'!$AN$3=1,(IF(DateToday&gt;$A230,$BR230,((($BQ230^2)*((($A230-1)-DateToday)/((EOMONTH($A230,0)+1)-DateToday-15)))+((($BR230)^2)*((15)/((EOMONTH($A230,0)+1)-DateToday-15))))^0.5)),0.0001))</f>
        <v> </v>
      </c>
      <c r="BT230" s="294" t="str">
        <f aca="false">IF($A230="N/A"," ",IF('Pricing Inputs'!$AN$3=1,(VLOOKUP($A230,CorrelationTable,2,FALSE())),0))</f>
        <v> </v>
      </c>
      <c r="BU230" s="296" t="str">
        <f aca="false">IF($A230="N/A"," ",F230+G230+(D230*(VLOOKUP($A230,'Gas Curves'!$B$17:$P$310,14,FALSE()))))</f>
        <v> </v>
      </c>
      <c r="BV230" s="294" t="str">
        <f aca="false">IF($A230="N/A"," ",IF('Pricing Inputs'!$AW$3=1,0,(VLOOKUP($A230,InterestRatesTable,2))))</f>
        <v> </v>
      </c>
      <c r="BW230" s="297" t="str">
        <f aca="false">IF($A230="N/A"," ",(1+BV230/2)^(-2*((EOMONTH(A230,0)+20)-DateToday)/365.25))</f>
        <v> </v>
      </c>
    </row>
    <row r="231" customFormat="false" ht="12.75" hidden="false" customHeight="false" outlineLevel="0" collapsed="false">
      <c r="A231" s="272" t="str">
        <f aca="false">IF(A230="N/A","N/A",IF(EDATE(A230,1)&gt;Inputs!$K$3,"N/A",EDATE(A230,1)))</f>
        <v>N/A</v>
      </c>
      <c r="B231" s="273" t="str">
        <f aca="false">IF(A231="N/A"," ",YEAR(A231))</f>
        <v> </v>
      </c>
      <c r="C231" s="274" t="str">
        <f aca="false">IF(A231="N/A"," ",VLOOKUP(A231,ScaledPrice,10))</f>
        <v> </v>
      </c>
      <c r="D231" s="275" t="str">
        <f aca="false">IF(A231="N/A"," ",(VLOOKUP(MONTH($A231),Inputs!$A$14:$B$25,2))/1000)</f>
        <v> </v>
      </c>
      <c r="E231" s="276" t="str">
        <f aca="false">IF($A231="N/A"," ",C231*D231)</f>
        <v> </v>
      </c>
      <c r="F231" s="277" t="str">
        <f aca="false">IF(A231="N/A"," ",Inputs!$F$6)</f>
        <v> </v>
      </c>
      <c r="G231" s="277" t="str">
        <f aca="false">IF(A231="N/A"," ",Inputs!$F$9/IF(AND('Pricing Inputs'!$AQ$3&gt;=4,'Pricing Inputs'!$AQ$3&lt;=6),16,IF(AND('Pricing Inputs'!$AQ$3&gt;=7,'Pricing Inputs'!$AQ$3&lt;=9),8,24))/(BA231/BW231))</f>
        <v> </v>
      </c>
      <c r="H231" s="278" t="str">
        <f aca="false">IF(A231="N/A"," ",(C231*D231)+F231+G231)</f>
        <v> </v>
      </c>
      <c r="I231" s="279" t="str">
        <f aca="false">VLOOKUP(A231,ScaledPrice,(IF(AND('Pricing Inputs'!$AQ$3&gt;=1,'Pricing Inputs'!$AQ$3&lt;=6),2,4)))</f>
        <v> </v>
      </c>
      <c r="J231" s="279" t="str">
        <f aca="false">IF(A231="N/A"," ",IF(AND('Pricing Inputs'!$AQ$3&gt;=1,'Pricing Inputs'!$AQ$3&lt;=6),I231,(VLOOKUP(A231,ScaledPrice,2))*(2-(VLOOKUP(A231,ScaledPrice,3)))))</f>
        <v> </v>
      </c>
      <c r="K231" s="279" t="str">
        <f aca="false">IF(A231="N/A"," ",IF(OR('Pricing Inputs'!$AQ$3=2,'Pricing Inputs'!$AQ$3=3,'Pricing Inputs'!$AQ$3=5,'Pricing Inputs'!$AQ$3=6,'Pricing Inputs'!$AQ$3=8,'Pricing Inputs'!$AQ$3=9),VLOOKUP(A231,ScaledPrice,IF(AND('Pricing Inputs'!$AQ$3&gt;=2,'Pricing Inputs'!$AQ$3&lt;=6),5,6)),0))</f>
        <v> </v>
      </c>
      <c r="L231" s="279" t="str">
        <f aca="false">IF(A231="N/A"," ",IF(OR('Pricing Inputs'!$AQ$3=2,'Pricing Inputs'!$AQ$3=3,'Pricing Inputs'!$AQ$3=5,'Pricing Inputs'!$AQ$3=6,'Pricing Inputs'!$AQ$3=8,'Pricing Inputs'!$AQ$3=9),IF(AND('Pricing Inputs'!$AQ$3&gt;=2,'Pricing Inputs'!$AQ$3&lt;=6),K231,(VLOOKUP(A231,ScaledPrice,5))*(2-(VLOOKUP(A231,ScaledPrice,3)))),0))</f>
        <v> </v>
      </c>
      <c r="M231" s="279" t="str">
        <f aca="false">IF(A231="N/A"," ",IF(OR('Pricing Inputs'!$AQ$3=3,'Pricing Inputs'!$AQ$3=6,'Pricing Inputs'!$AQ$3=9),(VLOOKUP(A231,ScaledPrice,IF(AND('Pricing Inputs'!$AQ$3&gt;=3,'Pricing Inputs'!$AQ$3&lt;=6),7,8))),0))</f>
        <v> </v>
      </c>
      <c r="N231" s="279" t="str">
        <f aca="false">IF(A231="N/A"," ",IF(OR('Pricing Inputs'!$AQ$3=3,'Pricing Inputs'!$AQ$3=6,'Pricing Inputs'!$AQ$3=9),IF(AND('Pricing Inputs'!$AQ$3&gt;=3,'Pricing Inputs'!$AQ$3&lt;=6),M231,(VLOOKUP(A231,ScaledPrice,7))*(2-(VLOOKUP(A231,ScaledPrice,3)))),0))</f>
        <v> </v>
      </c>
      <c r="O231" s="279" t="str">
        <f aca="false">IF(A231="N/A"," ",IF(AND('Pricing Inputs'!$AQ$3&gt;=1,'Pricing Inputs'!$AQ$3&lt;=3),VLOOKUP(A231,ScaledPrice,9),0))</f>
        <v> </v>
      </c>
      <c r="P231" s="280" t="str">
        <f aca="false">IF($A231="N/A"," ",IF('Pricing Inputs'!$AN$8=2,(I231-H231),IF('Pricing Inputs'!$AN$3=2,IF((I231-$H231)&gt;0,I231-$H231,0),(xSPRDOPT(I231,$E231,$BU231,0,$BP231,$BS231,$BT231,($A231-Inputs!$D$1)+15,1,0)))))</f>
        <v> </v>
      </c>
      <c r="Q231" s="280" t="str">
        <f aca="false">IF($A231="N/A"," ",IF('Pricing Inputs'!$AN$8=2,(J231-$H231),IF('Pricing Inputs'!$AN$3=2,IF((J231-$H231)&gt;0,J231-$H231,0),(xSPRDOPT(J231,$E231,$BU231,0,$BP231,$BS231,$BT231,($A231-Inputs!$D$1)+15,1,0)))))</f>
        <v> </v>
      </c>
      <c r="R231" s="280" t="str">
        <f aca="false">IF($A231="N/A"," ",IF('Pricing Inputs'!$AN$8=2,(K231-$H231),IF('Pricing Inputs'!$AN$3=2,IF((K231-$H231)&gt;0,K231-$H231,0),(xSPRDOPT(K231,$E231,$BU231,0,$BP231,$BS231,$BT231,($A231-Inputs!$D$1)+15,1,0)))))</f>
        <v> </v>
      </c>
      <c r="S231" s="280" t="str">
        <f aca="false">IF($A231="N/A"," ",IF('Pricing Inputs'!$AN$8=2,(L231-$H231),IF('Pricing Inputs'!$AN$3=2,IF((L231-$H231)&gt;0,L231-$H231,0),(xSPRDOPT(L231,$E231,$BU231,0,$BP231,$BS231,$BT231,($A231-Inputs!$D$1)+15,1,0)))))</f>
        <v> </v>
      </c>
      <c r="T231" s="280" t="str">
        <f aca="false">IF($A231="N/A"," ",IF('Pricing Inputs'!$AN$8=2,(M231-$H231),IF('Pricing Inputs'!$AN$3=2,IF((M231-$H231)&gt;0,M231-$H231,0),(xSPRDOPT(M231,$E231,$BU231,0,$BP231,$BS231,$BT231,($A231-Inputs!$D$1)+15,1,0)))))</f>
        <v> </v>
      </c>
      <c r="U231" s="280" t="str">
        <f aca="false">IF($A231="N/A"," ",IF('Pricing Inputs'!$AN$8=2,(N231-$H231),IF('Pricing Inputs'!$AN$3=2,IF((N231-$H231)&gt;0,N231-$H231,0),(xSPRDOPT(N231,$E231,$BU231,0,$BP231,$BS231,$BT231,($A231-Inputs!$D$1)+15,1,0)))))</f>
        <v> </v>
      </c>
      <c r="V231" s="281" t="str">
        <f aca="false">IF($A231="N/A"," ",(IF('Pricing Inputs'!$AN$8=2,(O231-$H231),IF((O231-$H231)&lt;=0,0,(O231-$H231)))))</f>
        <v> </v>
      </c>
      <c r="W231" s="282" t="str">
        <f aca="false">IF($A231="N/A"," ",IF(0&lt;&gt;P231,IF('Pricing Inputs'!$AN$3=2,8*VLOOKUP($A231,NumberofDaysTable,2),(xSPRDOPT(I231,$E231,$BU231,0,$BP231,$BS231,$BT231,$A231-Inputs!$D$1,1,1))*(8*VLOOKUP($A231,NumberofDaysTable,2))),0))</f>
        <v> </v>
      </c>
      <c r="X231" s="282" t="str">
        <f aca="false">IF($A231="N/A"," ",IF(Q231&lt;&gt;0,IF('Pricing Inputs'!$AN$3=2,8*VLOOKUP($A231,NumberofDaysTable,2),(xSPRDOPT(J231,$E231,$BU231,0,$BP231,$BS231,$BT231,$A231-Inputs!$D$1,1,1))*(8*VLOOKUP($A231,NumberofDaysTable,2))),0))</f>
        <v> </v>
      </c>
      <c r="Y231" s="282" t="str">
        <f aca="false">IF($A231="N/A"," ",IF(R231&lt;&gt;0,IF('Pricing Inputs'!$AN$3=2,8*VLOOKUP($A231,NumberofDaysTable,3),(xSPRDOPT(K231,$E231,$BU231,0,$BP231,$BS231,$BT231,$A231-Inputs!$D$1,1,1))*(8*VLOOKUP($A231,NumberofDaysTable,3))),0))</f>
        <v> </v>
      </c>
      <c r="Z231" s="282" t="str">
        <f aca="false">IF($A231="N/A"," ",IF(S231&lt;&gt;0,IF('Pricing Inputs'!$AN$3=2,8*VLOOKUP($A231,NumberofDaysTable,3),(xSPRDOPT(L231,$E231,$BU231,0,$BP231,$BS231,$BT231,$A231-Inputs!$D$1,1,1))*(8*VLOOKUP($A231,NumberofDaysTable,3))),0))</f>
        <v> </v>
      </c>
      <c r="AA231" s="282" t="str">
        <f aca="false">IF($A231="N/A"," ",IF(T231&lt;&gt;0,IF('Pricing Inputs'!$AN$3=2,8*VLOOKUP($A231,NumberofDaysTable,4),(xSPRDOPT(M231,$E231,$BU231,0,$BP231,$BS231,$BT231,$A231-Inputs!$D$1,1,1))*(8*VLOOKUP($A231,NumberofDaysTable,4))),0))</f>
        <v> </v>
      </c>
      <c r="AB231" s="282" t="str">
        <f aca="false">IF($A231="N/A"," ",IF(U231&lt;&gt;0,IF('Pricing Inputs'!$AN$3=2,8*VLOOKUP($A231,NumberofDaysTable,4),(xSPRDOPT(N231,$E231,$BU231,0,$BP231,$BS231,$BT231,$A231-Inputs!$D$1,1,1))*(8*VLOOKUP($A231,NumberofDaysTable,4))),0))</f>
        <v> </v>
      </c>
      <c r="AC231" s="282" t="str">
        <f aca="false">IF($A231="N/A"," ",(IF(V231&lt;&gt;0,(8*VLOOKUP($A231,NumberofDaysTable,6)),0)))</f>
        <v> </v>
      </c>
      <c r="AD231" s="305" t="str">
        <f aca="false">IF($A231="N/A"," ",RANK(P231,$P$220:$V$231))</f>
        <v> </v>
      </c>
      <c r="AE231" s="306" t="str">
        <f aca="false">IF($A231="N/A"," ",RANK(Q231,$P$220:$V$231))</f>
        <v> </v>
      </c>
      <c r="AF231" s="306" t="str">
        <f aca="false">IF($A231="N/A"," ",RANK(R231,$P$220:$V$231))</f>
        <v> </v>
      </c>
      <c r="AG231" s="306" t="str">
        <f aca="false">IF($A231="N/A"," ",RANK(S231,$P$220:$V$231))</f>
        <v> </v>
      </c>
      <c r="AH231" s="306" t="str">
        <f aca="false">IF($A231="N/A"," ",RANK(T231,$P$220:$V$231))</f>
        <v> </v>
      </c>
      <c r="AI231" s="306" t="str">
        <f aca="false">IF($A231="N/A"," ",RANK(U231,$P$220:$V$231))</f>
        <v> </v>
      </c>
      <c r="AJ231" s="307" t="str">
        <f aca="false">IF($A231="N/A"," ",RANK(V231,$P$220:$V$231))</f>
        <v> </v>
      </c>
      <c r="AK231" s="308" t="str">
        <f aca="false">IF($A231="N/A"," ",IF(AD231&lt;=$AJ$2,W231,0))</f>
        <v> </v>
      </c>
      <c r="AL231" s="309" t="str">
        <f aca="false">IF($A231="N/A"," ",IF(AE231&lt;=$AJ$2,X231,0))</f>
        <v> </v>
      </c>
      <c r="AM231" s="309" t="str">
        <f aca="false">IF($A231="N/A"," ",IF(AF231&lt;=$AJ$2,Y231,0))</f>
        <v> </v>
      </c>
      <c r="AN231" s="309" t="str">
        <f aca="false">IF($A231="N/A"," ",IF(AG231&lt;=$AJ$2,Z231,0))</f>
        <v> </v>
      </c>
      <c r="AO231" s="309" t="str">
        <f aca="false">IF($A231="N/A"," ",IF(AH231&lt;=$AJ$2,AA231,0))</f>
        <v> </v>
      </c>
      <c r="AP231" s="309" t="str">
        <f aca="false">IF($A231="N/A"," ",IF(AI231&lt;=$AJ$2,AB231,0))</f>
        <v> </v>
      </c>
      <c r="AQ231" s="309" t="str">
        <f aca="false">IF($A231="N/A"," ",IF(AJ231&lt;=$AJ$2,AC231,0))</f>
        <v> </v>
      </c>
      <c r="AR231" s="307" t="n">
        <f aca="false">IF(($AP$2-AR230)&gt;=0,$AP$2-AR230,0)</f>
        <v>1400</v>
      </c>
      <c r="AS231" s="310" t="str">
        <f aca="false">IF($A231="N/A"," ",IF(AND(AD231=$AJ$2+1,AK231=0),MIN($AR$231,W231),0))</f>
        <v> </v>
      </c>
      <c r="AT231" s="311" t="str">
        <f aca="false">IF($A231="N/A"," ",IF(AND(AE231=$AJ$2+1,AL231=0),MIN($AR$231,X231),0))</f>
        <v> </v>
      </c>
      <c r="AU231" s="311" t="str">
        <f aca="false">IF($A231="N/A"," ",IF(AND(AF231=$AJ$2+1,AM231=0),MIN($AR$231,Y231),0))</f>
        <v> </v>
      </c>
      <c r="AV231" s="311" t="str">
        <f aca="false">IF($A231="N/A"," ",IF(AND(AG231=$AJ$2+1,AN231=0),MIN($AR$231,Z231),0))</f>
        <v> </v>
      </c>
      <c r="AW231" s="311" t="str">
        <f aca="false">IF($A231="N/A"," ",IF(AND(AH231=$AJ$2+1,AO231=0),MIN($AR$231,AA231),0))</f>
        <v> </v>
      </c>
      <c r="AX231" s="311" t="str">
        <f aca="false">IF($A231="N/A"," ",IF(AND(AI231=$AJ$2+1,AP231=0),MIN($AR$231,AB231),0))</f>
        <v> </v>
      </c>
      <c r="AY231" s="311" t="str">
        <f aca="false">IF($A231="N/A"," ",IF(AND(AJ231=$AJ$2+1,AQ231=0),MIN($AR$231,AC231),0))</f>
        <v> </v>
      </c>
      <c r="AZ231" s="312" t="n">
        <f aca="false">AR230+AZ230</f>
        <v>0</v>
      </c>
      <c r="BA231" s="291" t="str">
        <f aca="false">IF($A231="N/A"," ",(IF(MONTH(A231)&gt;=4,IF(MONTH(A231)&lt;=10,Inputs!$F$13,Inputs!$F$14),Inputs!$F$14))*$BW231)</f>
        <v> </v>
      </c>
      <c r="BB231" s="292" t="str">
        <f aca="false">IF($A231="N/A"," ",(IF(AK231&gt;0,($BA231*(8*(VLOOKUP($A231,NumberofDaysTable,2)))*P231),0)+IF(AS231&gt;0,($BA231*((AS231))*P231),0)))</f>
        <v> </v>
      </c>
      <c r="BC231" s="292" t="str">
        <f aca="false">IF($A231="N/A"," ",(IF(AL231&gt;0,($BA231*(8*(VLOOKUP($A231,NumberofDaysTable,2)))*Q231),0)+IF(AT231&gt;0,($BA231*((AT231))*Q231),0)))</f>
        <v> </v>
      </c>
      <c r="BD231" s="292" t="str">
        <f aca="false">IF($A231="N/A"," ",(IF(AM231&gt;0,($BA231*(8*(VLOOKUP($A231,NumberofDaysTable,3)))*R231),0)+IF(AU231&gt;0,($BA231*((AU231))*R231),0)))</f>
        <v> </v>
      </c>
      <c r="BE231" s="292" t="str">
        <f aca="false">IF($A231="N/A"," ",(IF(AN231&gt;0,($BA231*(8*(VLOOKUP($A231,NumberofDaysTable,3)))*S231),0)+IF(AV231&gt;0,($BA231*((AV231))*S231),0)))</f>
        <v> </v>
      </c>
      <c r="BF231" s="292" t="str">
        <f aca="false">IF($A231="N/A"," ",(IF(AO231&gt;0,($BA231*(8*(VLOOKUP($A231,NumberofDaysTable,4)+VLOOKUP($A231,NumberofDaysTable,5)))*T231),0)+IF(AW231&gt;0,($BA231*((AW231))*T231),0)))</f>
        <v> </v>
      </c>
      <c r="BG231" s="292" t="str">
        <f aca="false">IF($A231="N/A"," ",(IF(AP231&gt;0,($BA231*(8*(VLOOKUP($A231,NumberofDaysTable,4)+VLOOKUP($A231,NumberofDaysTable,5)))*U231),0)+IF(AX231&gt;0,($BA231*((AX231))*U231),0)))</f>
        <v> </v>
      </c>
      <c r="BH231" s="292" t="str">
        <f aca="false">IF($A231="N/A"," ",($BA231*AQ231*V231))</f>
        <v> </v>
      </c>
      <c r="BI231" s="292" t="str">
        <f aca="false">IF($A231="N/A"," ",SUM(BB231:BH231))</f>
        <v> </v>
      </c>
      <c r="BJ231" s="293" t="str">
        <f aca="false">IF($A231="N/A"," ",(H231*(SUM(AK231:AQ231)+SUM(AS231:AY231))*BA231))</f>
        <v> </v>
      </c>
      <c r="BK231" s="293" t="str">
        <f aca="false">IF($A231="N/A"," ",((C231*D231)*(SUM($AK231:$AQ231)+SUM($AS231:$AY231))*$BA231))</f>
        <v> </v>
      </c>
      <c r="BL231" s="293" t="str">
        <f aca="false">IF($A231="N/A"," ",(F231*(SUM($AK231:$AQ231)+SUM($AS231:$AY231))*$BA231))</f>
        <v> </v>
      </c>
      <c r="BM231" s="293" t="str">
        <f aca="false">IF($A231="N/A"," ",(G231*(SUM($AK231:$AQ231)+SUM($AS231:$AY231))*$BA231))</f>
        <v> </v>
      </c>
      <c r="BN231" s="294" t="str">
        <f aca="false">IF(A231="N/A"," ",(VLOOKUP(A231,PowerVolTable,(IF('Pricing Inputs'!$AT$3=2,7,IF('Pricing Inputs'!$AT$3=1,6,8))),FALSE())))</f>
        <v> </v>
      </c>
      <c r="BO231" s="294" t="str">
        <f aca="false">IF(A231="N/A"," ",(VLOOKUP(A231,IntraPowerVol,(IF('Pricing Inputs'!$AT$3=2,3,IF('Pricing Inputs'!$AT$3=1,2,4))),FALSE())*VLOOKUP(MONTH($A231),Inputs!$A$28:$B$39,2)))</f>
        <v> </v>
      </c>
      <c r="BP231" s="295" t="str">
        <f aca="false">IF($A231="N/A"," ",(IF(DateToday&gt;$A231,$BO231,((($BN231^2)*((($A231-1)-DateToday)/((EOMONTH($A231,0)+1)-DateToday-15)))+((($BO231)^2)*((15)/((EOMONTH($A231,0)+1)-DateToday-15))))^0.5)))</f>
        <v> </v>
      </c>
      <c r="BQ231" s="294" t="str">
        <f aca="false">IF($A231="N/A"," ",(VLOOKUP($A231,GasVolTable,(IF('Pricing Inputs'!$AT$3=2,6,IF('Pricing Inputs'!$AT$3=1,7,5))),FALSE())))</f>
        <v> </v>
      </c>
      <c r="BR231" s="294" t="str">
        <f aca="false">IF($A231="N/A"," ",(VLOOKUP($A231,OmicronVol,(IF('Pricing Inputs'!$AT$3=2,3,IF('Pricing Inputs'!$AT$3=1,4,2))),FALSE())))</f>
        <v> </v>
      </c>
      <c r="BS231" s="295" t="str">
        <f aca="false">IF($A231="N/A"," ",IF('Pricing Inputs'!$AN$3=1,(IF(DateToday&gt;$A231,$BR231,((($BQ231^2)*((($A231-1)-DateToday)/((EOMONTH($A231,0)+1)-DateToday-15)))+((($BR231)^2)*((15)/((EOMONTH($A231,0)+1)-DateToday-15))))^0.5)),0.0001))</f>
        <v> </v>
      </c>
      <c r="BT231" s="294" t="str">
        <f aca="false">IF($A231="N/A"," ",IF('Pricing Inputs'!$AN$3=1,(VLOOKUP($A231,CorrelationTable,2,FALSE())),0))</f>
        <v> </v>
      </c>
      <c r="BU231" s="296" t="str">
        <f aca="false">IF($A231="N/A"," ",F231+G231+(D231*(VLOOKUP($A231,'Gas Curves'!$B$17:$P$310,14,FALSE()))))</f>
        <v> </v>
      </c>
      <c r="BV231" s="294" t="str">
        <f aca="false">IF($A231="N/A"," ",IF('Pricing Inputs'!$AW$3=1,0,(VLOOKUP($A231,InterestRatesTable,2))))</f>
        <v> </v>
      </c>
      <c r="BW231" s="297" t="str">
        <f aca="false">IF($A231="N/A"," ",(1+BV231/2)^(-2*((EOMONTH(A231,0)+20)-DateToday)/365.25))</f>
        <v> </v>
      </c>
    </row>
    <row r="232" customFormat="false" ht="12.75" hidden="false" customHeight="false" outlineLevel="0" collapsed="false">
      <c r="A232" s="272" t="str">
        <f aca="false">IF(A231="N/A","N/A",IF(EDATE(A231,1)&gt;Inputs!$K$3,"N/A",EDATE(A231,1)))</f>
        <v>N/A</v>
      </c>
      <c r="B232" s="273" t="str">
        <f aca="false">IF(A232="N/A"," ",YEAR(A232))</f>
        <v> </v>
      </c>
      <c r="C232" s="274" t="str">
        <f aca="false">IF(A232="N/A"," ",VLOOKUP(A232,ScaledPrice,10))</f>
        <v> </v>
      </c>
      <c r="D232" s="275" t="str">
        <f aca="false">IF(A232="N/A"," ",(VLOOKUP(MONTH($A232),Inputs!$A$14:$B$25,2))/1000)</f>
        <v> </v>
      </c>
      <c r="E232" s="276" t="str">
        <f aca="false">IF($A232="N/A"," ",C232*D232)</f>
        <v> </v>
      </c>
      <c r="F232" s="277" t="str">
        <f aca="false">IF(A232="N/A"," ",Inputs!$F$6)</f>
        <v> </v>
      </c>
      <c r="G232" s="277" t="str">
        <f aca="false">IF(A232="N/A"," ",Inputs!$F$9/IF(AND('Pricing Inputs'!$AQ$3&gt;=4,'Pricing Inputs'!$AQ$3&lt;=6),16,IF(AND('Pricing Inputs'!$AQ$3&gt;=7,'Pricing Inputs'!$AQ$3&lt;=9),8,24))/(BA232/BW232))</f>
        <v> </v>
      </c>
      <c r="H232" s="278" t="str">
        <f aca="false">IF(A232="N/A"," ",(C232*D232)+F232+G232)</f>
        <v> </v>
      </c>
      <c r="I232" s="279" t="str">
        <f aca="false">VLOOKUP(A232,ScaledPrice,(IF(AND('Pricing Inputs'!$AQ$3&gt;=1,'Pricing Inputs'!$AQ$3&lt;=6),2,4)))</f>
        <v> </v>
      </c>
      <c r="J232" s="279" t="str">
        <f aca="false">IF(A232="N/A"," ",IF(AND('Pricing Inputs'!$AQ$3&gt;=1,'Pricing Inputs'!$AQ$3&lt;=6),I232,(VLOOKUP(A232,ScaledPrice,2))*(2-(VLOOKUP(A232,ScaledPrice,3)))))</f>
        <v> </v>
      </c>
      <c r="K232" s="279" t="str">
        <f aca="false">IF(A232="N/A"," ",IF(OR('Pricing Inputs'!$AQ$3=2,'Pricing Inputs'!$AQ$3=3,'Pricing Inputs'!$AQ$3=5,'Pricing Inputs'!$AQ$3=6,'Pricing Inputs'!$AQ$3=8,'Pricing Inputs'!$AQ$3=9),VLOOKUP(A232,ScaledPrice,IF(AND('Pricing Inputs'!$AQ$3&gt;=2,'Pricing Inputs'!$AQ$3&lt;=6),5,6)),0))</f>
        <v> </v>
      </c>
      <c r="L232" s="279" t="str">
        <f aca="false">IF(A232="N/A"," ",IF(OR('Pricing Inputs'!$AQ$3=2,'Pricing Inputs'!$AQ$3=3,'Pricing Inputs'!$AQ$3=5,'Pricing Inputs'!$AQ$3=6,'Pricing Inputs'!$AQ$3=8,'Pricing Inputs'!$AQ$3=9),IF(AND('Pricing Inputs'!$AQ$3&gt;=2,'Pricing Inputs'!$AQ$3&lt;=6),K232,(VLOOKUP(A232,ScaledPrice,5))*(2-(VLOOKUP(A232,ScaledPrice,3)))),0))</f>
        <v> </v>
      </c>
      <c r="M232" s="279" t="str">
        <f aca="false">IF(A232="N/A"," ",IF(OR('Pricing Inputs'!$AQ$3=3,'Pricing Inputs'!$AQ$3=6,'Pricing Inputs'!$AQ$3=9),(VLOOKUP(A232,ScaledPrice,IF(AND('Pricing Inputs'!$AQ$3&gt;=3,'Pricing Inputs'!$AQ$3&lt;=6),7,8))),0))</f>
        <v> </v>
      </c>
      <c r="N232" s="279" t="str">
        <f aca="false">IF(A232="N/A"," ",IF(OR('Pricing Inputs'!$AQ$3=3,'Pricing Inputs'!$AQ$3=6,'Pricing Inputs'!$AQ$3=9),IF(AND('Pricing Inputs'!$AQ$3&gt;=3,'Pricing Inputs'!$AQ$3&lt;=6),M232,(VLOOKUP(A232,ScaledPrice,7))*(2-(VLOOKUP(A232,ScaledPrice,3)))),0))</f>
        <v> </v>
      </c>
      <c r="O232" s="279" t="str">
        <f aca="false">IF(A232="N/A"," ",IF(AND('Pricing Inputs'!$AQ$3&gt;=1,'Pricing Inputs'!$AQ$3&lt;=3),VLOOKUP(A232,ScaledPrice,9),0))</f>
        <v> </v>
      </c>
      <c r="P232" s="280" t="str">
        <f aca="false">IF($A232="N/A"," ",IF('Pricing Inputs'!$AN$8=2,(I232-H232),IF('Pricing Inputs'!$AN$3=2,IF((I232-$H232)&gt;0,I232-$H232,0),(xSPRDOPT(I232,$E232,$BU232,0,$BP232,$BS232,$BT232,($A232-Inputs!$D$1)+15,1,0)))))</f>
        <v> </v>
      </c>
      <c r="Q232" s="280" t="str">
        <f aca="false">IF($A232="N/A"," ",IF('Pricing Inputs'!$AN$8=2,(J232-$H232),IF('Pricing Inputs'!$AN$3=2,IF((J232-$H232)&gt;0,J232-$H232,0),(xSPRDOPT(J232,$E232,$BU232,0,$BP232,$BS232,$BT232,($A232-Inputs!$D$1)+15,1,0)))))</f>
        <v> </v>
      </c>
      <c r="R232" s="280" t="str">
        <f aca="false">IF($A232="N/A"," ",IF('Pricing Inputs'!$AN$8=2,(K232-$H232),IF('Pricing Inputs'!$AN$3=2,IF((K232-$H232)&gt;0,K232-$H232,0),(xSPRDOPT(K232,$E232,$BU232,0,$BP232,$BS232,$BT232,($A232-Inputs!$D$1)+15,1,0)))))</f>
        <v> </v>
      </c>
      <c r="S232" s="280" t="str">
        <f aca="false">IF($A232="N/A"," ",IF('Pricing Inputs'!$AN$8=2,(L232-$H232),IF('Pricing Inputs'!$AN$3=2,IF((L232-$H232)&gt;0,L232-$H232,0),(xSPRDOPT(L232,$E232,$BU232,0,$BP232,$BS232,$BT232,($A232-Inputs!$D$1)+15,1,0)))))</f>
        <v> </v>
      </c>
      <c r="T232" s="280" t="str">
        <f aca="false">IF($A232="N/A"," ",IF('Pricing Inputs'!$AN$8=2,(M232-$H232),IF('Pricing Inputs'!$AN$3=2,IF((M232-$H232)&gt;0,M232-$H232,0),(xSPRDOPT(M232,$E232,$BU232,0,$BP232,$BS232,$BT232,($A232-Inputs!$D$1)+15,1,0)))))</f>
        <v> </v>
      </c>
      <c r="U232" s="280" t="str">
        <f aca="false">IF($A232="N/A"," ",IF('Pricing Inputs'!$AN$8=2,(N232-$H232),IF('Pricing Inputs'!$AN$3=2,IF((N232-$H232)&gt;0,N232-$H232,0),(xSPRDOPT(N232,$E232,$BU232,0,$BP232,$BS232,$BT232,($A232-Inputs!$D$1)+15,1,0)))))</f>
        <v> </v>
      </c>
      <c r="V232" s="281" t="str">
        <f aca="false">IF($A232="N/A"," ",(IF('Pricing Inputs'!$AN$8=2,(O232-$H232),IF((O232-$H232)&lt;=0,0,(O232-$H232)))))</f>
        <v> </v>
      </c>
      <c r="W232" s="282" t="str">
        <f aca="false">IF($A232="N/A"," ",IF(0&lt;&gt;P232,IF('Pricing Inputs'!$AN$3=2,8*VLOOKUP($A232,NumberofDaysTable,2),(xSPRDOPT(I232,$E232,$BU232,0,$BP232,$BS232,$BT232,$A232-Inputs!$D$1,1,1))*(8*VLOOKUP($A232,NumberofDaysTable,2))),0))</f>
        <v> </v>
      </c>
      <c r="X232" s="282" t="str">
        <f aca="false">IF($A232="N/A"," ",IF(Q232&lt;&gt;0,IF('Pricing Inputs'!$AN$3=2,8*VLOOKUP($A232,NumberofDaysTable,2),(xSPRDOPT(J232,$E232,$BU232,0,$BP232,$BS232,$BT232,$A232-Inputs!$D$1,1,1))*(8*VLOOKUP($A232,NumberofDaysTable,2))),0))</f>
        <v> </v>
      </c>
      <c r="Y232" s="282" t="str">
        <f aca="false">IF($A232="N/A"," ",IF(R232&lt;&gt;0,IF('Pricing Inputs'!$AN$3=2,8*VLOOKUP($A232,NumberofDaysTable,3),(xSPRDOPT(K232,$E232,$BU232,0,$BP232,$BS232,$BT232,$A232-Inputs!$D$1,1,1))*(8*VLOOKUP($A232,NumberofDaysTable,3))),0))</f>
        <v> </v>
      </c>
      <c r="Z232" s="282" t="str">
        <f aca="false">IF($A232="N/A"," ",IF(S232&lt;&gt;0,IF('Pricing Inputs'!$AN$3=2,8*VLOOKUP($A232,NumberofDaysTable,3),(xSPRDOPT(L232,$E232,$BU232,0,$BP232,$BS232,$BT232,$A232-Inputs!$D$1,1,1))*(8*VLOOKUP($A232,NumberofDaysTable,3))),0))</f>
        <v> </v>
      </c>
      <c r="AA232" s="282" t="str">
        <f aca="false">IF($A232="N/A"," ",IF(T232&lt;&gt;0,IF('Pricing Inputs'!$AN$3=2,8*VLOOKUP($A232,NumberofDaysTable,4),(xSPRDOPT(M232,$E232,$BU232,0,$BP232,$BS232,$BT232,$A232-Inputs!$D$1,1,1))*(8*VLOOKUP($A232,NumberofDaysTable,4))),0))</f>
        <v> </v>
      </c>
      <c r="AB232" s="282" t="str">
        <f aca="false">IF($A232="N/A"," ",IF(U232&lt;&gt;0,IF('Pricing Inputs'!$AN$3=2,8*VLOOKUP($A232,NumberofDaysTable,4),(xSPRDOPT(N232,$E232,$BU232,0,$BP232,$BS232,$BT232,$A232-Inputs!$D$1,1,1))*(8*VLOOKUP($A232,NumberofDaysTable,4))),0))</f>
        <v> </v>
      </c>
      <c r="AC232" s="282" t="str">
        <f aca="false">IF($A232="N/A"," ",(IF(V232&lt;&gt;0,(8*VLOOKUP($A232,NumberofDaysTable,6)),0)))</f>
        <v> </v>
      </c>
      <c r="AD232" s="283" t="str">
        <f aca="false">IF($A232="N/A"," ",RANK(P232,$P$232:$V$243))</f>
        <v> </v>
      </c>
      <c r="AE232" s="284" t="str">
        <f aca="false">IF($A232="N/A"," ",RANK(Q232,$P$232:$V$243))</f>
        <v> </v>
      </c>
      <c r="AF232" s="284" t="str">
        <f aca="false">IF($A232="N/A"," ",RANK(R232,$P$232:$V$243))</f>
        <v> </v>
      </c>
      <c r="AG232" s="284" t="str">
        <f aca="false">IF($A232="N/A"," ",RANK(S232,$P$232:$V$243))</f>
        <v> </v>
      </c>
      <c r="AH232" s="284" t="str">
        <f aca="false">IF($A232="N/A"," ",RANK(T232,$P$232:$V$243))</f>
        <v> </v>
      </c>
      <c r="AI232" s="284" t="str">
        <f aca="false">IF($A232="N/A"," ",RANK(U232,$P$232:$V$243))</f>
        <v> </v>
      </c>
      <c r="AJ232" s="285" t="str">
        <f aca="false">IF($A232="N/A"," ",RANK(V232,$P$232:$V$243))</f>
        <v> </v>
      </c>
      <c r="AK232" s="313" t="str">
        <f aca="false">IF($A232="N/A"," ",IF(AD232&lt;=$AJ$2,W232,0))</f>
        <v> </v>
      </c>
      <c r="AL232" s="287" t="str">
        <f aca="false">IF($A232="N/A"," ",IF(AE232&lt;=$AJ$2,X232,0))</f>
        <v> </v>
      </c>
      <c r="AM232" s="287" t="str">
        <f aca="false">IF($A232="N/A"," ",IF(AF232&lt;=$AJ$2,Y232,0))</f>
        <v> </v>
      </c>
      <c r="AN232" s="287" t="str">
        <f aca="false">IF($A232="N/A"," ",IF(AG232&lt;=$AJ$2,Z232,0))</f>
        <v> </v>
      </c>
      <c r="AO232" s="287" t="str">
        <f aca="false">IF($A232="N/A"," ",IF(AH232&lt;=$AJ$2,AA232,0))</f>
        <v> </v>
      </c>
      <c r="AP232" s="287" t="str">
        <f aca="false">IF($A232="N/A"," ",IF(AI232&lt;=$AJ$2,AB232,0))</f>
        <v> </v>
      </c>
      <c r="AQ232" s="287" t="str">
        <f aca="false">IF($A232="N/A"," ",IF(AJ232&lt;=$AJ$2,AC232,0))</f>
        <v> </v>
      </c>
      <c r="AR232" s="285"/>
      <c r="AS232" s="314" t="str">
        <f aca="false">IF($A232="N/A"," ",IF(AND(AD232=$AJ$2+1,AK232=0),MIN($AR$243,W232),0))</f>
        <v> </v>
      </c>
      <c r="AT232" s="289" t="str">
        <f aca="false">IF($A232="N/A"," ",IF(AND(AE232=$AJ$2+1,AL232=0),MIN($AR$243,X232),0))</f>
        <v> </v>
      </c>
      <c r="AU232" s="289" t="str">
        <f aca="false">IF($A232="N/A"," ",IF(AND(AF232=$AJ$2+1,AM232=0),MIN($AR$243,Y232),0))</f>
        <v> </v>
      </c>
      <c r="AV232" s="289" t="str">
        <f aca="false">IF($A232="N/A"," ",IF(AND(AG232=$AJ$2+1,AN232=0),MIN($AR$243,Z232),0))</f>
        <v> </v>
      </c>
      <c r="AW232" s="289" t="str">
        <f aca="false">IF($A232="N/A"," ",IF(AND(AH232=$AJ$2+1,AO232=0),MIN($AR$243,AA232),0))</f>
        <v> </v>
      </c>
      <c r="AX232" s="289" t="str">
        <f aca="false">IF($A232="N/A"," ",IF(AND(AI232=$AJ$2+1,AP232=0),MIN($AR$243,AB232),0))</f>
        <v> </v>
      </c>
      <c r="AY232" s="289" t="str">
        <f aca="false">IF($A232="N/A"," ",IF(AND(AJ232=$AJ$2+1,AQ232=0),MIN($AR$243,AC232),0))</f>
        <v> </v>
      </c>
      <c r="AZ232" s="285"/>
      <c r="BA232" s="291" t="str">
        <f aca="false">IF($A232="N/A"," ",(IF(MONTH(A232)&gt;=4,IF(MONTH(A232)&lt;=10,Inputs!$F$13,Inputs!$F$14),Inputs!$F$14))*$BW232)</f>
        <v> </v>
      </c>
      <c r="BB232" s="292" t="str">
        <f aca="false">IF($A232="N/A"," ",(IF(AK232&gt;0,($BA232*(8*(VLOOKUP($A232,NumberofDaysTable,2)))*P232),0)+IF(AS232&gt;0,($BA232*((AS232))*P232),0)))</f>
        <v> </v>
      </c>
      <c r="BC232" s="292" t="str">
        <f aca="false">IF($A232="N/A"," ",(IF(AL232&gt;0,($BA232*(8*(VLOOKUP($A232,NumberofDaysTable,2)))*Q232),0)+IF(AT232&gt;0,($BA232*((AT232))*Q232),0)))</f>
        <v> </v>
      </c>
      <c r="BD232" s="292" t="str">
        <f aca="false">IF($A232="N/A"," ",(IF(AM232&gt;0,($BA232*(8*(VLOOKUP($A232,NumberofDaysTable,3)))*R232),0)+IF(AU232&gt;0,($BA232*((AU232))*R232),0)))</f>
        <v> </v>
      </c>
      <c r="BE232" s="292" t="str">
        <f aca="false">IF($A232="N/A"," ",(IF(AN232&gt;0,($BA232*(8*(VLOOKUP($A232,NumberofDaysTable,3)))*S232),0)+IF(AV232&gt;0,($BA232*((AV232))*S232),0)))</f>
        <v> </v>
      </c>
      <c r="BF232" s="292" t="str">
        <f aca="false">IF($A232="N/A"," ",(IF(AO232&gt;0,($BA232*(8*(VLOOKUP($A232,NumberofDaysTable,4)+VLOOKUP($A232,NumberofDaysTable,5)))*T232),0)+IF(AW232&gt;0,($BA232*((AW232))*T232),0)))</f>
        <v> </v>
      </c>
      <c r="BG232" s="292" t="str">
        <f aca="false">IF($A232="N/A"," ",(IF(AP232&gt;0,($BA232*(8*(VLOOKUP($A232,NumberofDaysTable,4)+VLOOKUP($A232,NumberofDaysTable,5)))*U232),0)+IF(AX232&gt;0,($BA232*((AX232))*U232),0)))</f>
        <v> </v>
      </c>
      <c r="BH232" s="292" t="str">
        <f aca="false">IF($A232="N/A"," ",($BA232*AQ232*V232))</f>
        <v> </v>
      </c>
      <c r="BI232" s="292" t="str">
        <f aca="false">IF($A232="N/A"," ",SUM(BB232:BH232))</f>
        <v> </v>
      </c>
      <c r="BJ232" s="293" t="str">
        <f aca="false">IF($A232="N/A"," ",(H232*(SUM(AK232:AQ232)+SUM(AS232:AY232))*BA232))</f>
        <v> </v>
      </c>
      <c r="BK232" s="293" t="str">
        <f aca="false">IF($A232="N/A"," ",((C232*D232)*(SUM($AK232:$AQ232)+SUM($AS232:$AY232))*$BA232))</f>
        <v> </v>
      </c>
      <c r="BL232" s="293" t="str">
        <f aca="false">IF($A232="N/A"," ",(F232*(SUM($AK232:$AQ232)+SUM($AS232:$AY232))*$BA232))</f>
        <v> </v>
      </c>
      <c r="BM232" s="293" t="str">
        <f aca="false">IF($A232="N/A"," ",(G232*(SUM($AK232:$AQ232)+SUM($AS232:$AY232))*$BA232))</f>
        <v> </v>
      </c>
      <c r="BN232" s="294" t="str">
        <f aca="false">IF(A232="N/A"," ",(VLOOKUP(A232,PowerVolTable,(IF('Pricing Inputs'!$AT$3=2,7,IF('Pricing Inputs'!$AT$3=1,6,8))),FALSE())))</f>
        <v> </v>
      </c>
      <c r="BO232" s="294" t="str">
        <f aca="false">IF(A232="N/A"," ",(VLOOKUP(A232,IntraPowerVol,(IF('Pricing Inputs'!$AT$3=2,3,IF('Pricing Inputs'!$AT$3=1,2,4))),FALSE())*VLOOKUP(MONTH($A232),Inputs!$A$28:$B$39,2)))</f>
        <v> </v>
      </c>
      <c r="BP232" s="295" t="str">
        <f aca="false">IF($A232="N/A"," ",(IF(DateToday&gt;$A232,$BO232,((($BN232^2)*((($A232-1)-DateToday)/((EOMONTH($A232,0)+1)-DateToday-15)))+((($BO232)^2)*((15)/((EOMONTH($A232,0)+1)-DateToday-15))))^0.5)))</f>
        <v> </v>
      </c>
      <c r="BQ232" s="294" t="str">
        <f aca="false">IF($A232="N/A"," ",(VLOOKUP($A232,GasVolTable,(IF('Pricing Inputs'!$AT$3=2,6,IF('Pricing Inputs'!$AT$3=1,7,5))),FALSE())))</f>
        <v> </v>
      </c>
      <c r="BR232" s="294" t="str">
        <f aca="false">IF($A232="N/A"," ",(VLOOKUP($A232,OmicronVol,(IF('Pricing Inputs'!$AT$3=2,3,IF('Pricing Inputs'!$AT$3=1,4,2))),FALSE())))</f>
        <v> </v>
      </c>
      <c r="BS232" s="295" t="str">
        <f aca="false">IF($A232="N/A"," ",IF('Pricing Inputs'!$AN$3=1,(IF(DateToday&gt;$A232,$BR232,((($BQ232^2)*((($A232-1)-DateToday)/((EOMONTH($A232,0)+1)-DateToday-15)))+((($BR232)^2)*((15)/((EOMONTH($A232,0)+1)-DateToday-15))))^0.5)),0.0001))</f>
        <v> </v>
      </c>
      <c r="BT232" s="294" t="str">
        <f aca="false">IF($A232="N/A"," ",IF('Pricing Inputs'!$AN$3=1,(VLOOKUP($A232,CorrelationTable,2,FALSE())),0))</f>
        <v> </v>
      </c>
      <c r="BU232" s="296" t="str">
        <f aca="false">IF($A232="N/A"," ",F232+G232+(D232*(VLOOKUP($A232,'Gas Curves'!$B$17:$P$310,14,FALSE()))))</f>
        <v> </v>
      </c>
      <c r="BV232" s="294" t="str">
        <f aca="false">IF($A232="N/A"," ",IF('Pricing Inputs'!$AW$3=1,0,(VLOOKUP($A232,InterestRatesTable,2))))</f>
        <v> </v>
      </c>
      <c r="BW232" s="297" t="str">
        <f aca="false">IF($A232="N/A"," ",(1+BV232/2)^(-2*((EOMONTH(A232,0)+20)-DateToday)/365.25))</f>
        <v> </v>
      </c>
    </row>
    <row r="233" customFormat="false" ht="12.75" hidden="false" customHeight="false" outlineLevel="0" collapsed="false">
      <c r="A233" s="272" t="str">
        <f aca="false">IF(A232="N/A","N/A",IF(EDATE(A232,1)&gt;Inputs!$K$3,"N/A",EDATE(A232,1)))</f>
        <v>N/A</v>
      </c>
      <c r="B233" s="273" t="str">
        <f aca="false">IF(A233="N/A"," ",YEAR(A233))</f>
        <v> </v>
      </c>
      <c r="C233" s="274" t="str">
        <f aca="false">IF(A233="N/A"," ",VLOOKUP(A233,ScaledPrice,10))</f>
        <v> </v>
      </c>
      <c r="D233" s="275" t="str">
        <f aca="false">IF(A233="N/A"," ",(VLOOKUP(MONTH($A233),Inputs!$A$14:$B$25,2))/1000)</f>
        <v> </v>
      </c>
      <c r="E233" s="276" t="str">
        <f aca="false">IF($A233="N/A"," ",C233*D233)</f>
        <v> </v>
      </c>
      <c r="F233" s="277" t="str">
        <f aca="false">IF(A233="N/A"," ",Inputs!$F$6)</f>
        <v> </v>
      </c>
      <c r="G233" s="277" t="str">
        <f aca="false">IF(A233="N/A"," ",Inputs!$F$9/IF(AND('Pricing Inputs'!$AQ$3&gt;=4,'Pricing Inputs'!$AQ$3&lt;=6),16,IF(AND('Pricing Inputs'!$AQ$3&gt;=7,'Pricing Inputs'!$AQ$3&lt;=9),8,24))/(BA233/BW233))</f>
        <v> </v>
      </c>
      <c r="H233" s="278" t="str">
        <f aca="false">IF(A233="N/A"," ",(C233*D233)+F233+G233)</f>
        <v> </v>
      </c>
      <c r="I233" s="279" t="str">
        <f aca="false">VLOOKUP(A233,ScaledPrice,(IF(AND('Pricing Inputs'!$AQ$3&gt;=1,'Pricing Inputs'!$AQ$3&lt;=6),2,4)))</f>
        <v> </v>
      </c>
      <c r="J233" s="279" t="str">
        <f aca="false">IF(A233="N/A"," ",IF(AND('Pricing Inputs'!$AQ$3&gt;=1,'Pricing Inputs'!$AQ$3&lt;=6),I233,(VLOOKUP(A233,ScaledPrice,2))*(2-(VLOOKUP(A233,ScaledPrice,3)))))</f>
        <v> </v>
      </c>
      <c r="K233" s="279" t="str">
        <f aca="false">IF(A233="N/A"," ",IF(OR('Pricing Inputs'!$AQ$3=2,'Pricing Inputs'!$AQ$3=3,'Pricing Inputs'!$AQ$3=5,'Pricing Inputs'!$AQ$3=6,'Pricing Inputs'!$AQ$3=8,'Pricing Inputs'!$AQ$3=9),VLOOKUP(A233,ScaledPrice,IF(AND('Pricing Inputs'!$AQ$3&gt;=2,'Pricing Inputs'!$AQ$3&lt;=6),5,6)),0))</f>
        <v> </v>
      </c>
      <c r="L233" s="279" t="str">
        <f aca="false">IF(A233="N/A"," ",IF(OR('Pricing Inputs'!$AQ$3=2,'Pricing Inputs'!$AQ$3=3,'Pricing Inputs'!$AQ$3=5,'Pricing Inputs'!$AQ$3=6,'Pricing Inputs'!$AQ$3=8,'Pricing Inputs'!$AQ$3=9),IF(AND('Pricing Inputs'!$AQ$3&gt;=2,'Pricing Inputs'!$AQ$3&lt;=6),K233,(VLOOKUP(A233,ScaledPrice,5))*(2-(VLOOKUP(A233,ScaledPrice,3)))),0))</f>
        <v> </v>
      </c>
      <c r="M233" s="279" t="str">
        <f aca="false">IF(A233="N/A"," ",IF(OR('Pricing Inputs'!$AQ$3=3,'Pricing Inputs'!$AQ$3=6,'Pricing Inputs'!$AQ$3=9),(VLOOKUP(A233,ScaledPrice,IF(AND('Pricing Inputs'!$AQ$3&gt;=3,'Pricing Inputs'!$AQ$3&lt;=6),7,8))),0))</f>
        <v> </v>
      </c>
      <c r="N233" s="279" t="str">
        <f aca="false">IF(A233="N/A"," ",IF(OR('Pricing Inputs'!$AQ$3=3,'Pricing Inputs'!$AQ$3=6,'Pricing Inputs'!$AQ$3=9),IF(AND('Pricing Inputs'!$AQ$3&gt;=3,'Pricing Inputs'!$AQ$3&lt;=6),M233,(VLOOKUP(A233,ScaledPrice,7))*(2-(VLOOKUP(A233,ScaledPrice,3)))),0))</f>
        <v> </v>
      </c>
      <c r="O233" s="279" t="str">
        <f aca="false">IF(A233="N/A"," ",IF(AND('Pricing Inputs'!$AQ$3&gt;=1,'Pricing Inputs'!$AQ$3&lt;=3),VLOOKUP(A233,ScaledPrice,9),0))</f>
        <v> </v>
      </c>
      <c r="P233" s="280" t="str">
        <f aca="false">IF($A233="N/A"," ",IF('Pricing Inputs'!$AN$8=2,(I233-H233),IF('Pricing Inputs'!$AN$3=2,IF((I233-$H233)&gt;0,I233-$H233,0),(xSPRDOPT(I233,$E233,$BU233,0,$BP233,$BS233,$BT233,($A233-Inputs!$D$1)+15,1,0)))))</f>
        <v> </v>
      </c>
      <c r="Q233" s="280" t="str">
        <f aca="false">IF($A233="N/A"," ",IF('Pricing Inputs'!$AN$8=2,(J233-$H233),IF('Pricing Inputs'!$AN$3=2,IF((J233-$H233)&gt;0,J233-$H233,0),(xSPRDOPT(J233,$E233,$BU233,0,$BP233,$BS233,$BT233,($A233-Inputs!$D$1)+15,1,0)))))</f>
        <v> </v>
      </c>
      <c r="R233" s="280" t="str">
        <f aca="false">IF($A233="N/A"," ",IF('Pricing Inputs'!$AN$8=2,(K233-$H233),IF('Pricing Inputs'!$AN$3=2,IF((K233-$H233)&gt;0,K233-$H233,0),(xSPRDOPT(K233,$E233,$BU233,0,$BP233,$BS233,$BT233,($A233-Inputs!$D$1)+15,1,0)))))</f>
        <v> </v>
      </c>
      <c r="S233" s="280" t="str">
        <f aca="false">IF($A233="N/A"," ",IF('Pricing Inputs'!$AN$8=2,(L233-$H233),IF('Pricing Inputs'!$AN$3=2,IF((L233-$H233)&gt;0,L233-$H233,0),(xSPRDOPT(L233,$E233,$BU233,0,$BP233,$BS233,$BT233,($A233-Inputs!$D$1)+15,1,0)))))</f>
        <v> </v>
      </c>
      <c r="T233" s="280" t="str">
        <f aca="false">IF($A233="N/A"," ",IF('Pricing Inputs'!$AN$8=2,(M233-$H233),IF('Pricing Inputs'!$AN$3=2,IF((M233-$H233)&gt;0,M233-$H233,0),(xSPRDOPT(M233,$E233,$BU233,0,$BP233,$BS233,$BT233,($A233-Inputs!$D$1)+15,1,0)))))</f>
        <v> </v>
      </c>
      <c r="U233" s="280" t="str">
        <f aca="false">IF($A233="N/A"," ",IF('Pricing Inputs'!$AN$8=2,(N233-$H233),IF('Pricing Inputs'!$AN$3=2,IF((N233-$H233)&gt;0,N233-$H233,0),(xSPRDOPT(N233,$E233,$BU233,0,$BP233,$BS233,$BT233,($A233-Inputs!$D$1)+15,1,0)))))</f>
        <v> </v>
      </c>
      <c r="V233" s="281" t="str">
        <f aca="false">IF($A233="N/A"," ",(IF('Pricing Inputs'!$AN$8=2,(O233-$H233),IF((O233-$H233)&lt;=0,0,(O233-$H233)))))</f>
        <v> </v>
      </c>
      <c r="W233" s="282" t="str">
        <f aca="false">IF($A233="N/A"," ",IF(0&lt;&gt;P233,IF('Pricing Inputs'!$AN$3=2,8*VLOOKUP($A233,NumberofDaysTable,2),(xSPRDOPT(I233,$E233,$BU233,0,$BP233,$BS233,$BT233,$A233-Inputs!$D$1,1,1))*(8*VLOOKUP($A233,NumberofDaysTable,2))),0))</f>
        <v> </v>
      </c>
      <c r="X233" s="282" t="str">
        <f aca="false">IF($A233="N/A"," ",IF(Q233&lt;&gt;0,IF('Pricing Inputs'!$AN$3=2,8*VLOOKUP($A233,NumberofDaysTable,2),(xSPRDOPT(J233,$E233,$BU233,0,$BP233,$BS233,$BT233,$A233-Inputs!$D$1,1,1))*(8*VLOOKUP($A233,NumberofDaysTable,2))),0))</f>
        <v> </v>
      </c>
      <c r="Y233" s="282" t="str">
        <f aca="false">IF($A233="N/A"," ",IF(R233&lt;&gt;0,IF('Pricing Inputs'!$AN$3=2,8*VLOOKUP($A233,NumberofDaysTable,3),(xSPRDOPT(K233,$E233,$BU233,0,$BP233,$BS233,$BT233,$A233-Inputs!$D$1,1,1))*(8*VLOOKUP($A233,NumberofDaysTable,3))),0))</f>
        <v> </v>
      </c>
      <c r="Z233" s="282" t="str">
        <f aca="false">IF($A233="N/A"," ",IF(S233&lt;&gt;0,IF('Pricing Inputs'!$AN$3=2,8*VLOOKUP($A233,NumberofDaysTable,3),(xSPRDOPT(L233,$E233,$BU233,0,$BP233,$BS233,$BT233,$A233-Inputs!$D$1,1,1))*(8*VLOOKUP($A233,NumberofDaysTable,3))),0))</f>
        <v> </v>
      </c>
      <c r="AA233" s="282" t="str">
        <f aca="false">IF($A233="N/A"," ",IF(T233&lt;&gt;0,IF('Pricing Inputs'!$AN$3=2,8*VLOOKUP($A233,NumberofDaysTable,4),(xSPRDOPT(M233,$E233,$BU233,0,$BP233,$BS233,$BT233,$A233-Inputs!$D$1,1,1))*(8*VLOOKUP($A233,NumberofDaysTable,4))),0))</f>
        <v> </v>
      </c>
      <c r="AB233" s="282" t="str">
        <f aca="false">IF($A233="N/A"," ",IF(U233&lt;&gt;0,IF('Pricing Inputs'!$AN$3=2,8*VLOOKUP($A233,NumberofDaysTable,4),(xSPRDOPT(N233,$E233,$BU233,0,$BP233,$BS233,$BT233,$A233-Inputs!$D$1,1,1))*(8*VLOOKUP($A233,NumberofDaysTable,4))),0))</f>
        <v> </v>
      </c>
      <c r="AC233" s="282" t="str">
        <f aca="false">IF($A233="N/A"," ",(IF(V233&lt;&gt;0,(8*VLOOKUP($A233,NumberofDaysTable,6)),0)))</f>
        <v> </v>
      </c>
      <c r="AD233" s="298" t="str">
        <f aca="false">IF($A233="N/A"," ",RANK(P233,$P$232:$V$243))</f>
        <v> </v>
      </c>
      <c r="AE233" s="299" t="str">
        <f aca="false">IF($A233="N/A"," ",RANK(Q233,$P$232:$V$243))</f>
        <v> </v>
      </c>
      <c r="AF233" s="299" t="str">
        <f aca="false">IF($A233="N/A"," ",RANK(R233,$P$232:$V$243))</f>
        <v> </v>
      </c>
      <c r="AG233" s="299" t="str">
        <f aca="false">IF($A233="N/A"," ",RANK(S233,$P$232:$V$243))</f>
        <v> </v>
      </c>
      <c r="AH233" s="299" t="str">
        <f aca="false">IF($A233="N/A"," ",RANK(T233,$P$232:$V$243))</f>
        <v> </v>
      </c>
      <c r="AI233" s="299" t="str">
        <f aca="false">IF($A233="N/A"," ",RANK(U233,$P$232:$V$243))</f>
        <v> </v>
      </c>
      <c r="AJ233" s="300" t="str">
        <f aca="false">IF($A233="N/A"," ",RANK(V233,$P$232:$V$243))</f>
        <v> </v>
      </c>
      <c r="AK233" s="286" t="str">
        <f aca="false">IF($A233="N/A"," ",IF(AD233&lt;=$AJ$2,W233,0))</f>
        <v> </v>
      </c>
      <c r="AL233" s="301" t="str">
        <f aca="false">IF($A233="N/A"," ",IF(AE233&lt;=$AJ$2,X233,0))</f>
        <v> </v>
      </c>
      <c r="AM233" s="301" t="str">
        <f aca="false">IF($A233="N/A"," ",IF(AF233&lt;=$AJ$2,Y233,0))</f>
        <v> </v>
      </c>
      <c r="AN233" s="301" t="str">
        <f aca="false">IF($A233="N/A"," ",IF(AG233&lt;=$AJ$2,Z233,0))</f>
        <v> </v>
      </c>
      <c r="AO233" s="301" t="str">
        <f aca="false">IF($A233="N/A"," ",IF(AH233&lt;=$AJ$2,AA233,0))</f>
        <v> </v>
      </c>
      <c r="AP233" s="301" t="str">
        <f aca="false">IF($A233="N/A"," ",IF(AI233&lt;=$AJ$2,AB233,0))</f>
        <v> </v>
      </c>
      <c r="AQ233" s="301" t="str">
        <f aca="false">IF($A233="N/A"," ",IF(AJ233&lt;=$AJ$2,AC233,0))</f>
        <v> </v>
      </c>
      <c r="AR233" s="300"/>
      <c r="AS233" s="288" t="str">
        <f aca="false">IF($A233="N/A"," ",IF(AND(AD233=$AJ$2+1,AK233=0),MIN($AR$243,W233),0))</f>
        <v> </v>
      </c>
      <c r="AT233" s="302" t="str">
        <f aca="false">IF($A233="N/A"," ",IF(AND(AE233=$AJ$2+1,AL233=0),MIN($AR$243,X233),0))</f>
        <v> </v>
      </c>
      <c r="AU233" s="302" t="str">
        <f aca="false">IF($A233="N/A"," ",IF(AND(AF233=$AJ$2+1,AM233=0),MIN($AR$243,Y233),0))</f>
        <v> </v>
      </c>
      <c r="AV233" s="302" t="str">
        <f aca="false">IF($A233="N/A"," ",IF(AND(AG233=$AJ$2+1,AN233=0),MIN($AR$243,Z233),0))</f>
        <v> </v>
      </c>
      <c r="AW233" s="302" t="str">
        <f aca="false">IF($A233="N/A"," ",IF(AND(AH233=$AJ$2+1,AO233=0),MIN($AR$243,AA233),0))</f>
        <v> </v>
      </c>
      <c r="AX233" s="302" t="str">
        <f aca="false">IF($A233="N/A"," ",IF(AND(AI233=$AJ$2+1,AP233=0),MIN($AR$243,AB233),0))</f>
        <v> </v>
      </c>
      <c r="AY233" s="302" t="str">
        <f aca="false">IF($A233="N/A"," ",IF(AND(AJ233=$AJ$2+1,AQ233=0),MIN($AR$243,AC233),0))</f>
        <v> </v>
      </c>
      <c r="AZ233" s="300"/>
      <c r="BA233" s="291" t="str">
        <f aca="false">IF($A233="N/A"," ",(IF(MONTH(A233)&gt;=4,IF(MONTH(A233)&lt;=10,Inputs!$F$13,Inputs!$F$14),Inputs!$F$14))*$BW233)</f>
        <v> </v>
      </c>
      <c r="BB233" s="292" t="str">
        <f aca="false">IF($A233="N/A"," ",(IF(AK233&gt;0,($BA233*(8*(VLOOKUP($A233,NumberofDaysTable,2)))*P233),0)+IF(AS233&gt;0,($BA233*((AS233))*P233),0)))</f>
        <v> </v>
      </c>
      <c r="BC233" s="292" t="str">
        <f aca="false">IF($A233="N/A"," ",(IF(AL233&gt;0,($BA233*(8*(VLOOKUP($A233,NumberofDaysTable,2)))*Q233),0)+IF(AT233&gt;0,($BA233*((AT233))*Q233),0)))</f>
        <v> </v>
      </c>
      <c r="BD233" s="292" t="str">
        <f aca="false">IF($A233="N/A"," ",(IF(AM233&gt;0,($BA233*(8*(VLOOKUP($A233,NumberofDaysTable,3)))*R233),0)+IF(AU233&gt;0,($BA233*((AU233))*R233),0)))</f>
        <v> </v>
      </c>
      <c r="BE233" s="292" t="str">
        <f aca="false">IF($A233="N/A"," ",(IF(AN233&gt;0,($BA233*(8*(VLOOKUP($A233,NumberofDaysTable,3)))*S233),0)+IF(AV233&gt;0,($BA233*((AV233))*S233),0)))</f>
        <v> </v>
      </c>
      <c r="BF233" s="292" t="str">
        <f aca="false">IF($A233="N/A"," ",(IF(AO233&gt;0,($BA233*(8*(VLOOKUP($A233,NumberofDaysTable,4)+VLOOKUP($A233,NumberofDaysTable,5)))*T233),0)+IF(AW233&gt;0,($BA233*((AW233))*T233),0)))</f>
        <v> </v>
      </c>
      <c r="BG233" s="292" t="str">
        <f aca="false">IF($A233="N/A"," ",(IF(AP233&gt;0,($BA233*(8*(VLOOKUP($A233,NumberofDaysTable,4)+VLOOKUP($A233,NumberofDaysTable,5)))*U233),0)+IF(AX233&gt;0,($BA233*((AX233))*U233),0)))</f>
        <v> </v>
      </c>
      <c r="BH233" s="292" t="str">
        <f aca="false">IF($A233="N/A"," ",($BA233*AQ233*V233))</f>
        <v> </v>
      </c>
      <c r="BI233" s="292" t="str">
        <f aca="false">IF($A233="N/A"," ",SUM(BB233:BH233))</f>
        <v> </v>
      </c>
      <c r="BJ233" s="293" t="str">
        <f aca="false">IF($A233="N/A"," ",(H233*(SUM(AK233:AQ233)+SUM(AS233:AY233))*BA233))</f>
        <v> </v>
      </c>
      <c r="BK233" s="293" t="str">
        <f aca="false">IF($A233="N/A"," ",((C233*D233)*(SUM($AK233:$AQ233)+SUM($AS233:$AY233))*$BA233))</f>
        <v> </v>
      </c>
      <c r="BL233" s="293" t="str">
        <f aca="false">IF($A233="N/A"," ",(F233*(SUM($AK233:$AQ233)+SUM($AS233:$AY233))*$BA233))</f>
        <v> </v>
      </c>
      <c r="BM233" s="293" t="str">
        <f aca="false">IF($A233="N/A"," ",(G233*(SUM($AK233:$AQ233)+SUM($AS233:$AY233))*$BA233))</f>
        <v> </v>
      </c>
      <c r="BN233" s="294" t="str">
        <f aca="false">IF(A233="N/A"," ",(VLOOKUP(A233,PowerVolTable,(IF('Pricing Inputs'!$AT$3=2,7,IF('Pricing Inputs'!$AT$3=1,6,8))),FALSE())))</f>
        <v> </v>
      </c>
      <c r="BO233" s="294" t="str">
        <f aca="false">IF(A233="N/A"," ",(VLOOKUP(A233,IntraPowerVol,(IF('Pricing Inputs'!$AT$3=2,3,IF('Pricing Inputs'!$AT$3=1,2,4))),FALSE())*VLOOKUP(MONTH($A233),Inputs!$A$28:$B$39,2)))</f>
        <v> </v>
      </c>
      <c r="BP233" s="295" t="str">
        <f aca="false">IF($A233="N/A"," ",(IF(DateToday&gt;$A233,$BO233,((($BN233^2)*((($A233-1)-DateToday)/((EOMONTH($A233,0)+1)-DateToday-15)))+((($BO233)^2)*((15)/((EOMONTH($A233,0)+1)-DateToday-15))))^0.5)))</f>
        <v> </v>
      </c>
      <c r="BQ233" s="294" t="str">
        <f aca="false">IF($A233="N/A"," ",(VLOOKUP($A233,GasVolTable,(IF('Pricing Inputs'!$AT$3=2,6,IF('Pricing Inputs'!$AT$3=1,7,5))),FALSE())))</f>
        <v> </v>
      </c>
      <c r="BR233" s="294" t="str">
        <f aca="false">IF($A233="N/A"," ",(VLOOKUP($A233,OmicronVol,(IF('Pricing Inputs'!$AT$3=2,3,IF('Pricing Inputs'!$AT$3=1,4,2))),FALSE())))</f>
        <v> </v>
      </c>
      <c r="BS233" s="295" t="str">
        <f aca="false">IF($A233="N/A"," ",IF('Pricing Inputs'!$AN$3=1,(IF(DateToday&gt;$A233,$BR233,((($BQ233^2)*((($A233-1)-DateToday)/((EOMONTH($A233,0)+1)-DateToday-15)))+((($BR233)^2)*((15)/((EOMONTH($A233,0)+1)-DateToday-15))))^0.5)),0.0001))</f>
        <v> </v>
      </c>
      <c r="BT233" s="294" t="str">
        <f aca="false">IF($A233="N/A"," ",IF('Pricing Inputs'!$AN$3=1,(VLOOKUP($A233,CorrelationTable,2,FALSE())),0))</f>
        <v> </v>
      </c>
      <c r="BU233" s="296" t="str">
        <f aca="false">IF($A233="N/A"," ",F233+G233+(D233*(VLOOKUP($A233,'Gas Curves'!$B$17:$P$310,14,FALSE()))))</f>
        <v> </v>
      </c>
      <c r="BV233" s="294" t="str">
        <f aca="false">IF($A233="N/A"," ",IF('Pricing Inputs'!$AW$3=1,0,(VLOOKUP($A233,InterestRatesTable,2))))</f>
        <v> </v>
      </c>
      <c r="BW233" s="297" t="str">
        <f aca="false">IF($A233="N/A"," ",(1+BV233/2)^(-2*((EOMONTH(A233,0)+20)-DateToday)/365.25))</f>
        <v> </v>
      </c>
    </row>
    <row r="234" customFormat="false" ht="12.75" hidden="false" customHeight="false" outlineLevel="0" collapsed="false">
      <c r="A234" s="272" t="str">
        <f aca="false">IF(A233="N/A","N/A",IF(EDATE(A233,1)&gt;Inputs!$K$3,"N/A",EDATE(A233,1)))</f>
        <v>N/A</v>
      </c>
      <c r="B234" s="273" t="str">
        <f aca="false">IF(A234="N/A"," ",YEAR(A234))</f>
        <v> </v>
      </c>
      <c r="C234" s="274" t="str">
        <f aca="false">IF(A234="N/A"," ",VLOOKUP(A234,ScaledPrice,10))</f>
        <v> </v>
      </c>
      <c r="D234" s="275" t="str">
        <f aca="false">IF(A234="N/A"," ",(VLOOKUP(MONTH($A234),Inputs!$A$14:$B$25,2))/1000)</f>
        <v> </v>
      </c>
      <c r="E234" s="276" t="str">
        <f aca="false">IF($A234="N/A"," ",C234*D234)</f>
        <v> </v>
      </c>
      <c r="F234" s="277" t="str">
        <f aca="false">IF(A234="N/A"," ",Inputs!$F$6)</f>
        <v> </v>
      </c>
      <c r="G234" s="277" t="str">
        <f aca="false">IF(A234="N/A"," ",Inputs!$F$9/IF(AND('Pricing Inputs'!$AQ$3&gt;=4,'Pricing Inputs'!$AQ$3&lt;=6),16,IF(AND('Pricing Inputs'!$AQ$3&gt;=7,'Pricing Inputs'!$AQ$3&lt;=9),8,24))/(BA234/BW234))</f>
        <v> </v>
      </c>
      <c r="H234" s="278" t="str">
        <f aca="false">IF(A234="N/A"," ",(C234*D234)+F234+G234)</f>
        <v> </v>
      </c>
      <c r="I234" s="279" t="str">
        <f aca="false">VLOOKUP(A234,ScaledPrice,(IF(AND('Pricing Inputs'!$AQ$3&gt;=1,'Pricing Inputs'!$AQ$3&lt;=6),2,4)))</f>
        <v> </v>
      </c>
      <c r="J234" s="279" t="str">
        <f aca="false">IF(A234="N/A"," ",IF(AND('Pricing Inputs'!$AQ$3&gt;=1,'Pricing Inputs'!$AQ$3&lt;=6),I234,(VLOOKUP(A234,ScaledPrice,2))*(2-(VLOOKUP(A234,ScaledPrice,3)))))</f>
        <v> </v>
      </c>
      <c r="K234" s="279" t="str">
        <f aca="false">IF(A234="N/A"," ",IF(OR('Pricing Inputs'!$AQ$3=2,'Pricing Inputs'!$AQ$3=3,'Pricing Inputs'!$AQ$3=5,'Pricing Inputs'!$AQ$3=6,'Pricing Inputs'!$AQ$3=8,'Pricing Inputs'!$AQ$3=9),VLOOKUP(A234,ScaledPrice,IF(AND('Pricing Inputs'!$AQ$3&gt;=2,'Pricing Inputs'!$AQ$3&lt;=6),5,6)),0))</f>
        <v> </v>
      </c>
      <c r="L234" s="279" t="str">
        <f aca="false">IF(A234="N/A"," ",IF(OR('Pricing Inputs'!$AQ$3=2,'Pricing Inputs'!$AQ$3=3,'Pricing Inputs'!$AQ$3=5,'Pricing Inputs'!$AQ$3=6,'Pricing Inputs'!$AQ$3=8,'Pricing Inputs'!$AQ$3=9),IF(AND('Pricing Inputs'!$AQ$3&gt;=2,'Pricing Inputs'!$AQ$3&lt;=6),K234,(VLOOKUP(A234,ScaledPrice,5))*(2-(VLOOKUP(A234,ScaledPrice,3)))),0))</f>
        <v> </v>
      </c>
      <c r="M234" s="279" t="str">
        <f aca="false">IF(A234="N/A"," ",IF(OR('Pricing Inputs'!$AQ$3=3,'Pricing Inputs'!$AQ$3=6,'Pricing Inputs'!$AQ$3=9),(VLOOKUP(A234,ScaledPrice,IF(AND('Pricing Inputs'!$AQ$3&gt;=3,'Pricing Inputs'!$AQ$3&lt;=6),7,8))),0))</f>
        <v> </v>
      </c>
      <c r="N234" s="279" t="str">
        <f aca="false">IF(A234="N/A"," ",IF(OR('Pricing Inputs'!$AQ$3=3,'Pricing Inputs'!$AQ$3=6,'Pricing Inputs'!$AQ$3=9),IF(AND('Pricing Inputs'!$AQ$3&gt;=3,'Pricing Inputs'!$AQ$3&lt;=6),M234,(VLOOKUP(A234,ScaledPrice,7))*(2-(VLOOKUP(A234,ScaledPrice,3)))),0))</f>
        <v> </v>
      </c>
      <c r="O234" s="279" t="str">
        <f aca="false">IF(A234="N/A"," ",IF(AND('Pricing Inputs'!$AQ$3&gt;=1,'Pricing Inputs'!$AQ$3&lt;=3),VLOOKUP(A234,ScaledPrice,9),0))</f>
        <v> </v>
      </c>
      <c r="P234" s="280" t="str">
        <f aca="false">IF($A234="N/A"," ",IF('Pricing Inputs'!$AN$8=2,(I234-H234),IF('Pricing Inputs'!$AN$3=2,IF((I234-$H234)&gt;0,I234-$H234,0),(xSPRDOPT(I234,$E234,$BU234,0,$BP234,$BS234,$BT234,($A234-Inputs!$D$1)+15,1,0)))))</f>
        <v> </v>
      </c>
      <c r="Q234" s="280" t="str">
        <f aca="false">IF($A234="N/A"," ",IF('Pricing Inputs'!$AN$8=2,(J234-$H234),IF('Pricing Inputs'!$AN$3=2,IF((J234-$H234)&gt;0,J234-$H234,0),(xSPRDOPT(J234,$E234,$BU234,0,$BP234,$BS234,$BT234,($A234-Inputs!$D$1)+15,1,0)))))</f>
        <v> </v>
      </c>
      <c r="R234" s="280" t="str">
        <f aca="false">IF($A234="N/A"," ",IF('Pricing Inputs'!$AN$8=2,(K234-$H234),IF('Pricing Inputs'!$AN$3=2,IF((K234-$H234)&gt;0,K234-$H234,0),(xSPRDOPT(K234,$E234,$BU234,0,$BP234,$BS234,$BT234,($A234-Inputs!$D$1)+15,1,0)))))</f>
        <v> </v>
      </c>
      <c r="S234" s="280" t="str">
        <f aca="false">IF($A234="N/A"," ",IF('Pricing Inputs'!$AN$8=2,(L234-$H234),IF('Pricing Inputs'!$AN$3=2,IF((L234-$H234)&gt;0,L234-$H234,0),(xSPRDOPT(L234,$E234,$BU234,0,$BP234,$BS234,$BT234,($A234-Inputs!$D$1)+15,1,0)))))</f>
        <v> </v>
      </c>
      <c r="T234" s="280" t="str">
        <f aca="false">IF($A234="N/A"," ",IF('Pricing Inputs'!$AN$8=2,(M234-$H234),IF('Pricing Inputs'!$AN$3=2,IF((M234-$H234)&gt;0,M234-$H234,0),(xSPRDOPT(M234,$E234,$BU234,0,$BP234,$BS234,$BT234,($A234-Inputs!$D$1)+15,1,0)))))</f>
        <v> </v>
      </c>
      <c r="U234" s="280" t="str">
        <f aca="false">IF($A234="N/A"," ",IF('Pricing Inputs'!$AN$8=2,(N234-$H234),IF('Pricing Inputs'!$AN$3=2,IF((N234-$H234)&gt;0,N234-$H234,0),(xSPRDOPT(N234,$E234,$BU234,0,$BP234,$BS234,$BT234,($A234-Inputs!$D$1)+15,1,0)))))</f>
        <v> </v>
      </c>
      <c r="V234" s="281" t="str">
        <f aca="false">IF($A234="N/A"," ",(IF('Pricing Inputs'!$AN$8=2,(O234-$H234),IF((O234-$H234)&lt;=0,0,(O234-$H234)))))</f>
        <v> </v>
      </c>
      <c r="W234" s="282" t="str">
        <f aca="false">IF($A234="N/A"," ",IF(0&lt;&gt;P234,IF('Pricing Inputs'!$AN$3=2,8*VLOOKUP($A234,NumberofDaysTable,2),(xSPRDOPT(I234,$E234,$BU234,0,$BP234,$BS234,$BT234,$A234-Inputs!$D$1,1,1))*(8*VLOOKUP($A234,NumberofDaysTable,2))),0))</f>
        <v> </v>
      </c>
      <c r="X234" s="282" t="str">
        <f aca="false">IF($A234="N/A"," ",IF(Q234&lt;&gt;0,IF('Pricing Inputs'!$AN$3=2,8*VLOOKUP($A234,NumberofDaysTable,2),(xSPRDOPT(J234,$E234,$BU234,0,$BP234,$BS234,$BT234,$A234-Inputs!$D$1,1,1))*(8*VLOOKUP($A234,NumberofDaysTable,2))),0))</f>
        <v> </v>
      </c>
      <c r="Y234" s="282" t="str">
        <f aca="false">IF($A234="N/A"," ",IF(R234&lt;&gt;0,IF('Pricing Inputs'!$AN$3=2,8*VLOOKUP($A234,NumberofDaysTable,3),(xSPRDOPT(K234,$E234,$BU234,0,$BP234,$BS234,$BT234,$A234-Inputs!$D$1,1,1))*(8*VLOOKUP($A234,NumberofDaysTable,3))),0))</f>
        <v> </v>
      </c>
      <c r="Z234" s="282" t="str">
        <f aca="false">IF($A234="N/A"," ",IF(S234&lt;&gt;0,IF('Pricing Inputs'!$AN$3=2,8*VLOOKUP($A234,NumberofDaysTable,3),(xSPRDOPT(L234,$E234,$BU234,0,$BP234,$BS234,$BT234,$A234-Inputs!$D$1,1,1))*(8*VLOOKUP($A234,NumberofDaysTable,3))),0))</f>
        <v> </v>
      </c>
      <c r="AA234" s="282" t="str">
        <f aca="false">IF($A234="N/A"," ",IF(T234&lt;&gt;0,IF('Pricing Inputs'!$AN$3=2,8*VLOOKUP($A234,NumberofDaysTable,4),(xSPRDOPT(M234,$E234,$BU234,0,$BP234,$BS234,$BT234,$A234-Inputs!$D$1,1,1))*(8*VLOOKUP($A234,NumberofDaysTable,4))),0))</f>
        <v> </v>
      </c>
      <c r="AB234" s="282" t="str">
        <f aca="false">IF($A234="N/A"," ",IF(U234&lt;&gt;0,IF('Pricing Inputs'!$AN$3=2,8*VLOOKUP($A234,NumberofDaysTable,4),(xSPRDOPT(N234,$E234,$BU234,0,$BP234,$BS234,$BT234,$A234-Inputs!$D$1,1,1))*(8*VLOOKUP($A234,NumberofDaysTable,4))),0))</f>
        <v> </v>
      </c>
      <c r="AC234" s="282" t="str">
        <f aca="false">IF($A234="N/A"," ",(IF(V234&lt;&gt;0,(8*VLOOKUP($A234,NumberofDaysTable,6)),0)))</f>
        <v> </v>
      </c>
      <c r="AD234" s="298" t="str">
        <f aca="false">IF($A234="N/A"," ",RANK(P234,$P$232:$V$243))</f>
        <v> </v>
      </c>
      <c r="AE234" s="299" t="str">
        <f aca="false">IF($A234="N/A"," ",RANK(Q234,$P$232:$V$243))</f>
        <v> </v>
      </c>
      <c r="AF234" s="299" t="str">
        <f aca="false">IF($A234="N/A"," ",RANK(R234,$P$232:$V$243))</f>
        <v> </v>
      </c>
      <c r="AG234" s="299" t="str">
        <f aca="false">IF($A234="N/A"," ",RANK(S234,$P$232:$V$243))</f>
        <v> </v>
      </c>
      <c r="AH234" s="299" t="str">
        <f aca="false">IF($A234="N/A"," ",RANK(T234,$P$232:$V$243))</f>
        <v> </v>
      </c>
      <c r="AI234" s="299" t="str">
        <f aca="false">IF($A234="N/A"," ",RANK(U234,$P$232:$V$243))</f>
        <v> </v>
      </c>
      <c r="AJ234" s="300" t="str">
        <f aca="false">IF($A234="N/A"," ",RANK(V234,$P$232:$V$243))</f>
        <v> </v>
      </c>
      <c r="AK234" s="286" t="str">
        <f aca="false">IF($A234="N/A"," ",IF(AD234&lt;=$AJ$2,W234,0))</f>
        <v> </v>
      </c>
      <c r="AL234" s="301" t="str">
        <f aca="false">IF($A234="N/A"," ",IF(AE234&lt;=$AJ$2,X234,0))</f>
        <v> </v>
      </c>
      <c r="AM234" s="301" t="str">
        <f aca="false">IF($A234="N/A"," ",IF(AF234&lt;=$AJ$2,Y234,0))</f>
        <v> </v>
      </c>
      <c r="AN234" s="301" t="str">
        <f aca="false">IF($A234="N/A"," ",IF(AG234&lt;=$AJ$2,Z234,0))</f>
        <v> </v>
      </c>
      <c r="AO234" s="301" t="str">
        <f aca="false">IF($A234="N/A"," ",IF(AH234&lt;=$AJ$2,AA234,0))</f>
        <v> </v>
      </c>
      <c r="AP234" s="301" t="str">
        <f aca="false">IF($A234="N/A"," ",IF(AI234&lt;=$AJ$2,AB234,0))</f>
        <v> </v>
      </c>
      <c r="AQ234" s="301" t="str">
        <f aca="false">IF($A234="N/A"," ",IF(AJ234&lt;=$AJ$2,AC234,0))</f>
        <v> </v>
      </c>
      <c r="AR234" s="300"/>
      <c r="AS234" s="288" t="str">
        <f aca="false">IF($A234="N/A"," ",IF(AND(AD234=$AJ$2+1,AK234=0),MIN($AR$243,W234),0))</f>
        <v> </v>
      </c>
      <c r="AT234" s="302" t="str">
        <f aca="false">IF($A234="N/A"," ",IF(AND(AE234=$AJ$2+1,AL234=0),MIN($AR$243,X234),0))</f>
        <v> </v>
      </c>
      <c r="AU234" s="302" t="str">
        <f aca="false">IF($A234="N/A"," ",IF(AND(AF234=$AJ$2+1,AM234=0),MIN($AR$243,Y234),0))</f>
        <v> </v>
      </c>
      <c r="AV234" s="302" t="str">
        <f aca="false">IF($A234="N/A"," ",IF(AND(AG234=$AJ$2+1,AN234=0),MIN($AR$243,Z234),0))</f>
        <v> </v>
      </c>
      <c r="AW234" s="302" t="str">
        <f aca="false">IF($A234="N/A"," ",IF(AND(AH234=$AJ$2+1,AO234=0),MIN($AR$243,AA234),0))</f>
        <v> </v>
      </c>
      <c r="AX234" s="302" t="str">
        <f aca="false">IF($A234="N/A"," ",IF(AND(AI234=$AJ$2+1,AP234=0),MIN($AR$243,AB234),0))</f>
        <v> </v>
      </c>
      <c r="AY234" s="302" t="str">
        <f aca="false">IF($A234="N/A"," ",IF(AND(AJ234=$AJ$2+1,AQ234=0),MIN($AR$243,AC234),0))</f>
        <v> </v>
      </c>
      <c r="AZ234" s="300"/>
      <c r="BA234" s="291" t="str">
        <f aca="false">IF($A234="N/A"," ",(IF(MONTH(A234)&gt;=4,IF(MONTH(A234)&lt;=10,Inputs!$F$13,Inputs!$F$14),Inputs!$F$14))*$BW234)</f>
        <v> </v>
      </c>
      <c r="BB234" s="292" t="str">
        <f aca="false">IF($A234="N/A"," ",(IF(AK234&gt;0,($BA234*(8*(VLOOKUP($A234,NumberofDaysTable,2)))*P234),0)+IF(AS234&gt;0,($BA234*((AS234))*P234),0)))</f>
        <v> </v>
      </c>
      <c r="BC234" s="292" t="str">
        <f aca="false">IF($A234="N/A"," ",(IF(AL234&gt;0,($BA234*(8*(VLOOKUP($A234,NumberofDaysTable,2)))*Q234),0)+IF(AT234&gt;0,($BA234*((AT234))*Q234),0)))</f>
        <v> </v>
      </c>
      <c r="BD234" s="292" t="str">
        <f aca="false">IF($A234="N/A"," ",(IF(AM234&gt;0,($BA234*(8*(VLOOKUP($A234,NumberofDaysTable,3)))*R234),0)+IF(AU234&gt;0,($BA234*((AU234))*R234),0)))</f>
        <v> </v>
      </c>
      <c r="BE234" s="292" t="str">
        <f aca="false">IF($A234="N/A"," ",(IF(AN234&gt;0,($BA234*(8*(VLOOKUP($A234,NumberofDaysTable,3)))*S234),0)+IF(AV234&gt;0,($BA234*((AV234))*S234),0)))</f>
        <v> </v>
      </c>
      <c r="BF234" s="292" t="str">
        <f aca="false">IF($A234="N/A"," ",(IF(AO234&gt;0,($BA234*(8*(VLOOKUP($A234,NumberofDaysTable,4)+VLOOKUP($A234,NumberofDaysTable,5)))*T234),0)+IF(AW234&gt;0,($BA234*((AW234))*T234),0)))</f>
        <v> </v>
      </c>
      <c r="BG234" s="292" t="str">
        <f aca="false">IF($A234="N/A"," ",(IF(AP234&gt;0,($BA234*(8*(VLOOKUP($A234,NumberofDaysTable,4)+VLOOKUP($A234,NumberofDaysTable,5)))*U234),0)+IF(AX234&gt;0,($BA234*((AX234))*U234),0)))</f>
        <v> </v>
      </c>
      <c r="BH234" s="292" t="str">
        <f aca="false">IF($A234="N/A"," ",($BA234*AQ234*V234))</f>
        <v> </v>
      </c>
      <c r="BI234" s="292" t="str">
        <f aca="false">IF($A234="N/A"," ",SUM(BB234:BH234))</f>
        <v> </v>
      </c>
      <c r="BJ234" s="293" t="str">
        <f aca="false">IF($A234="N/A"," ",(H234*(SUM(AK234:AQ234)+SUM(AS234:AY234))*BA234))</f>
        <v> </v>
      </c>
      <c r="BK234" s="293" t="str">
        <f aca="false">IF($A234="N/A"," ",((C234*D234)*(SUM($AK234:$AQ234)+SUM($AS234:$AY234))*$BA234))</f>
        <v> </v>
      </c>
      <c r="BL234" s="293" t="str">
        <f aca="false">IF($A234="N/A"," ",(F234*(SUM($AK234:$AQ234)+SUM($AS234:$AY234))*$BA234))</f>
        <v> </v>
      </c>
      <c r="BM234" s="293" t="str">
        <f aca="false">IF($A234="N/A"," ",(G234*(SUM($AK234:$AQ234)+SUM($AS234:$AY234))*$BA234))</f>
        <v> </v>
      </c>
      <c r="BN234" s="294" t="str">
        <f aca="false">IF(A234="N/A"," ",(VLOOKUP(A234,PowerVolTable,(IF('Pricing Inputs'!$AT$3=2,7,IF('Pricing Inputs'!$AT$3=1,6,8))),FALSE())))</f>
        <v> </v>
      </c>
      <c r="BO234" s="294" t="str">
        <f aca="false">IF(A234="N/A"," ",(VLOOKUP(A234,IntraPowerVol,(IF('Pricing Inputs'!$AT$3=2,3,IF('Pricing Inputs'!$AT$3=1,2,4))),FALSE())*VLOOKUP(MONTH($A234),Inputs!$A$28:$B$39,2)))</f>
        <v> </v>
      </c>
      <c r="BP234" s="295" t="str">
        <f aca="false">IF($A234="N/A"," ",(IF(DateToday&gt;$A234,$BO234,((($BN234^2)*((($A234-1)-DateToday)/((EOMONTH($A234,0)+1)-DateToday-15)))+((($BO234)^2)*((15)/((EOMONTH($A234,0)+1)-DateToday-15))))^0.5)))</f>
        <v> </v>
      </c>
      <c r="BQ234" s="294" t="str">
        <f aca="false">IF($A234="N/A"," ",(VLOOKUP($A234,GasVolTable,(IF('Pricing Inputs'!$AT$3=2,6,IF('Pricing Inputs'!$AT$3=1,7,5))),FALSE())))</f>
        <v> </v>
      </c>
      <c r="BR234" s="294" t="str">
        <f aca="false">IF($A234="N/A"," ",(VLOOKUP($A234,OmicronVol,(IF('Pricing Inputs'!$AT$3=2,3,IF('Pricing Inputs'!$AT$3=1,4,2))),FALSE())))</f>
        <v> </v>
      </c>
      <c r="BS234" s="295" t="str">
        <f aca="false">IF($A234="N/A"," ",IF('Pricing Inputs'!$AN$3=1,(IF(DateToday&gt;$A234,$BR234,((($BQ234^2)*((($A234-1)-DateToday)/((EOMONTH($A234,0)+1)-DateToday-15)))+((($BR234)^2)*((15)/((EOMONTH($A234,0)+1)-DateToday-15))))^0.5)),0.0001))</f>
        <v> </v>
      </c>
      <c r="BT234" s="294" t="str">
        <f aca="false">IF($A234="N/A"," ",IF('Pricing Inputs'!$AN$3=1,(VLOOKUP($A234,CorrelationTable,2,FALSE())),0))</f>
        <v> </v>
      </c>
      <c r="BU234" s="296" t="str">
        <f aca="false">IF($A234="N/A"," ",F234+G234+(D234*(VLOOKUP($A234,'Gas Curves'!$B$17:$P$310,14,FALSE()))))</f>
        <v> </v>
      </c>
      <c r="BV234" s="294" t="str">
        <f aca="false">IF($A234="N/A"," ",IF('Pricing Inputs'!$AW$3=1,0,(VLOOKUP($A234,InterestRatesTable,2))))</f>
        <v> </v>
      </c>
      <c r="BW234" s="297" t="str">
        <f aca="false">IF($A234="N/A"," ",(1+BV234/2)^(-2*((EOMONTH(A234,0)+20)-DateToday)/365.25))</f>
        <v> </v>
      </c>
    </row>
    <row r="235" customFormat="false" ht="12.75" hidden="false" customHeight="false" outlineLevel="0" collapsed="false">
      <c r="A235" s="272" t="str">
        <f aca="false">IF(A234="N/A","N/A",IF(EDATE(A234,1)&gt;Inputs!$K$3,"N/A",EDATE(A234,1)))</f>
        <v>N/A</v>
      </c>
      <c r="B235" s="273" t="str">
        <f aca="false">IF(A235="N/A"," ",YEAR(A235))</f>
        <v> </v>
      </c>
      <c r="C235" s="274" t="str">
        <f aca="false">IF(A235="N/A"," ",VLOOKUP(A235,ScaledPrice,10))</f>
        <v> </v>
      </c>
      <c r="D235" s="275" t="str">
        <f aca="false">IF(A235="N/A"," ",(VLOOKUP(MONTH($A235),Inputs!$A$14:$B$25,2))/1000)</f>
        <v> </v>
      </c>
      <c r="E235" s="276" t="str">
        <f aca="false">IF($A235="N/A"," ",C235*D235)</f>
        <v> </v>
      </c>
      <c r="F235" s="277" t="str">
        <f aca="false">IF(A235="N/A"," ",Inputs!$F$6)</f>
        <v> </v>
      </c>
      <c r="G235" s="277" t="str">
        <f aca="false">IF(A235="N/A"," ",Inputs!$F$9/IF(AND('Pricing Inputs'!$AQ$3&gt;=4,'Pricing Inputs'!$AQ$3&lt;=6),16,IF(AND('Pricing Inputs'!$AQ$3&gt;=7,'Pricing Inputs'!$AQ$3&lt;=9),8,24))/(BA235/BW235))</f>
        <v> </v>
      </c>
      <c r="H235" s="278" t="str">
        <f aca="false">IF(A235="N/A"," ",(C235*D235)+F235+G235)</f>
        <v> </v>
      </c>
      <c r="I235" s="279" t="str">
        <f aca="false">VLOOKUP(A235,ScaledPrice,(IF(AND('Pricing Inputs'!$AQ$3&gt;=1,'Pricing Inputs'!$AQ$3&lt;=6),2,4)))</f>
        <v> </v>
      </c>
      <c r="J235" s="279" t="str">
        <f aca="false">IF(A235="N/A"," ",IF(AND('Pricing Inputs'!$AQ$3&gt;=1,'Pricing Inputs'!$AQ$3&lt;=6),I235,(VLOOKUP(A235,ScaledPrice,2))*(2-(VLOOKUP(A235,ScaledPrice,3)))))</f>
        <v> </v>
      </c>
      <c r="K235" s="279" t="str">
        <f aca="false">IF(A235="N/A"," ",IF(OR('Pricing Inputs'!$AQ$3=2,'Pricing Inputs'!$AQ$3=3,'Pricing Inputs'!$AQ$3=5,'Pricing Inputs'!$AQ$3=6,'Pricing Inputs'!$AQ$3=8,'Pricing Inputs'!$AQ$3=9),VLOOKUP(A235,ScaledPrice,IF(AND('Pricing Inputs'!$AQ$3&gt;=2,'Pricing Inputs'!$AQ$3&lt;=6),5,6)),0))</f>
        <v> </v>
      </c>
      <c r="L235" s="279" t="str">
        <f aca="false">IF(A235="N/A"," ",IF(OR('Pricing Inputs'!$AQ$3=2,'Pricing Inputs'!$AQ$3=3,'Pricing Inputs'!$AQ$3=5,'Pricing Inputs'!$AQ$3=6,'Pricing Inputs'!$AQ$3=8,'Pricing Inputs'!$AQ$3=9),IF(AND('Pricing Inputs'!$AQ$3&gt;=2,'Pricing Inputs'!$AQ$3&lt;=6),K235,(VLOOKUP(A235,ScaledPrice,5))*(2-(VLOOKUP(A235,ScaledPrice,3)))),0))</f>
        <v> </v>
      </c>
      <c r="M235" s="279" t="str">
        <f aca="false">IF(A235="N/A"," ",IF(OR('Pricing Inputs'!$AQ$3=3,'Pricing Inputs'!$AQ$3=6,'Pricing Inputs'!$AQ$3=9),(VLOOKUP(A235,ScaledPrice,IF(AND('Pricing Inputs'!$AQ$3&gt;=3,'Pricing Inputs'!$AQ$3&lt;=6),7,8))),0))</f>
        <v> </v>
      </c>
      <c r="N235" s="279" t="str">
        <f aca="false">IF(A235="N/A"," ",IF(OR('Pricing Inputs'!$AQ$3=3,'Pricing Inputs'!$AQ$3=6,'Pricing Inputs'!$AQ$3=9),IF(AND('Pricing Inputs'!$AQ$3&gt;=3,'Pricing Inputs'!$AQ$3&lt;=6),M235,(VLOOKUP(A235,ScaledPrice,7))*(2-(VLOOKUP(A235,ScaledPrice,3)))),0))</f>
        <v> </v>
      </c>
      <c r="O235" s="279" t="str">
        <f aca="false">IF(A235="N/A"," ",IF(AND('Pricing Inputs'!$AQ$3&gt;=1,'Pricing Inputs'!$AQ$3&lt;=3),VLOOKUP(A235,ScaledPrice,9),0))</f>
        <v> </v>
      </c>
      <c r="P235" s="280" t="str">
        <f aca="false">IF($A235="N/A"," ",IF('Pricing Inputs'!$AN$8=2,(I235-H235),IF('Pricing Inputs'!$AN$3=2,IF((I235-$H235)&gt;0,I235-$H235,0),(xSPRDOPT(I235,$E235,$BU235,0,$BP235,$BS235,$BT235,($A235-Inputs!$D$1)+15,1,0)))))</f>
        <v> </v>
      </c>
      <c r="Q235" s="280" t="str">
        <f aca="false">IF($A235="N/A"," ",IF('Pricing Inputs'!$AN$8=2,(J235-$H235),IF('Pricing Inputs'!$AN$3=2,IF((J235-$H235)&gt;0,J235-$H235,0),(xSPRDOPT(J235,$E235,$BU235,0,$BP235,$BS235,$BT235,($A235-Inputs!$D$1)+15,1,0)))))</f>
        <v> </v>
      </c>
      <c r="R235" s="280" t="str">
        <f aca="false">IF($A235="N/A"," ",IF('Pricing Inputs'!$AN$8=2,(K235-$H235),IF('Pricing Inputs'!$AN$3=2,IF((K235-$H235)&gt;0,K235-$H235,0),(xSPRDOPT(K235,$E235,$BU235,0,$BP235,$BS235,$BT235,($A235-Inputs!$D$1)+15,1,0)))))</f>
        <v> </v>
      </c>
      <c r="S235" s="280" t="str">
        <f aca="false">IF($A235="N/A"," ",IF('Pricing Inputs'!$AN$8=2,(L235-$H235),IF('Pricing Inputs'!$AN$3=2,IF((L235-$H235)&gt;0,L235-$H235,0),(xSPRDOPT(L235,$E235,$BU235,0,$BP235,$BS235,$BT235,($A235-Inputs!$D$1)+15,1,0)))))</f>
        <v> </v>
      </c>
      <c r="T235" s="280" t="str">
        <f aca="false">IF($A235="N/A"," ",IF('Pricing Inputs'!$AN$8=2,(M235-$H235),IF('Pricing Inputs'!$AN$3=2,IF((M235-$H235)&gt;0,M235-$H235,0),(xSPRDOPT(M235,$E235,$BU235,0,$BP235,$BS235,$BT235,($A235-Inputs!$D$1)+15,1,0)))))</f>
        <v> </v>
      </c>
      <c r="U235" s="280" t="str">
        <f aca="false">IF($A235="N/A"," ",IF('Pricing Inputs'!$AN$8=2,(N235-$H235),IF('Pricing Inputs'!$AN$3=2,IF((N235-$H235)&gt;0,N235-$H235,0),(xSPRDOPT(N235,$E235,$BU235,0,$BP235,$BS235,$BT235,($A235-Inputs!$D$1)+15,1,0)))))</f>
        <v> </v>
      </c>
      <c r="V235" s="281" t="str">
        <f aca="false">IF($A235="N/A"," ",(IF('Pricing Inputs'!$AN$8=2,(O235-$H235),IF((O235-$H235)&lt;=0,0,(O235-$H235)))))</f>
        <v> </v>
      </c>
      <c r="W235" s="282" t="str">
        <f aca="false">IF($A235="N/A"," ",IF(0&lt;&gt;P235,IF('Pricing Inputs'!$AN$3=2,8*VLOOKUP($A235,NumberofDaysTable,2),(xSPRDOPT(I235,$E235,$BU235,0,$BP235,$BS235,$BT235,$A235-Inputs!$D$1,1,1))*(8*VLOOKUP($A235,NumberofDaysTable,2))),0))</f>
        <v> </v>
      </c>
      <c r="X235" s="282" t="str">
        <f aca="false">IF($A235="N/A"," ",IF(Q235&lt;&gt;0,IF('Pricing Inputs'!$AN$3=2,8*VLOOKUP($A235,NumberofDaysTable,2),(xSPRDOPT(J235,$E235,$BU235,0,$BP235,$BS235,$BT235,$A235-Inputs!$D$1,1,1))*(8*VLOOKUP($A235,NumberofDaysTable,2))),0))</f>
        <v> </v>
      </c>
      <c r="Y235" s="282" t="str">
        <f aca="false">IF($A235="N/A"," ",IF(R235&lt;&gt;0,IF('Pricing Inputs'!$AN$3=2,8*VLOOKUP($A235,NumberofDaysTable,3),(xSPRDOPT(K235,$E235,$BU235,0,$BP235,$BS235,$BT235,$A235-Inputs!$D$1,1,1))*(8*VLOOKUP($A235,NumberofDaysTable,3))),0))</f>
        <v> </v>
      </c>
      <c r="Z235" s="282" t="str">
        <f aca="false">IF($A235="N/A"," ",IF(S235&lt;&gt;0,IF('Pricing Inputs'!$AN$3=2,8*VLOOKUP($A235,NumberofDaysTable,3),(xSPRDOPT(L235,$E235,$BU235,0,$BP235,$BS235,$BT235,$A235-Inputs!$D$1,1,1))*(8*VLOOKUP($A235,NumberofDaysTable,3))),0))</f>
        <v> </v>
      </c>
      <c r="AA235" s="282" t="str">
        <f aca="false">IF($A235="N/A"," ",IF(T235&lt;&gt;0,IF('Pricing Inputs'!$AN$3=2,8*VLOOKUP($A235,NumberofDaysTable,4),(xSPRDOPT(M235,$E235,$BU235,0,$BP235,$BS235,$BT235,$A235-Inputs!$D$1,1,1))*(8*VLOOKUP($A235,NumberofDaysTable,4))),0))</f>
        <v> </v>
      </c>
      <c r="AB235" s="282" t="str">
        <f aca="false">IF($A235="N/A"," ",IF(U235&lt;&gt;0,IF('Pricing Inputs'!$AN$3=2,8*VLOOKUP($A235,NumberofDaysTable,4),(xSPRDOPT(N235,$E235,$BU235,0,$BP235,$BS235,$BT235,$A235-Inputs!$D$1,1,1))*(8*VLOOKUP($A235,NumberofDaysTable,4))),0))</f>
        <v> </v>
      </c>
      <c r="AC235" s="282" t="str">
        <f aca="false">IF($A235="N/A"," ",(IF(V235&lt;&gt;0,(8*VLOOKUP($A235,NumberofDaysTable,6)),0)))</f>
        <v> </v>
      </c>
      <c r="AD235" s="298" t="str">
        <f aca="false">IF($A235="N/A"," ",RANK(P235,$P$232:$V$243))</f>
        <v> </v>
      </c>
      <c r="AE235" s="299" t="str">
        <f aca="false">IF($A235="N/A"," ",RANK(Q235,$P$232:$V$243))</f>
        <v> </v>
      </c>
      <c r="AF235" s="299" t="str">
        <f aca="false">IF($A235="N/A"," ",RANK(R235,$P$232:$V$243))</f>
        <v> </v>
      </c>
      <c r="AG235" s="299" t="str">
        <f aca="false">IF($A235="N/A"," ",RANK(S235,$P$232:$V$243))</f>
        <v> </v>
      </c>
      <c r="AH235" s="299" t="str">
        <f aca="false">IF($A235="N/A"," ",RANK(T235,$P$232:$V$243))</f>
        <v> </v>
      </c>
      <c r="AI235" s="299" t="str">
        <f aca="false">IF($A235="N/A"," ",RANK(U235,$P$232:$V$243))</f>
        <v> </v>
      </c>
      <c r="AJ235" s="300" t="str">
        <f aca="false">IF($A235="N/A"," ",RANK(V235,$P$232:$V$243))</f>
        <v> </v>
      </c>
      <c r="AK235" s="286" t="str">
        <f aca="false">IF($A235="N/A"," ",IF(AD235&lt;=$AJ$2,W235,0))</f>
        <v> </v>
      </c>
      <c r="AL235" s="301" t="str">
        <f aca="false">IF($A235="N/A"," ",IF(AE235&lt;=$AJ$2,X235,0))</f>
        <v> </v>
      </c>
      <c r="AM235" s="301" t="str">
        <f aca="false">IF($A235="N/A"," ",IF(AF235&lt;=$AJ$2,Y235,0))</f>
        <v> </v>
      </c>
      <c r="AN235" s="301" t="str">
        <f aca="false">IF($A235="N/A"," ",IF(AG235&lt;=$AJ$2,Z235,0))</f>
        <v> </v>
      </c>
      <c r="AO235" s="301" t="str">
        <f aca="false">IF($A235="N/A"," ",IF(AH235&lt;=$AJ$2,AA235,0))</f>
        <v> </v>
      </c>
      <c r="AP235" s="301" t="str">
        <f aca="false">IF($A235="N/A"," ",IF(AI235&lt;=$AJ$2,AB235,0))</f>
        <v> </v>
      </c>
      <c r="AQ235" s="301" t="str">
        <f aca="false">IF($A235="N/A"," ",IF(AJ235&lt;=$AJ$2,AC235,0))</f>
        <v> </v>
      </c>
      <c r="AR235" s="300"/>
      <c r="AS235" s="288" t="str">
        <f aca="false">IF($A235="N/A"," ",IF(AND(AD235=$AJ$2+1,AK235=0),MIN($AR$243,W235),0))</f>
        <v> </v>
      </c>
      <c r="AT235" s="302" t="str">
        <f aca="false">IF($A235="N/A"," ",IF(AND(AE235=$AJ$2+1,AL235=0),MIN($AR$243,X235),0))</f>
        <v> </v>
      </c>
      <c r="AU235" s="302" t="str">
        <f aca="false">IF($A235="N/A"," ",IF(AND(AF235=$AJ$2+1,AM235=0),MIN($AR$243,Y235),0))</f>
        <v> </v>
      </c>
      <c r="AV235" s="302" t="str">
        <f aca="false">IF($A235="N/A"," ",IF(AND(AG235=$AJ$2+1,AN235=0),MIN($AR$243,Z235),0))</f>
        <v> </v>
      </c>
      <c r="AW235" s="302" t="str">
        <f aca="false">IF($A235="N/A"," ",IF(AND(AH235=$AJ$2+1,AO235=0),MIN($AR$243,AA235),0))</f>
        <v> </v>
      </c>
      <c r="AX235" s="302" t="str">
        <f aca="false">IF($A235="N/A"," ",IF(AND(AI235=$AJ$2+1,AP235=0),MIN($AR$243,AB235),0))</f>
        <v> </v>
      </c>
      <c r="AY235" s="302" t="str">
        <f aca="false">IF($A235="N/A"," ",IF(AND(AJ235=$AJ$2+1,AQ235=0),MIN($AR$243,AC235),0))</f>
        <v> </v>
      </c>
      <c r="AZ235" s="300"/>
      <c r="BA235" s="291" t="str">
        <f aca="false">IF($A235="N/A"," ",(IF(MONTH(A235)&gt;=4,IF(MONTH(A235)&lt;=10,Inputs!$F$13,Inputs!$F$14),Inputs!$F$14))*$BW235)</f>
        <v> </v>
      </c>
      <c r="BB235" s="292" t="str">
        <f aca="false">IF($A235="N/A"," ",(IF(AK235&gt;0,($BA235*(8*(VLOOKUP($A235,NumberofDaysTable,2)))*P235),0)+IF(AS235&gt;0,($BA235*((AS235))*P235),0)))</f>
        <v> </v>
      </c>
      <c r="BC235" s="292" t="str">
        <f aca="false">IF($A235="N/A"," ",(IF(AL235&gt;0,($BA235*(8*(VLOOKUP($A235,NumberofDaysTable,2)))*Q235),0)+IF(AT235&gt;0,($BA235*((AT235))*Q235),0)))</f>
        <v> </v>
      </c>
      <c r="BD235" s="292" t="str">
        <f aca="false">IF($A235="N/A"," ",(IF(AM235&gt;0,($BA235*(8*(VLOOKUP($A235,NumberofDaysTable,3)))*R235),0)+IF(AU235&gt;0,($BA235*((AU235))*R235),0)))</f>
        <v> </v>
      </c>
      <c r="BE235" s="292" t="str">
        <f aca="false">IF($A235="N/A"," ",(IF(AN235&gt;0,($BA235*(8*(VLOOKUP($A235,NumberofDaysTable,3)))*S235),0)+IF(AV235&gt;0,($BA235*((AV235))*S235),0)))</f>
        <v> </v>
      </c>
      <c r="BF235" s="292" t="str">
        <f aca="false">IF($A235="N/A"," ",(IF(AO235&gt;0,($BA235*(8*(VLOOKUP($A235,NumberofDaysTable,4)+VLOOKUP($A235,NumberofDaysTable,5)))*T235),0)+IF(AW235&gt;0,($BA235*((AW235))*T235),0)))</f>
        <v> </v>
      </c>
      <c r="BG235" s="292" t="str">
        <f aca="false">IF($A235="N/A"," ",(IF(AP235&gt;0,($BA235*(8*(VLOOKUP($A235,NumberofDaysTable,4)+VLOOKUP($A235,NumberofDaysTable,5)))*U235),0)+IF(AX235&gt;0,($BA235*((AX235))*U235),0)))</f>
        <v> </v>
      </c>
      <c r="BH235" s="292" t="str">
        <f aca="false">IF($A235="N/A"," ",($BA235*AQ235*V235))</f>
        <v> </v>
      </c>
      <c r="BI235" s="292" t="str">
        <f aca="false">IF($A235="N/A"," ",SUM(BB235:BH235))</f>
        <v> </v>
      </c>
      <c r="BJ235" s="293" t="str">
        <f aca="false">IF($A235="N/A"," ",(H235*(SUM(AK235:AQ235)+SUM(AS235:AY235))*BA235))</f>
        <v> </v>
      </c>
      <c r="BK235" s="293" t="str">
        <f aca="false">IF($A235="N/A"," ",((C235*D235)*(SUM($AK235:$AQ235)+SUM($AS235:$AY235))*$BA235))</f>
        <v> </v>
      </c>
      <c r="BL235" s="293" t="str">
        <f aca="false">IF($A235="N/A"," ",(F235*(SUM($AK235:$AQ235)+SUM($AS235:$AY235))*$BA235))</f>
        <v> </v>
      </c>
      <c r="BM235" s="293" t="str">
        <f aca="false">IF($A235="N/A"," ",(G235*(SUM($AK235:$AQ235)+SUM($AS235:$AY235))*$BA235))</f>
        <v> </v>
      </c>
      <c r="BN235" s="294" t="str">
        <f aca="false">IF(A235="N/A"," ",(VLOOKUP(A235,PowerVolTable,(IF('Pricing Inputs'!$AT$3=2,7,IF('Pricing Inputs'!$AT$3=1,6,8))),FALSE())))</f>
        <v> </v>
      </c>
      <c r="BO235" s="294" t="str">
        <f aca="false">IF(A235="N/A"," ",(VLOOKUP(A235,IntraPowerVol,(IF('Pricing Inputs'!$AT$3=2,3,IF('Pricing Inputs'!$AT$3=1,2,4))),FALSE())*VLOOKUP(MONTH($A235),Inputs!$A$28:$B$39,2)))</f>
        <v> </v>
      </c>
      <c r="BP235" s="295" t="str">
        <f aca="false">IF($A235="N/A"," ",(IF(DateToday&gt;$A235,$BO235,((($BN235^2)*((($A235-1)-DateToday)/((EOMONTH($A235,0)+1)-DateToday-15)))+((($BO235)^2)*((15)/((EOMONTH($A235,0)+1)-DateToday-15))))^0.5)))</f>
        <v> </v>
      </c>
      <c r="BQ235" s="294" t="str">
        <f aca="false">IF($A235="N/A"," ",(VLOOKUP($A235,GasVolTable,(IF('Pricing Inputs'!$AT$3=2,6,IF('Pricing Inputs'!$AT$3=1,7,5))),FALSE())))</f>
        <v> </v>
      </c>
      <c r="BR235" s="294" t="str">
        <f aca="false">IF($A235="N/A"," ",(VLOOKUP($A235,OmicronVol,(IF('Pricing Inputs'!$AT$3=2,3,IF('Pricing Inputs'!$AT$3=1,4,2))),FALSE())))</f>
        <v> </v>
      </c>
      <c r="BS235" s="295" t="str">
        <f aca="false">IF($A235="N/A"," ",IF('Pricing Inputs'!$AN$3=1,(IF(DateToday&gt;$A235,$BR235,((($BQ235^2)*((($A235-1)-DateToday)/((EOMONTH($A235,0)+1)-DateToday-15)))+((($BR235)^2)*((15)/((EOMONTH($A235,0)+1)-DateToday-15))))^0.5)),0.0001))</f>
        <v> </v>
      </c>
      <c r="BT235" s="294" t="str">
        <f aca="false">IF($A235="N/A"," ",IF('Pricing Inputs'!$AN$3=1,(VLOOKUP($A235,CorrelationTable,2,FALSE())),0))</f>
        <v> </v>
      </c>
      <c r="BU235" s="296" t="str">
        <f aca="false">IF($A235="N/A"," ",F235+G235+(D235*(VLOOKUP($A235,'Gas Curves'!$B$17:$P$310,14,FALSE()))))</f>
        <v> </v>
      </c>
      <c r="BV235" s="294" t="str">
        <f aca="false">IF($A235="N/A"," ",IF('Pricing Inputs'!$AW$3=1,0,(VLOOKUP($A235,InterestRatesTable,2))))</f>
        <v> </v>
      </c>
      <c r="BW235" s="297" t="str">
        <f aca="false">IF($A235="N/A"," ",(1+BV235/2)^(-2*((EOMONTH(A235,0)+20)-DateToday)/365.25))</f>
        <v> </v>
      </c>
    </row>
    <row r="236" customFormat="false" ht="12.75" hidden="false" customHeight="false" outlineLevel="0" collapsed="false">
      <c r="A236" s="272" t="str">
        <f aca="false">IF(A235="N/A","N/A",IF(EDATE(A235,1)&gt;Inputs!$K$3,"N/A",EDATE(A235,1)))</f>
        <v>N/A</v>
      </c>
      <c r="B236" s="273" t="str">
        <f aca="false">IF(A236="N/A"," ",YEAR(A236))</f>
        <v> </v>
      </c>
      <c r="C236" s="274" t="str">
        <f aca="false">IF(A236="N/A"," ",VLOOKUP(A236,ScaledPrice,10))</f>
        <v> </v>
      </c>
      <c r="D236" s="275" t="str">
        <f aca="false">IF(A236="N/A"," ",(VLOOKUP(MONTH($A236),Inputs!$A$14:$B$25,2))/1000)</f>
        <v> </v>
      </c>
      <c r="E236" s="276" t="str">
        <f aca="false">IF($A236="N/A"," ",C236*D236)</f>
        <v> </v>
      </c>
      <c r="F236" s="277" t="str">
        <f aca="false">IF(A236="N/A"," ",Inputs!$F$6)</f>
        <v> </v>
      </c>
      <c r="G236" s="277" t="str">
        <f aca="false">IF(A236="N/A"," ",Inputs!$F$9/IF(AND('Pricing Inputs'!$AQ$3&gt;=4,'Pricing Inputs'!$AQ$3&lt;=6),16,IF(AND('Pricing Inputs'!$AQ$3&gt;=7,'Pricing Inputs'!$AQ$3&lt;=9),8,24))/(BA236/BW236))</f>
        <v> </v>
      </c>
      <c r="H236" s="278" t="str">
        <f aca="false">IF(A236="N/A"," ",(C236*D236)+F236+G236)</f>
        <v> </v>
      </c>
      <c r="I236" s="279" t="str">
        <f aca="false">VLOOKUP(A236,ScaledPrice,(IF(AND('Pricing Inputs'!$AQ$3&gt;=1,'Pricing Inputs'!$AQ$3&lt;=6),2,4)))</f>
        <v> </v>
      </c>
      <c r="J236" s="279" t="str">
        <f aca="false">IF(A236="N/A"," ",IF(AND('Pricing Inputs'!$AQ$3&gt;=1,'Pricing Inputs'!$AQ$3&lt;=6),I236,(VLOOKUP(A236,ScaledPrice,2))*(2-(VLOOKUP(A236,ScaledPrice,3)))))</f>
        <v> </v>
      </c>
      <c r="K236" s="279" t="str">
        <f aca="false">IF(A236="N/A"," ",IF(OR('Pricing Inputs'!$AQ$3=2,'Pricing Inputs'!$AQ$3=3,'Pricing Inputs'!$AQ$3=5,'Pricing Inputs'!$AQ$3=6,'Pricing Inputs'!$AQ$3=8,'Pricing Inputs'!$AQ$3=9),VLOOKUP(A236,ScaledPrice,IF(AND('Pricing Inputs'!$AQ$3&gt;=2,'Pricing Inputs'!$AQ$3&lt;=6),5,6)),0))</f>
        <v> </v>
      </c>
      <c r="L236" s="279" t="str">
        <f aca="false">IF(A236="N/A"," ",IF(OR('Pricing Inputs'!$AQ$3=2,'Pricing Inputs'!$AQ$3=3,'Pricing Inputs'!$AQ$3=5,'Pricing Inputs'!$AQ$3=6,'Pricing Inputs'!$AQ$3=8,'Pricing Inputs'!$AQ$3=9),IF(AND('Pricing Inputs'!$AQ$3&gt;=2,'Pricing Inputs'!$AQ$3&lt;=6),K236,(VLOOKUP(A236,ScaledPrice,5))*(2-(VLOOKUP(A236,ScaledPrice,3)))),0))</f>
        <v> </v>
      </c>
      <c r="M236" s="279" t="str">
        <f aca="false">IF(A236="N/A"," ",IF(OR('Pricing Inputs'!$AQ$3=3,'Pricing Inputs'!$AQ$3=6,'Pricing Inputs'!$AQ$3=9),(VLOOKUP(A236,ScaledPrice,IF(AND('Pricing Inputs'!$AQ$3&gt;=3,'Pricing Inputs'!$AQ$3&lt;=6),7,8))),0))</f>
        <v> </v>
      </c>
      <c r="N236" s="279" t="str">
        <f aca="false">IF(A236="N/A"," ",IF(OR('Pricing Inputs'!$AQ$3=3,'Pricing Inputs'!$AQ$3=6,'Pricing Inputs'!$AQ$3=9),IF(AND('Pricing Inputs'!$AQ$3&gt;=3,'Pricing Inputs'!$AQ$3&lt;=6),M236,(VLOOKUP(A236,ScaledPrice,7))*(2-(VLOOKUP(A236,ScaledPrice,3)))),0))</f>
        <v> </v>
      </c>
      <c r="O236" s="279" t="str">
        <f aca="false">IF(A236="N/A"," ",IF(AND('Pricing Inputs'!$AQ$3&gt;=1,'Pricing Inputs'!$AQ$3&lt;=3),VLOOKUP(A236,ScaledPrice,9),0))</f>
        <v> </v>
      </c>
      <c r="P236" s="280" t="str">
        <f aca="false">IF($A236="N/A"," ",IF('Pricing Inputs'!$AN$8=2,(I236-H236),IF('Pricing Inputs'!$AN$3=2,IF((I236-$H236)&gt;0,I236-$H236,0),(xSPRDOPT(I236,$E236,$BU236,0,$BP236,$BS236,$BT236,($A236-Inputs!$D$1)+15,1,0)))))</f>
        <v> </v>
      </c>
      <c r="Q236" s="280" t="str">
        <f aca="false">IF($A236="N/A"," ",IF('Pricing Inputs'!$AN$8=2,(J236-$H236),IF('Pricing Inputs'!$AN$3=2,IF((J236-$H236)&gt;0,J236-$H236,0),(xSPRDOPT(J236,$E236,$BU236,0,$BP236,$BS236,$BT236,($A236-Inputs!$D$1)+15,1,0)))))</f>
        <v> </v>
      </c>
      <c r="R236" s="280" t="str">
        <f aca="false">IF($A236="N/A"," ",IF('Pricing Inputs'!$AN$8=2,(K236-$H236),IF('Pricing Inputs'!$AN$3=2,IF((K236-$H236)&gt;0,K236-$H236,0),(xSPRDOPT(K236,$E236,$BU236,0,$BP236,$BS236,$BT236,($A236-Inputs!$D$1)+15,1,0)))))</f>
        <v> </v>
      </c>
      <c r="S236" s="280" t="str">
        <f aca="false">IF($A236="N/A"," ",IF('Pricing Inputs'!$AN$8=2,(L236-$H236),IF('Pricing Inputs'!$AN$3=2,IF((L236-$H236)&gt;0,L236-$H236,0),(xSPRDOPT(L236,$E236,$BU236,0,$BP236,$BS236,$BT236,($A236-Inputs!$D$1)+15,1,0)))))</f>
        <v> </v>
      </c>
      <c r="T236" s="280" t="str">
        <f aca="false">IF($A236="N/A"," ",IF('Pricing Inputs'!$AN$8=2,(M236-$H236),IF('Pricing Inputs'!$AN$3=2,IF((M236-$H236)&gt;0,M236-$H236,0),(xSPRDOPT(M236,$E236,$BU236,0,$BP236,$BS236,$BT236,($A236-Inputs!$D$1)+15,1,0)))))</f>
        <v> </v>
      </c>
      <c r="U236" s="280" t="str">
        <f aca="false">IF($A236="N/A"," ",IF('Pricing Inputs'!$AN$8=2,(N236-$H236),IF('Pricing Inputs'!$AN$3=2,IF((N236-$H236)&gt;0,N236-$H236,0),(xSPRDOPT(N236,$E236,$BU236,0,$BP236,$BS236,$BT236,($A236-Inputs!$D$1)+15,1,0)))))</f>
        <v> </v>
      </c>
      <c r="V236" s="281" t="str">
        <f aca="false">IF($A236="N/A"," ",(IF('Pricing Inputs'!$AN$8=2,(O236-$H236),IF((O236-$H236)&lt;=0,0,(O236-$H236)))))</f>
        <v> </v>
      </c>
      <c r="W236" s="282" t="str">
        <f aca="false">IF($A236="N/A"," ",IF(0&lt;&gt;P236,IF('Pricing Inputs'!$AN$3=2,8*VLOOKUP($A236,NumberofDaysTable,2),(xSPRDOPT(I236,$E236,$BU236,0,$BP236,$BS236,$BT236,$A236-Inputs!$D$1,1,1))*(8*VLOOKUP($A236,NumberofDaysTable,2))),0))</f>
        <v> </v>
      </c>
      <c r="X236" s="282" t="str">
        <f aca="false">IF($A236="N/A"," ",IF(Q236&lt;&gt;0,IF('Pricing Inputs'!$AN$3=2,8*VLOOKUP($A236,NumberofDaysTable,2),(xSPRDOPT(J236,$E236,$BU236,0,$BP236,$BS236,$BT236,$A236-Inputs!$D$1,1,1))*(8*VLOOKUP($A236,NumberofDaysTable,2))),0))</f>
        <v> </v>
      </c>
      <c r="Y236" s="282" t="str">
        <f aca="false">IF($A236="N/A"," ",IF(R236&lt;&gt;0,IF('Pricing Inputs'!$AN$3=2,8*VLOOKUP($A236,NumberofDaysTable,3),(xSPRDOPT(K236,$E236,$BU236,0,$BP236,$BS236,$BT236,$A236-Inputs!$D$1,1,1))*(8*VLOOKUP($A236,NumberofDaysTable,3))),0))</f>
        <v> </v>
      </c>
      <c r="Z236" s="282" t="str">
        <f aca="false">IF($A236="N/A"," ",IF(S236&lt;&gt;0,IF('Pricing Inputs'!$AN$3=2,8*VLOOKUP($A236,NumberofDaysTable,3),(xSPRDOPT(L236,$E236,$BU236,0,$BP236,$BS236,$BT236,$A236-Inputs!$D$1,1,1))*(8*VLOOKUP($A236,NumberofDaysTable,3))),0))</f>
        <v> </v>
      </c>
      <c r="AA236" s="282" t="str">
        <f aca="false">IF($A236="N/A"," ",IF(T236&lt;&gt;0,IF('Pricing Inputs'!$AN$3=2,8*VLOOKUP($A236,NumberofDaysTable,4),(xSPRDOPT(M236,$E236,$BU236,0,$BP236,$BS236,$BT236,$A236-Inputs!$D$1,1,1))*(8*VLOOKUP($A236,NumberofDaysTable,4))),0))</f>
        <v> </v>
      </c>
      <c r="AB236" s="282" t="str">
        <f aca="false">IF($A236="N/A"," ",IF(U236&lt;&gt;0,IF('Pricing Inputs'!$AN$3=2,8*VLOOKUP($A236,NumberofDaysTable,4),(xSPRDOPT(N236,$E236,$BU236,0,$BP236,$BS236,$BT236,$A236-Inputs!$D$1,1,1))*(8*VLOOKUP($A236,NumberofDaysTable,4))),0))</f>
        <v> </v>
      </c>
      <c r="AC236" s="282" t="str">
        <f aca="false">IF($A236="N/A"," ",(IF(V236&lt;&gt;0,(8*VLOOKUP($A236,NumberofDaysTable,6)),0)))</f>
        <v> </v>
      </c>
      <c r="AD236" s="298" t="str">
        <f aca="false">IF($A236="N/A"," ",RANK(P236,$P$232:$V$243))</f>
        <v> </v>
      </c>
      <c r="AE236" s="299" t="str">
        <f aca="false">IF($A236="N/A"," ",RANK(Q236,$P$232:$V$243))</f>
        <v> </v>
      </c>
      <c r="AF236" s="299" t="str">
        <f aca="false">IF($A236="N/A"," ",RANK(R236,$P$232:$V$243))</f>
        <v> </v>
      </c>
      <c r="AG236" s="299" t="str">
        <f aca="false">IF($A236="N/A"," ",RANK(S236,$P$232:$V$243))</f>
        <v> </v>
      </c>
      <c r="AH236" s="299" t="str">
        <f aca="false">IF($A236="N/A"," ",RANK(T236,$P$232:$V$243))</f>
        <v> </v>
      </c>
      <c r="AI236" s="299" t="str">
        <f aca="false">IF($A236="N/A"," ",RANK(U236,$P$232:$V$243))</f>
        <v> </v>
      </c>
      <c r="AJ236" s="300" t="str">
        <f aca="false">IF($A236="N/A"," ",RANK(V236,$P$232:$V$243))</f>
        <v> </v>
      </c>
      <c r="AK236" s="286" t="str">
        <f aca="false">IF($A236="N/A"," ",IF(AD236&lt;=$AJ$2,W236,0))</f>
        <v> </v>
      </c>
      <c r="AL236" s="301" t="str">
        <f aca="false">IF($A236="N/A"," ",IF(AE236&lt;=$AJ$2,X236,0))</f>
        <v> </v>
      </c>
      <c r="AM236" s="301" t="str">
        <f aca="false">IF($A236="N/A"," ",IF(AF236&lt;=$AJ$2,Y236,0))</f>
        <v> </v>
      </c>
      <c r="AN236" s="301" t="str">
        <f aca="false">IF($A236="N/A"," ",IF(AG236&lt;=$AJ$2,Z236,0))</f>
        <v> </v>
      </c>
      <c r="AO236" s="301" t="str">
        <f aca="false">IF($A236="N/A"," ",IF(AH236&lt;=$AJ$2,AA236,0))</f>
        <v> </v>
      </c>
      <c r="AP236" s="301" t="str">
        <f aca="false">IF($A236="N/A"," ",IF(AI236&lt;=$AJ$2,AB236,0))</f>
        <v> </v>
      </c>
      <c r="AQ236" s="301" t="str">
        <f aca="false">IF($A236="N/A"," ",IF(AJ236&lt;=$AJ$2,AC236,0))</f>
        <v> </v>
      </c>
      <c r="AR236" s="300"/>
      <c r="AS236" s="288" t="str">
        <f aca="false">IF($A236="N/A"," ",IF(AND(AD236=$AJ$2+1,AK236=0),MIN($AR$243,W236),0))</f>
        <v> </v>
      </c>
      <c r="AT236" s="302" t="str">
        <f aca="false">IF($A236="N/A"," ",IF(AND(AE236=$AJ$2+1,AL236=0),MIN($AR$243,X236),0))</f>
        <v> </v>
      </c>
      <c r="AU236" s="302" t="str">
        <f aca="false">IF($A236="N/A"," ",IF(AND(AF236=$AJ$2+1,AM236=0),MIN($AR$243,Y236),0))</f>
        <v> </v>
      </c>
      <c r="AV236" s="302" t="str">
        <f aca="false">IF($A236="N/A"," ",IF(AND(AG236=$AJ$2+1,AN236=0),MIN($AR$243,Z236),0))</f>
        <v> </v>
      </c>
      <c r="AW236" s="302" t="str">
        <f aca="false">IF($A236="N/A"," ",IF(AND(AH236=$AJ$2+1,AO236=0),MIN($AR$243,AA236),0))</f>
        <v> </v>
      </c>
      <c r="AX236" s="302" t="str">
        <f aca="false">IF($A236="N/A"," ",IF(AND(AI236=$AJ$2+1,AP236=0),MIN($AR$243,AB236),0))</f>
        <v> </v>
      </c>
      <c r="AY236" s="302" t="str">
        <f aca="false">IF($A236="N/A"," ",IF(AND(AJ236=$AJ$2+1,AQ236=0),MIN($AR$243,AC236),0))</f>
        <v> </v>
      </c>
      <c r="AZ236" s="300"/>
      <c r="BA236" s="291" t="str">
        <f aca="false">IF($A236="N/A"," ",(IF(MONTH(A236)&gt;=4,IF(MONTH(A236)&lt;=10,Inputs!$F$13,Inputs!$F$14),Inputs!$F$14))*$BW236)</f>
        <v> </v>
      </c>
      <c r="BB236" s="292" t="str">
        <f aca="false">IF($A236="N/A"," ",(IF(AK236&gt;0,($BA236*(8*(VLOOKUP($A236,NumberofDaysTable,2)))*P236),0)+IF(AS236&gt;0,($BA236*((AS236))*P236),0)))</f>
        <v> </v>
      </c>
      <c r="BC236" s="292" t="str">
        <f aca="false">IF($A236="N/A"," ",(IF(AL236&gt;0,($BA236*(8*(VLOOKUP($A236,NumberofDaysTable,2)))*Q236),0)+IF(AT236&gt;0,($BA236*((AT236))*Q236),0)))</f>
        <v> </v>
      </c>
      <c r="BD236" s="292" t="str">
        <f aca="false">IF($A236="N/A"," ",(IF(AM236&gt;0,($BA236*(8*(VLOOKUP($A236,NumberofDaysTable,3)))*R236),0)+IF(AU236&gt;0,($BA236*((AU236))*R236),0)))</f>
        <v> </v>
      </c>
      <c r="BE236" s="292" t="str">
        <f aca="false">IF($A236="N/A"," ",(IF(AN236&gt;0,($BA236*(8*(VLOOKUP($A236,NumberofDaysTable,3)))*S236),0)+IF(AV236&gt;0,($BA236*((AV236))*S236),0)))</f>
        <v> </v>
      </c>
      <c r="BF236" s="292" t="str">
        <f aca="false">IF($A236="N/A"," ",(IF(AO236&gt;0,($BA236*(8*(VLOOKUP($A236,NumberofDaysTable,4)+VLOOKUP($A236,NumberofDaysTable,5)))*T236),0)+IF(AW236&gt;0,($BA236*((AW236))*T236),0)))</f>
        <v> </v>
      </c>
      <c r="BG236" s="292" t="str">
        <f aca="false">IF($A236="N/A"," ",(IF(AP236&gt;0,($BA236*(8*(VLOOKUP($A236,NumberofDaysTable,4)+VLOOKUP($A236,NumberofDaysTable,5)))*U236),0)+IF(AX236&gt;0,($BA236*((AX236))*U236),0)))</f>
        <v> </v>
      </c>
      <c r="BH236" s="292" t="str">
        <f aca="false">IF($A236="N/A"," ",($BA236*AQ236*V236))</f>
        <v> </v>
      </c>
      <c r="BI236" s="292" t="str">
        <f aca="false">IF($A236="N/A"," ",SUM(BB236:BH236))</f>
        <v> </v>
      </c>
      <c r="BJ236" s="293" t="str">
        <f aca="false">IF($A236="N/A"," ",(H236*(SUM(AK236:AQ236)+SUM(AS236:AY236))*BA236))</f>
        <v> </v>
      </c>
      <c r="BK236" s="293" t="str">
        <f aca="false">IF($A236="N/A"," ",((C236*D236)*(SUM($AK236:$AQ236)+SUM($AS236:$AY236))*$BA236))</f>
        <v> </v>
      </c>
      <c r="BL236" s="293" t="str">
        <f aca="false">IF($A236="N/A"," ",(F236*(SUM($AK236:$AQ236)+SUM($AS236:$AY236))*$BA236))</f>
        <v> </v>
      </c>
      <c r="BM236" s="293" t="str">
        <f aca="false">IF($A236="N/A"," ",(G236*(SUM($AK236:$AQ236)+SUM($AS236:$AY236))*$BA236))</f>
        <v> </v>
      </c>
      <c r="BN236" s="294" t="str">
        <f aca="false">IF(A236="N/A"," ",(VLOOKUP(A236,PowerVolTable,(IF('Pricing Inputs'!$AT$3=2,7,IF('Pricing Inputs'!$AT$3=1,6,8))),FALSE())))</f>
        <v> </v>
      </c>
      <c r="BO236" s="294" t="str">
        <f aca="false">IF(A236="N/A"," ",(VLOOKUP(A236,IntraPowerVol,(IF('Pricing Inputs'!$AT$3=2,3,IF('Pricing Inputs'!$AT$3=1,2,4))),FALSE())*VLOOKUP(MONTH($A236),Inputs!$A$28:$B$39,2)))</f>
        <v> </v>
      </c>
      <c r="BP236" s="295" t="str">
        <f aca="false">IF($A236="N/A"," ",(IF(DateToday&gt;$A236,$BO236,((($BN236^2)*((($A236-1)-DateToday)/((EOMONTH($A236,0)+1)-DateToday-15)))+((($BO236)^2)*((15)/((EOMONTH($A236,0)+1)-DateToday-15))))^0.5)))</f>
        <v> </v>
      </c>
      <c r="BQ236" s="294" t="str">
        <f aca="false">IF($A236="N/A"," ",(VLOOKUP($A236,GasVolTable,(IF('Pricing Inputs'!$AT$3=2,6,IF('Pricing Inputs'!$AT$3=1,7,5))),FALSE())))</f>
        <v> </v>
      </c>
      <c r="BR236" s="294" t="str">
        <f aca="false">IF($A236="N/A"," ",(VLOOKUP($A236,OmicronVol,(IF('Pricing Inputs'!$AT$3=2,3,IF('Pricing Inputs'!$AT$3=1,4,2))),FALSE())))</f>
        <v> </v>
      </c>
      <c r="BS236" s="295" t="str">
        <f aca="false">IF($A236="N/A"," ",IF('Pricing Inputs'!$AN$3=1,(IF(DateToday&gt;$A236,$BR236,((($BQ236^2)*((($A236-1)-DateToday)/((EOMONTH($A236,0)+1)-DateToday-15)))+((($BR236)^2)*((15)/((EOMONTH($A236,0)+1)-DateToday-15))))^0.5)),0.0001))</f>
        <v> </v>
      </c>
      <c r="BT236" s="294" t="str">
        <f aca="false">IF($A236="N/A"," ",IF('Pricing Inputs'!$AN$3=1,(VLOOKUP($A236,CorrelationTable,2,FALSE())),0))</f>
        <v> </v>
      </c>
      <c r="BU236" s="296" t="str">
        <f aca="false">IF($A236="N/A"," ",F236+G236+(D236*(VLOOKUP($A236,'Gas Curves'!$B$17:$P$310,14,FALSE()))))</f>
        <v> </v>
      </c>
      <c r="BV236" s="294" t="str">
        <f aca="false">IF($A236="N/A"," ",IF('Pricing Inputs'!$AW$3=1,0,(VLOOKUP($A236,InterestRatesTable,2))))</f>
        <v> </v>
      </c>
      <c r="BW236" s="297" t="str">
        <f aca="false">IF($A236="N/A"," ",(1+BV236/2)^(-2*((EOMONTH(A236,0)+20)-DateToday)/365.25))</f>
        <v> </v>
      </c>
    </row>
    <row r="237" customFormat="false" ht="12.75" hidden="false" customHeight="false" outlineLevel="0" collapsed="false">
      <c r="A237" s="272" t="str">
        <f aca="false">IF(A236="N/A","N/A",IF(EDATE(A236,1)&gt;Inputs!$K$3,"N/A",EDATE(A236,1)))</f>
        <v>N/A</v>
      </c>
      <c r="B237" s="273" t="str">
        <f aca="false">IF(A237="N/A"," ",YEAR(A237))</f>
        <v> </v>
      </c>
      <c r="C237" s="274" t="str">
        <f aca="false">IF(A237="N/A"," ",VLOOKUP(A237,ScaledPrice,10))</f>
        <v> </v>
      </c>
      <c r="D237" s="275" t="str">
        <f aca="false">IF(A237="N/A"," ",(VLOOKUP(MONTH($A237),Inputs!$A$14:$B$25,2))/1000)</f>
        <v> </v>
      </c>
      <c r="E237" s="276" t="str">
        <f aca="false">IF($A237="N/A"," ",C237*D237)</f>
        <v> </v>
      </c>
      <c r="F237" s="277" t="str">
        <f aca="false">IF(A237="N/A"," ",Inputs!$F$6)</f>
        <v> </v>
      </c>
      <c r="G237" s="277" t="str">
        <f aca="false">IF(A237="N/A"," ",Inputs!$F$9/IF(AND('Pricing Inputs'!$AQ$3&gt;=4,'Pricing Inputs'!$AQ$3&lt;=6),16,IF(AND('Pricing Inputs'!$AQ$3&gt;=7,'Pricing Inputs'!$AQ$3&lt;=9),8,24))/(BA237/BW237))</f>
        <v> </v>
      </c>
      <c r="H237" s="278" t="str">
        <f aca="false">IF(A237="N/A"," ",(C237*D237)+F237+G237)</f>
        <v> </v>
      </c>
      <c r="I237" s="279" t="str">
        <f aca="false">VLOOKUP(A237,ScaledPrice,(IF(AND('Pricing Inputs'!$AQ$3&gt;=1,'Pricing Inputs'!$AQ$3&lt;=6),2,4)))</f>
        <v> </v>
      </c>
      <c r="J237" s="279" t="str">
        <f aca="false">IF(A237="N/A"," ",IF(AND('Pricing Inputs'!$AQ$3&gt;=1,'Pricing Inputs'!$AQ$3&lt;=6),I237,(VLOOKUP(A237,ScaledPrice,2))*(2-(VLOOKUP(A237,ScaledPrice,3)))))</f>
        <v> </v>
      </c>
      <c r="K237" s="279" t="str">
        <f aca="false">IF(A237="N/A"," ",IF(OR('Pricing Inputs'!$AQ$3=2,'Pricing Inputs'!$AQ$3=3,'Pricing Inputs'!$AQ$3=5,'Pricing Inputs'!$AQ$3=6,'Pricing Inputs'!$AQ$3=8,'Pricing Inputs'!$AQ$3=9),VLOOKUP(A237,ScaledPrice,IF(AND('Pricing Inputs'!$AQ$3&gt;=2,'Pricing Inputs'!$AQ$3&lt;=6),5,6)),0))</f>
        <v> </v>
      </c>
      <c r="L237" s="279" t="str">
        <f aca="false">IF(A237="N/A"," ",IF(OR('Pricing Inputs'!$AQ$3=2,'Pricing Inputs'!$AQ$3=3,'Pricing Inputs'!$AQ$3=5,'Pricing Inputs'!$AQ$3=6,'Pricing Inputs'!$AQ$3=8,'Pricing Inputs'!$AQ$3=9),IF(AND('Pricing Inputs'!$AQ$3&gt;=2,'Pricing Inputs'!$AQ$3&lt;=6),K237,(VLOOKUP(A237,ScaledPrice,5))*(2-(VLOOKUP(A237,ScaledPrice,3)))),0))</f>
        <v> </v>
      </c>
      <c r="M237" s="279" t="str">
        <f aca="false">IF(A237="N/A"," ",IF(OR('Pricing Inputs'!$AQ$3=3,'Pricing Inputs'!$AQ$3=6,'Pricing Inputs'!$AQ$3=9),(VLOOKUP(A237,ScaledPrice,IF(AND('Pricing Inputs'!$AQ$3&gt;=3,'Pricing Inputs'!$AQ$3&lt;=6),7,8))),0))</f>
        <v> </v>
      </c>
      <c r="N237" s="279" t="str">
        <f aca="false">IF(A237="N/A"," ",IF(OR('Pricing Inputs'!$AQ$3=3,'Pricing Inputs'!$AQ$3=6,'Pricing Inputs'!$AQ$3=9),IF(AND('Pricing Inputs'!$AQ$3&gt;=3,'Pricing Inputs'!$AQ$3&lt;=6),M237,(VLOOKUP(A237,ScaledPrice,7))*(2-(VLOOKUP(A237,ScaledPrice,3)))),0))</f>
        <v> </v>
      </c>
      <c r="O237" s="279" t="str">
        <f aca="false">IF(A237="N/A"," ",IF(AND('Pricing Inputs'!$AQ$3&gt;=1,'Pricing Inputs'!$AQ$3&lt;=3),VLOOKUP(A237,ScaledPrice,9),0))</f>
        <v> </v>
      </c>
      <c r="P237" s="280" t="str">
        <f aca="false">IF($A237="N/A"," ",IF('Pricing Inputs'!$AN$8=2,(I237-H237),IF('Pricing Inputs'!$AN$3=2,IF((I237-$H237)&gt;0,I237-$H237,0),(xSPRDOPT(I237,$E237,$BU237,0,$BP237,$BS237,$BT237,($A237-Inputs!$D$1)+15,1,0)))))</f>
        <v> </v>
      </c>
      <c r="Q237" s="280" t="str">
        <f aca="false">IF($A237="N/A"," ",IF('Pricing Inputs'!$AN$8=2,(J237-$H237),IF('Pricing Inputs'!$AN$3=2,IF((J237-$H237)&gt;0,J237-$H237,0),(xSPRDOPT(J237,$E237,$BU237,0,$BP237,$BS237,$BT237,($A237-Inputs!$D$1)+15,1,0)))))</f>
        <v> </v>
      </c>
      <c r="R237" s="280" t="str">
        <f aca="false">IF($A237="N/A"," ",IF('Pricing Inputs'!$AN$8=2,(K237-$H237),IF('Pricing Inputs'!$AN$3=2,IF((K237-$H237)&gt;0,K237-$H237,0),(xSPRDOPT(K237,$E237,$BU237,0,$BP237,$BS237,$BT237,($A237-Inputs!$D$1)+15,1,0)))))</f>
        <v> </v>
      </c>
      <c r="S237" s="280" t="str">
        <f aca="false">IF($A237="N/A"," ",IF('Pricing Inputs'!$AN$8=2,(L237-$H237),IF('Pricing Inputs'!$AN$3=2,IF((L237-$H237)&gt;0,L237-$H237,0),(xSPRDOPT(L237,$E237,$BU237,0,$BP237,$BS237,$BT237,($A237-Inputs!$D$1)+15,1,0)))))</f>
        <v> </v>
      </c>
      <c r="T237" s="280" t="str">
        <f aca="false">IF($A237="N/A"," ",IF('Pricing Inputs'!$AN$8=2,(M237-$H237),IF('Pricing Inputs'!$AN$3=2,IF((M237-$H237)&gt;0,M237-$H237,0),(xSPRDOPT(M237,$E237,$BU237,0,$BP237,$BS237,$BT237,($A237-Inputs!$D$1)+15,1,0)))))</f>
        <v> </v>
      </c>
      <c r="U237" s="280" t="str">
        <f aca="false">IF($A237="N/A"," ",IF('Pricing Inputs'!$AN$8=2,(N237-$H237),IF('Pricing Inputs'!$AN$3=2,IF((N237-$H237)&gt;0,N237-$H237,0),(xSPRDOPT(N237,$E237,$BU237,0,$BP237,$BS237,$BT237,($A237-Inputs!$D$1)+15,1,0)))))</f>
        <v> </v>
      </c>
      <c r="V237" s="281" t="str">
        <f aca="false">IF($A237="N/A"," ",(IF('Pricing Inputs'!$AN$8=2,(O237-$H237),IF((O237-$H237)&lt;=0,0,(O237-$H237)))))</f>
        <v> </v>
      </c>
      <c r="W237" s="282" t="str">
        <f aca="false">IF($A237="N/A"," ",IF(0&lt;&gt;P237,IF('Pricing Inputs'!$AN$3=2,8*VLOOKUP($A237,NumberofDaysTable,2),(xSPRDOPT(I237,$E237,$BU237,0,$BP237,$BS237,$BT237,$A237-Inputs!$D$1,1,1))*(8*VLOOKUP($A237,NumberofDaysTable,2))),0))</f>
        <v> </v>
      </c>
      <c r="X237" s="282" t="str">
        <f aca="false">IF($A237="N/A"," ",IF(Q237&lt;&gt;0,IF('Pricing Inputs'!$AN$3=2,8*VLOOKUP($A237,NumberofDaysTable,2),(xSPRDOPT(J237,$E237,$BU237,0,$BP237,$BS237,$BT237,$A237-Inputs!$D$1,1,1))*(8*VLOOKUP($A237,NumberofDaysTable,2))),0))</f>
        <v> </v>
      </c>
      <c r="Y237" s="282" t="str">
        <f aca="false">IF($A237="N/A"," ",IF(R237&lt;&gt;0,IF('Pricing Inputs'!$AN$3=2,8*VLOOKUP($A237,NumberofDaysTable,3),(xSPRDOPT(K237,$E237,$BU237,0,$BP237,$BS237,$BT237,$A237-Inputs!$D$1,1,1))*(8*VLOOKUP($A237,NumberofDaysTable,3))),0))</f>
        <v> </v>
      </c>
      <c r="Z237" s="282" t="str">
        <f aca="false">IF($A237="N/A"," ",IF(S237&lt;&gt;0,IF('Pricing Inputs'!$AN$3=2,8*VLOOKUP($A237,NumberofDaysTable,3),(xSPRDOPT(L237,$E237,$BU237,0,$BP237,$BS237,$BT237,$A237-Inputs!$D$1,1,1))*(8*VLOOKUP($A237,NumberofDaysTable,3))),0))</f>
        <v> </v>
      </c>
      <c r="AA237" s="282" t="str">
        <f aca="false">IF($A237="N/A"," ",IF(T237&lt;&gt;0,IF('Pricing Inputs'!$AN$3=2,8*VLOOKUP($A237,NumberofDaysTable,4),(xSPRDOPT(M237,$E237,$BU237,0,$BP237,$BS237,$BT237,$A237-Inputs!$D$1,1,1))*(8*VLOOKUP($A237,NumberofDaysTable,4))),0))</f>
        <v> </v>
      </c>
      <c r="AB237" s="282" t="str">
        <f aca="false">IF($A237="N/A"," ",IF(U237&lt;&gt;0,IF('Pricing Inputs'!$AN$3=2,8*VLOOKUP($A237,NumberofDaysTable,4),(xSPRDOPT(N237,$E237,$BU237,0,$BP237,$BS237,$BT237,$A237-Inputs!$D$1,1,1))*(8*VLOOKUP($A237,NumberofDaysTable,4))),0))</f>
        <v> </v>
      </c>
      <c r="AC237" s="282" t="str">
        <f aca="false">IF($A237="N/A"," ",(IF(V237&lt;&gt;0,(8*VLOOKUP($A237,NumberofDaysTable,6)),0)))</f>
        <v> </v>
      </c>
      <c r="AD237" s="298" t="str">
        <f aca="false">IF($A237="N/A"," ",RANK(P237,$P$232:$V$243))</f>
        <v> </v>
      </c>
      <c r="AE237" s="299" t="str">
        <f aca="false">IF($A237="N/A"," ",RANK(Q237,$P$232:$V$243))</f>
        <v> </v>
      </c>
      <c r="AF237" s="299" t="str">
        <f aca="false">IF($A237="N/A"," ",RANK(R237,$P$232:$V$243))</f>
        <v> </v>
      </c>
      <c r="AG237" s="299" t="str">
        <f aca="false">IF($A237="N/A"," ",RANK(S237,$P$232:$V$243))</f>
        <v> </v>
      </c>
      <c r="AH237" s="299" t="str">
        <f aca="false">IF($A237="N/A"," ",RANK(T237,$P$232:$V$243))</f>
        <v> </v>
      </c>
      <c r="AI237" s="299" t="str">
        <f aca="false">IF($A237="N/A"," ",RANK(U237,$P$232:$V$243))</f>
        <v> </v>
      </c>
      <c r="AJ237" s="300" t="str">
        <f aca="false">IF($A237="N/A"," ",RANK(V237,$P$232:$V$243))</f>
        <v> </v>
      </c>
      <c r="AK237" s="286" t="str">
        <f aca="false">IF($A237="N/A"," ",IF(AD237&lt;=$AJ$2,W237,0))</f>
        <v> </v>
      </c>
      <c r="AL237" s="301" t="str">
        <f aca="false">IF($A237="N/A"," ",IF(AE237&lt;=$AJ$2,X237,0))</f>
        <v> </v>
      </c>
      <c r="AM237" s="301" t="str">
        <f aca="false">IF($A237="N/A"," ",IF(AF237&lt;=$AJ$2,Y237,0))</f>
        <v> </v>
      </c>
      <c r="AN237" s="301" t="str">
        <f aca="false">IF($A237="N/A"," ",IF(AG237&lt;=$AJ$2,Z237,0))</f>
        <v> </v>
      </c>
      <c r="AO237" s="301" t="str">
        <f aca="false">IF($A237="N/A"," ",IF(AH237&lt;=$AJ$2,AA237,0))</f>
        <v> </v>
      </c>
      <c r="AP237" s="301" t="str">
        <f aca="false">IF($A237="N/A"," ",IF(AI237&lt;=$AJ$2,AB237,0))</f>
        <v> </v>
      </c>
      <c r="AQ237" s="301" t="str">
        <f aca="false">IF($A237="N/A"," ",IF(AJ237&lt;=$AJ$2,AC237,0))</f>
        <v> </v>
      </c>
      <c r="AR237" s="300"/>
      <c r="AS237" s="288" t="str">
        <f aca="false">IF($A237="N/A"," ",IF(AND(AD237=$AJ$2+1,AK237=0),MIN($AR$243,W237),0))</f>
        <v> </v>
      </c>
      <c r="AT237" s="302" t="str">
        <f aca="false">IF($A237="N/A"," ",IF(AND(AE237=$AJ$2+1,AL237=0),MIN($AR$243,X237),0))</f>
        <v> </v>
      </c>
      <c r="AU237" s="302" t="str">
        <f aca="false">IF($A237="N/A"," ",IF(AND(AF237=$AJ$2+1,AM237=0),MIN($AR$243,Y237),0))</f>
        <v> </v>
      </c>
      <c r="AV237" s="302" t="str">
        <f aca="false">IF($A237="N/A"," ",IF(AND(AG237=$AJ$2+1,AN237=0),MIN($AR$243,Z237),0))</f>
        <v> </v>
      </c>
      <c r="AW237" s="302" t="str">
        <f aca="false">IF($A237="N/A"," ",IF(AND(AH237=$AJ$2+1,AO237=0),MIN($AR$243,AA237),0))</f>
        <v> </v>
      </c>
      <c r="AX237" s="302" t="str">
        <f aca="false">IF($A237="N/A"," ",IF(AND(AI237=$AJ$2+1,AP237=0),MIN($AR$243,AB237),0))</f>
        <v> </v>
      </c>
      <c r="AY237" s="302" t="str">
        <f aca="false">IF($A237="N/A"," ",IF(AND(AJ237=$AJ$2+1,AQ237=0),MIN($AR$243,AC237),0))</f>
        <v> </v>
      </c>
      <c r="AZ237" s="300"/>
      <c r="BA237" s="291" t="str">
        <f aca="false">IF($A237="N/A"," ",(IF(MONTH(A237)&gt;=4,IF(MONTH(A237)&lt;=10,Inputs!$F$13,Inputs!$F$14),Inputs!$F$14))*$BW237)</f>
        <v> </v>
      </c>
      <c r="BB237" s="292" t="str">
        <f aca="false">IF($A237="N/A"," ",(IF(AK237&gt;0,($BA237*(8*(VLOOKUP($A237,NumberofDaysTable,2)))*P237),0)+IF(AS237&gt;0,($BA237*((AS237))*P237),0)))</f>
        <v> </v>
      </c>
      <c r="BC237" s="292" t="str">
        <f aca="false">IF($A237="N/A"," ",(IF(AL237&gt;0,($BA237*(8*(VLOOKUP($A237,NumberofDaysTable,2)))*Q237),0)+IF(AT237&gt;0,($BA237*((AT237))*Q237),0)))</f>
        <v> </v>
      </c>
      <c r="BD237" s="292" t="str">
        <f aca="false">IF($A237="N/A"," ",(IF(AM237&gt;0,($BA237*(8*(VLOOKUP($A237,NumberofDaysTable,3)))*R237),0)+IF(AU237&gt;0,($BA237*((AU237))*R237),0)))</f>
        <v> </v>
      </c>
      <c r="BE237" s="292" t="str">
        <f aca="false">IF($A237="N/A"," ",(IF(AN237&gt;0,($BA237*(8*(VLOOKUP($A237,NumberofDaysTable,3)))*S237),0)+IF(AV237&gt;0,($BA237*((AV237))*S237),0)))</f>
        <v> </v>
      </c>
      <c r="BF237" s="292" t="str">
        <f aca="false">IF($A237="N/A"," ",(IF(AO237&gt;0,($BA237*(8*(VLOOKUP($A237,NumberofDaysTable,4)+VLOOKUP($A237,NumberofDaysTable,5)))*T237),0)+IF(AW237&gt;0,($BA237*((AW237))*T237),0)))</f>
        <v> </v>
      </c>
      <c r="BG237" s="292" t="str">
        <f aca="false">IF($A237="N/A"," ",(IF(AP237&gt;0,($BA237*(8*(VLOOKUP($A237,NumberofDaysTable,4)+VLOOKUP($A237,NumberofDaysTable,5)))*U237),0)+IF(AX237&gt;0,($BA237*((AX237))*U237),0)))</f>
        <v> </v>
      </c>
      <c r="BH237" s="292" t="str">
        <f aca="false">IF($A237="N/A"," ",($BA237*AQ237*V237))</f>
        <v> </v>
      </c>
      <c r="BI237" s="292" t="str">
        <f aca="false">IF($A237="N/A"," ",SUM(BB237:BH237))</f>
        <v> </v>
      </c>
      <c r="BJ237" s="293" t="str">
        <f aca="false">IF($A237="N/A"," ",(H237*(SUM(AK237:AQ237)+SUM(AS237:AY237))*BA237))</f>
        <v> </v>
      </c>
      <c r="BK237" s="293" t="str">
        <f aca="false">IF($A237="N/A"," ",((C237*D237)*(SUM($AK237:$AQ237)+SUM($AS237:$AY237))*$BA237))</f>
        <v> </v>
      </c>
      <c r="BL237" s="293" t="str">
        <f aca="false">IF($A237="N/A"," ",(F237*(SUM($AK237:$AQ237)+SUM($AS237:$AY237))*$BA237))</f>
        <v> </v>
      </c>
      <c r="BM237" s="293" t="str">
        <f aca="false">IF($A237="N/A"," ",(G237*(SUM($AK237:$AQ237)+SUM($AS237:$AY237))*$BA237))</f>
        <v> </v>
      </c>
      <c r="BN237" s="294" t="str">
        <f aca="false">IF(A237="N/A"," ",(VLOOKUP(A237,PowerVolTable,(IF('Pricing Inputs'!$AT$3=2,7,IF('Pricing Inputs'!$AT$3=1,6,8))),FALSE())))</f>
        <v> </v>
      </c>
      <c r="BO237" s="294" t="str">
        <f aca="false">IF(A237="N/A"," ",(VLOOKUP(A237,IntraPowerVol,(IF('Pricing Inputs'!$AT$3=2,3,IF('Pricing Inputs'!$AT$3=1,2,4))),FALSE())*VLOOKUP(MONTH($A237),Inputs!$A$28:$B$39,2)))</f>
        <v> </v>
      </c>
      <c r="BP237" s="295" t="str">
        <f aca="false">IF($A237="N/A"," ",(IF(DateToday&gt;$A237,$BO237,((($BN237^2)*((($A237-1)-DateToday)/((EOMONTH($A237,0)+1)-DateToday-15)))+((($BO237)^2)*((15)/((EOMONTH($A237,0)+1)-DateToday-15))))^0.5)))</f>
        <v> </v>
      </c>
      <c r="BQ237" s="294" t="str">
        <f aca="false">IF($A237="N/A"," ",(VLOOKUP($A237,GasVolTable,(IF('Pricing Inputs'!$AT$3=2,6,IF('Pricing Inputs'!$AT$3=1,7,5))),FALSE())))</f>
        <v> </v>
      </c>
      <c r="BR237" s="294" t="str">
        <f aca="false">IF($A237="N/A"," ",(VLOOKUP($A237,OmicronVol,(IF('Pricing Inputs'!$AT$3=2,3,IF('Pricing Inputs'!$AT$3=1,4,2))),FALSE())))</f>
        <v> </v>
      </c>
      <c r="BS237" s="295" t="str">
        <f aca="false">IF($A237="N/A"," ",IF('Pricing Inputs'!$AN$3=1,(IF(DateToday&gt;$A237,$BR237,((($BQ237^2)*((($A237-1)-DateToday)/((EOMONTH($A237,0)+1)-DateToday-15)))+((($BR237)^2)*((15)/((EOMONTH($A237,0)+1)-DateToday-15))))^0.5)),0.0001))</f>
        <v> </v>
      </c>
      <c r="BT237" s="294" t="str">
        <f aca="false">IF($A237="N/A"," ",IF('Pricing Inputs'!$AN$3=1,(VLOOKUP($A237,CorrelationTable,2,FALSE())),0))</f>
        <v> </v>
      </c>
      <c r="BU237" s="296" t="str">
        <f aca="false">IF($A237="N/A"," ",F237+G237+(D237*(VLOOKUP($A237,'Gas Curves'!$B$17:$P$310,14,FALSE()))))</f>
        <v> </v>
      </c>
      <c r="BV237" s="294" t="str">
        <f aca="false">IF($A237="N/A"," ",IF('Pricing Inputs'!$AW$3=1,0,(VLOOKUP($A237,InterestRatesTable,2))))</f>
        <v> </v>
      </c>
      <c r="BW237" s="297" t="str">
        <f aca="false">IF($A237="N/A"," ",(1+BV237/2)^(-2*((EOMONTH(A237,0)+20)-DateToday)/365.25))</f>
        <v> </v>
      </c>
    </row>
    <row r="238" customFormat="false" ht="12.75" hidden="false" customHeight="false" outlineLevel="0" collapsed="false">
      <c r="A238" s="272" t="str">
        <f aca="false">IF(A237="N/A","N/A",IF(EDATE(A237,1)&gt;Inputs!$K$3,"N/A",EDATE(A237,1)))</f>
        <v>N/A</v>
      </c>
      <c r="B238" s="273" t="str">
        <f aca="false">IF(A238="N/A"," ",YEAR(A238))</f>
        <v> </v>
      </c>
      <c r="C238" s="274" t="str">
        <f aca="false">IF(A238="N/A"," ",VLOOKUP(A238,ScaledPrice,10))</f>
        <v> </v>
      </c>
      <c r="D238" s="275" t="str">
        <f aca="false">IF(A238="N/A"," ",(VLOOKUP(MONTH($A238),Inputs!$A$14:$B$25,2))/1000)</f>
        <v> </v>
      </c>
      <c r="E238" s="276" t="str">
        <f aca="false">IF($A238="N/A"," ",C238*D238)</f>
        <v> </v>
      </c>
      <c r="F238" s="277" t="str">
        <f aca="false">IF(A238="N/A"," ",Inputs!$F$6)</f>
        <v> </v>
      </c>
      <c r="G238" s="277" t="str">
        <f aca="false">IF(A238="N/A"," ",Inputs!$F$9/IF(AND('Pricing Inputs'!$AQ$3&gt;=4,'Pricing Inputs'!$AQ$3&lt;=6),16,IF(AND('Pricing Inputs'!$AQ$3&gt;=7,'Pricing Inputs'!$AQ$3&lt;=9),8,24))/(BA238/BW238))</f>
        <v> </v>
      </c>
      <c r="H238" s="278" t="str">
        <f aca="false">IF(A238="N/A"," ",(C238*D238)+F238+G238)</f>
        <v> </v>
      </c>
      <c r="I238" s="279" t="str">
        <f aca="false">VLOOKUP(A238,ScaledPrice,(IF(AND('Pricing Inputs'!$AQ$3&gt;=1,'Pricing Inputs'!$AQ$3&lt;=6),2,4)))</f>
        <v> </v>
      </c>
      <c r="J238" s="279" t="str">
        <f aca="false">IF(A238="N/A"," ",IF(AND('Pricing Inputs'!$AQ$3&gt;=1,'Pricing Inputs'!$AQ$3&lt;=6),I238,(VLOOKUP(A238,ScaledPrice,2))*(2-(VLOOKUP(A238,ScaledPrice,3)))))</f>
        <v> </v>
      </c>
      <c r="K238" s="279" t="str">
        <f aca="false">IF(A238="N/A"," ",IF(OR('Pricing Inputs'!$AQ$3=2,'Pricing Inputs'!$AQ$3=3,'Pricing Inputs'!$AQ$3=5,'Pricing Inputs'!$AQ$3=6,'Pricing Inputs'!$AQ$3=8,'Pricing Inputs'!$AQ$3=9),VLOOKUP(A238,ScaledPrice,IF(AND('Pricing Inputs'!$AQ$3&gt;=2,'Pricing Inputs'!$AQ$3&lt;=6),5,6)),0))</f>
        <v> </v>
      </c>
      <c r="L238" s="279" t="str">
        <f aca="false">IF(A238="N/A"," ",IF(OR('Pricing Inputs'!$AQ$3=2,'Pricing Inputs'!$AQ$3=3,'Pricing Inputs'!$AQ$3=5,'Pricing Inputs'!$AQ$3=6,'Pricing Inputs'!$AQ$3=8,'Pricing Inputs'!$AQ$3=9),IF(AND('Pricing Inputs'!$AQ$3&gt;=2,'Pricing Inputs'!$AQ$3&lt;=6),K238,(VLOOKUP(A238,ScaledPrice,5))*(2-(VLOOKUP(A238,ScaledPrice,3)))),0))</f>
        <v> </v>
      </c>
      <c r="M238" s="279" t="str">
        <f aca="false">IF(A238="N/A"," ",IF(OR('Pricing Inputs'!$AQ$3=3,'Pricing Inputs'!$AQ$3=6,'Pricing Inputs'!$AQ$3=9),(VLOOKUP(A238,ScaledPrice,IF(AND('Pricing Inputs'!$AQ$3&gt;=3,'Pricing Inputs'!$AQ$3&lt;=6),7,8))),0))</f>
        <v> </v>
      </c>
      <c r="N238" s="279" t="str">
        <f aca="false">IF(A238="N/A"," ",IF(OR('Pricing Inputs'!$AQ$3=3,'Pricing Inputs'!$AQ$3=6,'Pricing Inputs'!$AQ$3=9),IF(AND('Pricing Inputs'!$AQ$3&gt;=3,'Pricing Inputs'!$AQ$3&lt;=6),M238,(VLOOKUP(A238,ScaledPrice,7))*(2-(VLOOKUP(A238,ScaledPrice,3)))),0))</f>
        <v> </v>
      </c>
      <c r="O238" s="279" t="str">
        <f aca="false">IF(A238="N/A"," ",IF(AND('Pricing Inputs'!$AQ$3&gt;=1,'Pricing Inputs'!$AQ$3&lt;=3),VLOOKUP(A238,ScaledPrice,9),0))</f>
        <v> </v>
      </c>
      <c r="P238" s="280" t="str">
        <f aca="false">IF($A238="N/A"," ",IF('Pricing Inputs'!$AN$8=2,(I238-H238),IF('Pricing Inputs'!$AN$3=2,IF((I238-$H238)&gt;0,I238-$H238,0),(xSPRDOPT(I238,$E238,$BU238,0,$BP238,$BS238,$BT238,($A238-Inputs!$D$1)+15,1,0)))))</f>
        <v> </v>
      </c>
      <c r="Q238" s="280" t="str">
        <f aca="false">IF($A238="N/A"," ",IF('Pricing Inputs'!$AN$8=2,(J238-$H238),IF('Pricing Inputs'!$AN$3=2,IF((J238-$H238)&gt;0,J238-$H238,0),(xSPRDOPT(J238,$E238,$BU238,0,$BP238,$BS238,$BT238,($A238-Inputs!$D$1)+15,1,0)))))</f>
        <v> </v>
      </c>
      <c r="R238" s="280" t="str">
        <f aca="false">IF($A238="N/A"," ",IF('Pricing Inputs'!$AN$8=2,(K238-$H238),IF('Pricing Inputs'!$AN$3=2,IF((K238-$H238)&gt;0,K238-$H238,0),(xSPRDOPT(K238,$E238,$BU238,0,$BP238,$BS238,$BT238,($A238-Inputs!$D$1)+15,1,0)))))</f>
        <v> </v>
      </c>
      <c r="S238" s="280" t="str">
        <f aca="false">IF($A238="N/A"," ",IF('Pricing Inputs'!$AN$8=2,(L238-$H238),IF('Pricing Inputs'!$AN$3=2,IF((L238-$H238)&gt;0,L238-$H238,0),(xSPRDOPT(L238,$E238,$BU238,0,$BP238,$BS238,$BT238,($A238-Inputs!$D$1)+15,1,0)))))</f>
        <v> </v>
      </c>
      <c r="T238" s="280" t="str">
        <f aca="false">IF($A238="N/A"," ",IF('Pricing Inputs'!$AN$8=2,(M238-$H238),IF('Pricing Inputs'!$AN$3=2,IF((M238-$H238)&gt;0,M238-$H238,0),(xSPRDOPT(M238,$E238,$BU238,0,$BP238,$BS238,$BT238,($A238-Inputs!$D$1)+15,1,0)))))</f>
        <v> </v>
      </c>
      <c r="U238" s="280" t="str">
        <f aca="false">IF($A238="N/A"," ",IF('Pricing Inputs'!$AN$8=2,(N238-$H238),IF('Pricing Inputs'!$AN$3=2,IF((N238-$H238)&gt;0,N238-$H238,0),(xSPRDOPT(N238,$E238,$BU238,0,$BP238,$BS238,$BT238,($A238-Inputs!$D$1)+15,1,0)))))</f>
        <v> </v>
      </c>
      <c r="V238" s="281" t="str">
        <f aca="false">IF($A238="N/A"," ",(IF('Pricing Inputs'!$AN$8=2,(O238-$H238),IF((O238-$H238)&lt;=0,0,(O238-$H238)))))</f>
        <v> </v>
      </c>
      <c r="W238" s="282" t="str">
        <f aca="false">IF($A238="N/A"," ",IF(0&lt;&gt;P238,IF('Pricing Inputs'!$AN$3=2,8*VLOOKUP($A238,NumberofDaysTable,2),(xSPRDOPT(I238,$E238,$BU238,0,$BP238,$BS238,$BT238,$A238-Inputs!$D$1,1,1))*(8*VLOOKUP($A238,NumberofDaysTable,2))),0))</f>
        <v> </v>
      </c>
      <c r="X238" s="282" t="str">
        <f aca="false">IF($A238="N/A"," ",IF(Q238&lt;&gt;0,IF('Pricing Inputs'!$AN$3=2,8*VLOOKUP($A238,NumberofDaysTable,2),(xSPRDOPT(J238,$E238,$BU238,0,$BP238,$BS238,$BT238,$A238-Inputs!$D$1,1,1))*(8*VLOOKUP($A238,NumberofDaysTable,2))),0))</f>
        <v> </v>
      </c>
      <c r="Y238" s="282" t="str">
        <f aca="false">IF($A238="N/A"," ",IF(R238&lt;&gt;0,IF('Pricing Inputs'!$AN$3=2,8*VLOOKUP($A238,NumberofDaysTable,3),(xSPRDOPT(K238,$E238,$BU238,0,$BP238,$BS238,$BT238,$A238-Inputs!$D$1,1,1))*(8*VLOOKUP($A238,NumberofDaysTable,3))),0))</f>
        <v> </v>
      </c>
      <c r="Z238" s="282" t="str">
        <f aca="false">IF($A238="N/A"," ",IF(S238&lt;&gt;0,IF('Pricing Inputs'!$AN$3=2,8*VLOOKUP($A238,NumberofDaysTable,3),(xSPRDOPT(L238,$E238,$BU238,0,$BP238,$BS238,$BT238,$A238-Inputs!$D$1,1,1))*(8*VLOOKUP($A238,NumberofDaysTable,3))),0))</f>
        <v> </v>
      </c>
      <c r="AA238" s="282" t="str">
        <f aca="false">IF($A238="N/A"," ",IF(T238&lt;&gt;0,IF('Pricing Inputs'!$AN$3=2,8*VLOOKUP($A238,NumberofDaysTable,4),(xSPRDOPT(M238,$E238,$BU238,0,$BP238,$BS238,$BT238,$A238-Inputs!$D$1,1,1))*(8*VLOOKUP($A238,NumberofDaysTable,4))),0))</f>
        <v> </v>
      </c>
      <c r="AB238" s="282" t="str">
        <f aca="false">IF($A238="N/A"," ",IF(U238&lt;&gt;0,IF('Pricing Inputs'!$AN$3=2,8*VLOOKUP($A238,NumberofDaysTable,4),(xSPRDOPT(N238,$E238,$BU238,0,$BP238,$BS238,$BT238,$A238-Inputs!$D$1,1,1))*(8*VLOOKUP($A238,NumberofDaysTable,4))),0))</f>
        <v> </v>
      </c>
      <c r="AC238" s="282" t="str">
        <f aca="false">IF($A238="N/A"," ",(IF(V238&lt;&gt;0,(8*VLOOKUP($A238,NumberofDaysTable,6)),0)))</f>
        <v> </v>
      </c>
      <c r="AD238" s="298" t="str">
        <f aca="false">IF($A238="N/A"," ",RANK(P238,$P$232:$V$243))</f>
        <v> </v>
      </c>
      <c r="AE238" s="299" t="str">
        <f aca="false">IF($A238="N/A"," ",RANK(Q238,$P$232:$V$243))</f>
        <v> </v>
      </c>
      <c r="AF238" s="299" t="str">
        <f aca="false">IF($A238="N/A"," ",RANK(R238,$P$232:$V$243))</f>
        <v> </v>
      </c>
      <c r="AG238" s="299" t="str">
        <f aca="false">IF($A238="N/A"," ",RANK(S238,$P$232:$V$243))</f>
        <v> </v>
      </c>
      <c r="AH238" s="299" t="str">
        <f aca="false">IF($A238="N/A"," ",RANK(T238,$P$232:$V$243))</f>
        <v> </v>
      </c>
      <c r="AI238" s="299" t="str">
        <f aca="false">IF($A238="N/A"," ",RANK(U238,$P$232:$V$243))</f>
        <v> </v>
      </c>
      <c r="AJ238" s="300" t="str">
        <f aca="false">IF($A238="N/A"," ",RANK(V238,$P$232:$V$243))</f>
        <v> </v>
      </c>
      <c r="AK238" s="286" t="str">
        <f aca="false">IF($A238="N/A"," ",IF(AD238&lt;=$AJ$2,W238,0))</f>
        <v> </v>
      </c>
      <c r="AL238" s="301" t="str">
        <f aca="false">IF($A238="N/A"," ",IF(AE238&lt;=$AJ$2,X238,0))</f>
        <v> </v>
      </c>
      <c r="AM238" s="301" t="str">
        <f aca="false">IF($A238="N/A"," ",IF(AF238&lt;=$AJ$2,Y238,0))</f>
        <v> </v>
      </c>
      <c r="AN238" s="301" t="str">
        <f aca="false">IF($A238="N/A"," ",IF(AG238&lt;=$AJ$2,Z238,0))</f>
        <v> </v>
      </c>
      <c r="AO238" s="301" t="str">
        <f aca="false">IF($A238="N/A"," ",IF(AH238&lt;=$AJ$2,AA238,0))</f>
        <v> </v>
      </c>
      <c r="AP238" s="301" t="str">
        <f aca="false">IF($A238="N/A"," ",IF(AI238&lt;=$AJ$2,AB238,0))</f>
        <v> </v>
      </c>
      <c r="AQ238" s="301" t="str">
        <f aca="false">IF($A238="N/A"," ",IF(AJ238&lt;=$AJ$2,AC238,0))</f>
        <v> </v>
      </c>
      <c r="AR238" s="300"/>
      <c r="AS238" s="288" t="str">
        <f aca="false">IF($A238="N/A"," ",IF(AND(AD238=$AJ$2+1,AK238=0),MIN($AR$243,W238),0))</f>
        <v> </v>
      </c>
      <c r="AT238" s="302" t="str">
        <f aca="false">IF($A238="N/A"," ",IF(AND(AE238=$AJ$2+1,AL238=0),MIN($AR$243,X238),0))</f>
        <v> </v>
      </c>
      <c r="AU238" s="302" t="str">
        <f aca="false">IF($A238="N/A"," ",IF(AND(AF238=$AJ$2+1,AM238=0),MIN($AR$243,Y238),0))</f>
        <v> </v>
      </c>
      <c r="AV238" s="302" t="str">
        <f aca="false">IF($A238="N/A"," ",IF(AND(AG238=$AJ$2+1,AN238=0),MIN($AR$243,Z238),0))</f>
        <v> </v>
      </c>
      <c r="AW238" s="302" t="str">
        <f aca="false">IF($A238="N/A"," ",IF(AND(AH238=$AJ$2+1,AO238=0),MIN($AR$243,AA238),0))</f>
        <v> </v>
      </c>
      <c r="AX238" s="302" t="str">
        <f aca="false">IF($A238="N/A"," ",IF(AND(AI238=$AJ$2+1,AP238=0),MIN($AR$243,AB238),0))</f>
        <v> </v>
      </c>
      <c r="AY238" s="302" t="str">
        <f aca="false">IF($A238="N/A"," ",IF(AND(AJ238=$AJ$2+1,AQ238=0),MIN($AR$243,AC238),0))</f>
        <v> </v>
      </c>
      <c r="AZ238" s="300"/>
      <c r="BA238" s="291" t="str">
        <f aca="false">IF($A238="N/A"," ",(IF(MONTH(A238)&gt;=4,IF(MONTH(A238)&lt;=10,Inputs!$F$13,Inputs!$F$14),Inputs!$F$14))*$BW238)</f>
        <v> </v>
      </c>
      <c r="BB238" s="292" t="str">
        <f aca="false">IF($A238="N/A"," ",(IF(AK238&gt;0,($BA238*(8*(VLOOKUP($A238,NumberofDaysTable,2)))*P238),0)+IF(AS238&gt;0,($BA238*((AS238))*P238),0)))</f>
        <v> </v>
      </c>
      <c r="BC238" s="292" t="str">
        <f aca="false">IF($A238="N/A"," ",(IF(AL238&gt;0,($BA238*(8*(VLOOKUP($A238,NumberofDaysTable,2)))*Q238),0)+IF(AT238&gt;0,($BA238*((AT238))*Q238),0)))</f>
        <v> </v>
      </c>
      <c r="BD238" s="292" t="str">
        <f aca="false">IF($A238="N/A"," ",(IF(AM238&gt;0,($BA238*(8*(VLOOKUP($A238,NumberofDaysTable,3)))*R238),0)+IF(AU238&gt;0,($BA238*((AU238))*R238),0)))</f>
        <v> </v>
      </c>
      <c r="BE238" s="292" t="str">
        <f aca="false">IF($A238="N/A"," ",(IF(AN238&gt;0,($BA238*(8*(VLOOKUP($A238,NumberofDaysTable,3)))*S238),0)+IF(AV238&gt;0,($BA238*((AV238))*S238),0)))</f>
        <v> </v>
      </c>
      <c r="BF238" s="292" t="str">
        <f aca="false">IF($A238="N/A"," ",(IF(AO238&gt;0,($BA238*(8*(VLOOKUP($A238,NumberofDaysTable,4)+VLOOKUP($A238,NumberofDaysTable,5)))*T238),0)+IF(AW238&gt;0,($BA238*((AW238))*T238),0)))</f>
        <v> </v>
      </c>
      <c r="BG238" s="292" t="str">
        <f aca="false">IF($A238="N/A"," ",(IF(AP238&gt;0,($BA238*(8*(VLOOKUP($A238,NumberofDaysTable,4)+VLOOKUP($A238,NumberofDaysTable,5)))*U238),0)+IF(AX238&gt;0,($BA238*((AX238))*U238),0)))</f>
        <v> </v>
      </c>
      <c r="BH238" s="292" t="str">
        <f aca="false">IF($A238="N/A"," ",($BA238*AQ238*V238))</f>
        <v> </v>
      </c>
      <c r="BI238" s="292" t="str">
        <f aca="false">IF($A238="N/A"," ",SUM(BB238:BH238))</f>
        <v> </v>
      </c>
      <c r="BJ238" s="293" t="str">
        <f aca="false">IF($A238="N/A"," ",(H238*(SUM(AK238:AQ238)+SUM(AS238:AY238))*BA238))</f>
        <v> </v>
      </c>
      <c r="BK238" s="293" t="str">
        <f aca="false">IF($A238="N/A"," ",((C238*D238)*(SUM($AK238:$AQ238)+SUM($AS238:$AY238))*$BA238))</f>
        <v> </v>
      </c>
      <c r="BL238" s="293" t="str">
        <f aca="false">IF($A238="N/A"," ",(F238*(SUM($AK238:$AQ238)+SUM($AS238:$AY238))*$BA238))</f>
        <v> </v>
      </c>
      <c r="BM238" s="293" t="str">
        <f aca="false">IF($A238="N/A"," ",(G238*(SUM($AK238:$AQ238)+SUM($AS238:$AY238))*$BA238))</f>
        <v> </v>
      </c>
      <c r="BN238" s="294" t="str">
        <f aca="false">IF(A238="N/A"," ",(VLOOKUP(A238,PowerVolTable,(IF('Pricing Inputs'!$AT$3=2,7,IF('Pricing Inputs'!$AT$3=1,6,8))),FALSE())))</f>
        <v> </v>
      </c>
      <c r="BO238" s="294" t="str">
        <f aca="false">IF(A238="N/A"," ",(VLOOKUP(A238,IntraPowerVol,(IF('Pricing Inputs'!$AT$3=2,3,IF('Pricing Inputs'!$AT$3=1,2,4))),FALSE())*VLOOKUP(MONTH($A238),Inputs!$A$28:$B$39,2)))</f>
        <v> </v>
      </c>
      <c r="BP238" s="295" t="str">
        <f aca="false">IF($A238="N/A"," ",(IF(DateToday&gt;$A238,$BO238,((($BN238^2)*((($A238-1)-DateToday)/((EOMONTH($A238,0)+1)-DateToday-15)))+((($BO238)^2)*((15)/((EOMONTH($A238,0)+1)-DateToday-15))))^0.5)))</f>
        <v> </v>
      </c>
      <c r="BQ238" s="294" t="str">
        <f aca="false">IF($A238="N/A"," ",(VLOOKUP($A238,GasVolTable,(IF('Pricing Inputs'!$AT$3=2,6,IF('Pricing Inputs'!$AT$3=1,7,5))),FALSE())))</f>
        <v> </v>
      </c>
      <c r="BR238" s="294" t="str">
        <f aca="false">IF($A238="N/A"," ",(VLOOKUP($A238,OmicronVol,(IF('Pricing Inputs'!$AT$3=2,3,IF('Pricing Inputs'!$AT$3=1,4,2))),FALSE())))</f>
        <v> </v>
      </c>
      <c r="BS238" s="295" t="str">
        <f aca="false">IF($A238="N/A"," ",IF('Pricing Inputs'!$AN$3=1,(IF(DateToday&gt;$A238,$BR238,((($BQ238^2)*((($A238-1)-DateToday)/((EOMONTH($A238,0)+1)-DateToday-15)))+((($BR238)^2)*((15)/((EOMONTH($A238,0)+1)-DateToday-15))))^0.5)),0.0001))</f>
        <v> </v>
      </c>
      <c r="BT238" s="294" t="str">
        <f aca="false">IF($A238="N/A"," ",IF('Pricing Inputs'!$AN$3=1,(VLOOKUP($A238,CorrelationTable,2,FALSE())),0))</f>
        <v> </v>
      </c>
      <c r="BU238" s="296" t="str">
        <f aca="false">IF($A238="N/A"," ",F238+G238+(D238*(VLOOKUP($A238,'Gas Curves'!$B$17:$P$310,14,FALSE()))))</f>
        <v> </v>
      </c>
      <c r="BV238" s="294" t="str">
        <f aca="false">IF($A238="N/A"," ",IF('Pricing Inputs'!$AW$3=1,0,(VLOOKUP($A238,InterestRatesTable,2))))</f>
        <v> </v>
      </c>
      <c r="BW238" s="297" t="str">
        <f aca="false">IF($A238="N/A"," ",(1+BV238/2)^(-2*((EOMONTH(A238,0)+20)-DateToday)/365.25))</f>
        <v> </v>
      </c>
    </row>
    <row r="239" customFormat="false" ht="12.75" hidden="false" customHeight="false" outlineLevel="0" collapsed="false">
      <c r="A239" s="272" t="str">
        <f aca="false">IF(A238="N/A","N/A",IF(EDATE(A238,1)&gt;Inputs!$K$3,"N/A",EDATE(A238,1)))</f>
        <v>N/A</v>
      </c>
      <c r="B239" s="273" t="str">
        <f aca="false">IF(A239="N/A"," ",YEAR(A239))</f>
        <v> </v>
      </c>
      <c r="C239" s="274" t="str">
        <f aca="false">IF(A239="N/A"," ",VLOOKUP(A239,ScaledPrice,10))</f>
        <v> </v>
      </c>
      <c r="D239" s="275" t="str">
        <f aca="false">IF(A239="N/A"," ",(VLOOKUP(MONTH($A239),Inputs!$A$14:$B$25,2))/1000)</f>
        <v> </v>
      </c>
      <c r="E239" s="276" t="str">
        <f aca="false">IF($A239="N/A"," ",C239*D239)</f>
        <v> </v>
      </c>
      <c r="F239" s="277" t="str">
        <f aca="false">IF(A239="N/A"," ",Inputs!$F$6)</f>
        <v> </v>
      </c>
      <c r="G239" s="277" t="str">
        <f aca="false">IF(A239="N/A"," ",Inputs!$F$9/IF(AND('Pricing Inputs'!$AQ$3&gt;=4,'Pricing Inputs'!$AQ$3&lt;=6),16,IF(AND('Pricing Inputs'!$AQ$3&gt;=7,'Pricing Inputs'!$AQ$3&lt;=9),8,24))/(BA239/BW239))</f>
        <v> </v>
      </c>
      <c r="H239" s="278" t="str">
        <f aca="false">IF(A239="N/A"," ",(C239*D239)+F239+G239)</f>
        <v> </v>
      </c>
      <c r="I239" s="279" t="str">
        <f aca="false">VLOOKUP(A239,ScaledPrice,(IF(AND('Pricing Inputs'!$AQ$3&gt;=1,'Pricing Inputs'!$AQ$3&lt;=6),2,4)))</f>
        <v> </v>
      </c>
      <c r="J239" s="279" t="str">
        <f aca="false">IF(A239="N/A"," ",IF(AND('Pricing Inputs'!$AQ$3&gt;=1,'Pricing Inputs'!$AQ$3&lt;=6),I239,(VLOOKUP(A239,ScaledPrice,2))*(2-(VLOOKUP(A239,ScaledPrice,3)))))</f>
        <v> </v>
      </c>
      <c r="K239" s="279" t="str">
        <f aca="false">IF(A239="N/A"," ",IF(OR('Pricing Inputs'!$AQ$3=2,'Pricing Inputs'!$AQ$3=3,'Pricing Inputs'!$AQ$3=5,'Pricing Inputs'!$AQ$3=6,'Pricing Inputs'!$AQ$3=8,'Pricing Inputs'!$AQ$3=9),VLOOKUP(A239,ScaledPrice,IF(AND('Pricing Inputs'!$AQ$3&gt;=2,'Pricing Inputs'!$AQ$3&lt;=6),5,6)),0))</f>
        <v> </v>
      </c>
      <c r="L239" s="279" t="str">
        <f aca="false">IF(A239="N/A"," ",IF(OR('Pricing Inputs'!$AQ$3=2,'Pricing Inputs'!$AQ$3=3,'Pricing Inputs'!$AQ$3=5,'Pricing Inputs'!$AQ$3=6,'Pricing Inputs'!$AQ$3=8,'Pricing Inputs'!$AQ$3=9),IF(AND('Pricing Inputs'!$AQ$3&gt;=2,'Pricing Inputs'!$AQ$3&lt;=6),K239,(VLOOKUP(A239,ScaledPrice,5))*(2-(VLOOKUP(A239,ScaledPrice,3)))),0))</f>
        <v> </v>
      </c>
      <c r="M239" s="279" t="str">
        <f aca="false">IF(A239="N/A"," ",IF(OR('Pricing Inputs'!$AQ$3=3,'Pricing Inputs'!$AQ$3=6,'Pricing Inputs'!$AQ$3=9),(VLOOKUP(A239,ScaledPrice,IF(AND('Pricing Inputs'!$AQ$3&gt;=3,'Pricing Inputs'!$AQ$3&lt;=6),7,8))),0))</f>
        <v> </v>
      </c>
      <c r="N239" s="279" t="str">
        <f aca="false">IF(A239="N/A"," ",IF(OR('Pricing Inputs'!$AQ$3=3,'Pricing Inputs'!$AQ$3=6,'Pricing Inputs'!$AQ$3=9),IF(AND('Pricing Inputs'!$AQ$3&gt;=3,'Pricing Inputs'!$AQ$3&lt;=6),M239,(VLOOKUP(A239,ScaledPrice,7))*(2-(VLOOKUP(A239,ScaledPrice,3)))),0))</f>
        <v> </v>
      </c>
      <c r="O239" s="279" t="str">
        <f aca="false">IF(A239="N/A"," ",IF(AND('Pricing Inputs'!$AQ$3&gt;=1,'Pricing Inputs'!$AQ$3&lt;=3),VLOOKUP(A239,ScaledPrice,9),0))</f>
        <v> </v>
      </c>
      <c r="P239" s="280" t="str">
        <f aca="false">IF($A239="N/A"," ",IF('Pricing Inputs'!$AN$8=2,(I239-H239),IF('Pricing Inputs'!$AN$3=2,IF((I239-$H239)&gt;0,I239-$H239,0),(xSPRDOPT(I239,$E239,$BU239,0,$BP239,$BS239,$BT239,($A239-Inputs!$D$1)+15,1,0)))))</f>
        <v> </v>
      </c>
      <c r="Q239" s="280" t="str">
        <f aca="false">IF($A239="N/A"," ",IF('Pricing Inputs'!$AN$8=2,(J239-$H239),IF('Pricing Inputs'!$AN$3=2,IF((J239-$H239)&gt;0,J239-$H239,0),(xSPRDOPT(J239,$E239,$BU239,0,$BP239,$BS239,$BT239,($A239-Inputs!$D$1)+15,1,0)))))</f>
        <v> </v>
      </c>
      <c r="R239" s="280" t="str">
        <f aca="false">IF($A239="N/A"," ",IF('Pricing Inputs'!$AN$8=2,(K239-$H239),IF('Pricing Inputs'!$AN$3=2,IF((K239-$H239)&gt;0,K239-$H239,0),(xSPRDOPT(K239,$E239,$BU239,0,$BP239,$BS239,$BT239,($A239-Inputs!$D$1)+15,1,0)))))</f>
        <v> </v>
      </c>
      <c r="S239" s="280" t="str">
        <f aca="false">IF($A239="N/A"," ",IF('Pricing Inputs'!$AN$8=2,(L239-$H239),IF('Pricing Inputs'!$AN$3=2,IF((L239-$H239)&gt;0,L239-$H239,0),(xSPRDOPT(L239,$E239,$BU239,0,$BP239,$BS239,$BT239,($A239-Inputs!$D$1)+15,1,0)))))</f>
        <v> </v>
      </c>
      <c r="T239" s="280" t="str">
        <f aca="false">IF($A239="N/A"," ",IF('Pricing Inputs'!$AN$8=2,(M239-$H239),IF('Pricing Inputs'!$AN$3=2,IF((M239-$H239)&gt;0,M239-$H239,0),(xSPRDOPT(M239,$E239,$BU239,0,$BP239,$BS239,$BT239,($A239-Inputs!$D$1)+15,1,0)))))</f>
        <v> </v>
      </c>
      <c r="U239" s="280" t="str">
        <f aca="false">IF($A239="N/A"," ",IF('Pricing Inputs'!$AN$8=2,(N239-$H239),IF('Pricing Inputs'!$AN$3=2,IF((N239-$H239)&gt;0,N239-$H239,0),(xSPRDOPT(N239,$E239,$BU239,0,$BP239,$BS239,$BT239,($A239-Inputs!$D$1)+15,1,0)))))</f>
        <v> </v>
      </c>
      <c r="V239" s="281" t="str">
        <f aca="false">IF($A239="N/A"," ",(IF('Pricing Inputs'!$AN$8=2,(O239-$H239),IF((O239-$H239)&lt;=0,0,(O239-$H239)))))</f>
        <v> </v>
      </c>
      <c r="W239" s="282" t="str">
        <f aca="false">IF($A239="N/A"," ",IF(0&lt;&gt;P239,IF('Pricing Inputs'!$AN$3=2,8*VLOOKUP($A239,NumberofDaysTable,2),(xSPRDOPT(I239,$E239,$BU239,0,$BP239,$BS239,$BT239,$A239-Inputs!$D$1,1,1))*(8*VLOOKUP($A239,NumberofDaysTable,2))),0))</f>
        <v> </v>
      </c>
      <c r="X239" s="282" t="str">
        <f aca="false">IF($A239="N/A"," ",IF(Q239&lt;&gt;0,IF('Pricing Inputs'!$AN$3=2,8*VLOOKUP($A239,NumberofDaysTable,2),(xSPRDOPT(J239,$E239,$BU239,0,$BP239,$BS239,$BT239,$A239-Inputs!$D$1,1,1))*(8*VLOOKUP($A239,NumberofDaysTable,2))),0))</f>
        <v> </v>
      </c>
      <c r="Y239" s="282" t="str">
        <f aca="false">IF($A239="N/A"," ",IF(R239&lt;&gt;0,IF('Pricing Inputs'!$AN$3=2,8*VLOOKUP($A239,NumberofDaysTable,3),(xSPRDOPT(K239,$E239,$BU239,0,$BP239,$BS239,$BT239,$A239-Inputs!$D$1,1,1))*(8*VLOOKUP($A239,NumberofDaysTable,3))),0))</f>
        <v> </v>
      </c>
      <c r="Z239" s="282" t="str">
        <f aca="false">IF($A239="N/A"," ",IF(S239&lt;&gt;0,IF('Pricing Inputs'!$AN$3=2,8*VLOOKUP($A239,NumberofDaysTable,3),(xSPRDOPT(L239,$E239,$BU239,0,$BP239,$BS239,$BT239,$A239-Inputs!$D$1,1,1))*(8*VLOOKUP($A239,NumberofDaysTable,3))),0))</f>
        <v> </v>
      </c>
      <c r="AA239" s="282" t="str">
        <f aca="false">IF($A239="N/A"," ",IF(T239&lt;&gt;0,IF('Pricing Inputs'!$AN$3=2,8*VLOOKUP($A239,NumberofDaysTable,4),(xSPRDOPT(M239,$E239,$BU239,0,$BP239,$BS239,$BT239,$A239-Inputs!$D$1,1,1))*(8*VLOOKUP($A239,NumberofDaysTable,4))),0))</f>
        <v> </v>
      </c>
      <c r="AB239" s="282" t="str">
        <f aca="false">IF($A239="N/A"," ",IF(U239&lt;&gt;0,IF('Pricing Inputs'!$AN$3=2,8*VLOOKUP($A239,NumberofDaysTable,4),(xSPRDOPT(N239,$E239,$BU239,0,$BP239,$BS239,$BT239,$A239-Inputs!$D$1,1,1))*(8*VLOOKUP($A239,NumberofDaysTable,4))),0))</f>
        <v> </v>
      </c>
      <c r="AC239" s="282" t="str">
        <f aca="false">IF($A239="N/A"," ",(IF(V239&lt;&gt;0,(8*VLOOKUP($A239,NumberofDaysTable,6)),0)))</f>
        <v> </v>
      </c>
      <c r="AD239" s="298" t="str">
        <f aca="false">IF($A239="N/A"," ",RANK(P239,$P$232:$V$243))</f>
        <v> </v>
      </c>
      <c r="AE239" s="299" t="str">
        <f aca="false">IF($A239="N/A"," ",RANK(Q239,$P$232:$V$243))</f>
        <v> </v>
      </c>
      <c r="AF239" s="299" t="str">
        <f aca="false">IF($A239="N/A"," ",RANK(R239,$P$232:$V$243))</f>
        <v> </v>
      </c>
      <c r="AG239" s="299" t="str">
        <f aca="false">IF($A239="N/A"," ",RANK(S239,$P$232:$V$243))</f>
        <v> </v>
      </c>
      <c r="AH239" s="299" t="str">
        <f aca="false">IF($A239="N/A"," ",RANK(T239,$P$232:$V$243))</f>
        <v> </v>
      </c>
      <c r="AI239" s="299" t="str">
        <f aca="false">IF($A239="N/A"," ",RANK(U239,$P$232:$V$243))</f>
        <v> </v>
      </c>
      <c r="AJ239" s="300" t="str">
        <f aca="false">IF($A239="N/A"," ",RANK(V239,$P$232:$V$243))</f>
        <v> </v>
      </c>
      <c r="AK239" s="286" t="str">
        <f aca="false">IF($A239="N/A"," ",IF(AD239&lt;=$AJ$2,W239,0))</f>
        <v> </v>
      </c>
      <c r="AL239" s="301" t="str">
        <f aca="false">IF($A239="N/A"," ",IF(AE239&lt;=$AJ$2,X239,0))</f>
        <v> </v>
      </c>
      <c r="AM239" s="301" t="str">
        <f aca="false">IF($A239="N/A"," ",IF(AF239&lt;=$AJ$2,Y239,0))</f>
        <v> </v>
      </c>
      <c r="AN239" s="301" t="str">
        <f aca="false">IF($A239="N/A"," ",IF(AG239&lt;=$AJ$2,Z239,0))</f>
        <v> </v>
      </c>
      <c r="AO239" s="301" t="str">
        <f aca="false">IF($A239="N/A"," ",IF(AH239&lt;=$AJ$2,AA239,0))</f>
        <v> </v>
      </c>
      <c r="AP239" s="301" t="str">
        <f aca="false">IF($A239="N/A"," ",IF(AI239&lt;=$AJ$2,AB239,0))</f>
        <v> </v>
      </c>
      <c r="AQ239" s="301" t="str">
        <f aca="false">IF($A239="N/A"," ",IF(AJ239&lt;=$AJ$2,AC239,0))</f>
        <v> </v>
      </c>
      <c r="AR239" s="300"/>
      <c r="AS239" s="288" t="str">
        <f aca="false">IF($A239="N/A"," ",IF(AND(AD239=$AJ$2+1,AK239=0),MIN($AR$243,W239),0))</f>
        <v> </v>
      </c>
      <c r="AT239" s="302" t="str">
        <f aca="false">IF($A239="N/A"," ",IF(AND(AE239=$AJ$2+1,AL239=0),MIN($AR$243,X239),0))</f>
        <v> </v>
      </c>
      <c r="AU239" s="302" t="str">
        <f aca="false">IF($A239="N/A"," ",IF(AND(AF239=$AJ$2+1,AM239=0),MIN($AR$243,Y239),0))</f>
        <v> </v>
      </c>
      <c r="AV239" s="302" t="str">
        <f aca="false">IF($A239="N/A"," ",IF(AND(AG239=$AJ$2+1,AN239=0),MIN($AR$243,Z239),0))</f>
        <v> </v>
      </c>
      <c r="AW239" s="302" t="str">
        <f aca="false">IF($A239="N/A"," ",IF(AND(AH239=$AJ$2+1,AO239=0),MIN($AR$243,AA239),0))</f>
        <v> </v>
      </c>
      <c r="AX239" s="302" t="str">
        <f aca="false">IF($A239="N/A"," ",IF(AND(AI239=$AJ$2+1,AP239=0),MIN($AR$243,AB239),0))</f>
        <v> </v>
      </c>
      <c r="AY239" s="302" t="str">
        <f aca="false">IF($A239="N/A"," ",IF(AND(AJ239=$AJ$2+1,AQ239=0),MIN($AR$243,AC239),0))</f>
        <v> </v>
      </c>
      <c r="AZ239" s="300"/>
      <c r="BA239" s="291" t="str">
        <f aca="false">IF($A239="N/A"," ",(IF(MONTH(A239)&gt;=4,IF(MONTH(A239)&lt;=10,Inputs!$F$13,Inputs!$F$14),Inputs!$F$14))*$BW239)</f>
        <v> </v>
      </c>
      <c r="BB239" s="292" t="str">
        <f aca="false">IF($A239="N/A"," ",(IF(AK239&gt;0,($BA239*(8*(VLOOKUP($A239,NumberofDaysTable,2)))*P239),0)+IF(AS239&gt;0,($BA239*((AS239))*P239),0)))</f>
        <v> </v>
      </c>
      <c r="BC239" s="292" t="str">
        <f aca="false">IF($A239="N/A"," ",(IF(AL239&gt;0,($BA239*(8*(VLOOKUP($A239,NumberofDaysTable,2)))*Q239),0)+IF(AT239&gt;0,($BA239*((AT239))*Q239),0)))</f>
        <v> </v>
      </c>
      <c r="BD239" s="292" t="str">
        <f aca="false">IF($A239="N/A"," ",(IF(AM239&gt;0,($BA239*(8*(VLOOKUP($A239,NumberofDaysTable,3)))*R239),0)+IF(AU239&gt;0,($BA239*((AU239))*R239),0)))</f>
        <v> </v>
      </c>
      <c r="BE239" s="292" t="str">
        <f aca="false">IF($A239="N/A"," ",(IF(AN239&gt;0,($BA239*(8*(VLOOKUP($A239,NumberofDaysTable,3)))*S239),0)+IF(AV239&gt;0,($BA239*((AV239))*S239),0)))</f>
        <v> </v>
      </c>
      <c r="BF239" s="292" t="str">
        <f aca="false">IF($A239="N/A"," ",(IF(AO239&gt;0,($BA239*(8*(VLOOKUP($A239,NumberofDaysTable,4)+VLOOKUP($A239,NumberofDaysTable,5)))*T239),0)+IF(AW239&gt;0,($BA239*((AW239))*T239),0)))</f>
        <v> </v>
      </c>
      <c r="BG239" s="292" t="str">
        <f aca="false">IF($A239="N/A"," ",(IF(AP239&gt;0,($BA239*(8*(VLOOKUP($A239,NumberofDaysTable,4)+VLOOKUP($A239,NumberofDaysTable,5)))*U239),0)+IF(AX239&gt;0,($BA239*((AX239))*U239),0)))</f>
        <v> </v>
      </c>
      <c r="BH239" s="292" t="str">
        <f aca="false">IF($A239="N/A"," ",($BA239*AQ239*V239))</f>
        <v> </v>
      </c>
      <c r="BI239" s="292" t="str">
        <f aca="false">IF($A239="N/A"," ",SUM(BB239:BH239))</f>
        <v> </v>
      </c>
      <c r="BJ239" s="293" t="str">
        <f aca="false">IF($A239="N/A"," ",(H239*(SUM(AK239:AQ239)+SUM(AS239:AY239))*BA239))</f>
        <v> </v>
      </c>
      <c r="BK239" s="293" t="str">
        <f aca="false">IF($A239="N/A"," ",((C239*D239)*(SUM($AK239:$AQ239)+SUM($AS239:$AY239))*$BA239))</f>
        <v> </v>
      </c>
      <c r="BL239" s="293" t="str">
        <f aca="false">IF($A239="N/A"," ",(F239*(SUM($AK239:$AQ239)+SUM($AS239:$AY239))*$BA239))</f>
        <v> </v>
      </c>
      <c r="BM239" s="293" t="str">
        <f aca="false">IF($A239="N/A"," ",(G239*(SUM($AK239:$AQ239)+SUM($AS239:$AY239))*$BA239))</f>
        <v> </v>
      </c>
      <c r="BN239" s="294" t="str">
        <f aca="false">IF(A239="N/A"," ",(VLOOKUP(A239,PowerVolTable,(IF('Pricing Inputs'!$AT$3=2,7,IF('Pricing Inputs'!$AT$3=1,6,8))),FALSE())))</f>
        <v> </v>
      </c>
      <c r="BO239" s="294" t="str">
        <f aca="false">IF(A239="N/A"," ",(VLOOKUP(A239,IntraPowerVol,(IF('Pricing Inputs'!$AT$3=2,3,IF('Pricing Inputs'!$AT$3=1,2,4))),FALSE())*VLOOKUP(MONTH($A239),Inputs!$A$28:$B$39,2)))</f>
        <v> </v>
      </c>
      <c r="BP239" s="295" t="str">
        <f aca="false">IF($A239="N/A"," ",(IF(DateToday&gt;$A239,$BO239,((($BN239^2)*((($A239-1)-DateToday)/((EOMONTH($A239,0)+1)-DateToday-15)))+((($BO239)^2)*((15)/((EOMONTH($A239,0)+1)-DateToday-15))))^0.5)))</f>
        <v> </v>
      </c>
      <c r="BQ239" s="294" t="str">
        <f aca="false">IF($A239="N/A"," ",(VLOOKUP($A239,GasVolTable,(IF('Pricing Inputs'!$AT$3=2,6,IF('Pricing Inputs'!$AT$3=1,7,5))),FALSE())))</f>
        <v> </v>
      </c>
      <c r="BR239" s="294" t="str">
        <f aca="false">IF($A239="N/A"," ",(VLOOKUP($A239,OmicronVol,(IF('Pricing Inputs'!$AT$3=2,3,IF('Pricing Inputs'!$AT$3=1,4,2))),FALSE())))</f>
        <v> </v>
      </c>
      <c r="BS239" s="295" t="str">
        <f aca="false">IF($A239="N/A"," ",IF('Pricing Inputs'!$AN$3=1,(IF(DateToday&gt;$A239,$BR239,((($BQ239^2)*((($A239-1)-DateToday)/((EOMONTH($A239,0)+1)-DateToday-15)))+((($BR239)^2)*((15)/((EOMONTH($A239,0)+1)-DateToday-15))))^0.5)),0.0001))</f>
        <v> </v>
      </c>
      <c r="BT239" s="294" t="str">
        <f aca="false">IF($A239="N/A"," ",IF('Pricing Inputs'!$AN$3=1,(VLOOKUP($A239,CorrelationTable,2,FALSE())),0))</f>
        <v> </v>
      </c>
      <c r="BU239" s="296" t="str">
        <f aca="false">IF($A239="N/A"," ",F239+G239+(D239*(VLOOKUP($A239,'Gas Curves'!$B$17:$P$310,14,FALSE()))))</f>
        <v> </v>
      </c>
      <c r="BV239" s="294" t="str">
        <f aca="false">IF($A239="N/A"," ",IF('Pricing Inputs'!$AW$3=1,0,(VLOOKUP($A239,InterestRatesTable,2))))</f>
        <v> </v>
      </c>
      <c r="BW239" s="297" t="str">
        <f aca="false">IF($A239="N/A"," ",(1+BV239/2)^(-2*((EOMONTH(A239,0)+20)-DateToday)/365.25))</f>
        <v> </v>
      </c>
    </row>
    <row r="240" customFormat="false" ht="12.75" hidden="false" customHeight="false" outlineLevel="0" collapsed="false">
      <c r="A240" s="272" t="str">
        <f aca="false">IF(A239="N/A","N/A",IF(EDATE(A239,1)&gt;Inputs!$K$3,"N/A",EDATE(A239,1)))</f>
        <v>N/A</v>
      </c>
      <c r="B240" s="273" t="str">
        <f aca="false">IF(A240="N/A"," ",YEAR(A240))</f>
        <v> </v>
      </c>
      <c r="C240" s="274" t="str">
        <f aca="false">IF(A240="N/A"," ",VLOOKUP(A240,ScaledPrice,10))</f>
        <v> </v>
      </c>
      <c r="D240" s="275" t="str">
        <f aca="false">IF(A240="N/A"," ",(VLOOKUP(MONTH($A240),Inputs!$A$14:$B$25,2))/1000)</f>
        <v> </v>
      </c>
      <c r="E240" s="276" t="str">
        <f aca="false">IF($A240="N/A"," ",C240*D240)</f>
        <v> </v>
      </c>
      <c r="F240" s="277" t="str">
        <f aca="false">IF(A240="N/A"," ",Inputs!$F$6)</f>
        <v> </v>
      </c>
      <c r="G240" s="277" t="str">
        <f aca="false">IF(A240="N/A"," ",Inputs!$F$9/IF(AND('Pricing Inputs'!$AQ$3&gt;=4,'Pricing Inputs'!$AQ$3&lt;=6),16,IF(AND('Pricing Inputs'!$AQ$3&gt;=7,'Pricing Inputs'!$AQ$3&lt;=9),8,24))/(BA240/BW240))</f>
        <v> </v>
      </c>
      <c r="H240" s="278" t="str">
        <f aca="false">IF(A240="N/A"," ",(C240*D240)+F240+G240)</f>
        <v> </v>
      </c>
      <c r="I240" s="279" t="str">
        <f aca="false">VLOOKUP(A240,ScaledPrice,(IF(AND('Pricing Inputs'!$AQ$3&gt;=1,'Pricing Inputs'!$AQ$3&lt;=6),2,4)))</f>
        <v> </v>
      </c>
      <c r="J240" s="279" t="str">
        <f aca="false">IF(A240="N/A"," ",IF(AND('Pricing Inputs'!$AQ$3&gt;=1,'Pricing Inputs'!$AQ$3&lt;=6),I240,(VLOOKUP(A240,ScaledPrice,2))*(2-(VLOOKUP(A240,ScaledPrice,3)))))</f>
        <v> </v>
      </c>
      <c r="K240" s="279" t="str">
        <f aca="false">IF(A240="N/A"," ",IF(OR('Pricing Inputs'!$AQ$3=2,'Pricing Inputs'!$AQ$3=3,'Pricing Inputs'!$AQ$3=5,'Pricing Inputs'!$AQ$3=6,'Pricing Inputs'!$AQ$3=8,'Pricing Inputs'!$AQ$3=9),VLOOKUP(A240,ScaledPrice,IF(AND('Pricing Inputs'!$AQ$3&gt;=2,'Pricing Inputs'!$AQ$3&lt;=6),5,6)),0))</f>
        <v> </v>
      </c>
      <c r="L240" s="279" t="str">
        <f aca="false">IF(A240="N/A"," ",IF(OR('Pricing Inputs'!$AQ$3=2,'Pricing Inputs'!$AQ$3=3,'Pricing Inputs'!$AQ$3=5,'Pricing Inputs'!$AQ$3=6,'Pricing Inputs'!$AQ$3=8,'Pricing Inputs'!$AQ$3=9),IF(AND('Pricing Inputs'!$AQ$3&gt;=2,'Pricing Inputs'!$AQ$3&lt;=6),K240,(VLOOKUP(A240,ScaledPrice,5))*(2-(VLOOKUP(A240,ScaledPrice,3)))),0))</f>
        <v> </v>
      </c>
      <c r="M240" s="279" t="str">
        <f aca="false">IF(A240="N/A"," ",IF(OR('Pricing Inputs'!$AQ$3=3,'Pricing Inputs'!$AQ$3=6,'Pricing Inputs'!$AQ$3=9),(VLOOKUP(A240,ScaledPrice,IF(AND('Pricing Inputs'!$AQ$3&gt;=3,'Pricing Inputs'!$AQ$3&lt;=6),7,8))),0))</f>
        <v> </v>
      </c>
      <c r="N240" s="279" t="str">
        <f aca="false">IF(A240="N/A"," ",IF(OR('Pricing Inputs'!$AQ$3=3,'Pricing Inputs'!$AQ$3=6,'Pricing Inputs'!$AQ$3=9),IF(AND('Pricing Inputs'!$AQ$3&gt;=3,'Pricing Inputs'!$AQ$3&lt;=6),M240,(VLOOKUP(A240,ScaledPrice,7))*(2-(VLOOKUP(A240,ScaledPrice,3)))),0))</f>
        <v> </v>
      </c>
      <c r="O240" s="279" t="str">
        <f aca="false">IF(A240="N/A"," ",IF(AND('Pricing Inputs'!$AQ$3&gt;=1,'Pricing Inputs'!$AQ$3&lt;=3),VLOOKUP(A240,ScaledPrice,9),0))</f>
        <v> </v>
      </c>
      <c r="P240" s="280" t="str">
        <f aca="false">IF($A240="N/A"," ",IF('Pricing Inputs'!$AN$8=2,(I240-H240),IF('Pricing Inputs'!$AN$3=2,IF((I240-$H240)&gt;0,I240-$H240,0),(xSPRDOPT(I240,$E240,$BU240,0,$BP240,$BS240,$BT240,($A240-Inputs!$D$1)+15,1,0)))))</f>
        <v> </v>
      </c>
      <c r="Q240" s="280" t="str">
        <f aca="false">IF($A240="N/A"," ",IF('Pricing Inputs'!$AN$8=2,(J240-$H240),IF('Pricing Inputs'!$AN$3=2,IF((J240-$H240)&gt;0,J240-$H240,0),(xSPRDOPT(J240,$E240,$BU240,0,$BP240,$BS240,$BT240,($A240-Inputs!$D$1)+15,1,0)))))</f>
        <v> </v>
      </c>
      <c r="R240" s="280" t="str">
        <f aca="false">IF($A240="N/A"," ",IF('Pricing Inputs'!$AN$8=2,(K240-$H240),IF('Pricing Inputs'!$AN$3=2,IF((K240-$H240)&gt;0,K240-$H240,0),(xSPRDOPT(K240,$E240,$BU240,0,$BP240,$BS240,$BT240,($A240-Inputs!$D$1)+15,1,0)))))</f>
        <v> </v>
      </c>
      <c r="S240" s="280" t="str">
        <f aca="false">IF($A240="N/A"," ",IF('Pricing Inputs'!$AN$8=2,(L240-$H240),IF('Pricing Inputs'!$AN$3=2,IF((L240-$H240)&gt;0,L240-$H240,0),(xSPRDOPT(L240,$E240,$BU240,0,$BP240,$BS240,$BT240,($A240-Inputs!$D$1)+15,1,0)))))</f>
        <v> </v>
      </c>
      <c r="T240" s="280" t="str">
        <f aca="false">IF($A240="N/A"," ",IF('Pricing Inputs'!$AN$8=2,(M240-$H240),IF('Pricing Inputs'!$AN$3=2,IF((M240-$H240)&gt;0,M240-$H240,0),(xSPRDOPT(M240,$E240,$BU240,0,$BP240,$BS240,$BT240,($A240-Inputs!$D$1)+15,1,0)))))</f>
        <v> </v>
      </c>
      <c r="U240" s="280" t="str">
        <f aca="false">IF($A240="N/A"," ",IF('Pricing Inputs'!$AN$8=2,(N240-$H240),IF('Pricing Inputs'!$AN$3=2,IF((N240-$H240)&gt;0,N240-$H240,0),(xSPRDOPT(N240,$E240,$BU240,0,$BP240,$BS240,$BT240,($A240-Inputs!$D$1)+15,1,0)))))</f>
        <v> </v>
      </c>
      <c r="V240" s="281" t="str">
        <f aca="false">IF($A240="N/A"," ",(IF('Pricing Inputs'!$AN$8=2,(O240-$H240),IF((O240-$H240)&lt;=0,0,(O240-$H240)))))</f>
        <v> </v>
      </c>
      <c r="W240" s="282" t="str">
        <f aca="false">IF($A240="N/A"," ",IF(0&lt;&gt;P240,IF('Pricing Inputs'!$AN$3=2,8*VLOOKUP($A240,NumberofDaysTable,2),(xSPRDOPT(I240,$E240,$BU240,0,$BP240,$BS240,$BT240,$A240-Inputs!$D$1,1,1))*(8*VLOOKUP($A240,NumberofDaysTable,2))),0))</f>
        <v> </v>
      </c>
      <c r="X240" s="282" t="str">
        <f aca="false">IF($A240="N/A"," ",IF(Q240&lt;&gt;0,IF('Pricing Inputs'!$AN$3=2,8*VLOOKUP($A240,NumberofDaysTable,2),(xSPRDOPT(J240,$E240,$BU240,0,$BP240,$BS240,$BT240,$A240-Inputs!$D$1,1,1))*(8*VLOOKUP($A240,NumberofDaysTable,2))),0))</f>
        <v> </v>
      </c>
      <c r="Y240" s="282" t="str">
        <f aca="false">IF($A240="N/A"," ",IF(R240&lt;&gt;0,IF('Pricing Inputs'!$AN$3=2,8*VLOOKUP($A240,NumberofDaysTable,3),(xSPRDOPT(K240,$E240,$BU240,0,$BP240,$BS240,$BT240,$A240-Inputs!$D$1,1,1))*(8*VLOOKUP($A240,NumberofDaysTable,3))),0))</f>
        <v> </v>
      </c>
      <c r="Z240" s="282" t="str">
        <f aca="false">IF($A240="N/A"," ",IF(S240&lt;&gt;0,IF('Pricing Inputs'!$AN$3=2,8*VLOOKUP($A240,NumberofDaysTable,3),(xSPRDOPT(L240,$E240,$BU240,0,$BP240,$BS240,$BT240,$A240-Inputs!$D$1,1,1))*(8*VLOOKUP($A240,NumberofDaysTable,3))),0))</f>
        <v> </v>
      </c>
      <c r="AA240" s="282" t="str">
        <f aca="false">IF($A240="N/A"," ",IF(T240&lt;&gt;0,IF('Pricing Inputs'!$AN$3=2,8*VLOOKUP($A240,NumberofDaysTable,4),(xSPRDOPT(M240,$E240,$BU240,0,$BP240,$BS240,$BT240,$A240-Inputs!$D$1,1,1))*(8*VLOOKUP($A240,NumberofDaysTable,4))),0))</f>
        <v> </v>
      </c>
      <c r="AB240" s="282" t="str">
        <f aca="false">IF($A240="N/A"," ",IF(U240&lt;&gt;0,IF('Pricing Inputs'!$AN$3=2,8*VLOOKUP($A240,NumberofDaysTable,4),(xSPRDOPT(N240,$E240,$BU240,0,$BP240,$BS240,$BT240,$A240-Inputs!$D$1,1,1))*(8*VLOOKUP($A240,NumberofDaysTable,4))),0))</f>
        <v> </v>
      </c>
      <c r="AC240" s="282" t="str">
        <f aca="false">IF($A240="N/A"," ",(IF(V240&lt;&gt;0,(8*VLOOKUP($A240,NumberofDaysTable,6)),0)))</f>
        <v> </v>
      </c>
      <c r="AD240" s="298" t="str">
        <f aca="false">IF($A240="N/A"," ",RANK(P240,$P$232:$V$243))</f>
        <v> </v>
      </c>
      <c r="AE240" s="299" t="str">
        <f aca="false">IF($A240="N/A"," ",RANK(Q240,$P$232:$V$243))</f>
        <v> </v>
      </c>
      <c r="AF240" s="299" t="str">
        <f aca="false">IF($A240="N/A"," ",RANK(R240,$P$232:$V$243))</f>
        <v> </v>
      </c>
      <c r="AG240" s="299" t="str">
        <f aca="false">IF($A240="N/A"," ",RANK(S240,$P$232:$V$243))</f>
        <v> </v>
      </c>
      <c r="AH240" s="299" t="str">
        <f aca="false">IF($A240="N/A"," ",RANK(T240,$P$232:$V$243))</f>
        <v> </v>
      </c>
      <c r="AI240" s="299" t="str">
        <f aca="false">IF($A240="N/A"," ",RANK(U240,$P$232:$V$243))</f>
        <v> </v>
      </c>
      <c r="AJ240" s="300" t="str">
        <f aca="false">IF($A240="N/A"," ",RANK(V240,$P$232:$V$243))</f>
        <v> </v>
      </c>
      <c r="AK240" s="286" t="str">
        <f aca="false">IF($A240="N/A"," ",IF(AD240&lt;=$AJ$2,W240,0))</f>
        <v> </v>
      </c>
      <c r="AL240" s="301" t="str">
        <f aca="false">IF($A240="N/A"," ",IF(AE240&lt;=$AJ$2,X240,0))</f>
        <v> </v>
      </c>
      <c r="AM240" s="301" t="str">
        <f aca="false">IF($A240="N/A"," ",IF(AF240&lt;=$AJ$2,Y240,0))</f>
        <v> </v>
      </c>
      <c r="AN240" s="301" t="str">
        <f aca="false">IF($A240="N/A"," ",IF(AG240&lt;=$AJ$2,Z240,0))</f>
        <v> </v>
      </c>
      <c r="AO240" s="301" t="str">
        <f aca="false">IF($A240="N/A"," ",IF(AH240&lt;=$AJ$2,AA240,0))</f>
        <v> </v>
      </c>
      <c r="AP240" s="301" t="str">
        <f aca="false">IF($A240="N/A"," ",IF(AI240&lt;=$AJ$2,AB240,0))</f>
        <v> </v>
      </c>
      <c r="AQ240" s="301" t="str">
        <f aca="false">IF($A240="N/A"," ",IF(AJ240&lt;=$AJ$2,AC240,0))</f>
        <v> </v>
      </c>
      <c r="AR240" s="300"/>
      <c r="AS240" s="288" t="str">
        <f aca="false">IF($A240="N/A"," ",IF(AND(AD240=$AJ$2+1,AK240=0),MIN($AR$243,W240),0))</f>
        <v> </v>
      </c>
      <c r="AT240" s="302" t="str">
        <f aca="false">IF($A240="N/A"," ",IF(AND(AE240=$AJ$2+1,AL240=0),MIN($AR$243,X240),0))</f>
        <v> </v>
      </c>
      <c r="AU240" s="302" t="str">
        <f aca="false">IF($A240="N/A"," ",IF(AND(AF240=$AJ$2+1,AM240=0),MIN($AR$243,Y240),0))</f>
        <v> </v>
      </c>
      <c r="AV240" s="302" t="str">
        <f aca="false">IF($A240="N/A"," ",IF(AND(AG240=$AJ$2+1,AN240=0),MIN($AR$243,Z240),0))</f>
        <v> </v>
      </c>
      <c r="AW240" s="302" t="str">
        <f aca="false">IF($A240="N/A"," ",IF(AND(AH240=$AJ$2+1,AO240=0),MIN($AR$243,AA240),0))</f>
        <v> </v>
      </c>
      <c r="AX240" s="302" t="str">
        <f aca="false">IF($A240="N/A"," ",IF(AND(AI240=$AJ$2+1,AP240=0),MIN($AR$243,AB240),0))</f>
        <v> </v>
      </c>
      <c r="AY240" s="302" t="str">
        <f aca="false">IF($A240="N/A"," ",IF(AND(AJ240=$AJ$2+1,AQ240=0),MIN($AR$243,AC240),0))</f>
        <v> </v>
      </c>
      <c r="AZ240" s="300"/>
      <c r="BA240" s="291" t="str">
        <f aca="false">IF($A240="N/A"," ",(IF(MONTH(A240)&gt;=4,IF(MONTH(A240)&lt;=10,Inputs!$F$13,Inputs!$F$14),Inputs!$F$14))*$BW240)</f>
        <v> </v>
      </c>
      <c r="BB240" s="292" t="str">
        <f aca="false">IF($A240="N/A"," ",(IF(AK240&gt;0,($BA240*(8*(VLOOKUP($A240,NumberofDaysTable,2)))*P240),0)+IF(AS240&gt;0,($BA240*((AS240))*P240),0)))</f>
        <v> </v>
      </c>
      <c r="BC240" s="292" t="str">
        <f aca="false">IF($A240="N/A"," ",(IF(AL240&gt;0,($BA240*(8*(VLOOKUP($A240,NumberofDaysTable,2)))*Q240),0)+IF(AT240&gt;0,($BA240*((AT240))*Q240),0)))</f>
        <v> </v>
      </c>
      <c r="BD240" s="292" t="str">
        <f aca="false">IF($A240="N/A"," ",(IF(AM240&gt;0,($BA240*(8*(VLOOKUP($A240,NumberofDaysTable,3)))*R240),0)+IF(AU240&gt;0,($BA240*((AU240))*R240),0)))</f>
        <v> </v>
      </c>
      <c r="BE240" s="292" t="str">
        <f aca="false">IF($A240="N/A"," ",(IF(AN240&gt;0,($BA240*(8*(VLOOKUP($A240,NumberofDaysTable,3)))*S240),0)+IF(AV240&gt;0,($BA240*((AV240))*S240),0)))</f>
        <v> </v>
      </c>
      <c r="BF240" s="292" t="str">
        <f aca="false">IF($A240="N/A"," ",(IF(AO240&gt;0,($BA240*(8*(VLOOKUP($A240,NumberofDaysTable,4)+VLOOKUP($A240,NumberofDaysTable,5)))*T240),0)+IF(AW240&gt;0,($BA240*((AW240))*T240),0)))</f>
        <v> </v>
      </c>
      <c r="BG240" s="292" t="str">
        <f aca="false">IF($A240="N/A"," ",(IF(AP240&gt;0,($BA240*(8*(VLOOKUP($A240,NumberofDaysTable,4)+VLOOKUP($A240,NumberofDaysTable,5)))*U240),0)+IF(AX240&gt;0,($BA240*((AX240))*U240),0)))</f>
        <v> </v>
      </c>
      <c r="BH240" s="292" t="str">
        <f aca="false">IF($A240="N/A"," ",($BA240*AQ240*V240))</f>
        <v> </v>
      </c>
      <c r="BI240" s="292" t="str">
        <f aca="false">IF($A240="N/A"," ",SUM(BB240:BH240))</f>
        <v> </v>
      </c>
      <c r="BJ240" s="293" t="str">
        <f aca="false">IF($A240="N/A"," ",(H240*(SUM(AK240:AQ240)+SUM(AS240:AY240))*BA240))</f>
        <v> </v>
      </c>
      <c r="BK240" s="293" t="str">
        <f aca="false">IF($A240="N/A"," ",((C240*D240)*(SUM($AK240:$AQ240)+SUM($AS240:$AY240))*$BA240))</f>
        <v> </v>
      </c>
      <c r="BL240" s="293" t="str">
        <f aca="false">IF($A240="N/A"," ",(F240*(SUM($AK240:$AQ240)+SUM($AS240:$AY240))*$BA240))</f>
        <v> </v>
      </c>
      <c r="BM240" s="293" t="str">
        <f aca="false">IF($A240="N/A"," ",(G240*(SUM($AK240:$AQ240)+SUM($AS240:$AY240))*$BA240))</f>
        <v> </v>
      </c>
      <c r="BN240" s="294" t="str">
        <f aca="false">IF(A240="N/A"," ",(VLOOKUP(A240,PowerVolTable,(IF('Pricing Inputs'!$AT$3=2,7,IF('Pricing Inputs'!$AT$3=1,6,8))),FALSE())))</f>
        <v> </v>
      </c>
      <c r="BO240" s="294" t="str">
        <f aca="false">IF(A240="N/A"," ",(VLOOKUP(A240,IntraPowerVol,(IF('Pricing Inputs'!$AT$3=2,3,IF('Pricing Inputs'!$AT$3=1,2,4))),FALSE())*VLOOKUP(MONTH($A240),Inputs!$A$28:$B$39,2)))</f>
        <v> </v>
      </c>
      <c r="BP240" s="295" t="str">
        <f aca="false">IF($A240="N/A"," ",(IF(DateToday&gt;$A240,$BO240,((($BN240^2)*((($A240-1)-DateToday)/((EOMONTH($A240,0)+1)-DateToday-15)))+((($BO240)^2)*((15)/((EOMONTH($A240,0)+1)-DateToday-15))))^0.5)))</f>
        <v> </v>
      </c>
      <c r="BQ240" s="294" t="str">
        <f aca="false">IF($A240="N/A"," ",(VLOOKUP($A240,GasVolTable,(IF('Pricing Inputs'!$AT$3=2,6,IF('Pricing Inputs'!$AT$3=1,7,5))),FALSE())))</f>
        <v> </v>
      </c>
      <c r="BR240" s="294" t="str">
        <f aca="false">IF($A240="N/A"," ",(VLOOKUP($A240,OmicronVol,(IF('Pricing Inputs'!$AT$3=2,3,IF('Pricing Inputs'!$AT$3=1,4,2))),FALSE())))</f>
        <v> </v>
      </c>
      <c r="BS240" s="295" t="str">
        <f aca="false">IF($A240="N/A"," ",IF('Pricing Inputs'!$AN$3=1,(IF(DateToday&gt;$A240,$BR240,((($BQ240^2)*((($A240-1)-DateToday)/((EOMONTH($A240,0)+1)-DateToday-15)))+((($BR240)^2)*((15)/((EOMONTH($A240,0)+1)-DateToday-15))))^0.5)),0.0001))</f>
        <v> </v>
      </c>
      <c r="BT240" s="294" t="str">
        <f aca="false">IF($A240="N/A"," ",IF('Pricing Inputs'!$AN$3=1,(VLOOKUP($A240,CorrelationTable,2,FALSE())),0))</f>
        <v> </v>
      </c>
      <c r="BU240" s="296" t="str">
        <f aca="false">IF($A240="N/A"," ",F240+G240+(D240*(VLOOKUP($A240,'Gas Curves'!$B$17:$P$310,14,FALSE()))))</f>
        <v> </v>
      </c>
      <c r="BV240" s="294" t="str">
        <f aca="false">IF($A240="N/A"," ",IF('Pricing Inputs'!$AW$3=1,0,(VLOOKUP($A240,InterestRatesTable,2))))</f>
        <v> </v>
      </c>
      <c r="BW240" s="297" t="str">
        <f aca="false">IF($A240="N/A"," ",(1+BV240/2)^(-2*((EOMONTH(A240,0)+20)-DateToday)/365.25))</f>
        <v> </v>
      </c>
    </row>
    <row r="241" customFormat="false" ht="12.75" hidden="false" customHeight="false" outlineLevel="0" collapsed="false">
      <c r="A241" s="272" t="str">
        <f aca="false">IF(A240="N/A","N/A",IF(EDATE(A240,1)&gt;Inputs!$K$3,"N/A",EDATE(A240,1)))</f>
        <v>N/A</v>
      </c>
      <c r="B241" s="273" t="str">
        <f aca="false">IF(A241="N/A"," ",YEAR(A241))</f>
        <v> </v>
      </c>
      <c r="C241" s="274" t="str">
        <f aca="false">IF(A241="N/A"," ",VLOOKUP(A241,ScaledPrice,10))</f>
        <v> </v>
      </c>
      <c r="D241" s="275" t="str">
        <f aca="false">IF(A241="N/A"," ",(VLOOKUP(MONTH($A241),Inputs!$A$14:$B$25,2))/1000)</f>
        <v> </v>
      </c>
      <c r="E241" s="276" t="str">
        <f aca="false">IF($A241="N/A"," ",C241*D241)</f>
        <v> </v>
      </c>
      <c r="F241" s="277" t="str">
        <f aca="false">IF(A241="N/A"," ",Inputs!$F$6)</f>
        <v> </v>
      </c>
      <c r="G241" s="277" t="str">
        <f aca="false">IF(A241="N/A"," ",Inputs!$F$9/IF(AND('Pricing Inputs'!$AQ$3&gt;=4,'Pricing Inputs'!$AQ$3&lt;=6),16,IF(AND('Pricing Inputs'!$AQ$3&gt;=7,'Pricing Inputs'!$AQ$3&lt;=9),8,24))/(BA241/BW241))</f>
        <v> </v>
      </c>
      <c r="H241" s="278" t="str">
        <f aca="false">IF(A241="N/A"," ",(C241*D241)+F241+G241)</f>
        <v> </v>
      </c>
      <c r="I241" s="279" t="str">
        <f aca="false">VLOOKUP(A241,ScaledPrice,(IF(AND('Pricing Inputs'!$AQ$3&gt;=1,'Pricing Inputs'!$AQ$3&lt;=6),2,4)))</f>
        <v> </v>
      </c>
      <c r="J241" s="279" t="str">
        <f aca="false">IF(A241="N/A"," ",IF(AND('Pricing Inputs'!$AQ$3&gt;=1,'Pricing Inputs'!$AQ$3&lt;=6),I241,(VLOOKUP(A241,ScaledPrice,2))*(2-(VLOOKUP(A241,ScaledPrice,3)))))</f>
        <v> </v>
      </c>
      <c r="K241" s="279" t="str">
        <f aca="false">IF(A241="N/A"," ",IF(OR('Pricing Inputs'!$AQ$3=2,'Pricing Inputs'!$AQ$3=3,'Pricing Inputs'!$AQ$3=5,'Pricing Inputs'!$AQ$3=6,'Pricing Inputs'!$AQ$3=8,'Pricing Inputs'!$AQ$3=9),VLOOKUP(A241,ScaledPrice,IF(AND('Pricing Inputs'!$AQ$3&gt;=2,'Pricing Inputs'!$AQ$3&lt;=6),5,6)),0))</f>
        <v> </v>
      </c>
      <c r="L241" s="279" t="str">
        <f aca="false">IF(A241="N/A"," ",IF(OR('Pricing Inputs'!$AQ$3=2,'Pricing Inputs'!$AQ$3=3,'Pricing Inputs'!$AQ$3=5,'Pricing Inputs'!$AQ$3=6,'Pricing Inputs'!$AQ$3=8,'Pricing Inputs'!$AQ$3=9),IF(AND('Pricing Inputs'!$AQ$3&gt;=2,'Pricing Inputs'!$AQ$3&lt;=6),K241,(VLOOKUP(A241,ScaledPrice,5))*(2-(VLOOKUP(A241,ScaledPrice,3)))),0))</f>
        <v> </v>
      </c>
      <c r="M241" s="279" t="str">
        <f aca="false">IF(A241="N/A"," ",IF(OR('Pricing Inputs'!$AQ$3=3,'Pricing Inputs'!$AQ$3=6,'Pricing Inputs'!$AQ$3=9),(VLOOKUP(A241,ScaledPrice,IF(AND('Pricing Inputs'!$AQ$3&gt;=3,'Pricing Inputs'!$AQ$3&lt;=6),7,8))),0))</f>
        <v> </v>
      </c>
      <c r="N241" s="279" t="str">
        <f aca="false">IF(A241="N/A"," ",IF(OR('Pricing Inputs'!$AQ$3=3,'Pricing Inputs'!$AQ$3=6,'Pricing Inputs'!$AQ$3=9),IF(AND('Pricing Inputs'!$AQ$3&gt;=3,'Pricing Inputs'!$AQ$3&lt;=6),M241,(VLOOKUP(A241,ScaledPrice,7))*(2-(VLOOKUP(A241,ScaledPrice,3)))),0))</f>
        <v> </v>
      </c>
      <c r="O241" s="279" t="str">
        <f aca="false">IF(A241="N/A"," ",IF(AND('Pricing Inputs'!$AQ$3&gt;=1,'Pricing Inputs'!$AQ$3&lt;=3),VLOOKUP(A241,ScaledPrice,9),0))</f>
        <v> </v>
      </c>
      <c r="P241" s="280" t="str">
        <f aca="false">IF($A241="N/A"," ",IF('Pricing Inputs'!$AN$8=2,(I241-H241),IF('Pricing Inputs'!$AN$3=2,IF((I241-$H241)&gt;0,I241-$H241,0),(xSPRDOPT(I241,$E241,$BU241,0,$BP241,$BS241,$BT241,($A241-Inputs!$D$1)+15,1,0)))))</f>
        <v> </v>
      </c>
      <c r="Q241" s="280" t="str">
        <f aca="false">IF($A241="N/A"," ",IF('Pricing Inputs'!$AN$8=2,(J241-$H241),IF('Pricing Inputs'!$AN$3=2,IF((J241-$H241)&gt;0,J241-$H241,0),(xSPRDOPT(J241,$E241,$BU241,0,$BP241,$BS241,$BT241,($A241-Inputs!$D$1)+15,1,0)))))</f>
        <v> </v>
      </c>
      <c r="R241" s="280" t="str">
        <f aca="false">IF($A241="N/A"," ",IF('Pricing Inputs'!$AN$8=2,(K241-$H241),IF('Pricing Inputs'!$AN$3=2,IF((K241-$H241)&gt;0,K241-$H241,0),(xSPRDOPT(K241,$E241,$BU241,0,$BP241,$BS241,$BT241,($A241-Inputs!$D$1)+15,1,0)))))</f>
        <v> </v>
      </c>
      <c r="S241" s="280" t="str">
        <f aca="false">IF($A241="N/A"," ",IF('Pricing Inputs'!$AN$8=2,(L241-$H241),IF('Pricing Inputs'!$AN$3=2,IF((L241-$H241)&gt;0,L241-$H241,0),(xSPRDOPT(L241,$E241,$BU241,0,$BP241,$BS241,$BT241,($A241-Inputs!$D$1)+15,1,0)))))</f>
        <v> </v>
      </c>
      <c r="T241" s="280" t="str">
        <f aca="false">IF($A241="N/A"," ",IF('Pricing Inputs'!$AN$8=2,(M241-$H241),IF('Pricing Inputs'!$AN$3=2,IF((M241-$H241)&gt;0,M241-$H241,0),(xSPRDOPT(M241,$E241,$BU241,0,$BP241,$BS241,$BT241,($A241-Inputs!$D$1)+15,1,0)))))</f>
        <v> </v>
      </c>
      <c r="U241" s="280" t="str">
        <f aca="false">IF($A241="N/A"," ",IF('Pricing Inputs'!$AN$8=2,(N241-$H241),IF('Pricing Inputs'!$AN$3=2,IF((N241-$H241)&gt;0,N241-$H241,0),(xSPRDOPT(N241,$E241,$BU241,0,$BP241,$BS241,$BT241,($A241-Inputs!$D$1)+15,1,0)))))</f>
        <v> </v>
      </c>
      <c r="V241" s="281" t="str">
        <f aca="false">IF($A241="N/A"," ",(IF('Pricing Inputs'!$AN$8=2,(O241-$H241),IF((O241-$H241)&lt;=0,0,(O241-$H241)))))</f>
        <v> </v>
      </c>
      <c r="W241" s="282" t="str">
        <f aca="false">IF($A241="N/A"," ",IF(0&lt;&gt;P241,IF('Pricing Inputs'!$AN$3=2,8*VLOOKUP($A241,NumberofDaysTable,2),(xSPRDOPT(I241,$E241,$BU241,0,$BP241,$BS241,$BT241,$A241-Inputs!$D$1,1,1))*(8*VLOOKUP($A241,NumberofDaysTable,2))),0))</f>
        <v> </v>
      </c>
      <c r="X241" s="282" t="str">
        <f aca="false">IF($A241="N/A"," ",IF(Q241&lt;&gt;0,IF('Pricing Inputs'!$AN$3=2,8*VLOOKUP($A241,NumberofDaysTable,2),(xSPRDOPT(J241,$E241,$BU241,0,$BP241,$BS241,$BT241,$A241-Inputs!$D$1,1,1))*(8*VLOOKUP($A241,NumberofDaysTable,2))),0))</f>
        <v> </v>
      </c>
      <c r="Y241" s="282" t="str">
        <f aca="false">IF($A241="N/A"," ",IF(R241&lt;&gt;0,IF('Pricing Inputs'!$AN$3=2,8*VLOOKUP($A241,NumberofDaysTable,3),(xSPRDOPT(K241,$E241,$BU241,0,$BP241,$BS241,$BT241,$A241-Inputs!$D$1,1,1))*(8*VLOOKUP($A241,NumberofDaysTable,3))),0))</f>
        <v> </v>
      </c>
      <c r="Z241" s="282" t="str">
        <f aca="false">IF($A241="N/A"," ",IF(S241&lt;&gt;0,IF('Pricing Inputs'!$AN$3=2,8*VLOOKUP($A241,NumberofDaysTable,3),(xSPRDOPT(L241,$E241,$BU241,0,$BP241,$BS241,$BT241,$A241-Inputs!$D$1,1,1))*(8*VLOOKUP($A241,NumberofDaysTable,3))),0))</f>
        <v> </v>
      </c>
      <c r="AA241" s="282" t="str">
        <f aca="false">IF($A241="N/A"," ",IF(T241&lt;&gt;0,IF('Pricing Inputs'!$AN$3=2,8*VLOOKUP($A241,NumberofDaysTable,4),(xSPRDOPT(M241,$E241,$BU241,0,$BP241,$BS241,$BT241,$A241-Inputs!$D$1,1,1))*(8*VLOOKUP($A241,NumberofDaysTable,4))),0))</f>
        <v> </v>
      </c>
      <c r="AB241" s="282" t="str">
        <f aca="false">IF($A241="N/A"," ",IF(U241&lt;&gt;0,IF('Pricing Inputs'!$AN$3=2,8*VLOOKUP($A241,NumberofDaysTable,4),(xSPRDOPT(N241,$E241,$BU241,0,$BP241,$BS241,$BT241,$A241-Inputs!$D$1,1,1))*(8*VLOOKUP($A241,NumberofDaysTable,4))),0))</f>
        <v> </v>
      </c>
      <c r="AC241" s="282" t="str">
        <f aca="false">IF($A241="N/A"," ",(IF(V241&lt;&gt;0,(8*VLOOKUP($A241,NumberofDaysTable,6)),0)))</f>
        <v> </v>
      </c>
      <c r="AD241" s="298" t="str">
        <f aca="false">IF($A241="N/A"," ",RANK(P241,$P$232:$V$243))</f>
        <v> </v>
      </c>
      <c r="AE241" s="299" t="str">
        <f aca="false">IF($A241="N/A"," ",RANK(Q241,$P$232:$V$243))</f>
        <v> </v>
      </c>
      <c r="AF241" s="299" t="str">
        <f aca="false">IF($A241="N/A"," ",RANK(R241,$P$232:$V$243))</f>
        <v> </v>
      </c>
      <c r="AG241" s="299" t="str">
        <f aca="false">IF($A241="N/A"," ",RANK(S241,$P$232:$V$243))</f>
        <v> </v>
      </c>
      <c r="AH241" s="299" t="str">
        <f aca="false">IF($A241="N/A"," ",RANK(T241,$P$232:$V$243))</f>
        <v> </v>
      </c>
      <c r="AI241" s="299" t="str">
        <f aca="false">IF($A241="N/A"," ",RANK(U241,$P$232:$V$243))</f>
        <v> </v>
      </c>
      <c r="AJ241" s="300" t="str">
        <f aca="false">IF($A241="N/A"," ",RANK(V241,$P$232:$V$243))</f>
        <v> </v>
      </c>
      <c r="AK241" s="286" t="str">
        <f aca="false">IF($A241="N/A"," ",IF(AD241&lt;=$AJ$2,W241,0))</f>
        <v> </v>
      </c>
      <c r="AL241" s="301" t="str">
        <f aca="false">IF($A241="N/A"," ",IF(AE241&lt;=$AJ$2,X241,0))</f>
        <v> </v>
      </c>
      <c r="AM241" s="301" t="str">
        <f aca="false">IF($A241="N/A"," ",IF(AF241&lt;=$AJ$2,Y241,0))</f>
        <v> </v>
      </c>
      <c r="AN241" s="301" t="str">
        <f aca="false">IF($A241="N/A"," ",IF(AG241&lt;=$AJ$2,Z241,0))</f>
        <v> </v>
      </c>
      <c r="AO241" s="301" t="str">
        <f aca="false">IF($A241="N/A"," ",IF(AH241&lt;=$AJ$2,AA241,0))</f>
        <v> </v>
      </c>
      <c r="AP241" s="301" t="str">
        <f aca="false">IF($A241="N/A"," ",IF(AI241&lt;=$AJ$2,AB241,0))</f>
        <v> </v>
      </c>
      <c r="AQ241" s="301" t="str">
        <f aca="false">IF($A241="N/A"," ",IF(AJ241&lt;=$AJ$2,AC241,0))</f>
        <v> </v>
      </c>
      <c r="AR241" s="304" t="s">
        <v>1301</v>
      </c>
      <c r="AS241" s="288" t="str">
        <f aca="false">IF($A241="N/A"," ",IF(AND(AD241=$AJ$2+1,AK241=0),MIN($AR$243,W241),0))</f>
        <v> </v>
      </c>
      <c r="AT241" s="302" t="str">
        <f aca="false">IF($A241="N/A"," ",IF(AND(AE241=$AJ$2+1,AL241=0),MIN($AR$243,X241),0))</f>
        <v> </v>
      </c>
      <c r="AU241" s="302" t="str">
        <f aca="false">IF($A241="N/A"," ",IF(AND(AF241=$AJ$2+1,AM241=0),MIN($AR$243,Y241),0))</f>
        <v> </v>
      </c>
      <c r="AV241" s="302" t="str">
        <f aca="false">IF($A241="N/A"," ",IF(AND(AG241=$AJ$2+1,AN241=0),MIN($AR$243,Z241),0))</f>
        <v> </v>
      </c>
      <c r="AW241" s="302" t="str">
        <f aca="false">IF($A241="N/A"," ",IF(AND(AH241=$AJ$2+1,AO241=0),MIN($AR$243,AA241),0))</f>
        <v> </v>
      </c>
      <c r="AX241" s="302" t="str">
        <f aca="false">IF($A241="N/A"," ",IF(AND(AI241=$AJ$2+1,AP241=0),MIN($AR$243,AB241),0))</f>
        <v> </v>
      </c>
      <c r="AY241" s="302" t="str">
        <f aca="false">IF($A241="N/A"," ",IF(AND(AJ241=$AJ$2+1,AQ241=0),MIN($AR$243,AC241),0))</f>
        <v> </v>
      </c>
      <c r="AZ241" s="303" t="s">
        <v>1328</v>
      </c>
      <c r="BA241" s="291" t="str">
        <f aca="false">IF($A241="N/A"," ",(IF(MONTH(A241)&gt;=4,IF(MONTH(A241)&lt;=10,Inputs!$F$13,Inputs!$F$14),Inputs!$F$14))*$BW241)</f>
        <v> </v>
      </c>
      <c r="BB241" s="292" t="str">
        <f aca="false">IF($A241="N/A"," ",(IF(AK241&gt;0,($BA241*(8*(VLOOKUP($A241,NumberofDaysTable,2)))*P241),0)+IF(AS241&gt;0,($BA241*((AS241))*P241),0)))</f>
        <v> </v>
      </c>
      <c r="BC241" s="292" t="str">
        <f aca="false">IF($A241="N/A"," ",(IF(AL241&gt;0,($BA241*(8*(VLOOKUP($A241,NumberofDaysTable,2)))*Q241),0)+IF(AT241&gt;0,($BA241*((AT241))*Q241),0)))</f>
        <v> </v>
      </c>
      <c r="BD241" s="292" t="str">
        <f aca="false">IF($A241="N/A"," ",(IF(AM241&gt;0,($BA241*(8*(VLOOKUP($A241,NumberofDaysTable,3)))*R241),0)+IF(AU241&gt;0,($BA241*((AU241))*R241),0)))</f>
        <v> </v>
      </c>
      <c r="BE241" s="292" t="str">
        <f aca="false">IF($A241="N/A"," ",(IF(AN241&gt;0,($BA241*(8*(VLOOKUP($A241,NumberofDaysTable,3)))*S241),0)+IF(AV241&gt;0,($BA241*((AV241))*S241),0)))</f>
        <v> </v>
      </c>
      <c r="BF241" s="292" t="str">
        <f aca="false">IF($A241="N/A"," ",(IF(AO241&gt;0,($BA241*(8*(VLOOKUP($A241,NumberofDaysTable,4)+VLOOKUP($A241,NumberofDaysTable,5)))*T241),0)+IF(AW241&gt;0,($BA241*((AW241))*T241),0)))</f>
        <v> </v>
      </c>
      <c r="BG241" s="292" t="str">
        <f aca="false">IF($A241="N/A"," ",(IF(AP241&gt;0,($BA241*(8*(VLOOKUP($A241,NumberofDaysTable,4)+VLOOKUP($A241,NumberofDaysTable,5)))*U241),0)+IF(AX241&gt;0,($BA241*((AX241))*U241),0)))</f>
        <v> </v>
      </c>
      <c r="BH241" s="292" t="str">
        <f aca="false">IF($A241="N/A"," ",($BA241*AQ241*V241))</f>
        <v> </v>
      </c>
      <c r="BI241" s="292" t="str">
        <f aca="false">IF($A241="N/A"," ",SUM(BB241:BH241))</f>
        <v> </v>
      </c>
      <c r="BJ241" s="293" t="str">
        <f aca="false">IF($A241="N/A"," ",(H241*(SUM(AK241:AQ241)+SUM(AS241:AY241))*BA241))</f>
        <v> </v>
      </c>
      <c r="BK241" s="293" t="str">
        <f aca="false">IF($A241="N/A"," ",((C241*D241)*(SUM($AK241:$AQ241)+SUM($AS241:$AY241))*$BA241))</f>
        <v> </v>
      </c>
      <c r="BL241" s="293" t="str">
        <f aca="false">IF($A241="N/A"," ",(F241*(SUM($AK241:$AQ241)+SUM($AS241:$AY241))*$BA241))</f>
        <v> </v>
      </c>
      <c r="BM241" s="293" t="str">
        <f aca="false">IF($A241="N/A"," ",(G241*(SUM($AK241:$AQ241)+SUM($AS241:$AY241))*$BA241))</f>
        <v> </v>
      </c>
      <c r="BN241" s="294" t="str">
        <f aca="false">IF(A241="N/A"," ",(VLOOKUP(A241,PowerVolTable,(IF('Pricing Inputs'!$AT$3=2,7,IF('Pricing Inputs'!$AT$3=1,6,8))),FALSE())))</f>
        <v> </v>
      </c>
      <c r="BO241" s="294" t="str">
        <f aca="false">IF(A241="N/A"," ",(VLOOKUP(A241,IntraPowerVol,(IF('Pricing Inputs'!$AT$3=2,3,IF('Pricing Inputs'!$AT$3=1,2,4))),FALSE())*VLOOKUP(MONTH($A241),Inputs!$A$28:$B$39,2)))</f>
        <v> </v>
      </c>
      <c r="BP241" s="295" t="str">
        <f aca="false">IF($A241="N/A"," ",(IF(DateToday&gt;$A241,$BO241,((($BN241^2)*((($A241-1)-DateToday)/((EOMONTH($A241,0)+1)-DateToday-15)))+((($BO241)^2)*((15)/((EOMONTH($A241,0)+1)-DateToday-15))))^0.5)))</f>
        <v> </v>
      </c>
      <c r="BQ241" s="294" t="str">
        <f aca="false">IF($A241="N/A"," ",(VLOOKUP($A241,GasVolTable,(IF('Pricing Inputs'!$AT$3=2,6,IF('Pricing Inputs'!$AT$3=1,7,5))),FALSE())))</f>
        <v> </v>
      </c>
      <c r="BR241" s="294" t="str">
        <f aca="false">IF($A241="N/A"," ",(VLOOKUP($A241,OmicronVol,(IF('Pricing Inputs'!$AT$3=2,3,IF('Pricing Inputs'!$AT$3=1,4,2))),FALSE())))</f>
        <v> </v>
      </c>
      <c r="BS241" s="295" t="str">
        <f aca="false">IF($A241="N/A"," ",IF('Pricing Inputs'!$AN$3=1,(IF(DateToday&gt;$A241,$BR241,((($BQ241^2)*((($A241-1)-DateToday)/((EOMONTH($A241,0)+1)-DateToday-15)))+((($BR241)^2)*((15)/((EOMONTH($A241,0)+1)-DateToday-15))))^0.5)),0.0001))</f>
        <v> </v>
      </c>
      <c r="BT241" s="294" t="str">
        <f aca="false">IF($A241="N/A"," ",IF('Pricing Inputs'!$AN$3=1,(VLOOKUP($A241,CorrelationTable,2,FALSE())),0))</f>
        <v> </v>
      </c>
      <c r="BU241" s="296" t="str">
        <f aca="false">IF($A241="N/A"," ",F241+G241+(D241*(VLOOKUP($A241,'Gas Curves'!$B$17:$P$310,14,FALSE()))))</f>
        <v> </v>
      </c>
      <c r="BV241" s="294" t="str">
        <f aca="false">IF($A241="N/A"," ",IF('Pricing Inputs'!$AW$3=1,0,(VLOOKUP($A241,InterestRatesTable,2))))</f>
        <v> </v>
      </c>
      <c r="BW241" s="297" t="str">
        <f aca="false">IF($A241="N/A"," ",(1+BV241/2)^(-2*((EOMONTH(A241,0)+20)-DateToday)/365.25))</f>
        <v> </v>
      </c>
    </row>
    <row r="242" customFormat="false" ht="12.75" hidden="false" customHeight="false" outlineLevel="0" collapsed="false">
      <c r="A242" s="272" t="str">
        <f aca="false">IF(A241="N/A","N/A",IF(EDATE(A241,1)&gt;Inputs!$K$3,"N/A",EDATE(A241,1)))</f>
        <v>N/A</v>
      </c>
      <c r="B242" s="273" t="str">
        <f aca="false">IF(A242="N/A"," ",YEAR(A242))</f>
        <v> </v>
      </c>
      <c r="C242" s="274" t="str">
        <f aca="false">IF(A242="N/A"," ",VLOOKUP(A242,ScaledPrice,10))</f>
        <v> </v>
      </c>
      <c r="D242" s="275" t="str">
        <f aca="false">IF(A242="N/A"," ",(VLOOKUP(MONTH($A242),Inputs!$A$14:$B$25,2))/1000)</f>
        <v> </v>
      </c>
      <c r="E242" s="276" t="str">
        <f aca="false">IF($A242="N/A"," ",C242*D242)</f>
        <v> </v>
      </c>
      <c r="F242" s="277" t="str">
        <f aca="false">IF(A242="N/A"," ",Inputs!$F$6)</f>
        <v> </v>
      </c>
      <c r="G242" s="277" t="str">
        <f aca="false">IF(A242="N/A"," ",Inputs!$F$9/IF(AND('Pricing Inputs'!$AQ$3&gt;=4,'Pricing Inputs'!$AQ$3&lt;=6),16,IF(AND('Pricing Inputs'!$AQ$3&gt;=7,'Pricing Inputs'!$AQ$3&lt;=9),8,24))/(BA242/BW242))</f>
        <v> </v>
      </c>
      <c r="H242" s="278" t="str">
        <f aca="false">IF(A242="N/A"," ",(C242*D242)+F242+G242)</f>
        <v> </v>
      </c>
      <c r="I242" s="279" t="str">
        <f aca="false">VLOOKUP(A242,ScaledPrice,(IF(AND('Pricing Inputs'!$AQ$3&gt;=1,'Pricing Inputs'!$AQ$3&lt;=6),2,4)))</f>
        <v> </v>
      </c>
      <c r="J242" s="279" t="str">
        <f aca="false">IF(A242="N/A"," ",IF(AND('Pricing Inputs'!$AQ$3&gt;=1,'Pricing Inputs'!$AQ$3&lt;=6),I242,(VLOOKUP(A242,ScaledPrice,2))*(2-(VLOOKUP(A242,ScaledPrice,3)))))</f>
        <v> </v>
      </c>
      <c r="K242" s="279" t="str">
        <f aca="false">IF(A242="N/A"," ",IF(OR('Pricing Inputs'!$AQ$3=2,'Pricing Inputs'!$AQ$3=3,'Pricing Inputs'!$AQ$3=5,'Pricing Inputs'!$AQ$3=6,'Pricing Inputs'!$AQ$3=8,'Pricing Inputs'!$AQ$3=9),VLOOKUP(A242,ScaledPrice,IF(AND('Pricing Inputs'!$AQ$3&gt;=2,'Pricing Inputs'!$AQ$3&lt;=6),5,6)),0))</f>
        <v> </v>
      </c>
      <c r="L242" s="279" t="str">
        <f aca="false">IF(A242="N/A"," ",IF(OR('Pricing Inputs'!$AQ$3=2,'Pricing Inputs'!$AQ$3=3,'Pricing Inputs'!$AQ$3=5,'Pricing Inputs'!$AQ$3=6,'Pricing Inputs'!$AQ$3=8,'Pricing Inputs'!$AQ$3=9),IF(AND('Pricing Inputs'!$AQ$3&gt;=2,'Pricing Inputs'!$AQ$3&lt;=6),K242,(VLOOKUP(A242,ScaledPrice,5))*(2-(VLOOKUP(A242,ScaledPrice,3)))),0))</f>
        <v> </v>
      </c>
      <c r="M242" s="279" t="str">
        <f aca="false">IF(A242="N/A"," ",IF(OR('Pricing Inputs'!$AQ$3=3,'Pricing Inputs'!$AQ$3=6,'Pricing Inputs'!$AQ$3=9),(VLOOKUP(A242,ScaledPrice,IF(AND('Pricing Inputs'!$AQ$3&gt;=3,'Pricing Inputs'!$AQ$3&lt;=6),7,8))),0))</f>
        <v> </v>
      </c>
      <c r="N242" s="279" t="str">
        <f aca="false">IF(A242="N/A"," ",IF(OR('Pricing Inputs'!$AQ$3=3,'Pricing Inputs'!$AQ$3=6,'Pricing Inputs'!$AQ$3=9),IF(AND('Pricing Inputs'!$AQ$3&gt;=3,'Pricing Inputs'!$AQ$3&lt;=6),M242,(VLOOKUP(A242,ScaledPrice,7))*(2-(VLOOKUP(A242,ScaledPrice,3)))),0))</f>
        <v> </v>
      </c>
      <c r="O242" s="279" t="str">
        <f aca="false">IF(A242="N/A"," ",IF(AND('Pricing Inputs'!$AQ$3&gt;=1,'Pricing Inputs'!$AQ$3&lt;=3),VLOOKUP(A242,ScaledPrice,9),0))</f>
        <v> </v>
      </c>
      <c r="P242" s="280" t="str">
        <f aca="false">IF($A242="N/A"," ",IF('Pricing Inputs'!$AN$8=2,(I242-H242),IF('Pricing Inputs'!$AN$3=2,IF((I242-$H242)&gt;0,I242-$H242,0),(xSPRDOPT(I242,$E242,$BU242,0,$BP242,$BS242,$BT242,($A242-Inputs!$D$1)+15,1,0)))))</f>
        <v> </v>
      </c>
      <c r="Q242" s="280" t="str">
        <f aca="false">IF($A242="N/A"," ",IF('Pricing Inputs'!$AN$8=2,(J242-$H242),IF('Pricing Inputs'!$AN$3=2,IF((J242-$H242)&gt;0,J242-$H242,0),(xSPRDOPT(J242,$E242,$BU242,0,$BP242,$BS242,$BT242,($A242-Inputs!$D$1)+15,1,0)))))</f>
        <v> </v>
      </c>
      <c r="R242" s="280" t="str">
        <f aca="false">IF($A242="N/A"," ",IF('Pricing Inputs'!$AN$8=2,(K242-$H242),IF('Pricing Inputs'!$AN$3=2,IF((K242-$H242)&gt;0,K242-$H242,0),(xSPRDOPT(K242,$E242,$BU242,0,$BP242,$BS242,$BT242,($A242-Inputs!$D$1)+15,1,0)))))</f>
        <v> </v>
      </c>
      <c r="S242" s="280" t="str">
        <f aca="false">IF($A242="N/A"," ",IF('Pricing Inputs'!$AN$8=2,(L242-$H242),IF('Pricing Inputs'!$AN$3=2,IF((L242-$H242)&gt;0,L242-$H242,0),(xSPRDOPT(L242,$E242,$BU242,0,$BP242,$BS242,$BT242,($A242-Inputs!$D$1)+15,1,0)))))</f>
        <v> </v>
      </c>
      <c r="T242" s="280" t="str">
        <f aca="false">IF($A242="N/A"," ",IF('Pricing Inputs'!$AN$8=2,(M242-$H242),IF('Pricing Inputs'!$AN$3=2,IF((M242-$H242)&gt;0,M242-$H242,0),(xSPRDOPT(M242,$E242,$BU242,0,$BP242,$BS242,$BT242,($A242-Inputs!$D$1)+15,1,0)))))</f>
        <v> </v>
      </c>
      <c r="U242" s="280" t="str">
        <f aca="false">IF($A242="N/A"," ",IF('Pricing Inputs'!$AN$8=2,(N242-$H242),IF('Pricing Inputs'!$AN$3=2,IF((N242-$H242)&gt;0,N242-$H242,0),(xSPRDOPT(N242,$E242,$BU242,0,$BP242,$BS242,$BT242,($A242-Inputs!$D$1)+15,1,0)))))</f>
        <v> </v>
      </c>
      <c r="V242" s="281" t="str">
        <f aca="false">IF($A242="N/A"," ",(IF('Pricing Inputs'!$AN$8=2,(O242-$H242),IF((O242-$H242)&lt;=0,0,(O242-$H242)))))</f>
        <v> </v>
      </c>
      <c r="W242" s="282" t="str">
        <f aca="false">IF($A242="N/A"," ",IF(0&lt;&gt;P242,IF('Pricing Inputs'!$AN$3=2,8*VLOOKUP($A242,NumberofDaysTable,2),(xSPRDOPT(I242,$E242,$BU242,0,$BP242,$BS242,$BT242,$A242-Inputs!$D$1,1,1))*(8*VLOOKUP($A242,NumberofDaysTable,2))),0))</f>
        <v> </v>
      </c>
      <c r="X242" s="282" t="str">
        <f aca="false">IF($A242="N/A"," ",IF(Q242&lt;&gt;0,IF('Pricing Inputs'!$AN$3=2,8*VLOOKUP($A242,NumberofDaysTable,2),(xSPRDOPT(J242,$E242,$BU242,0,$BP242,$BS242,$BT242,$A242-Inputs!$D$1,1,1))*(8*VLOOKUP($A242,NumberofDaysTable,2))),0))</f>
        <v> </v>
      </c>
      <c r="Y242" s="282" t="str">
        <f aca="false">IF($A242="N/A"," ",IF(R242&lt;&gt;0,IF('Pricing Inputs'!$AN$3=2,8*VLOOKUP($A242,NumberofDaysTable,3),(xSPRDOPT(K242,$E242,$BU242,0,$BP242,$BS242,$BT242,$A242-Inputs!$D$1,1,1))*(8*VLOOKUP($A242,NumberofDaysTable,3))),0))</f>
        <v> </v>
      </c>
      <c r="Z242" s="282" t="str">
        <f aca="false">IF($A242="N/A"," ",IF(S242&lt;&gt;0,IF('Pricing Inputs'!$AN$3=2,8*VLOOKUP($A242,NumberofDaysTable,3),(xSPRDOPT(L242,$E242,$BU242,0,$BP242,$BS242,$BT242,$A242-Inputs!$D$1,1,1))*(8*VLOOKUP($A242,NumberofDaysTable,3))),0))</f>
        <v> </v>
      </c>
      <c r="AA242" s="282" t="str">
        <f aca="false">IF($A242="N/A"," ",IF(T242&lt;&gt;0,IF('Pricing Inputs'!$AN$3=2,8*VLOOKUP($A242,NumberofDaysTable,4),(xSPRDOPT(M242,$E242,$BU242,0,$BP242,$BS242,$BT242,$A242-Inputs!$D$1,1,1))*(8*VLOOKUP($A242,NumberofDaysTable,4))),0))</f>
        <v> </v>
      </c>
      <c r="AB242" s="282" t="str">
        <f aca="false">IF($A242="N/A"," ",IF(U242&lt;&gt;0,IF('Pricing Inputs'!$AN$3=2,8*VLOOKUP($A242,NumberofDaysTable,4),(xSPRDOPT(N242,$E242,$BU242,0,$BP242,$BS242,$BT242,$A242-Inputs!$D$1,1,1))*(8*VLOOKUP($A242,NumberofDaysTable,4))),0))</f>
        <v> </v>
      </c>
      <c r="AC242" s="282" t="str">
        <f aca="false">IF($A242="N/A"," ",(IF(V242&lt;&gt;0,(8*VLOOKUP($A242,NumberofDaysTable,6)),0)))</f>
        <v> </v>
      </c>
      <c r="AD242" s="298" t="str">
        <f aca="false">IF($A242="N/A"," ",RANK(P242,$P$232:$V$243))</f>
        <v> </v>
      </c>
      <c r="AE242" s="299" t="str">
        <f aca="false">IF($A242="N/A"," ",RANK(Q242,$P$232:$V$243))</f>
        <v> </v>
      </c>
      <c r="AF242" s="299" t="str">
        <f aca="false">IF($A242="N/A"," ",RANK(R242,$P$232:$V$243))</f>
        <v> </v>
      </c>
      <c r="AG242" s="299" t="str">
        <f aca="false">IF($A242="N/A"," ",RANK(S242,$P$232:$V$243))</f>
        <v> </v>
      </c>
      <c r="AH242" s="299" t="str">
        <f aca="false">IF($A242="N/A"," ",RANK(T242,$P$232:$V$243))</f>
        <v> </v>
      </c>
      <c r="AI242" s="299" t="str">
        <f aca="false">IF($A242="N/A"," ",RANK(U242,$P$232:$V$243))</f>
        <v> </v>
      </c>
      <c r="AJ242" s="300" t="str">
        <f aca="false">IF($A242="N/A"," ",RANK(V242,$P$232:$V$243))</f>
        <v> </v>
      </c>
      <c r="AK242" s="286" t="str">
        <f aca="false">IF($A242="N/A"," ",IF(AD242&lt;=$AJ$2,W242,0))</f>
        <v> </v>
      </c>
      <c r="AL242" s="301" t="str">
        <f aca="false">IF($A242="N/A"," ",IF(AE242&lt;=$AJ$2,X242,0))</f>
        <v> </v>
      </c>
      <c r="AM242" s="301" t="str">
        <f aca="false">IF($A242="N/A"," ",IF(AF242&lt;=$AJ$2,Y242,0))</f>
        <v> </v>
      </c>
      <c r="AN242" s="301" t="str">
        <f aca="false">IF($A242="N/A"," ",IF(AG242&lt;=$AJ$2,Z242,0))</f>
        <v> </v>
      </c>
      <c r="AO242" s="301" t="str">
        <f aca="false">IF($A242="N/A"," ",IF(AH242&lt;=$AJ$2,AA242,0))</f>
        <v> </v>
      </c>
      <c r="AP242" s="301" t="str">
        <f aca="false">IF($A242="N/A"," ",IF(AI242&lt;=$AJ$2,AB242,0))</f>
        <v> </v>
      </c>
      <c r="AQ242" s="301" t="str">
        <f aca="false">IF($A242="N/A"," ",IF(AJ242&lt;=$AJ$2,AC242,0))</f>
        <v> </v>
      </c>
      <c r="AR242" s="300" t="n">
        <f aca="false">SUM(AK232:AQ243)</f>
        <v>0</v>
      </c>
      <c r="AS242" s="288" t="str">
        <f aca="false">IF($A242="N/A"," ",IF(AND(AD242=$AJ$2+1,AK242=0),MIN($AR$243,W242),0))</f>
        <v> </v>
      </c>
      <c r="AT242" s="302" t="str">
        <f aca="false">IF($A242="N/A"," ",IF(AND(AE242=$AJ$2+1,AL242=0),MIN($AR$243,X242),0))</f>
        <v> </v>
      </c>
      <c r="AU242" s="302" t="str">
        <f aca="false">IF($A242="N/A"," ",IF(AND(AF242=$AJ$2+1,AM242=0),MIN($AR$243,Y242),0))</f>
        <v> </v>
      </c>
      <c r="AV242" s="302" t="str">
        <f aca="false">IF($A242="N/A"," ",IF(AND(AG242=$AJ$2+1,AN242=0),MIN($AR$243,Z242),0))</f>
        <v> </v>
      </c>
      <c r="AW242" s="302" t="str">
        <f aca="false">IF($A242="N/A"," ",IF(AND(AH242=$AJ$2+1,AO242=0),MIN($AR$243,AA242),0))</f>
        <v> </v>
      </c>
      <c r="AX242" s="302" t="str">
        <f aca="false">IF($A242="N/A"," ",IF(AND(AI242=$AJ$2+1,AP242=0),MIN($AR$243,AB242),0))</f>
        <v> </v>
      </c>
      <c r="AY242" s="302" t="str">
        <f aca="false">IF($A242="N/A"," ",IF(AND(AJ242=$AJ$2+1,AQ242=0),MIN($AR$243,AC242),0))</f>
        <v> </v>
      </c>
      <c r="AZ242" s="300" t="n">
        <f aca="false">SUM(AS232:AY243)</f>
        <v>0</v>
      </c>
      <c r="BA242" s="291" t="str">
        <f aca="false">IF($A242="N/A"," ",(IF(MONTH(A242)&gt;=4,IF(MONTH(A242)&lt;=10,Inputs!$F$13,Inputs!$F$14),Inputs!$F$14))*$BW242)</f>
        <v> </v>
      </c>
      <c r="BB242" s="292" t="str">
        <f aca="false">IF($A242="N/A"," ",(IF(AK242&gt;0,($BA242*(8*(VLOOKUP($A242,NumberofDaysTable,2)))*P242),0)+IF(AS242&gt;0,($BA242*((AS242))*P242),0)))</f>
        <v> </v>
      </c>
      <c r="BC242" s="292" t="str">
        <f aca="false">IF($A242="N/A"," ",(IF(AL242&gt;0,($BA242*(8*(VLOOKUP($A242,NumberofDaysTable,2)))*Q242),0)+IF(AT242&gt;0,($BA242*((AT242))*Q242),0)))</f>
        <v> </v>
      </c>
      <c r="BD242" s="292" t="str">
        <f aca="false">IF($A242="N/A"," ",(IF(AM242&gt;0,($BA242*(8*(VLOOKUP($A242,NumberofDaysTable,3)))*R242),0)+IF(AU242&gt;0,($BA242*((AU242))*R242),0)))</f>
        <v> </v>
      </c>
      <c r="BE242" s="292" t="str">
        <f aca="false">IF($A242="N/A"," ",(IF(AN242&gt;0,($BA242*(8*(VLOOKUP($A242,NumberofDaysTable,3)))*S242),0)+IF(AV242&gt;0,($BA242*((AV242))*S242),0)))</f>
        <v> </v>
      </c>
      <c r="BF242" s="292" t="str">
        <f aca="false">IF($A242="N/A"," ",(IF(AO242&gt;0,($BA242*(8*(VLOOKUP($A242,NumberofDaysTable,4)+VLOOKUP($A242,NumberofDaysTable,5)))*T242),0)+IF(AW242&gt;0,($BA242*((AW242))*T242),0)))</f>
        <v> </v>
      </c>
      <c r="BG242" s="292" t="str">
        <f aca="false">IF($A242="N/A"," ",(IF(AP242&gt;0,($BA242*(8*(VLOOKUP($A242,NumberofDaysTable,4)+VLOOKUP($A242,NumberofDaysTable,5)))*U242),0)+IF(AX242&gt;0,($BA242*((AX242))*U242),0)))</f>
        <v> </v>
      </c>
      <c r="BH242" s="292" t="str">
        <f aca="false">IF($A242="N/A"," ",($BA242*AQ242*V242))</f>
        <v> </v>
      </c>
      <c r="BI242" s="292" t="str">
        <f aca="false">IF($A242="N/A"," ",SUM(BB242:BH242))</f>
        <v> </v>
      </c>
      <c r="BJ242" s="293" t="str">
        <f aca="false">IF($A242="N/A"," ",(H242*(SUM(AK242:AQ242)+SUM(AS242:AY242))*BA242))</f>
        <v> </v>
      </c>
      <c r="BK242" s="293" t="str">
        <f aca="false">IF($A242="N/A"," ",((C242*D242)*(SUM($AK242:$AQ242)+SUM($AS242:$AY242))*$BA242))</f>
        <v> </v>
      </c>
      <c r="BL242" s="293" t="str">
        <f aca="false">IF($A242="N/A"," ",(F242*(SUM($AK242:$AQ242)+SUM($AS242:$AY242))*$BA242))</f>
        <v> </v>
      </c>
      <c r="BM242" s="293" t="str">
        <f aca="false">IF($A242="N/A"," ",(G242*(SUM($AK242:$AQ242)+SUM($AS242:$AY242))*$BA242))</f>
        <v> </v>
      </c>
      <c r="BN242" s="294" t="str">
        <f aca="false">IF(A242="N/A"," ",(VLOOKUP(A242,PowerVolTable,(IF('Pricing Inputs'!$AT$3=2,7,IF('Pricing Inputs'!$AT$3=1,6,8))),FALSE())))</f>
        <v> </v>
      </c>
      <c r="BO242" s="294" t="str">
        <f aca="false">IF(A242="N/A"," ",(VLOOKUP(A242,IntraPowerVol,(IF('Pricing Inputs'!$AT$3=2,3,IF('Pricing Inputs'!$AT$3=1,2,4))),FALSE())*VLOOKUP(MONTH($A242),Inputs!$A$28:$B$39,2)))</f>
        <v> </v>
      </c>
      <c r="BP242" s="295" t="str">
        <f aca="false">IF($A242="N/A"," ",(IF(DateToday&gt;$A242,$BO242,((($BN242^2)*((($A242-1)-DateToday)/((EOMONTH($A242,0)+1)-DateToday-15)))+((($BO242)^2)*((15)/((EOMONTH($A242,0)+1)-DateToday-15))))^0.5)))</f>
        <v> </v>
      </c>
      <c r="BQ242" s="294" t="str">
        <f aca="false">IF($A242="N/A"," ",(VLOOKUP($A242,GasVolTable,(IF('Pricing Inputs'!$AT$3=2,6,IF('Pricing Inputs'!$AT$3=1,7,5))),FALSE())))</f>
        <v> </v>
      </c>
      <c r="BR242" s="294" t="str">
        <f aca="false">IF($A242="N/A"," ",(VLOOKUP($A242,OmicronVol,(IF('Pricing Inputs'!$AT$3=2,3,IF('Pricing Inputs'!$AT$3=1,4,2))),FALSE())))</f>
        <v> </v>
      </c>
      <c r="BS242" s="295" t="str">
        <f aca="false">IF($A242="N/A"," ",IF('Pricing Inputs'!$AN$3=1,(IF(DateToday&gt;$A242,$BR242,((($BQ242^2)*((($A242-1)-DateToday)/((EOMONTH($A242,0)+1)-DateToday-15)))+((($BR242)^2)*((15)/((EOMONTH($A242,0)+1)-DateToday-15))))^0.5)),0.0001))</f>
        <v> </v>
      </c>
      <c r="BT242" s="294" t="str">
        <f aca="false">IF($A242="N/A"," ",IF('Pricing Inputs'!$AN$3=1,(VLOOKUP($A242,CorrelationTable,2,FALSE())),0))</f>
        <v> </v>
      </c>
      <c r="BU242" s="296" t="str">
        <f aca="false">IF($A242="N/A"," ",F242+G242+(D242*(VLOOKUP($A242,'Gas Curves'!$B$17:$P$310,14,FALSE()))))</f>
        <v> </v>
      </c>
      <c r="BV242" s="294" t="str">
        <f aca="false">IF($A242="N/A"," ",IF('Pricing Inputs'!$AW$3=1,0,(VLOOKUP($A242,InterestRatesTable,2))))</f>
        <v> </v>
      </c>
      <c r="BW242" s="297" t="str">
        <f aca="false">IF($A242="N/A"," ",(1+BV242/2)^(-2*((EOMONTH(A242,0)+20)-DateToday)/365.25))</f>
        <v> </v>
      </c>
    </row>
    <row r="243" customFormat="false" ht="12.75" hidden="false" customHeight="false" outlineLevel="0" collapsed="false">
      <c r="A243" s="272" t="str">
        <f aca="false">IF(A242="N/A","N/A",IF(EDATE(A242,1)&gt;Inputs!$K$3,"N/A",EDATE(A242,1)))</f>
        <v>N/A</v>
      </c>
      <c r="B243" s="273" t="str">
        <f aca="false">IF(A243="N/A"," ",YEAR(A243))</f>
        <v> </v>
      </c>
      <c r="C243" s="274" t="str">
        <f aca="false">IF(A243="N/A"," ",VLOOKUP(A243,ScaledPrice,10))</f>
        <v> </v>
      </c>
      <c r="D243" s="275" t="str">
        <f aca="false">IF(A243="N/A"," ",(VLOOKUP(MONTH($A243),Inputs!$A$14:$B$25,2))/1000)</f>
        <v> </v>
      </c>
      <c r="E243" s="276" t="str">
        <f aca="false">IF($A243="N/A"," ",C243*D243)</f>
        <v> </v>
      </c>
      <c r="F243" s="277" t="str">
        <f aca="false">IF(A243="N/A"," ",Inputs!$F$6)</f>
        <v> </v>
      </c>
      <c r="G243" s="277" t="str">
        <f aca="false">IF(A243="N/A"," ",Inputs!$F$9/IF(AND('Pricing Inputs'!$AQ$3&gt;=4,'Pricing Inputs'!$AQ$3&lt;=6),16,IF(AND('Pricing Inputs'!$AQ$3&gt;=7,'Pricing Inputs'!$AQ$3&lt;=9),8,24))/(BA243/BW243))</f>
        <v> </v>
      </c>
      <c r="H243" s="278" t="str">
        <f aca="false">IF(A243="N/A"," ",(C243*D243)+F243+G243)</f>
        <v> </v>
      </c>
      <c r="I243" s="279" t="str">
        <f aca="false">VLOOKUP(A243,ScaledPrice,(IF(AND('Pricing Inputs'!$AQ$3&gt;=1,'Pricing Inputs'!$AQ$3&lt;=6),2,4)))</f>
        <v> </v>
      </c>
      <c r="J243" s="279" t="str">
        <f aca="false">IF(A243="N/A"," ",IF(AND('Pricing Inputs'!$AQ$3&gt;=1,'Pricing Inputs'!$AQ$3&lt;=6),I243,(VLOOKUP(A243,ScaledPrice,2))*(2-(VLOOKUP(A243,ScaledPrice,3)))))</f>
        <v> </v>
      </c>
      <c r="K243" s="279" t="str">
        <f aca="false">IF(A243="N/A"," ",IF(OR('Pricing Inputs'!$AQ$3=2,'Pricing Inputs'!$AQ$3=3,'Pricing Inputs'!$AQ$3=5,'Pricing Inputs'!$AQ$3=6,'Pricing Inputs'!$AQ$3=8,'Pricing Inputs'!$AQ$3=9),VLOOKUP(A243,ScaledPrice,IF(AND('Pricing Inputs'!$AQ$3&gt;=2,'Pricing Inputs'!$AQ$3&lt;=6),5,6)),0))</f>
        <v> </v>
      </c>
      <c r="L243" s="279" t="str">
        <f aca="false">IF(A243="N/A"," ",IF(OR('Pricing Inputs'!$AQ$3=2,'Pricing Inputs'!$AQ$3=3,'Pricing Inputs'!$AQ$3=5,'Pricing Inputs'!$AQ$3=6,'Pricing Inputs'!$AQ$3=8,'Pricing Inputs'!$AQ$3=9),IF(AND('Pricing Inputs'!$AQ$3&gt;=2,'Pricing Inputs'!$AQ$3&lt;=6),K243,(VLOOKUP(A243,ScaledPrice,5))*(2-(VLOOKUP(A243,ScaledPrice,3)))),0))</f>
        <v> </v>
      </c>
      <c r="M243" s="279" t="str">
        <f aca="false">IF(A243="N/A"," ",IF(OR('Pricing Inputs'!$AQ$3=3,'Pricing Inputs'!$AQ$3=6,'Pricing Inputs'!$AQ$3=9),(VLOOKUP(A243,ScaledPrice,IF(AND('Pricing Inputs'!$AQ$3&gt;=3,'Pricing Inputs'!$AQ$3&lt;=6),7,8))),0))</f>
        <v> </v>
      </c>
      <c r="N243" s="279" t="str">
        <f aca="false">IF(A243="N/A"," ",IF(OR('Pricing Inputs'!$AQ$3=3,'Pricing Inputs'!$AQ$3=6,'Pricing Inputs'!$AQ$3=9),IF(AND('Pricing Inputs'!$AQ$3&gt;=3,'Pricing Inputs'!$AQ$3&lt;=6),M243,(VLOOKUP(A243,ScaledPrice,7))*(2-(VLOOKUP(A243,ScaledPrice,3)))),0))</f>
        <v> </v>
      </c>
      <c r="O243" s="279" t="str">
        <f aca="false">IF(A243="N/A"," ",IF(AND('Pricing Inputs'!$AQ$3&gt;=1,'Pricing Inputs'!$AQ$3&lt;=3),VLOOKUP(A243,ScaledPrice,9),0))</f>
        <v> </v>
      </c>
      <c r="P243" s="280" t="str">
        <f aca="false">IF($A243="N/A"," ",IF('Pricing Inputs'!$AN$8=2,(I243-H243),IF('Pricing Inputs'!$AN$3=2,IF((I243-$H243)&gt;0,I243-$H243,0),(xSPRDOPT(I243,$E243,$BU243,0,$BP243,$BS243,$BT243,($A243-Inputs!$D$1)+15,1,0)))))</f>
        <v> </v>
      </c>
      <c r="Q243" s="280" t="str">
        <f aca="false">IF($A243="N/A"," ",IF('Pricing Inputs'!$AN$8=2,(J243-$H243),IF('Pricing Inputs'!$AN$3=2,IF((J243-$H243)&gt;0,J243-$H243,0),(xSPRDOPT(J243,$E243,$BU243,0,$BP243,$BS243,$BT243,($A243-Inputs!$D$1)+15,1,0)))))</f>
        <v> </v>
      </c>
      <c r="R243" s="280" t="str">
        <f aca="false">IF($A243="N/A"," ",IF('Pricing Inputs'!$AN$8=2,(K243-$H243),IF('Pricing Inputs'!$AN$3=2,IF((K243-$H243)&gt;0,K243-$H243,0),(xSPRDOPT(K243,$E243,$BU243,0,$BP243,$BS243,$BT243,($A243-Inputs!$D$1)+15,1,0)))))</f>
        <v> </v>
      </c>
      <c r="S243" s="280" t="str">
        <f aca="false">IF($A243="N/A"," ",IF('Pricing Inputs'!$AN$8=2,(L243-$H243),IF('Pricing Inputs'!$AN$3=2,IF((L243-$H243)&gt;0,L243-$H243,0),(xSPRDOPT(L243,$E243,$BU243,0,$BP243,$BS243,$BT243,($A243-Inputs!$D$1)+15,1,0)))))</f>
        <v> </v>
      </c>
      <c r="T243" s="280" t="str">
        <f aca="false">IF($A243="N/A"," ",IF('Pricing Inputs'!$AN$8=2,(M243-$H243),IF('Pricing Inputs'!$AN$3=2,IF((M243-$H243)&gt;0,M243-$H243,0),(xSPRDOPT(M243,$E243,$BU243,0,$BP243,$BS243,$BT243,($A243-Inputs!$D$1)+15,1,0)))))</f>
        <v> </v>
      </c>
      <c r="U243" s="280" t="str">
        <f aca="false">IF($A243="N/A"," ",IF('Pricing Inputs'!$AN$8=2,(N243-$H243),IF('Pricing Inputs'!$AN$3=2,IF((N243-$H243)&gt;0,N243-$H243,0),(xSPRDOPT(N243,$E243,$BU243,0,$BP243,$BS243,$BT243,($A243-Inputs!$D$1)+15,1,0)))))</f>
        <v> </v>
      </c>
      <c r="V243" s="281" t="str">
        <f aca="false">IF($A243="N/A"," ",(IF('Pricing Inputs'!$AN$8=2,(O243-$H243),IF((O243-$H243)&lt;=0,0,(O243-$H243)))))</f>
        <v> </v>
      </c>
      <c r="W243" s="282" t="str">
        <f aca="false">IF($A243="N/A"," ",IF(0&lt;&gt;P243,IF('Pricing Inputs'!$AN$3=2,8*VLOOKUP($A243,NumberofDaysTable,2),(xSPRDOPT(I243,$E243,$BU243,0,$BP243,$BS243,$BT243,$A243-Inputs!$D$1,1,1))*(8*VLOOKUP($A243,NumberofDaysTable,2))),0))</f>
        <v> </v>
      </c>
      <c r="X243" s="282" t="str">
        <f aca="false">IF($A243="N/A"," ",IF(Q243&lt;&gt;0,IF('Pricing Inputs'!$AN$3=2,8*VLOOKUP($A243,NumberofDaysTable,2),(xSPRDOPT(J243,$E243,$BU243,0,$BP243,$BS243,$BT243,$A243-Inputs!$D$1,1,1))*(8*VLOOKUP($A243,NumberofDaysTable,2))),0))</f>
        <v> </v>
      </c>
      <c r="Y243" s="282" t="str">
        <f aca="false">IF($A243="N/A"," ",IF(R243&lt;&gt;0,IF('Pricing Inputs'!$AN$3=2,8*VLOOKUP($A243,NumberofDaysTable,3),(xSPRDOPT(K243,$E243,$BU243,0,$BP243,$BS243,$BT243,$A243-Inputs!$D$1,1,1))*(8*VLOOKUP($A243,NumberofDaysTable,3))),0))</f>
        <v> </v>
      </c>
      <c r="Z243" s="282" t="str">
        <f aca="false">IF($A243="N/A"," ",IF(S243&lt;&gt;0,IF('Pricing Inputs'!$AN$3=2,8*VLOOKUP($A243,NumberofDaysTable,3),(xSPRDOPT(L243,$E243,$BU243,0,$BP243,$BS243,$BT243,$A243-Inputs!$D$1,1,1))*(8*VLOOKUP($A243,NumberofDaysTable,3))),0))</f>
        <v> </v>
      </c>
      <c r="AA243" s="282" t="str">
        <f aca="false">IF($A243="N/A"," ",IF(T243&lt;&gt;0,IF('Pricing Inputs'!$AN$3=2,8*VLOOKUP($A243,NumberofDaysTable,4),(xSPRDOPT(M243,$E243,$BU243,0,$BP243,$BS243,$BT243,$A243-Inputs!$D$1,1,1))*(8*VLOOKUP($A243,NumberofDaysTable,4))),0))</f>
        <v> </v>
      </c>
      <c r="AB243" s="282" t="str">
        <f aca="false">IF($A243="N/A"," ",IF(U243&lt;&gt;0,IF('Pricing Inputs'!$AN$3=2,8*VLOOKUP($A243,NumberofDaysTable,4),(xSPRDOPT(N243,$E243,$BU243,0,$BP243,$BS243,$BT243,$A243-Inputs!$D$1,1,1))*(8*VLOOKUP($A243,NumberofDaysTable,4))),0))</f>
        <v> </v>
      </c>
      <c r="AC243" s="282" t="str">
        <f aca="false">IF($A243="N/A"," ",(IF(V243&lt;&gt;0,(8*VLOOKUP($A243,NumberofDaysTable,6)),0)))</f>
        <v> </v>
      </c>
      <c r="AD243" s="305" t="str">
        <f aca="false">IF($A243="N/A"," ",RANK(P243,$P$232:$V$243))</f>
        <v> </v>
      </c>
      <c r="AE243" s="306" t="str">
        <f aca="false">IF($A243="N/A"," ",RANK(Q243,$P$232:$V$243))</f>
        <v> </v>
      </c>
      <c r="AF243" s="306" t="str">
        <f aca="false">IF($A243="N/A"," ",RANK(R243,$P$232:$V$243))</f>
        <v> </v>
      </c>
      <c r="AG243" s="306" t="str">
        <f aca="false">IF($A243="N/A"," ",RANK(S243,$P$232:$V$243))</f>
        <v> </v>
      </c>
      <c r="AH243" s="306" t="str">
        <f aca="false">IF($A243="N/A"," ",RANK(T243,$P$232:$V$243))</f>
        <v> </v>
      </c>
      <c r="AI243" s="306" t="str">
        <f aca="false">IF($A243="N/A"," ",RANK(U243,$P$232:$V$243))</f>
        <v> </v>
      </c>
      <c r="AJ243" s="307" t="str">
        <f aca="false">IF($A243="N/A"," ",RANK(V243,$P$232:$V$243))</f>
        <v> </v>
      </c>
      <c r="AK243" s="308" t="str">
        <f aca="false">IF($A243="N/A"," ",IF(AD243&lt;=$AJ$2,W243,0))</f>
        <v> </v>
      </c>
      <c r="AL243" s="309" t="str">
        <f aca="false">IF($A243="N/A"," ",IF(AE243&lt;=$AJ$2,X243,0))</f>
        <v> </v>
      </c>
      <c r="AM243" s="309" t="str">
        <f aca="false">IF($A243="N/A"," ",IF(AF243&lt;=$AJ$2,Y243,0))</f>
        <v> </v>
      </c>
      <c r="AN243" s="309" t="str">
        <f aca="false">IF($A243="N/A"," ",IF(AG243&lt;=$AJ$2,Z243,0))</f>
        <v> </v>
      </c>
      <c r="AO243" s="309" t="str">
        <f aca="false">IF($A243="N/A"," ",IF(AH243&lt;=$AJ$2,AA243,0))</f>
        <v> </v>
      </c>
      <c r="AP243" s="309" t="str">
        <f aca="false">IF($A243="N/A"," ",IF(AI243&lt;=$AJ$2,AB243,0))</f>
        <v> </v>
      </c>
      <c r="AQ243" s="309" t="str">
        <f aca="false">IF($A243="N/A"," ",IF(AJ243&lt;=$AJ$2,AC243,0))</f>
        <v> </v>
      </c>
      <c r="AR243" s="307" t="n">
        <f aca="false">IF(($AP$2-AR242)&gt;=0,$AP$2-AR242,0)</f>
        <v>1400</v>
      </c>
      <c r="AS243" s="310" t="str">
        <f aca="false">IF($A243="N/A"," ",IF(AND(AD243=$AJ$2+1,AK243=0),MIN($AR$243,W243),0))</f>
        <v> </v>
      </c>
      <c r="AT243" s="311" t="str">
        <f aca="false">IF($A243="N/A"," ",IF(AND(AE243=$AJ$2+1,AL243=0),MIN($AR$243,X243),0))</f>
        <v> </v>
      </c>
      <c r="AU243" s="311" t="str">
        <f aca="false">IF($A243="N/A"," ",IF(AND(AF243=$AJ$2+1,AM243=0),MIN($AR$243,Y243),0))</f>
        <v> </v>
      </c>
      <c r="AV243" s="311" t="str">
        <f aca="false">IF($A243="N/A"," ",IF(AND(AG243=$AJ$2+1,AN243=0),MIN($AR$243,Z243),0))</f>
        <v> </v>
      </c>
      <c r="AW243" s="311" t="str">
        <f aca="false">IF($A243="N/A"," ",IF(AND(AH243=$AJ$2+1,AO243=0),MIN($AR$243,AA243),0))</f>
        <v> </v>
      </c>
      <c r="AX243" s="311" t="str">
        <f aca="false">IF($A243="N/A"," ",IF(AND(AI243=$AJ$2+1,AP243=0),MIN($AR$243,AB243),0))</f>
        <v> </v>
      </c>
      <c r="AY243" s="311" t="str">
        <f aca="false">IF($A243="N/A"," ",IF(AND(AJ243=$AJ$2+1,AQ243=0),MIN($AR$243,AC243),0))</f>
        <v> </v>
      </c>
      <c r="AZ243" s="312" t="n">
        <f aca="false">AR242+AZ242</f>
        <v>0</v>
      </c>
      <c r="BA243" s="291" t="str">
        <f aca="false">IF($A243="N/A"," ",(IF(MONTH(A243)&gt;=4,IF(MONTH(A243)&lt;=10,Inputs!$F$13,Inputs!$F$14),Inputs!$F$14))*$BW243)</f>
        <v> </v>
      </c>
      <c r="BB243" s="292" t="str">
        <f aca="false">IF($A243="N/A"," ",(IF(AK243&gt;0,($BA243*(8*(VLOOKUP($A243,NumberofDaysTable,2)))*P243),0)+IF(AS243&gt;0,($BA243*((AS243))*P243),0)))</f>
        <v> </v>
      </c>
      <c r="BC243" s="292" t="str">
        <f aca="false">IF($A243="N/A"," ",(IF(AL243&gt;0,($BA243*(8*(VLOOKUP($A243,NumberofDaysTable,2)))*Q243),0)+IF(AT243&gt;0,($BA243*((AT243))*Q243),0)))</f>
        <v> </v>
      </c>
      <c r="BD243" s="292" t="str">
        <f aca="false">IF($A243="N/A"," ",(IF(AM243&gt;0,($BA243*(8*(VLOOKUP($A243,NumberofDaysTable,3)))*R243),0)+IF(AU243&gt;0,($BA243*((AU243))*R243),0)))</f>
        <v> </v>
      </c>
      <c r="BE243" s="292" t="str">
        <f aca="false">IF($A243="N/A"," ",(IF(AN243&gt;0,($BA243*(8*(VLOOKUP($A243,NumberofDaysTable,3)))*S243),0)+IF(AV243&gt;0,($BA243*((AV243))*S243),0)))</f>
        <v> </v>
      </c>
      <c r="BF243" s="292" t="str">
        <f aca="false">IF($A243="N/A"," ",(IF(AO243&gt;0,($BA243*(8*(VLOOKUP($A243,NumberofDaysTable,4)+VLOOKUP($A243,NumberofDaysTable,5)))*T243),0)+IF(AW243&gt;0,($BA243*((AW243))*T243),0)))</f>
        <v> </v>
      </c>
      <c r="BG243" s="292" t="str">
        <f aca="false">IF($A243="N/A"," ",(IF(AP243&gt;0,($BA243*(8*(VLOOKUP($A243,NumberofDaysTable,4)+VLOOKUP($A243,NumberofDaysTable,5)))*U243),0)+IF(AX243&gt;0,($BA243*((AX243))*U243),0)))</f>
        <v> </v>
      </c>
      <c r="BH243" s="292" t="str">
        <f aca="false">IF($A243="N/A"," ",($BA243*AQ243*V243))</f>
        <v> </v>
      </c>
      <c r="BI243" s="292" t="str">
        <f aca="false">IF($A243="N/A"," ",SUM(BB243:BH243))</f>
        <v> </v>
      </c>
      <c r="BJ243" s="293" t="str">
        <f aca="false">IF($A243="N/A"," ",(H243*(SUM(AK243:AQ243)+SUM(AS243:AY243))*BA243))</f>
        <v> </v>
      </c>
      <c r="BK243" s="293" t="str">
        <f aca="false">IF($A243="N/A"," ",((C243*D243)*(SUM($AK243:$AQ243)+SUM($AS243:$AY243))*$BA243))</f>
        <v> </v>
      </c>
      <c r="BL243" s="293" t="str">
        <f aca="false">IF($A243="N/A"," ",(F243*(SUM($AK243:$AQ243)+SUM($AS243:$AY243))*$BA243))</f>
        <v> </v>
      </c>
      <c r="BM243" s="293" t="str">
        <f aca="false">IF($A243="N/A"," ",(G243*(SUM($AK243:$AQ243)+SUM($AS243:$AY243))*$BA243))</f>
        <v> </v>
      </c>
      <c r="BN243" s="294" t="str">
        <f aca="false">IF(A243="N/A"," ",(VLOOKUP(A243,PowerVolTable,(IF('Pricing Inputs'!$AT$3=2,7,IF('Pricing Inputs'!$AT$3=1,6,8))),FALSE())))</f>
        <v> </v>
      </c>
      <c r="BO243" s="294" t="str">
        <f aca="false">IF(A243="N/A"," ",(VLOOKUP(A243,IntraPowerVol,(IF('Pricing Inputs'!$AT$3=2,3,IF('Pricing Inputs'!$AT$3=1,2,4))),FALSE())*VLOOKUP(MONTH($A243),Inputs!$A$28:$B$39,2)))</f>
        <v> </v>
      </c>
      <c r="BP243" s="295" t="str">
        <f aca="false">IF($A243="N/A"," ",(IF(DateToday&gt;$A243,$BO243,((($BN243^2)*((($A243-1)-DateToday)/((EOMONTH($A243,0)+1)-DateToday-15)))+((($BO243)^2)*((15)/((EOMONTH($A243,0)+1)-DateToday-15))))^0.5)))</f>
        <v> </v>
      </c>
      <c r="BQ243" s="294" t="str">
        <f aca="false">IF($A243="N/A"," ",(VLOOKUP($A243,GasVolTable,(IF('Pricing Inputs'!$AT$3=2,6,IF('Pricing Inputs'!$AT$3=1,7,5))),FALSE())))</f>
        <v> </v>
      </c>
      <c r="BR243" s="294" t="str">
        <f aca="false">IF($A243="N/A"," ",(VLOOKUP($A243,OmicronVol,(IF('Pricing Inputs'!$AT$3=2,3,IF('Pricing Inputs'!$AT$3=1,4,2))),FALSE())))</f>
        <v> </v>
      </c>
      <c r="BS243" s="295" t="str">
        <f aca="false">IF($A243="N/A"," ",IF('Pricing Inputs'!$AN$3=1,(IF(DateToday&gt;$A243,$BR243,((($BQ243^2)*((($A243-1)-DateToday)/((EOMONTH($A243,0)+1)-DateToday-15)))+((($BR243)^2)*((15)/((EOMONTH($A243,0)+1)-DateToday-15))))^0.5)),0.0001))</f>
        <v> </v>
      </c>
      <c r="BT243" s="294" t="str">
        <f aca="false">IF($A243="N/A"," ",IF('Pricing Inputs'!$AN$3=1,(VLOOKUP($A243,CorrelationTable,2,FALSE())),0))</f>
        <v> </v>
      </c>
      <c r="BU243" s="296" t="str">
        <f aca="false">IF($A243="N/A"," ",F243+G243+(D243*(VLOOKUP($A243,'Gas Curves'!$B$17:$P$310,14,FALSE()))))</f>
        <v> </v>
      </c>
      <c r="BV243" s="294" t="str">
        <f aca="false">IF($A243="N/A"," ",IF('Pricing Inputs'!$AW$3=1,0,(VLOOKUP($A243,InterestRatesTable,2))))</f>
        <v> </v>
      </c>
      <c r="BW243" s="297" t="str">
        <f aca="false">IF($A243="N/A"," ",(1+BV243/2)^(-2*((EOMONTH(A243,0)+20)-DateToday)/365.25))</f>
        <v> </v>
      </c>
    </row>
    <row r="244" customFormat="false" ht="12.75" hidden="false" customHeight="false" outlineLevel="0" collapsed="false">
      <c r="A244" s="272" t="str">
        <f aca="false">IF(A243="N/A","N/A",IF(EDATE(A243,1)&gt;Inputs!$K$3,"N/A",EDATE(A243,1)))</f>
        <v>N/A</v>
      </c>
      <c r="B244" s="273" t="str">
        <f aca="false">IF(A244="N/A"," ",YEAR(A244))</f>
        <v> </v>
      </c>
      <c r="C244" s="274" t="str">
        <f aca="false">IF(A244="N/A"," ",VLOOKUP(A244,ScaledPrice,10))</f>
        <v> </v>
      </c>
      <c r="D244" s="275" t="str">
        <f aca="false">IF(A244="N/A"," ",(VLOOKUP(MONTH($A244),Inputs!$A$14:$B$25,2))/1000)</f>
        <v> </v>
      </c>
      <c r="E244" s="276" t="str">
        <f aca="false">IF($A244="N/A"," ",C244*D244)</f>
        <v> </v>
      </c>
      <c r="F244" s="277" t="str">
        <f aca="false">IF(A244="N/A"," ",Inputs!$F$6)</f>
        <v> </v>
      </c>
      <c r="G244" s="277" t="str">
        <f aca="false">IF(A244="N/A"," ",Inputs!$F$9/IF(AND('Pricing Inputs'!$AQ$3&gt;=4,'Pricing Inputs'!$AQ$3&lt;=6),16,IF(AND('Pricing Inputs'!$AQ$3&gt;=7,'Pricing Inputs'!$AQ$3&lt;=9),8,24))/(BA244/BW244))</f>
        <v> </v>
      </c>
      <c r="H244" s="278" t="str">
        <f aca="false">IF(A244="N/A"," ",(C244*D244)+F244+G244)</f>
        <v> </v>
      </c>
      <c r="I244" s="279" t="str">
        <f aca="false">VLOOKUP(A244,ScaledPrice,(IF(AND('Pricing Inputs'!$AQ$3&gt;=1,'Pricing Inputs'!$AQ$3&lt;=6),2,4)))</f>
        <v> </v>
      </c>
      <c r="J244" s="279" t="str">
        <f aca="false">IF(A244="N/A"," ",IF(AND('Pricing Inputs'!$AQ$3&gt;=1,'Pricing Inputs'!$AQ$3&lt;=6),I244,(VLOOKUP(A244,ScaledPrice,2))*(2-(VLOOKUP(A244,ScaledPrice,3)))))</f>
        <v> </v>
      </c>
      <c r="K244" s="279" t="str">
        <f aca="false">IF(A244="N/A"," ",IF(OR('Pricing Inputs'!$AQ$3=2,'Pricing Inputs'!$AQ$3=3,'Pricing Inputs'!$AQ$3=5,'Pricing Inputs'!$AQ$3=6,'Pricing Inputs'!$AQ$3=8,'Pricing Inputs'!$AQ$3=9),VLOOKUP(A244,ScaledPrice,IF(AND('Pricing Inputs'!$AQ$3&gt;=2,'Pricing Inputs'!$AQ$3&lt;=6),5,6)),0))</f>
        <v> </v>
      </c>
      <c r="L244" s="279" t="str">
        <f aca="false">IF(A244="N/A"," ",IF(OR('Pricing Inputs'!$AQ$3=2,'Pricing Inputs'!$AQ$3=3,'Pricing Inputs'!$AQ$3=5,'Pricing Inputs'!$AQ$3=6,'Pricing Inputs'!$AQ$3=8,'Pricing Inputs'!$AQ$3=9),IF(AND('Pricing Inputs'!$AQ$3&gt;=2,'Pricing Inputs'!$AQ$3&lt;=6),K244,(VLOOKUP(A244,ScaledPrice,5))*(2-(VLOOKUP(A244,ScaledPrice,3)))),0))</f>
        <v> </v>
      </c>
      <c r="M244" s="279" t="str">
        <f aca="false">IF(A244="N/A"," ",IF(OR('Pricing Inputs'!$AQ$3=3,'Pricing Inputs'!$AQ$3=6,'Pricing Inputs'!$AQ$3=9),(VLOOKUP(A244,ScaledPrice,IF(AND('Pricing Inputs'!$AQ$3&gt;=3,'Pricing Inputs'!$AQ$3&lt;=6),7,8))),0))</f>
        <v> </v>
      </c>
      <c r="N244" s="279" t="str">
        <f aca="false">IF(A244="N/A"," ",IF(OR('Pricing Inputs'!$AQ$3=3,'Pricing Inputs'!$AQ$3=6,'Pricing Inputs'!$AQ$3=9),IF(AND('Pricing Inputs'!$AQ$3&gt;=3,'Pricing Inputs'!$AQ$3&lt;=6),M244,(VLOOKUP(A244,ScaledPrice,7))*(2-(VLOOKUP(A244,ScaledPrice,3)))),0))</f>
        <v> </v>
      </c>
      <c r="O244" s="279" t="str">
        <f aca="false">IF(A244="N/A"," ",IF(AND('Pricing Inputs'!$AQ$3&gt;=1,'Pricing Inputs'!$AQ$3&lt;=3),VLOOKUP(A244,ScaledPrice,9),0))</f>
        <v> </v>
      </c>
      <c r="P244" s="280" t="str">
        <f aca="false">IF($A244="N/A"," ",IF('Pricing Inputs'!$AN$8=2,(I244-H244),IF('Pricing Inputs'!$AN$3=2,IF((I244-$H244)&gt;0,I244-$H244,0),(xSPRDOPT(I244,$E244,$BU244,0,$BP244,$BS244,$BT244,($A244-Inputs!$D$1)+15,1,0)))))</f>
        <v> </v>
      </c>
      <c r="Q244" s="280" t="str">
        <f aca="false">IF($A244="N/A"," ",IF('Pricing Inputs'!$AN$8=2,(J244-$H244),IF('Pricing Inputs'!$AN$3=2,IF((J244-$H244)&gt;0,J244-$H244,0),(xSPRDOPT(J244,$E244,$BU244,0,$BP244,$BS244,$BT244,($A244-Inputs!$D$1)+15,1,0)))))</f>
        <v> </v>
      </c>
      <c r="R244" s="280" t="str">
        <f aca="false">IF($A244="N/A"," ",IF('Pricing Inputs'!$AN$8=2,(K244-$H244),IF('Pricing Inputs'!$AN$3=2,IF((K244-$H244)&gt;0,K244-$H244,0),(xSPRDOPT(K244,$E244,$BU244,0,$BP244,$BS244,$BT244,($A244-Inputs!$D$1)+15,1,0)))))</f>
        <v> </v>
      </c>
      <c r="S244" s="280" t="str">
        <f aca="false">IF($A244="N/A"," ",IF('Pricing Inputs'!$AN$8=2,(L244-$H244),IF('Pricing Inputs'!$AN$3=2,IF((L244-$H244)&gt;0,L244-$H244,0),(xSPRDOPT(L244,$E244,$BU244,0,$BP244,$BS244,$BT244,($A244-Inputs!$D$1)+15,1,0)))))</f>
        <v> </v>
      </c>
      <c r="T244" s="280" t="str">
        <f aca="false">IF($A244="N/A"," ",IF('Pricing Inputs'!$AN$8=2,(M244-$H244),IF('Pricing Inputs'!$AN$3=2,IF((M244-$H244)&gt;0,M244-$H244,0),(xSPRDOPT(M244,$E244,$BU244,0,$BP244,$BS244,$BT244,($A244-Inputs!$D$1)+15,1,0)))))</f>
        <v> </v>
      </c>
      <c r="U244" s="280" t="str">
        <f aca="false">IF($A244="N/A"," ",IF('Pricing Inputs'!$AN$8=2,(N244-$H244),IF('Pricing Inputs'!$AN$3=2,IF((N244-$H244)&gt;0,N244-$H244,0),(xSPRDOPT(N244,$E244,$BU244,0,$BP244,$BS244,$BT244,($A244-Inputs!$D$1)+15,1,0)))))</f>
        <v> </v>
      </c>
      <c r="V244" s="281" t="str">
        <f aca="false">IF($A244="N/A"," ",(IF('Pricing Inputs'!$AN$8=2,(O244-$H244),IF((O244-$H244)&lt;=0,0,(O244-$H244)))))</f>
        <v> </v>
      </c>
      <c r="W244" s="282" t="str">
        <f aca="false">IF($A244="N/A"," ",IF(0&lt;&gt;P244,IF('Pricing Inputs'!$AN$3=2,8*VLOOKUP($A244,NumberofDaysTable,2),(xSPRDOPT(I244,$E244,$BU244,0,$BP244,$BS244,$BT244,$A244-Inputs!$D$1,1,1))*(8*VLOOKUP($A244,NumberofDaysTable,2))),0))</f>
        <v> </v>
      </c>
      <c r="X244" s="282" t="str">
        <f aca="false">IF($A244="N/A"," ",IF(Q244&lt;&gt;0,IF('Pricing Inputs'!$AN$3=2,8*VLOOKUP($A244,NumberofDaysTable,2),(xSPRDOPT(J244,$E244,$BU244,0,$BP244,$BS244,$BT244,$A244-Inputs!$D$1,1,1))*(8*VLOOKUP($A244,NumberofDaysTable,2))),0))</f>
        <v> </v>
      </c>
      <c r="Y244" s="282" t="str">
        <f aca="false">IF($A244="N/A"," ",IF(R244&lt;&gt;0,IF('Pricing Inputs'!$AN$3=2,8*VLOOKUP($A244,NumberofDaysTable,3),(xSPRDOPT(K244,$E244,$BU244,0,$BP244,$BS244,$BT244,$A244-Inputs!$D$1,1,1))*(8*VLOOKUP($A244,NumberofDaysTable,3))),0))</f>
        <v> </v>
      </c>
      <c r="Z244" s="282" t="str">
        <f aca="false">IF($A244="N/A"," ",IF(S244&lt;&gt;0,IF('Pricing Inputs'!$AN$3=2,8*VLOOKUP($A244,NumberofDaysTable,3),(xSPRDOPT(L244,$E244,$BU244,0,$BP244,$BS244,$BT244,$A244-Inputs!$D$1,1,1))*(8*VLOOKUP($A244,NumberofDaysTable,3))),0))</f>
        <v> </v>
      </c>
      <c r="AA244" s="282" t="str">
        <f aca="false">IF($A244="N/A"," ",IF(T244&lt;&gt;0,IF('Pricing Inputs'!$AN$3=2,8*VLOOKUP($A244,NumberofDaysTable,4),(xSPRDOPT(M244,$E244,$BU244,0,$BP244,$BS244,$BT244,$A244-Inputs!$D$1,1,1))*(8*VLOOKUP($A244,NumberofDaysTable,4))),0))</f>
        <v> </v>
      </c>
      <c r="AB244" s="282" t="str">
        <f aca="false">IF($A244="N/A"," ",IF(U244&lt;&gt;0,IF('Pricing Inputs'!$AN$3=2,8*VLOOKUP($A244,NumberofDaysTable,4),(xSPRDOPT(N244,$E244,$BU244,0,$BP244,$BS244,$BT244,$A244-Inputs!$D$1,1,1))*(8*VLOOKUP($A244,NumberofDaysTable,4))),0))</f>
        <v> </v>
      </c>
      <c r="AC244" s="282" t="str">
        <f aca="false">IF($A244="N/A"," ",(IF(V244&lt;&gt;0,(8*VLOOKUP($A244,NumberofDaysTable,6)),0)))</f>
        <v> </v>
      </c>
      <c r="AD244" s="283" t="str">
        <f aca="false">IF($A244="N/A"," ",RANK(P244,$P$244:$V$255))</f>
        <v> </v>
      </c>
      <c r="AE244" s="284" t="str">
        <f aca="false">IF($A244="N/A"," ",RANK(Q244,$P$244:$V$255))</f>
        <v> </v>
      </c>
      <c r="AF244" s="284" t="str">
        <f aca="false">IF($A244="N/A"," ",RANK(R244,$P$244:$V$255))</f>
        <v> </v>
      </c>
      <c r="AG244" s="284" t="str">
        <f aca="false">IF($A244="N/A"," ",RANK(S244,$P$244:$V$255))</f>
        <v> </v>
      </c>
      <c r="AH244" s="284" t="str">
        <f aca="false">IF($A244="N/A"," ",RANK(T244,$P$244:$V$255))</f>
        <v> </v>
      </c>
      <c r="AI244" s="284" t="str">
        <f aca="false">IF($A244="N/A"," ",RANK(U244,$P$244:$V$255))</f>
        <v> </v>
      </c>
      <c r="AJ244" s="285" t="str">
        <f aca="false">IF($A244="N/A"," ",RANK(V244,$P$244:$V$255))</f>
        <v> </v>
      </c>
      <c r="AK244" s="313" t="str">
        <f aca="false">IF($A244="N/A"," ",IF(AD244&lt;=$AJ$2,W244,0))</f>
        <v> </v>
      </c>
      <c r="AL244" s="287" t="str">
        <f aca="false">IF($A244="N/A"," ",IF(AE244&lt;=$AJ$2,X244,0))</f>
        <v> </v>
      </c>
      <c r="AM244" s="287" t="str">
        <f aca="false">IF($A244="N/A"," ",IF(AF244&lt;=$AJ$2,Y244,0))</f>
        <v> </v>
      </c>
      <c r="AN244" s="287" t="str">
        <f aca="false">IF($A244="N/A"," ",IF(AG244&lt;=$AJ$2,Z244,0))</f>
        <v> </v>
      </c>
      <c r="AO244" s="287" t="str">
        <f aca="false">IF($A244="N/A"," ",IF(AH244&lt;=$AJ$2,AA244,0))</f>
        <v> </v>
      </c>
      <c r="AP244" s="287" t="str">
        <f aca="false">IF($A244="N/A"," ",IF(AI244&lt;=$AJ$2,AB244,0))</f>
        <v> </v>
      </c>
      <c r="AQ244" s="287" t="str">
        <f aca="false">IF($A244="N/A"," ",IF(AJ244&lt;=$AJ$2,AC244,0))</f>
        <v> </v>
      </c>
      <c r="AR244" s="285"/>
      <c r="AS244" s="314" t="str">
        <f aca="false">IF($A244="N/A"," ",IF(AND(AD244=$AJ$2+1,AK244=0),MIN($AR$255,W244),0))</f>
        <v> </v>
      </c>
      <c r="AT244" s="289" t="str">
        <f aca="false">IF($A244="N/A"," ",IF(AND(AE244=$AJ$2+1,AL244=0),MIN($AR$255,X244),0))</f>
        <v> </v>
      </c>
      <c r="AU244" s="289" t="str">
        <f aca="false">IF($A244="N/A"," ",IF(AND(AF244=$AJ$2+1,AM244=0),MIN($AR$255,Y244),0))</f>
        <v> </v>
      </c>
      <c r="AV244" s="289" t="str">
        <f aca="false">IF($A244="N/A"," ",IF(AND(AG244=$AJ$2+1,AN244=0),MIN($AR$255,Z244),0))</f>
        <v> </v>
      </c>
      <c r="AW244" s="289" t="str">
        <f aca="false">IF($A244="N/A"," ",IF(AND(AH244=$AJ$2+1,AO244=0),MIN($AR$255,AA244),0))</f>
        <v> </v>
      </c>
      <c r="AX244" s="289" t="str">
        <f aca="false">IF($A244="N/A"," ",IF(AND(AI244=$AJ$2+1,AP244=0),MIN($AR$255,AB244),0))</f>
        <v> </v>
      </c>
      <c r="AY244" s="289" t="str">
        <f aca="false">IF($A244="N/A"," ",IF(AND(AJ244=$AJ$2+1,AQ244=0),MIN($AR$255,AC244),0))</f>
        <v> </v>
      </c>
      <c r="AZ244" s="285"/>
      <c r="BA244" s="291" t="str">
        <f aca="false">IF($A244="N/A"," ",(IF(MONTH(A244)&gt;=4,IF(MONTH(A244)&lt;=10,Inputs!$F$13,Inputs!$F$14),Inputs!$F$14))*$BW244)</f>
        <v> </v>
      </c>
      <c r="BB244" s="292" t="str">
        <f aca="false">IF($A244="N/A"," ",(IF(AK244&gt;0,($BA244*(8*(VLOOKUP($A244,NumberofDaysTable,2)))*P244),0)+IF(AS244&gt;0,($BA244*((AS244))*P244),0)))</f>
        <v> </v>
      </c>
      <c r="BC244" s="292" t="str">
        <f aca="false">IF($A244="N/A"," ",(IF(AL244&gt;0,($BA244*(8*(VLOOKUP($A244,NumberofDaysTable,2)))*Q244),0)+IF(AT244&gt;0,($BA244*((AT244))*Q244),0)))</f>
        <v> </v>
      </c>
      <c r="BD244" s="292" t="str">
        <f aca="false">IF($A244="N/A"," ",(IF(AM244&gt;0,($BA244*(8*(VLOOKUP($A244,NumberofDaysTable,3)))*R244),0)+IF(AU244&gt;0,($BA244*((AU244))*R244),0)))</f>
        <v> </v>
      </c>
      <c r="BE244" s="292" t="str">
        <f aca="false">IF($A244="N/A"," ",(IF(AN244&gt;0,($BA244*(8*(VLOOKUP($A244,NumberofDaysTable,3)))*S244),0)+IF(AV244&gt;0,($BA244*((AV244))*S244),0)))</f>
        <v> </v>
      </c>
      <c r="BF244" s="292" t="str">
        <f aca="false">IF($A244="N/A"," ",(IF(AO244&gt;0,($BA244*(8*(VLOOKUP($A244,NumberofDaysTable,4)+VLOOKUP($A244,NumberofDaysTable,5)))*T244),0)+IF(AW244&gt;0,($BA244*((AW244))*T244),0)))</f>
        <v> </v>
      </c>
      <c r="BG244" s="292" t="str">
        <f aca="false">IF($A244="N/A"," ",(IF(AP244&gt;0,($BA244*(8*(VLOOKUP($A244,NumberofDaysTable,4)+VLOOKUP($A244,NumberofDaysTable,5)))*U244),0)+IF(AX244&gt;0,($BA244*((AX244))*U244),0)))</f>
        <v> </v>
      </c>
      <c r="BH244" s="292" t="str">
        <f aca="false">IF($A244="N/A"," ",($BA244*AQ244*V244))</f>
        <v> </v>
      </c>
      <c r="BI244" s="292" t="str">
        <f aca="false">IF($A244="N/A"," ",SUM(BB244:BH244))</f>
        <v> </v>
      </c>
      <c r="BJ244" s="293" t="str">
        <f aca="false">IF($A244="N/A"," ",(H244*(SUM(AK244:AQ244)+SUM(AS244:AY244))*BA244))</f>
        <v> </v>
      </c>
      <c r="BK244" s="293" t="str">
        <f aca="false">IF($A244="N/A"," ",((C244*D244)*(SUM($AK244:$AQ244)+SUM($AS244:$AY244))*$BA244))</f>
        <v> </v>
      </c>
      <c r="BL244" s="293" t="str">
        <f aca="false">IF($A244="N/A"," ",(F244*(SUM($AK244:$AQ244)+SUM($AS244:$AY244))*$BA244))</f>
        <v> </v>
      </c>
      <c r="BM244" s="293" t="str">
        <f aca="false">IF($A244="N/A"," ",(G244*(SUM($AK244:$AQ244)+SUM($AS244:$AY244))*$BA244))</f>
        <v> </v>
      </c>
      <c r="BN244" s="294" t="str">
        <f aca="false">IF(A244="N/A"," ",(VLOOKUP(A244,PowerVolTable,(IF('Pricing Inputs'!$AT$3=2,7,IF('Pricing Inputs'!$AT$3=1,6,8))),FALSE())))</f>
        <v> </v>
      </c>
      <c r="BO244" s="294" t="str">
        <f aca="false">IF(A244="N/A"," ",(VLOOKUP(A244,IntraPowerVol,(IF('Pricing Inputs'!$AT$3=2,3,IF('Pricing Inputs'!$AT$3=1,2,4))),FALSE())*VLOOKUP(MONTH($A244),Inputs!$A$28:$B$39,2)))</f>
        <v> </v>
      </c>
      <c r="BP244" s="295" t="str">
        <f aca="false">IF($A244="N/A"," ",(IF(DateToday&gt;$A244,$BO244,((($BN244^2)*((($A244-1)-DateToday)/((EOMONTH($A244,0)+1)-DateToday-15)))+((($BO244)^2)*((15)/((EOMONTH($A244,0)+1)-DateToday-15))))^0.5)))</f>
        <v> </v>
      </c>
      <c r="BQ244" s="294" t="str">
        <f aca="false">IF($A244="N/A"," ",(VLOOKUP($A244,GasVolTable,(IF('Pricing Inputs'!$AT$3=2,6,IF('Pricing Inputs'!$AT$3=1,7,5))),FALSE())))</f>
        <v> </v>
      </c>
      <c r="BR244" s="294" t="str">
        <f aca="false">IF($A244="N/A"," ",(VLOOKUP($A244,OmicronVol,(IF('Pricing Inputs'!$AT$3=2,3,IF('Pricing Inputs'!$AT$3=1,4,2))),FALSE())))</f>
        <v> </v>
      </c>
      <c r="BS244" s="295" t="str">
        <f aca="false">IF($A244="N/A"," ",IF('Pricing Inputs'!$AN$3=1,(IF(DateToday&gt;$A244,$BR244,((($BQ244^2)*((($A244-1)-DateToday)/((EOMONTH($A244,0)+1)-DateToday-15)))+((($BR244)^2)*((15)/((EOMONTH($A244,0)+1)-DateToday-15))))^0.5)),0.0001))</f>
        <v> </v>
      </c>
      <c r="BT244" s="294" t="str">
        <f aca="false">IF($A244="N/A"," ",IF('Pricing Inputs'!$AN$3=1,(VLOOKUP($A244,CorrelationTable,2,FALSE())),0))</f>
        <v> </v>
      </c>
      <c r="BU244" s="296" t="str">
        <f aca="false">IF($A244="N/A"," ",F244+G244+(D244*(VLOOKUP($A244,'Gas Curves'!$B$17:$P$310,14,FALSE()))))</f>
        <v> </v>
      </c>
      <c r="BV244" s="294" t="str">
        <f aca="false">IF($A244="N/A"," ",IF('Pricing Inputs'!$AW$3=1,0,(VLOOKUP($A244,InterestRatesTable,2))))</f>
        <v> </v>
      </c>
      <c r="BW244" s="297" t="str">
        <f aca="false">IF($A244="N/A"," ",(1+BV244/2)^(-2*((EOMONTH(A244,0)+20)-DateToday)/365.25))</f>
        <v> </v>
      </c>
    </row>
    <row r="245" customFormat="false" ht="12.75" hidden="false" customHeight="false" outlineLevel="0" collapsed="false">
      <c r="A245" s="272" t="str">
        <f aca="false">IF(A244="N/A","N/A",IF(EDATE(A244,1)&gt;Inputs!$K$3,"N/A",EDATE(A244,1)))</f>
        <v>N/A</v>
      </c>
      <c r="B245" s="273" t="str">
        <f aca="false">IF(A245="N/A"," ",YEAR(A245))</f>
        <v> </v>
      </c>
      <c r="C245" s="274" t="str">
        <f aca="false">IF(A245="N/A"," ",VLOOKUP(A245,ScaledPrice,10))</f>
        <v> </v>
      </c>
      <c r="D245" s="275" t="str">
        <f aca="false">IF(A245="N/A"," ",(VLOOKUP(MONTH($A245),Inputs!$A$14:$B$25,2))/1000)</f>
        <v> </v>
      </c>
      <c r="E245" s="276" t="str">
        <f aca="false">IF($A245="N/A"," ",C245*D245)</f>
        <v> </v>
      </c>
      <c r="F245" s="277" t="str">
        <f aca="false">IF(A245="N/A"," ",Inputs!$F$6)</f>
        <v> </v>
      </c>
      <c r="G245" s="277" t="str">
        <f aca="false">IF(A245="N/A"," ",Inputs!$F$9/IF(AND('Pricing Inputs'!$AQ$3&gt;=4,'Pricing Inputs'!$AQ$3&lt;=6),16,IF(AND('Pricing Inputs'!$AQ$3&gt;=7,'Pricing Inputs'!$AQ$3&lt;=9),8,24))/(BA245/BW245))</f>
        <v> </v>
      </c>
      <c r="H245" s="278" t="str">
        <f aca="false">IF(A245="N/A"," ",(C245*D245)+F245+G245)</f>
        <v> </v>
      </c>
      <c r="I245" s="279" t="str">
        <f aca="false">VLOOKUP(A245,ScaledPrice,(IF(AND('Pricing Inputs'!$AQ$3&gt;=1,'Pricing Inputs'!$AQ$3&lt;=6),2,4)))</f>
        <v> </v>
      </c>
      <c r="J245" s="279" t="str">
        <f aca="false">IF(A245="N/A"," ",IF(AND('Pricing Inputs'!$AQ$3&gt;=1,'Pricing Inputs'!$AQ$3&lt;=6),I245,(VLOOKUP(A245,ScaledPrice,2))*(2-(VLOOKUP(A245,ScaledPrice,3)))))</f>
        <v> </v>
      </c>
      <c r="K245" s="279" t="str">
        <f aca="false">IF(A245="N/A"," ",IF(OR('Pricing Inputs'!$AQ$3=2,'Pricing Inputs'!$AQ$3=3,'Pricing Inputs'!$AQ$3=5,'Pricing Inputs'!$AQ$3=6,'Pricing Inputs'!$AQ$3=8,'Pricing Inputs'!$AQ$3=9),VLOOKUP(A245,ScaledPrice,IF(AND('Pricing Inputs'!$AQ$3&gt;=2,'Pricing Inputs'!$AQ$3&lt;=6),5,6)),0))</f>
        <v> </v>
      </c>
      <c r="L245" s="279" t="str">
        <f aca="false">IF(A245="N/A"," ",IF(OR('Pricing Inputs'!$AQ$3=2,'Pricing Inputs'!$AQ$3=3,'Pricing Inputs'!$AQ$3=5,'Pricing Inputs'!$AQ$3=6,'Pricing Inputs'!$AQ$3=8,'Pricing Inputs'!$AQ$3=9),IF(AND('Pricing Inputs'!$AQ$3&gt;=2,'Pricing Inputs'!$AQ$3&lt;=6),K245,(VLOOKUP(A245,ScaledPrice,5))*(2-(VLOOKUP(A245,ScaledPrice,3)))),0))</f>
        <v> </v>
      </c>
      <c r="M245" s="279" t="str">
        <f aca="false">IF(A245="N/A"," ",IF(OR('Pricing Inputs'!$AQ$3=3,'Pricing Inputs'!$AQ$3=6,'Pricing Inputs'!$AQ$3=9),(VLOOKUP(A245,ScaledPrice,IF(AND('Pricing Inputs'!$AQ$3&gt;=3,'Pricing Inputs'!$AQ$3&lt;=6),7,8))),0))</f>
        <v> </v>
      </c>
      <c r="N245" s="279" t="str">
        <f aca="false">IF(A245="N/A"," ",IF(OR('Pricing Inputs'!$AQ$3=3,'Pricing Inputs'!$AQ$3=6,'Pricing Inputs'!$AQ$3=9),IF(AND('Pricing Inputs'!$AQ$3&gt;=3,'Pricing Inputs'!$AQ$3&lt;=6),M245,(VLOOKUP(A245,ScaledPrice,7))*(2-(VLOOKUP(A245,ScaledPrice,3)))),0))</f>
        <v> </v>
      </c>
      <c r="O245" s="279" t="str">
        <f aca="false">IF(A245="N/A"," ",IF(AND('Pricing Inputs'!$AQ$3&gt;=1,'Pricing Inputs'!$AQ$3&lt;=3),VLOOKUP(A245,ScaledPrice,9),0))</f>
        <v> </v>
      </c>
      <c r="P245" s="280" t="str">
        <f aca="false">IF($A245="N/A"," ",IF('Pricing Inputs'!$AN$8=2,(I245-H245),IF('Pricing Inputs'!$AN$3=2,IF((I245-$H245)&gt;0,I245-$H245,0),(xSPRDOPT(I245,$E245,$BU245,0,$BP245,$BS245,$BT245,($A245-Inputs!$D$1)+15,1,0)))))</f>
        <v> </v>
      </c>
      <c r="Q245" s="280" t="str">
        <f aca="false">IF($A245="N/A"," ",IF('Pricing Inputs'!$AN$8=2,(J245-$H245),IF('Pricing Inputs'!$AN$3=2,IF((J245-$H245)&gt;0,J245-$H245,0),(xSPRDOPT(J245,$E245,$BU245,0,$BP245,$BS245,$BT245,($A245-Inputs!$D$1)+15,1,0)))))</f>
        <v> </v>
      </c>
      <c r="R245" s="280" t="str">
        <f aca="false">IF($A245="N/A"," ",IF('Pricing Inputs'!$AN$8=2,(K245-$H245),IF('Pricing Inputs'!$AN$3=2,IF((K245-$H245)&gt;0,K245-$H245,0),(xSPRDOPT(K245,$E245,$BU245,0,$BP245,$BS245,$BT245,($A245-Inputs!$D$1)+15,1,0)))))</f>
        <v> </v>
      </c>
      <c r="S245" s="280" t="str">
        <f aca="false">IF($A245="N/A"," ",IF('Pricing Inputs'!$AN$8=2,(L245-$H245),IF('Pricing Inputs'!$AN$3=2,IF((L245-$H245)&gt;0,L245-$H245,0),(xSPRDOPT(L245,$E245,$BU245,0,$BP245,$BS245,$BT245,($A245-Inputs!$D$1)+15,1,0)))))</f>
        <v> </v>
      </c>
      <c r="T245" s="280" t="str">
        <f aca="false">IF($A245="N/A"," ",IF('Pricing Inputs'!$AN$8=2,(M245-$H245),IF('Pricing Inputs'!$AN$3=2,IF((M245-$H245)&gt;0,M245-$H245,0),(xSPRDOPT(M245,$E245,$BU245,0,$BP245,$BS245,$BT245,($A245-Inputs!$D$1)+15,1,0)))))</f>
        <v> </v>
      </c>
      <c r="U245" s="280" t="str">
        <f aca="false">IF($A245="N/A"," ",IF('Pricing Inputs'!$AN$8=2,(N245-$H245),IF('Pricing Inputs'!$AN$3=2,IF((N245-$H245)&gt;0,N245-$H245,0),(xSPRDOPT(N245,$E245,$BU245,0,$BP245,$BS245,$BT245,($A245-Inputs!$D$1)+15,1,0)))))</f>
        <v> </v>
      </c>
      <c r="V245" s="281" t="str">
        <f aca="false">IF($A245="N/A"," ",(IF('Pricing Inputs'!$AN$8=2,(O245-$H245),IF((O245-$H245)&lt;=0,0,(O245-$H245)))))</f>
        <v> </v>
      </c>
      <c r="W245" s="282" t="str">
        <f aca="false">IF($A245="N/A"," ",IF(0&lt;&gt;P245,IF('Pricing Inputs'!$AN$3=2,8*VLOOKUP($A245,NumberofDaysTable,2),(xSPRDOPT(I245,$E245,$BU245,0,$BP245,$BS245,$BT245,$A245-Inputs!$D$1,1,1))*(8*VLOOKUP($A245,NumberofDaysTable,2))),0))</f>
        <v> </v>
      </c>
      <c r="X245" s="282" t="str">
        <f aca="false">IF($A245="N/A"," ",IF(Q245&lt;&gt;0,IF('Pricing Inputs'!$AN$3=2,8*VLOOKUP($A245,NumberofDaysTable,2),(xSPRDOPT(J245,$E245,$BU245,0,$BP245,$BS245,$BT245,$A245-Inputs!$D$1,1,1))*(8*VLOOKUP($A245,NumberofDaysTable,2))),0))</f>
        <v> </v>
      </c>
      <c r="Y245" s="282" t="str">
        <f aca="false">IF($A245="N/A"," ",IF(R245&lt;&gt;0,IF('Pricing Inputs'!$AN$3=2,8*VLOOKUP($A245,NumberofDaysTable,3),(xSPRDOPT(K245,$E245,$BU245,0,$BP245,$BS245,$BT245,$A245-Inputs!$D$1,1,1))*(8*VLOOKUP($A245,NumberofDaysTable,3))),0))</f>
        <v> </v>
      </c>
      <c r="Z245" s="282" t="str">
        <f aca="false">IF($A245="N/A"," ",IF(S245&lt;&gt;0,IF('Pricing Inputs'!$AN$3=2,8*VLOOKUP($A245,NumberofDaysTable,3),(xSPRDOPT(L245,$E245,$BU245,0,$BP245,$BS245,$BT245,$A245-Inputs!$D$1,1,1))*(8*VLOOKUP($A245,NumberofDaysTable,3))),0))</f>
        <v> </v>
      </c>
      <c r="AA245" s="282" t="str">
        <f aca="false">IF($A245="N/A"," ",IF(T245&lt;&gt;0,IF('Pricing Inputs'!$AN$3=2,8*VLOOKUP($A245,NumberofDaysTable,4),(xSPRDOPT(M245,$E245,$BU245,0,$BP245,$BS245,$BT245,$A245-Inputs!$D$1,1,1))*(8*VLOOKUP($A245,NumberofDaysTable,4))),0))</f>
        <v> </v>
      </c>
      <c r="AB245" s="282" t="str">
        <f aca="false">IF($A245="N/A"," ",IF(U245&lt;&gt;0,IF('Pricing Inputs'!$AN$3=2,8*VLOOKUP($A245,NumberofDaysTable,4),(xSPRDOPT(N245,$E245,$BU245,0,$BP245,$BS245,$BT245,$A245-Inputs!$D$1,1,1))*(8*VLOOKUP($A245,NumberofDaysTable,4))),0))</f>
        <v> </v>
      </c>
      <c r="AC245" s="282" t="str">
        <f aca="false">IF($A245="N/A"," ",(IF(V245&lt;&gt;0,(8*VLOOKUP($A245,NumberofDaysTable,6)),0)))</f>
        <v> </v>
      </c>
      <c r="AD245" s="298" t="str">
        <f aca="false">IF($A245="N/A"," ",RANK(P245,$P$244:$V$255))</f>
        <v> </v>
      </c>
      <c r="AE245" s="299" t="str">
        <f aca="false">IF($A245="N/A"," ",RANK(Q245,$P$244:$V$255))</f>
        <v> </v>
      </c>
      <c r="AF245" s="299" t="str">
        <f aca="false">IF($A245="N/A"," ",RANK(R245,$P$244:$V$255))</f>
        <v> </v>
      </c>
      <c r="AG245" s="299" t="str">
        <f aca="false">IF($A245="N/A"," ",RANK(S245,$P$244:$V$255))</f>
        <v> </v>
      </c>
      <c r="AH245" s="299" t="str">
        <f aca="false">IF($A245="N/A"," ",RANK(T245,$P$244:$V$255))</f>
        <v> </v>
      </c>
      <c r="AI245" s="299" t="str">
        <f aca="false">IF($A245="N/A"," ",RANK(U245,$P$244:$V$255))</f>
        <v> </v>
      </c>
      <c r="AJ245" s="300" t="str">
        <f aca="false">IF($A245="N/A"," ",RANK(V245,$P$244:$V$255))</f>
        <v> </v>
      </c>
      <c r="AK245" s="286" t="str">
        <f aca="false">IF($A245="N/A"," ",IF(AD245&lt;=$AJ$2,W245,0))</f>
        <v> </v>
      </c>
      <c r="AL245" s="301" t="str">
        <f aca="false">IF($A245="N/A"," ",IF(AE245&lt;=$AJ$2,X245,0))</f>
        <v> </v>
      </c>
      <c r="AM245" s="301" t="str">
        <f aca="false">IF($A245="N/A"," ",IF(AF245&lt;=$AJ$2,Y245,0))</f>
        <v> </v>
      </c>
      <c r="AN245" s="301" t="str">
        <f aca="false">IF($A245="N/A"," ",IF(AG245&lt;=$AJ$2,Z245,0))</f>
        <v> </v>
      </c>
      <c r="AO245" s="301" t="str">
        <f aca="false">IF($A245="N/A"," ",IF(AH245&lt;=$AJ$2,AA245,0))</f>
        <v> </v>
      </c>
      <c r="AP245" s="301" t="str">
        <f aca="false">IF($A245="N/A"," ",IF(AI245&lt;=$AJ$2,AB245,0))</f>
        <v> </v>
      </c>
      <c r="AQ245" s="301" t="str">
        <f aca="false">IF($A245="N/A"," ",IF(AJ245&lt;=$AJ$2,AC245,0))</f>
        <v> </v>
      </c>
      <c r="AR245" s="300"/>
      <c r="AS245" s="288" t="str">
        <f aca="false">IF($A245="N/A"," ",IF(AND(AD245=$AJ$2+1,AK245=0),MIN($AR$255,W245),0))</f>
        <v> </v>
      </c>
      <c r="AT245" s="302" t="str">
        <f aca="false">IF($A245="N/A"," ",IF(AND(AE245=$AJ$2+1,AL245=0),MIN($AR$255,X245),0))</f>
        <v> </v>
      </c>
      <c r="AU245" s="302" t="str">
        <f aca="false">IF($A245="N/A"," ",IF(AND(AF245=$AJ$2+1,AM245=0),MIN($AR$255,Y245),0))</f>
        <v> </v>
      </c>
      <c r="AV245" s="302" t="str">
        <f aca="false">IF($A245="N/A"," ",IF(AND(AG245=$AJ$2+1,AN245=0),MIN($AR$255,Z245),0))</f>
        <v> </v>
      </c>
      <c r="AW245" s="302" t="str">
        <f aca="false">IF($A245="N/A"," ",IF(AND(AH245=$AJ$2+1,AO245=0),MIN($AR$255,AA245),0))</f>
        <v> </v>
      </c>
      <c r="AX245" s="302" t="str">
        <f aca="false">IF($A245="N/A"," ",IF(AND(AI245=$AJ$2+1,AP245=0),MIN($AR$255,AB245),0))</f>
        <v> </v>
      </c>
      <c r="AY245" s="302" t="str">
        <f aca="false">IF($A245="N/A"," ",IF(AND(AJ245=$AJ$2+1,AQ245=0),MIN($AR$255,AC245),0))</f>
        <v> </v>
      </c>
      <c r="AZ245" s="300"/>
      <c r="BA245" s="291" t="str">
        <f aca="false">IF($A245="N/A"," ",(IF(MONTH(A245)&gt;=4,IF(MONTH(A245)&lt;=10,Inputs!$F$13,Inputs!$F$14),Inputs!$F$14))*$BW245)</f>
        <v> </v>
      </c>
      <c r="BB245" s="292" t="str">
        <f aca="false">IF($A245="N/A"," ",(IF(AK245&gt;0,($BA245*(8*(VLOOKUP($A245,NumberofDaysTable,2)))*P245),0)+IF(AS245&gt;0,($BA245*((AS245))*P245),0)))</f>
        <v> </v>
      </c>
      <c r="BC245" s="292" t="str">
        <f aca="false">IF($A245="N/A"," ",(IF(AL245&gt;0,($BA245*(8*(VLOOKUP($A245,NumberofDaysTable,2)))*Q245),0)+IF(AT245&gt;0,($BA245*((AT245))*Q245),0)))</f>
        <v> </v>
      </c>
      <c r="BD245" s="292" t="str">
        <f aca="false">IF($A245="N/A"," ",(IF(AM245&gt;0,($BA245*(8*(VLOOKUP($A245,NumberofDaysTable,3)))*R245),0)+IF(AU245&gt;0,($BA245*((AU245))*R245),0)))</f>
        <v> </v>
      </c>
      <c r="BE245" s="292" t="str">
        <f aca="false">IF($A245="N/A"," ",(IF(AN245&gt;0,($BA245*(8*(VLOOKUP($A245,NumberofDaysTable,3)))*S245),0)+IF(AV245&gt;0,($BA245*((AV245))*S245),0)))</f>
        <v> </v>
      </c>
      <c r="BF245" s="292" t="str">
        <f aca="false">IF($A245="N/A"," ",(IF(AO245&gt;0,($BA245*(8*(VLOOKUP($A245,NumberofDaysTable,4)+VLOOKUP($A245,NumberofDaysTable,5)))*T245),0)+IF(AW245&gt;0,($BA245*((AW245))*T245),0)))</f>
        <v> </v>
      </c>
      <c r="BG245" s="292" t="str">
        <f aca="false">IF($A245="N/A"," ",(IF(AP245&gt;0,($BA245*(8*(VLOOKUP($A245,NumberofDaysTable,4)+VLOOKUP($A245,NumberofDaysTable,5)))*U245),0)+IF(AX245&gt;0,($BA245*((AX245))*U245),0)))</f>
        <v> </v>
      </c>
      <c r="BH245" s="292" t="str">
        <f aca="false">IF($A245="N/A"," ",($BA245*AQ245*V245))</f>
        <v> </v>
      </c>
      <c r="BI245" s="292" t="str">
        <f aca="false">IF($A245="N/A"," ",SUM(BB245:BH245))</f>
        <v> </v>
      </c>
      <c r="BJ245" s="293" t="str">
        <f aca="false">IF($A245="N/A"," ",(H245*(SUM(AK245:AQ245)+SUM(AS245:AY245))*BA245))</f>
        <v> </v>
      </c>
      <c r="BK245" s="293" t="str">
        <f aca="false">IF($A245="N/A"," ",((C245*D245)*(SUM($AK245:$AQ245)+SUM($AS245:$AY245))*$BA245))</f>
        <v> </v>
      </c>
      <c r="BL245" s="293" t="str">
        <f aca="false">IF($A245="N/A"," ",(F245*(SUM($AK245:$AQ245)+SUM($AS245:$AY245))*$BA245))</f>
        <v> </v>
      </c>
      <c r="BM245" s="293" t="str">
        <f aca="false">IF($A245="N/A"," ",(G245*(SUM($AK245:$AQ245)+SUM($AS245:$AY245))*$BA245))</f>
        <v> </v>
      </c>
      <c r="BN245" s="294" t="str">
        <f aca="false">IF(A245="N/A"," ",(VLOOKUP(A245,PowerVolTable,(IF('Pricing Inputs'!$AT$3=2,7,IF('Pricing Inputs'!$AT$3=1,6,8))),FALSE())))</f>
        <v> </v>
      </c>
      <c r="BO245" s="294" t="str">
        <f aca="false">IF(A245="N/A"," ",(VLOOKUP(A245,IntraPowerVol,(IF('Pricing Inputs'!$AT$3=2,3,IF('Pricing Inputs'!$AT$3=1,2,4))),FALSE())*VLOOKUP(MONTH($A245),Inputs!$A$28:$B$39,2)))</f>
        <v> </v>
      </c>
      <c r="BP245" s="295" t="str">
        <f aca="false">IF($A245="N/A"," ",(IF(DateToday&gt;$A245,$BO245,((($BN245^2)*((($A245-1)-DateToday)/((EOMONTH($A245,0)+1)-DateToday-15)))+((($BO245)^2)*((15)/((EOMONTH($A245,0)+1)-DateToday-15))))^0.5)))</f>
        <v> </v>
      </c>
      <c r="BQ245" s="294" t="str">
        <f aca="false">IF($A245="N/A"," ",(VLOOKUP($A245,GasVolTable,(IF('Pricing Inputs'!$AT$3=2,6,IF('Pricing Inputs'!$AT$3=1,7,5))),FALSE())))</f>
        <v> </v>
      </c>
      <c r="BR245" s="294" t="str">
        <f aca="false">IF($A245="N/A"," ",(VLOOKUP($A245,OmicronVol,(IF('Pricing Inputs'!$AT$3=2,3,IF('Pricing Inputs'!$AT$3=1,4,2))),FALSE())))</f>
        <v> </v>
      </c>
      <c r="BS245" s="295" t="str">
        <f aca="false">IF($A245="N/A"," ",IF('Pricing Inputs'!$AN$3=1,(IF(DateToday&gt;$A245,$BR245,((($BQ245^2)*((($A245-1)-DateToday)/((EOMONTH($A245,0)+1)-DateToday-15)))+((($BR245)^2)*((15)/((EOMONTH($A245,0)+1)-DateToday-15))))^0.5)),0.0001))</f>
        <v> </v>
      </c>
      <c r="BT245" s="294" t="str">
        <f aca="false">IF($A245="N/A"," ",IF('Pricing Inputs'!$AN$3=1,(VLOOKUP($A245,CorrelationTable,2,FALSE())),0))</f>
        <v> </v>
      </c>
      <c r="BU245" s="296" t="str">
        <f aca="false">IF($A245="N/A"," ",F245+G245+(D245*(VLOOKUP($A245,'Gas Curves'!$B$17:$P$310,14,FALSE()))))</f>
        <v> </v>
      </c>
      <c r="BV245" s="294" t="str">
        <f aca="false">IF($A245="N/A"," ",IF('Pricing Inputs'!$AW$3=1,0,(VLOOKUP($A245,InterestRatesTable,2))))</f>
        <v> </v>
      </c>
      <c r="BW245" s="297" t="str">
        <f aca="false">IF($A245="N/A"," ",(1+BV245/2)^(-2*((EOMONTH(A245,0)+20)-DateToday)/365.25))</f>
        <v> </v>
      </c>
    </row>
    <row r="246" customFormat="false" ht="12.75" hidden="false" customHeight="false" outlineLevel="0" collapsed="false">
      <c r="A246" s="272" t="str">
        <f aca="false">IF(A245="N/A","N/A",IF(EDATE(A245,1)&gt;Inputs!$K$3,"N/A",EDATE(A245,1)))</f>
        <v>N/A</v>
      </c>
      <c r="B246" s="273" t="str">
        <f aca="false">IF(A246="N/A"," ",YEAR(A246))</f>
        <v> </v>
      </c>
      <c r="C246" s="274" t="str">
        <f aca="false">IF(A246="N/A"," ",VLOOKUP(A246,ScaledPrice,10))</f>
        <v> </v>
      </c>
      <c r="D246" s="275" t="str">
        <f aca="false">IF(A246="N/A"," ",(VLOOKUP(MONTH($A246),Inputs!$A$14:$B$25,2))/1000)</f>
        <v> </v>
      </c>
      <c r="E246" s="276" t="str">
        <f aca="false">IF($A246="N/A"," ",C246*D246)</f>
        <v> </v>
      </c>
      <c r="F246" s="277" t="str">
        <f aca="false">IF(A246="N/A"," ",Inputs!$F$6)</f>
        <v> </v>
      </c>
      <c r="G246" s="277" t="str">
        <f aca="false">IF(A246="N/A"," ",Inputs!$F$9/IF(AND('Pricing Inputs'!$AQ$3&gt;=4,'Pricing Inputs'!$AQ$3&lt;=6),16,IF(AND('Pricing Inputs'!$AQ$3&gt;=7,'Pricing Inputs'!$AQ$3&lt;=9),8,24))/(BA246/BW246))</f>
        <v> </v>
      </c>
      <c r="H246" s="278" t="str">
        <f aca="false">IF(A246="N/A"," ",(C246*D246)+F246+G246)</f>
        <v> </v>
      </c>
      <c r="I246" s="279" t="str">
        <f aca="false">VLOOKUP(A246,ScaledPrice,(IF(AND('Pricing Inputs'!$AQ$3&gt;=1,'Pricing Inputs'!$AQ$3&lt;=6),2,4)))</f>
        <v> </v>
      </c>
      <c r="J246" s="279" t="str">
        <f aca="false">IF(A246="N/A"," ",IF(AND('Pricing Inputs'!$AQ$3&gt;=1,'Pricing Inputs'!$AQ$3&lt;=6),I246,(VLOOKUP(A246,ScaledPrice,2))*(2-(VLOOKUP(A246,ScaledPrice,3)))))</f>
        <v> </v>
      </c>
      <c r="K246" s="279" t="str">
        <f aca="false">IF(A246="N/A"," ",IF(OR('Pricing Inputs'!$AQ$3=2,'Pricing Inputs'!$AQ$3=3,'Pricing Inputs'!$AQ$3=5,'Pricing Inputs'!$AQ$3=6,'Pricing Inputs'!$AQ$3=8,'Pricing Inputs'!$AQ$3=9),VLOOKUP(A246,ScaledPrice,IF(AND('Pricing Inputs'!$AQ$3&gt;=2,'Pricing Inputs'!$AQ$3&lt;=6),5,6)),0))</f>
        <v> </v>
      </c>
      <c r="L246" s="279" t="str">
        <f aca="false">IF(A246="N/A"," ",IF(OR('Pricing Inputs'!$AQ$3=2,'Pricing Inputs'!$AQ$3=3,'Pricing Inputs'!$AQ$3=5,'Pricing Inputs'!$AQ$3=6,'Pricing Inputs'!$AQ$3=8,'Pricing Inputs'!$AQ$3=9),IF(AND('Pricing Inputs'!$AQ$3&gt;=2,'Pricing Inputs'!$AQ$3&lt;=6),K246,(VLOOKUP(A246,ScaledPrice,5))*(2-(VLOOKUP(A246,ScaledPrice,3)))),0))</f>
        <v> </v>
      </c>
      <c r="M246" s="279" t="str">
        <f aca="false">IF(A246="N/A"," ",IF(OR('Pricing Inputs'!$AQ$3=3,'Pricing Inputs'!$AQ$3=6,'Pricing Inputs'!$AQ$3=9),(VLOOKUP(A246,ScaledPrice,IF(AND('Pricing Inputs'!$AQ$3&gt;=3,'Pricing Inputs'!$AQ$3&lt;=6),7,8))),0))</f>
        <v> </v>
      </c>
      <c r="N246" s="279" t="str">
        <f aca="false">IF(A246="N/A"," ",IF(OR('Pricing Inputs'!$AQ$3=3,'Pricing Inputs'!$AQ$3=6,'Pricing Inputs'!$AQ$3=9),IF(AND('Pricing Inputs'!$AQ$3&gt;=3,'Pricing Inputs'!$AQ$3&lt;=6),M246,(VLOOKUP(A246,ScaledPrice,7))*(2-(VLOOKUP(A246,ScaledPrice,3)))),0))</f>
        <v> </v>
      </c>
      <c r="O246" s="279" t="str">
        <f aca="false">IF(A246="N/A"," ",IF(AND('Pricing Inputs'!$AQ$3&gt;=1,'Pricing Inputs'!$AQ$3&lt;=3),VLOOKUP(A246,ScaledPrice,9),0))</f>
        <v> </v>
      </c>
      <c r="P246" s="280" t="str">
        <f aca="false">IF($A246="N/A"," ",IF('Pricing Inputs'!$AN$8=2,(I246-H246),IF('Pricing Inputs'!$AN$3=2,IF((I246-$H246)&gt;0,I246-$H246,0),(xSPRDOPT(I246,$E246,$BU246,0,$BP246,$BS246,$BT246,($A246-Inputs!$D$1)+15,1,0)))))</f>
        <v> </v>
      </c>
      <c r="Q246" s="280" t="str">
        <f aca="false">IF($A246="N/A"," ",IF('Pricing Inputs'!$AN$8=2,(J246-$H246),IF('Pricing Inputs'!$AN$3=2,IF((J246-$H246)&gt;0,J246-$H246,0),(xSPRDOPT(J246,$E246,$BU246,0,$BP246,$BS246,$BT246,($A246-Inputs!$D$1)+15,1,0)))))</f>
        <v> </v>
      </c>
      <c r="R246" s="280" t="str">
        <f aca="false">IF($A246="N/A"," ",IF('Pricing Inputs'!$AN$8=2,(K246-$H246),IF('Pricing Inputs'!$AN$3=2,IF((K246-$H246)&gt;0,K246-$H246,0),(xSPRDOPT(K246,$E246,$BU246,0,$BP246,$BS246,$BT246,($A246-Inputs!$D$1)+15,1,0)))))</f>
        <v> </v>
      </c>
      <c r="S246" s="280" t="str">
        <f aca="false">IF($A246="N/A"," ",IF('Pricing Inputs'!$AN$8=2,(L246-$H246),IF('Pricing Inputs'!$AN$3=2,IF((L246-$H246)&gt;0,L246-$H246,0),(xSPRDOPT(L246,$E246,$BU246,0,$BP246,$BS246,$BT246,($A246-Inputs!$D$1)+15,1,0)))))</f>
        <v> </v>
      </c>
      <c r="T246" s="280" t="str">
        <f aca="false">IF($A246="N/A"," ",IF('Pricing Inputs'!$AN$8=2,(M246-$H246),IF('Pricing Inputs'!$AN$3=2,IF((M246-$H246)&gt;0,M246-$H246,0),(xSPRDOPT(M246,$E246,$BU246,0,$BP246,$BS246,$BT246,($A246-Inputs!$D$1)+15,1,0)))))</f>
        <v> </v>
      </c>
      <c r="U246" s="280" t="str">
        <f aca="false">IF($A246="N/A"," ",IF('Pricing Inputs'!$AN$8=2,(N246-$H246),IF('Pricing Inputs'!$AN$3=2,IF((N246-$H246)&gt;0,N246-$H246,0),(xSPRDOPT(N246,$E246,$BU246,0,$BP246,$BS246,$BT246,($A246-Inputs!$D$1)+15,1,0)))))</f>
        <v> </v>
      </c>
      <c r="V246" s="281" t="str">
        <f aca="false">IF($A246="N/A"," ",(IF('Pricing Inputs'!$AN$8=2,(O246-$H246),IF((O246-$H246)&lt;=0,0,(O246-$H246)))))</f>
        <v> </v>
      </c>
      <c r="W246" s="282" t="str">
        <f aca="false">IF($A246="N/A"," ",IF(0&lt;&gt;P246,IF('Pricing Inputs'!$AN$3=2,8*VLOOKUP($A246,NumberofDaysTable,2),(xSPRDOPT(I246,$E246,$BU246,0,$BP246,$BS246,$BT246,$A246-Inputs!$D$1,1,1))*(8*VLOOKUP($A246,NumberofDaysTable,2))),0))</f>
        <v> </v>
      </c>
      <c r="X246" s="282" t="str">
        <f aca="false">IF($A246="N/A"," ",IF(Q246&lt;&gt;0,IF('Pricing Inputs'!$AN$3=2,8*VLOOKUP($A246,NumberofDaysTable,2),(xSPRDOPT(J246,$E246,$BU246,0,$BP246,$BS246,$BT246,$A246-Inputs!$D$1,1,1))*(8*VLOOKUP($A246,NumberofDaysTable,2))),0))</f>
        <v> </v>
      </c>
      <c r="Y246" s="282" t="str">
        <f aca="false">IF($A246="N/A"," ",IF(R246&lt;&gt;0,IF('Pricing Inputs'!$AN$3=2,8*VLOOKUP($A246,NumberofDaysTable,3),(xSPRDOPT(K246,$E246,$BU246,0,$BP246,$BS246,$BT246,$A246-Inputs!$D$1,1,1))*(8*VLOOKUP($A246,NumberofDaysTable,3))),0))</f>
        <v> </v>
      </c>
      <c r="Z246" s="282" t="str">
        <f aca="false">IF($A246="N/A"," ",IF(S246&lt;&gt;0,IF('Pricing Inputs'!$AN$3=2,8*VLOOKUP($A246,NumberofDaysTable,3),(xSPRDOPT(L246,$E246,$BU246,0,$BP246,$BS246,$BT246,$A246-Inputs!$D$1,1,1))*(8*VLOOKUP($A246,NumberofDaysTable,3))),0))</f>
        <v> </v>
      </c>
      <c r="AA246" s="282" t="str">
        <f aca="false">IF($A246="N/A"," ",IF(T246&lt;&gt;0,IF('Pricing Inputs'!$AN$3=2,8*VLOOKUP($A246,NumberofDaysTable,4),(xSPRDOPT(M246,$E246,$BU246,0,$BP246,$BS246,$BT246,$A246-Inputs!$D$1,1,1))*(8*VLOOKUP($A246,NumberofDaysTable,4))),0))</f>
        <v> </v>
      </c>
      <c r="AB246" s="282" t="str">
        <f aca="false">IF($A246="N/A"," ",IF(U246&lt;&gt;0,IF('Pricing Inputs'!$AN$3=2,8*VLOOKUP($A246,NumberofDaysTable,4),(xSPRDOPT(N246,$E246,$BU246,0,$BP246,$BS246,$BT246,$A246-Inputs!$D$1,1,1))*(8*VLOOKUP($A246,NumberofDaysTable,4))),0))</f>
        <v> </v>
      </c>
      <c r="AC246" s="282" t="str">
        <f aca="false">IF($A246="N/A"," ",(IF(V246&lt;&gt;0,(8*VLOOKUP($A246,NumberofDaysTable,6)),0)))</f>
        <v> </v>
      </c>
      <c r="AD246" s="298" t="str">
        <f aca="false">IF($A246="N/A"," ",RANK(P246,$P$244:$V$255))</f>
        <v> </v>
      </c>
      <c r="AE246" s="299" t="str">
        <f aca="false">IF($A246="N/A"," ",RANK(Q246,$P$244:$V$255))</f>
        <v> </v>
      </c>
      <c r="AF246" s="299" t="str">
        <f aca="false">IF($A246="N/A"," ",RANK(R246,$P$244:$V$255))</f>
        <v> </v>
      </c>
      <c r="AG246" s="299" t="str">
        <f aca="false">IF($A246="N/A"," ",RANK(S246,$P$244:$V$255))</f>
        <v> </v>
      </c>
      <c r="AH246" s="299" t="str">
        <f aca="false">IF($A246="N/A"," ",RANK(T246,$P$244:$V$255))</f>
        <v> </v>
      </c>
      <c r="AI246" s="299" t="str">
        <f aca="false">IF($A246="N/A"," ",RANK(U246,$P$244:$V$255))</f>
        <v> </v>
      </c>
      <c r="AJ246" s="300" t="str">
        <f aca="false">IF($A246="N/A"," ",RANK(V246,$P$244:$V$255))</f>
        <v> </v>
      </c>
      <c r="AK246" s="286" t="str">
        <f aca="false">IF($A246="N/A"," ",IF(AD246&lt;=$AJ$2,W246,0))</f>
        <v> </v>
      </c>
      <c r="AL246" s="301" t="str">
        <f aca="false">IF($A246="N/A"," ",IF(AE246&lt;=$AJ$2,X246,0))</f>
        <v> </v>
      </c>
      <c r="AM246" s="301" t="str">
        <f aca="false">IF($A246="N/A"," ",IF(AF246&lt;=$AJ$2,Y246,0))</f>
        <v> </v>
      </c>
      <c r="AN246" s="301" t="str">
        <f aca="false">IF($A246="N/A"," ",IF(AG246&lt;=$AJ$2,Z246,0))</f>
        <v> </v>
      </c>
      <c r="AO246" s="301" t="str">
        <f aca="false">IF($A246="N/A"," ",IF(AH246&lt;=$AJ$2,AA246,0))</f>
        <v> </v>
      </c>
      <c r="AP246" s="301" t="str">
        <f aca="false">IF($A246="N/A"," ",IF(AI246&lt;=$AJ$2,AB246,0))</f>
        <v> </v>
      </c>
      <c r="AQ246" s="301" t="str">
        <f aca="false">IF($A246="N/A"," ",IF(AJ246&lt;=$AJ$2,AC246,0))</f>
        <v> </v>
      </c>
      <c r="AR246" s="300"/>
      <c r="AS246" s="288" t="str">
        <f aca="false">IF($A246="N/A"," ",IF(AND(AD246=$AJ$2+1,AK246=0),MIN($AR$255,W246),0))</f>
        <v> </v>
      </c>
      <c r="AT246" s="302" t="str">
        <f aca="false">IF($A246="N/A"," ",IF(AND(AE246=$AJ$2+1,AL246=0),MIN($AR$255,X246),0))</f>
        <v> </v>
      </c>
      <c r="AU246" s="302" t="str">
        <f aca="false">IF($A246="N/A"," ",IF(AND(AF246=$AJ$2+1,AM246=0),MIN($AR$255,Y246),0))</f>
        <v> </v>
      </c>
      <c r="AV246" s="302" t="str">
        <f aca="false">IF($A246="N/A"," ",IF(AND(AG246=$AJ$2+1,AN246=0),MIN($AR$255,Z246),0))</f>
        <v> </v>
      </c>
      <c r="AW246" s="302" t="str">
        <f aca="false">IF($A246="N/A"," ",IF(AND(AH246=$AJ$2+1,AO246=0),MIN($AR$255,AA246),0))</f>
        <v> </v>
      </c>
      <c r="AX246" s="302" t="str">
        <f aca="false">IF($A246="N/A"," ",IF(AND(AI246=$AJ$2+1,AP246=0),MIN($AR$255,AB246),0))</f>
        <v> </v>
      </c>
      <c r="AY246" s="302" t="str">
        <f aca="false">IF($A246="N/A"," ",IF(AND(AJ246=$AJ$2+1,AQ246=0),MIN($AR$255,AC246),0))</f>
        <v> </v>
      </c>
      <c r="AZ246" s="300"/>
      <c r="BA246" s="291" t="str">
        <f aca="false">IF($A246="N/A"," ",(IF(MONTH(A246)&gt;=4,IF(MONTH(A246)&lt;=10,Inputs!$F$13,Inputs!$F$14),Inputs!$F$14))*$BW246)</f>
        <v> </v>
      </c>
      <c r="BB246" s="292" t="str">
        <f aca="false">IF($A246="N/A"," ",(IF(AK246&gt;0,($BA246*(8*(VLOOKUP($A246,NumberofDaysTable,2)))*P246),0)+IF(AS246&gt;0,($BA246*((AS246))*P246),0)))</f>
        <v> </v>
      </c>
      <c r="BC246" s="292" t="str">
        <f aca="false">IF($A246="N/A"," ",(IF(AL246&gt;0,($BA246*(8*(VLOOKUP($A246,NumberofDaysTable,2)))*Q246),0)+IF(AT246&gt;0,($BA246*((AT246))*Q246),0)))</f>
        <v> </v>
      </c>
      <c r="BD246" s="292" t="str">
        <f aca="false">IF($A246="N/A"," ",(IF(AM246&gt;0,($BA246*(8*(VLOOKUP($A246,NumberofDaysTable,3)))*R246),0)+IF(AU246&gt;0,($BA246*((AU246))*R246),0)))</f>
        <v> </v>
      </c>
      <c r="BE246" s="292" t="str">
        <f aca="false">IF($A246="N/A"," ",(IF(AN246&gt;0,($BA246*(8*(VLOOKUP($A246,NumberofDaysTable,3)))*S246),0)+IF(AV246&gt;0,($BA246*((AV246))*S246),0)))</f>
        <v> </v>
      </c>
      <c r="BF246" s="292" t="str">
        <f aca="false">IF($A246="N/A"," ",(IF(AO246&gt;0,($BA246*(8*(VLOOKUP($A246,NumberofDaysTable,4)+VLOOKUP($A246,NumberofDaysTable,5)))*T246),0)+IF(AW246&gt;0,($BA246*((AW246))*T246),0)))</f>
        <v> </v>
      </c>
      <c r="BG246" s="292" t="str">
        <f aca="false">IF($A246="N/A"," ",(IF(AP246&gt;0,($BA246*(8*(VLOOKUP($A246,NumberofDaysTable,4)+VLOOKUP($A246,NumberofDaysTable,5)))*U246),0)+IF(AX246&gt;0,($BA246*((AX246))*U246),0)))</f>
        <v> </v>
      </c>
      <c r="BH246" s="292" t="str">
        <f aca="false">IF($A246="N/A"," ",($BA246*AQ246*V246))</f>
        <v> </v>
      </c>
      <c r="BI246" s="292" t="str">
        <f aca="false">IF($A246="N/A"," ",SUM(BB246:BH246))</f>
        <v> </v>
      </c>
      <c r="BJ246" s="293" t="str">
        <f aca="false">IF($A246="N/A"," ",(H246*(SUM(AK246:AQ246)+SUM(AS246:AY246))*BA246))</f>
        <v> </v>
      </c>
      <c r="BK246" s="293" t="str">
        <f aca="false">IF($A246="N/A"," ",((C246*D246)*(SUM($AK246:$AQ246)+SUM($AS246:$AY246))*$BA246))</f>
        <v> </v>
      </c>
      <c r="BL246" s="293" t="str">
        <f aca="false">IF($A246="N/A"," ",(F246*(SUM($AK246:$AQ246)+SUM($AS246:$AY246))*$BA246))</f>
        <v> </v>
      </c>
      <c r="BM246" s="293" t="str">
        <f aca="false">IF($A246="N/A"," ",(G246*(SUM($AK246:$AQ246)+SUM($AS246:$AY246))*$BA246))</f>
        <v> </v>
      </c>
      <c r="BN246" s="294" t="str">
        <f aca="false">IF(A246="N/A"," ",(VLOOKUP(A246,PowerVolTable,(IF('Pricing Inputs'!$AT$3=2,7,IF('Pricing Inputs'!$AT$3=1,6,8))),FALSE())))</f>
        <v> </v>
      </c>
      <c r="BO246" s="294" t="str">
        <f aca="false">IF(A246="N/A"," ",(VLOOKUP(A246,IntraPowerVol,(IF('Pricing Inputs'!$AT$3=2,3,IF('Pricing Inputs'!$AT$3=1,2,4))),FALSE())*VLOOKUP(MONTH($A246),Inputs!$A$28:$B$39,2)))</f>
        <v> </v>
      </c>
      <c r="BP246" s="295" t="str">
        <f aca="false">IF($A246="N/A"," ",(IF(DateToday&gt;$A246,$BO246,((($BN246^2)*((($A246-1)-DateToday)/((EOMONTH($A246,0)+1)-DateToday-15)))+((($BO246)^2)*((15)/((EOMONTH($A246,0)+1)-DateToday-15))))^0.5)))</f>
        <v> </v>
      </c>
      <c r="BQ246" s="294" t="str">
        <f aca="false">IF($A246="N/A"," ",(VLOOKUP($A246,GasVolTable,(IF('Pricing Inputs'!$AT$3=2,6,IF('Pricing Inputs'!$AT$3=1,7,5))),FALSE())))</f>
        <v> </v>
      </c>
      <c r="BR246" s="294" t="str">
        <f aca="false">IF($A246="N/A"," ",(VLOOKUP($A246,OmicronVol,(IF('Pricing Inputs'!$AT$3=2,3,IF('Pricing Inputs'!$AT$3=1,4,2))),FALSE())))</f>
        <v> </v>
      </c>
      <c r="BS246" s="295" t="str">
        <f aca="false">IF($A246="N/A"," ",IF('Pricing Inputs'!$AN$3=1,(IF(DateToday&gt;$A246,$BR246,((($BQ246^2)*((($A246-1)-DateToday)/((EOMONTH($A246,0)+1)-DateToday-15)))+((($BR246)^2)*((15)/((EOMONTH($A246,0)+1)-DateToday-15))))^0.5)),0.0001))</f>
        <v> </v>
      </c>
      <c r="BT246" s="294" t="str">
        <f aca="false">IF($A246="N/A"," ",IF('Pricing Inputs'!$AN$3=1,(VLOOKUP($A246,CorrelationTable,2,FALSE())),0))</f>
        <v> </v>
      </c>
      <c r="BU246" s="296" t="str">
        <f aca="false">IF($A246="N/A"," ",F246+G246+(D246*(VLOOKUP($A246,'Gas Curves'!$B$17:$P$310,14,FALSE()))))</f>
        <v> </v>
      </c>
      <c r="BV246" s="294" t="str">
        <f aca="false">IF($A246="N/A"," ",IF('Pricing Inputs'!$AW$3=1,0,(VLOOKUP($A246,InterestRatesTable,2))))</f>
        <v> </v>
      </c>
      <c r="BW246" s="297" t="str">
        <f aca="false">IF($A246="N/A"," ",(1+BV246/2)^(-2*((EOMONTH(A246,0)+20)-DateToday)/365.25))</f>
        <v> </v>
      </c>
    </row>
    <row r="247" customFormat="false" ht="12.75" hidden="false" customHeight="false" outlineLevel="0" collapsed="false">
      <c r="A247" s="272" t="str">
        <f aca="false">IF(A246="N/A","N/A",IF(EDATE(A246,1)&gt;Inputs!$K$3,"N/A",EDATE(A246,1)))</f>
        <v>N/A</v>
      </c>
      <c r="B247" s="273" t="str">
        <f aca="false">IF(A247="N/A"," ",YEAR(A247))</f>
        <v> </v>
      </c>
      <c r="C247" s="274" t="str">
        <f aca="false">IF(A247="N/A"," ",VLOOKUP(A247,ScaledPrice,10))</f>
        <v> </v>
      </c>
      <c r="D247" s="275" t="str">
        <f aca="false">IF(A247="N/A"," ",(VLOOKUP(MONTH($A247),Inputs!$A$14:$B$25,2))/1000)</f>
        <v> </v>
      </c>
      <c r="E247" s="276" t="str">
        <f aca="false">IF($A247="N/A"," ",C247*D247)</f>
        <v> </v>
      </c>
      <c r="F247" s="277" t="str">
        <f aca="false">IF(A247="N/A"," ",Inputs!$F$6)</f>
        <v> </v>
      </c>
      <c r="G247" s="277" t="str">
        <f aca="false">IF(A247="N/A"," ",Inputs!$F$9/IF(AND('Pricing Inputs'!$AQ$3&gt;=4,'Pricing Inputs'!$AQ$3&lt;=6),16,IF(AND('Pricing Inputs'!$AQ$3&gt;=7,'Pricing Inputs'!$AQ$3&lt;=9),8,24))/(BA247/BW247))</f>
        <v> </v>
      </c>
      <c r="H247" s="278" t="str">
        <f aca="false">IF(A247="N/A"," ",(C247*D247)+F247+G247)</f>
        <v> </v>
      </c>
      <c r="I247" s="279" t="str">
        <f aca="false">VLOOKUP(A247,ScaledPrice,(IF(AND('Pricing Inputs'!$AQ$3&gt;=1,'Pricing Inputs'!$AQ$3&lt;=6),2,4)))</f>
        <v> </v>
      </c>
      <c r="J247" s="279" t="str">
        <f aca="false">IF(A247="N/A"," ",IF(AND('Pricing Inputs'!$AQ$3&gt;=1,'Pricing Inputs'!$AQ$3&lt;=6),I247,(VLOOKUP(A247,ScaledPrice,2))*(2-(VLOOKUP(A247,ScaledPrice,3)))))</f>
        <v> </v>
      </c>
      <c r="K247" s="279" t="str">
        <f aca="false">IF(A247="N/A"," ",IF(OR('Pricing Inputs'!$AQ$3=2,'Pricing Inputs'!$AQ$3=3,'Pricing Inputs'!$AQ$3=5,'Pricing Inputs'!$AQ$3=6,'Pricing Inputs'!$AQ$3=8,'Pricing Inputs'!$AQ$3=9),VLOOKUP(A247,ScaledPrice,IF(AND('Pricing Inputs'!$AQ$3&gt;=2,'Pricing Inputs'!$AQ$3&lt;=6),5,6)),0))</f>
        <v> </v>
      </c>
      <c r="L247" s="279" t="str">
        <f aca="false">IF(A247="N/A"," ",IF(OR('Pricing Inputs'!$AQ$3=2,'Pricing Inputs'!$AQ$3=3,'Pricing Inputs'!$AQ$3=5,'Pricing Inputs'!$AQ$3=6,'Pricing Inputs'!$AQ$3=8,'Pricing Inputs'!$AQ$3=9),IF(AND('Pricing Inputs'!$AQ$3&gt;=2,'Pricing Inputs'!$AQ$3&lt;=6),K247,(VLOOKUP(A247,ScaledPrice,5))*(2-(VLOOKUP(A247,ScaledPrice,3)))),0))</f>
        <v> </v>
      </c>
      <c r="M247" s="279" t="str">
        <f aca="false">IF(A247="N/A"," ",IF(OR('Pricing Inputs'!$AQ$3=3,'Pricing Inputs'!$AQ$3=6,'Pricing Inputs'!$AQ$3=9),(VLOOKUP(A247,ScaledPrice,IF(AND('Pricing Inputs'!$AQ$3&gt;=3,'Pricing Inputs'!$AQ$3&lt;=6),7,8))),0))</f>
        <v> </v>
      </c>
      <c r="N247" s="279" t="str">
        <f aca="false">IF(A247="N/A"," ",IF(OR('Pricing Inputs'!$AQ$3=3,'Pricing Inputs'!$AQ$3=6,'Pricing Inputs'!$AQ$3=9),IF(AND('Pricing Inputs'!$AQ$3&gt;=3,'Pricing Inputs'!$AQ$3&lt;=6),M247,(VLOOKUP(A247,ScaledPrice,7))*(2-(VLOOKUP(A247,ScaledPrice,3)))),0))</f>
        <v> </v>
      </c>
      <c r="O247" s="279" t="str">
        <f aca="false">IF(A247="N/A"," ",IF(AND('Pricing Inputs'!$AQ$3&gt;=1,'Pricing Inputs'!$AQ$3&lt;=3),VLOOKUP(A247,ScaledPrice,9),0))</f>
        <v> </v>
      </c>
      <c r="P247" s="280" t="str">
        <f aca="false">IF($A247="N/A"," ",IF('Pricing Inputs'!$AN$8=2,(I247-H247),IF('Pricing Inputs'!$AN$3=2,IF((I247-$H247)&gt;0,I247-$H247,0),(xSPRDOPT(I247,$E247,$BU247,0,$BP247,$BS247,$BT247,($A247-Inputs!$D$1)+15,1,0)))))</f>
        <v> </v>
      </c>
      <c r="Q247" s="280" t="str">
        <f aca="false">IF($A247="N/A"," ",IF('Pricing Inputs'!$AN$8=2,(J247-$H247),IF('Pricing Inputs'!$AN$3=2,IF((J247-$H247)&gt;0,J247-$H247,0),(xSPRDOPT(J247,$E247,$BU247,0,$BP247,$BS247,$BT247,($A247-Inputs!$D$1)+15,1,0)))))</f>
        <v> </v>
      </c>
      <c r="R247" s="280" t="str">
        <f aca="false">IF($A247="N/A"," ",IF('Pricing Inputs'!$AN$8=2,(K247-$H247),IF('Pricing Inputs'!$AN$3=2,IF((K247-$H247)&gt;0,K247-$H247,0),(xSPRDOPT(K247,$E247,$BU247,0,$BP247,$BS247,$BT247,($A247-Inputs!$D$1)+15,1,0)))))</f>
        <v> </v>
      </c>
      <c r="S247" s="280" t="str">
        <f aca="false">IF($A247="N/A"," ",IF('Pricing Inputs'!$AN$8=2,(L247-$H247),IF('Pricing Inputs'!$AN$3=2,IF((L247-$H247)&gt;0,L247-$H247,0),(xSPRDOPT(L247,$E247,$BU247,0,$BP247,$BS247,$BT247,($A247-Inputs!$D$1)+15,1,0)))))</f>
        <v> </v>
      </c>
      <c r="T247" s="280" t="str">
        <f aca="false">IF($A247="N/A"," ",IF('Pricing Inputs'!$AN$8=2,(M247-$H247),IF('Pricing Inputs'!$AN$3=2,IF((M247-$H247)&gt;0,M247-$H247,0),(xSPRDOPT(M247,$E247,$BU247,0,$BP247,$BS247,$BT247,($A247-Inputs!$D$1)+15,1,0)))))</f>
        <v> </v>
      </c>
      <c r="U247" s="280" t="str">
        <f aca="false">IF($A247="N/A"," ",IF('Pricing Inputs'!$AN$8=2,(N247-$H247),IF('Pricing Inputs'!$AN$3=2,IF((N247-$H247)&gt;0,N247-$H247,0),(xSPRDOPT(N247,$E247,$BU247,0,$BP247,$BS247,$BT247,($A247-Inputs!$D$1)+15,1,0)))))</f>
        <v> </v>
      </c>
      <c r="V247" s="281" t="str">
        <f aca="false">IF($A247="N/A"," ",(IF('Pricing Inputs'!$AN$8=2,(O247-$H247),IF((O247-$H247)&lt;=0,0,(O247-$H247)))))</f>
        <v> </v>
      </c>
      <c r="W247" s="282" t="str">
        <f aca="false">IF($A247="N/A"," ",IF(0&lt;&gt;P247,IF('Pricing Inputs'!$AN$3=2,8*VLOOKUP($A247,NumberofDaysTable,2),(xSPRDOPT(I247,$E247,$BU247,0,$BP247,$BS247,$BT247,$A247-Inputs!$D$1,1,1))*(8*VLOOKUP($A247,NumberofDaysTable,2))),0))</f>
        <v> </v>
      </c>
      <c r="X247" s="282" t="str">
        <f aca="false">IF($A247="N/A"," ",IF(Q247&lt;&gt;0,IF('Pricing Inputs'!$AN$3=2,8*VLOOKUP($A247,NumberofDaysTable,2),(xSPRDOPT(J247,$E247,$BU247,0,$BP247,$BS247,$BT247,$A247-Inputs!$D$1,1,1))*(8*VLOOKUP($A247,NumberofDaysTable,2))),0))</f>
        <v> </v>
      </c>
      <c r="Y247" s="282" t="str">
        <f aca="false">IF($A247="N/A"," ",IF(R247&lt;&gt;0,IF('Pricing Inputs'!$AN$3=2,8*VLOOKUP($A247,NumberofDaysTable,3),(xSPRDOPT(K247,$E247,$BU247,0,$BP247,$BS247,$BT247,$A247-Inputs!$D$1,1,1))*(8*VLOOKUP($A247,NumberofDaysTable,3))),0))</f>
        <v> </v>
      </c>
      <c r="Z247" s="282" t="str">
        <f aca="false">IF($A247="N/A"," ",IF(S247&lt;&gt;0,IF('Pricing Inputs'!$AN$3=2,8*VLOOKUP($A247,NumberofDaysTable,3),(xSPRDOPT(L247,$E247,$BU247,0,$BP247,$BS247,$BT247,$A247-Inputs!$D$1,1,1))*(8*VLOOKUP($A247,NumberofDaysTable,3))),0))</f>
        <v> </v>
      </c>
      <c r="AA247" s="282" t="str">
        <f aca="false">IF($A247="N/A"," ",IF(T247&lt;&gt;0,IF('Pricing Inputs'!$AN$3=2,8*VLOOKUP($A247,NumberofDaysTable,4),(xSPRDOPT(M247,$E247,$BU247,0,$BP247,$BS247,$BT247,$A247-Inputs!$D$1,1,1))*(8*VLOOKUP($A247,NumberofDaysTable,4))),0))</f>
        <v> </v>
      </c>
      <c r="AB247" s="282" t="str">
        <f aca="false">IF($A247="N/A"," ",IF(U247&lt;&gt;0,IF('Pricing Inputs'!$AN$3=2,8*VLOOKUP($A247,NumberofDaysTable,4),(xSPRDOPT(N247,$E247,$BU247,0,$BP247,$BS247,$BT247,$A247-Inputs!$D$1,1,1))*(8*VLOOKUP($A247,NumberofDaysTable,4))),0))</f>
        <v> </v>
      </c>
      <c r="AC247" s="282" t="str">
        <f aca="false">IF($A247="N/A"," ",(IF(V247&lt;&gt;0,(8*VLOOKUP($A247,NumberofDaysTable,6)),0)))</f>
        <v> </v>
      </c>
      <c r="AD247" s="298" t="str">
        <f aca="false">IF($A247="N/A"," ",RANK(P247,$P$244:$V$255))</f>
        <v> </v>
      </c>
      <c r="AE247" s="299" t="str">
        <f aca="false">IF($A247="N/A"," ",RANK(Q247,$P$244:$V$255))</f>
        <v> </v>
      </c>
      <c r="AF247" s="299" t="str">
        <f aca="false">IF($A247="N/A"," ",RANK(R247,$P$244:$V$255))</f>
        <v> </v>
      </c>
      <c r="AG247" s="299" t="str">
        <f aca="false">IF($A247="N/A"," ",RANK(S247,$P$244:$V$255))</f>
        <v> </v>
      </c>
      <c r="AH247" s="299" t="str">
        <f aca="false">IF($A247="N/A"," ",RANK(T247,$P$244:$V$255))</f>
        <v> </v>
      </c>
      <c r="AI247" s="299" t="str">
        <f aca="false">IF($A247="N/A"," ",RANK(U247,$P$244:$V$255))</f>
        <v> </v>
      </c>
      <c r="AJ247" s="300" t="str">
        <f aca="false">IF($A247="N/A"," ",RANK(V247,$P$244:$V$255))</f>
        <v> </v>
      </c>
      <c r="AK247" s="286" t="str">
        <f aca="false">IF($A247="N/A"," ",IF(AD247&lt;=$AJ$2,W247,0))</f>
        <v> </v>
      </c>
      <c r="AL247" s="301" t="str">
        <f aca="false">IF($A247="N/A"," ",IF(AE247&lt;=$AJ$2,X247,0))</f>
        <v> </v>
      </c>
      <c r="AM247" s="301" t="str">
        <f aca="false">IF($A247="N/A"," ",IF(AF247&lt;=$AJ$2,Y247,0))</f>
        <v> </v>
      </c>
      <c r="AN247" s="301" t="str">
        <f aca="false">IF($A247="N/A"," ",IF(AG247&lt;=$AJ$2,Z247,0))</f>
        <v> </v>
      </c>
      <c r="AO247" s="301" t="str">
        <f aca="false">IF($A247="N/A"," ",IF(AH247&lt;=$AJ$2,AA247,0))</f>
        <v> </v>
      </c>
      <c r="AP247" s="301" t="str">
        <f aca="false">IF($A247="N/A"," ",IF(AI247&lt;=$AJ$2,AB247,0))</f>
        <v> </v>
      </c>
      <c r="AQ247" s="301" t="str">
        <f aca="false">IF($A247="N/A"," ",IF(AJ247&lt;=$AJ$2,AC247,0))</f>
        <v> </v>
      </c>
      <c r="AR247" s="300"/>
      <c r="AS247" s="288" t="str">
        <f aca="false">IF($A247="N/A"," ",IF(AND(AD247=$AJ$2+1,AK247=0),MIN($AR$255,W247),0))</f>
        <v> </v>
      </c>
      <c r="AT247" s="302" t="str">
        <f aca="false">IF($A247="N/A"," ",IF(AND(AE247=$AJ$2+1,AL247=0),MIN($AR$255,X247),0))</f>
        <v> </v>
      </c>
      <c r="AU247" s="302" t="str">
        <f aca="false">IF($A247="N/A"," ",IF(AND(AF247=$AJ$2+1,AM247=0),MIN($AR$255,Y247),0))</f>
        <v> </v>
      </c>
      <c r="AV247" s="302" t="str">
        <f aca="false">IF($A247="N/A"," ",IF(AND(AG247=$AJ$2+1,AN247=0),MIN($AR$255,Z247),0))</f>
        <v> </v>
      </c>
      <c r="AW247" s="302" t="str">
        <f aca="false">IF($A247="N/A"," ",IF(AND(AH247=$AJ$2+1,AO247=0),MIN($AR$255,AA247),0))</f>
        <v> </v>
      </c>
      <c r="AX247" s="302" t="str">
        <f aca="false">IF($A247="N/A"," ",IF(AND(AI247=$AJ$2+1,AP247=0),MIN($AR$255,AB247),0))</f>
        <v> </v>
      </c>
      <c r="AY247" s="302" t="str">
        <f aca="false">IF($A247="N/A"," ",IF(AND(AJ247=$AJ$2+1,AQ247=0),MIN($AR$255,AC247),0))</f>
        <v> </v>
      </c>
      <c r="AZ247" s="300"/>
      <c r="BA247" s="291" t="str">
        <f aca="false">IF($A247="N/A"," ",(IF(MONTH(A247)&gt;=4,IF(MONTH(A247)&lt;=10,Inputs!$F$13,Inputs!$F$14),Inputs!$F$14))*$BW247)</f>
        <v> </v>
      </c>
      <c r="BB247" s="292" t="str">
        <f aca="false">IF($A247="N/A"," ",(IF(AK247&gt;0,($BA247*(8*(VLOOKUP($A247,NumberofDaysTable,2)))*P247),0)+IF(AS247&gt;0,($BA247*((AS247))*P247),0)))</f>
        <v> </v>
      </c>
      <c r="BC247" s="292" t="str">
        <f aca="false">IF($A247="N/A"," ",(IF(AL247&gt;0,($BA247*(8*(VLOOKUP($A247,NumberofDaysTable,2)))*Q247),0)+IF(AT247&gt;0,($BA247*((AT247))*Q247),0)))</f>
        <v> </v>
      </c>
      <c r="BD247" s="292" t="str">
        <f aca="false">IF($A247="N/A"," ",(IF(AM247&gt;0,($BA247*(8*(VLOOKUP($A247,NumberofDaysTable,3)))*R247),0)+IF(AU247&gt;0,($BA247*((AU247))*R247),0)))</f>
        <v> </v>
      </c>
      <c r="BE247" s="292" t="str">
        <f aca="false">IF($A247="N/A"," ",(IF(AN247&gt;0,($BA247*(8*(VLOOKUP($A247,NumberofDaysTable,3)))*S247),0)+IF(AV247&gt;0,($BA247*((AV247))*S247),0)))</f>
        <v> </v>
      </c>
      <c r="BF247" s="292" t="str">
        <f aca="false">IF($A247="N/A"," ",(IF(AO247&gt;0,($BA247*(8*(VLOOKUP($A247,NumberofDaysTable,4)+VLOOKUP($A247,NumberofDaysTable,5)))*T247),0)+IF(AW247&gt;0,($BA247*((AW247))*T247),0)))</f>
        <v> </v>
      </c>
      <c r="BG247" s="292" t="str">
        <f aca="false">IF($A247="N/A"," ",(IF(AP247&gt;0,($BA247*(8*(VLOOKUP($A247,NumberofDaysTable,4)+VLOOKUP($A247,NumberofDaysTable,5)))*U247),0)+IF(AX247&gt;0,($BA247*((AX247))*U247),0)))</f>
        <v> </v>
      </c>
      <c r="BH247" s="292" t="str">
        <f aca="false">IF($A247="N/A"," ",($BA247*AQ247*V247))</f>
        <v> </v>
      </c>
      <c r="BI247" s="292" t="str">
        <f aca="false">IF($A247="N/A"," ",SUM(BB247:BH247))</f>
        <v> </v>
      </c>
      <c r="BJ247" s="293" t="str">
        <f aca="false">IF($A247="N/A"," ",(H247*(SUM(AK247:AQ247)+SUM(AS247:AY247))*BA247))</f>
        <v> </v>
      </c>
      <c r="BK247" s="293" t="str">
        <f aca="false">IF($A247="N/A"," ",((C247*D247)*(SUM($AK247:$AQ247)+SUM($AS247:$AY247))*$BA247))</f>
        <v> </v>
      </c>
      <c r="BL247" s="293" t="str">
        <f aca="false">IF($A247="N/A"," ",(F247*(SUM($AK247:$AQ247)+SUM($AS247:$AY247))*$BA247))</f>
        <v> </v>
      </c>
      <c r="BM247" s="293" t="str">
        <f aca="false">IF($A247="N/A"," ",(G247*(SUM($AK247:$AQ247)+SUM($AS247:$AY247))*$BA247))</f>
        <v> </v>
      </c>
      <c r="BN247" s="294" t="str">
        <f aca="false">IF(A247="N/A"," ",(VLOOKUP(A247,PowerVolTable,(IF('Pricing Inputs'!$AT$3=2,7,IF('Pricing Inputs'!$AT$3=1,6,8))),FALSE())))</f>
        <v> </v>
      </c>
      <c r="BO247" s="294" t="str">
        <f aca="false">IF(A247="N/A"," ",(VLOOKUP(A247,IntraPowerVol,(IF('Pricing Inputs'!$AT$3=2,3,IF('Pricing Inputs'!$AT$3=1,2,4))),FALSE())*VLOOKUP(MONTH($A247),Inputs!$A$28:$B$39,2)))</f>
        <v> </v>
      </c>
      <c r="BP247" s="295" t="str">
        <f aca="false">IF($A247="N/A"," ",(IF(DateToday&gt;$A247,$BO247,((($BN247^2)*((($A247-1)-DateToday)/((EOMONTH($A247,0)+1)-DateToday-15)))+((($BO247)^2)*((15)/((EOMONTH($A247,0)+1)-DateToday-15))))^0.5)))</f>
        <v> </v>
      </c>
      <c r="BQ247" s="294" t="str">
        <f aca="false">IF($A247="N/A"," ",(VLOOKUP($A247,GasVolTable,(IF('Pricing Inputs'!$AT$3=2,6,IF('Pricing Inputs'!$AT$3=1,7,5))),FALSE())))</f>
        <v> </v>
      </c>
      <c r="BR247" s="294" t="str">
        <f aca="false">IF($A247="N/A"," ",(VLOOKUP($A247,OmicronVol,(IF('Pricing Inputs'!$AT$3=2,3,IF('Pricing Inputs'!$AT$3=1,4,2))),FALSE())))</f>
        <v> </v>
      </c>
      <c r="BS247" s="295" t="str">
        <f aca="false">IF($A247="N/A"," ",IF('Pricing Inputs'!$AN$3=1,(IF(DateToday&gt;$A247,$BR247,((($BQ247^2)*((($A247-1)-DateToday)/((EOMONTH($A247,0)+1)-DateToday-15)))+((($BR247)^2)*((15)/((EOMONTH($A247,0)+1)-DateToday-15))))^0.5)),0.0001))</f>
        <v> </v>
      </c>
      <c r="BT247" s="294" t="str">
        <f aca="false">IF($A247="N/A"," ",IF('Pricing Inputs'!$AN$3=1,(VLOOKUP($A247,CorrelationTable,2,FALSE())),0))</f>
        <v> </v>
      </c>
      <c r="BU247" s="296" t="str">
        <f aca="false">IF($A247="N/A"," ",F247+G247+(D247*(VLOOKUP($A247,'Gas Curves'!$B$17:$P$310,14,FALSE()))))</f>
        <v> </v>
      </c>
      <c r="BV247" s="294" t="str">
        <f aca="false">IF($A247="N/A"," ",IF('Pricing Inputs'!$AW$3=1,0,(VLOOKUP($A247,InterestRatesTable,2))))</f>
        <v> </v>
      </c>
      <c r="BW247" s="297" t="str">
        <f aca="false">IF($A247="N/A"," ",(1+BV247/2)^(-2*((EOMONTH(A247,0)+20)-DateToday)/365.25))</f>
        <v> </v>
      </c>
    </row>
    <row r="248" customFormat="false" ht="12.75" hidden="false" customHeight="false" outlineLevel="0" collapsed="false">
      <c r="A248" s="272" t="str">
        <f aca="false">IF(A247="N/A","N/A",IF(EDATE(A247,1)&gt;Inputs!$K$3,"N/A",EDATE(A247,1)))</f>
        <v>N/A</v>
      </c>
      <c r="B248" s="273" t="str">
        <f aca="false">IF(A248="N/A"," ",YEAR(A248))</f>
        <v> </v>
      </c>
      <c r="C248" s="274" t="str">
        <f aca="false">IF(A248="N/A"," ",VLOOKUP(A248,ScaledPrice,10))</f>
        <v> </v>
      </c>
      <c r="D248" s="275" t="str">
        <f aca="false">IF(A248="N/A"," ",(VLOOKUP(MONTH($A248),Inputs!$A$14:$B$25,2))/1000)</f>
        <v> </v>
      </c>
      <c r="E248" s="276" t="str">
        <f aca="false">IF($A248="N/A"," ",C248*D248)</f>
        <v> </v>
      </c>
      <c r="F248" s="277" t="str">
        <f aca="false">IF(A248="N/A"," ",Inputs!$F$6)</f>
        <v> </v>
      </c>
      <c r="G248" s="277" t="str">
        <f aca="false">IF(A248="N/A"," ",Inputs!$F$9/IF(AND('Pricing Inputs'!$AQ$3&gt;=4,'Pricing Inputs'!$AQ$3&lt;=6),16,IF(AND('Pricing Inputs'!$AQ$3&gt;=7,'Pricing Inputs'!$AQ$3&lt;=9),8,24))/(BA248/BW248))</f>
        <v> </v>
      </c>
      <c r="H248" s="278" t="str">
        <f aca="false">IF(A248="N/A"," ",(C248*D248)+F248+G248)</f>
        <v> </v>
      </c>
      <c r="I248" s="279" t="str">
        <f aca="false">VLOOKUP(A248,ScaledPrice,(IF(AND('Pricing Inputs'!$AQ$3&gt;=1,'Pricing Inputs'!$AQ$3&lt;=6),2,4)))</f>
        <v> </v>
      </c>
      <c r="J248" s="279" t="str">
        <f aca="false">IF(A248="N/A"," ",IF(AND('Pricing Inputs'!$AQ$3&gt;=1,'Pricing Inputs'!$AQ$3&lt;=6),I248,(VLOOKUP(A248,ScaledPrice,2))*(2-(VLOOKUP(A248,ScaledPrice,3)))))</f>
        <v> </v>
      </c>
      <c r="K248" s="279" t="str">
        <f aca="false">IF(A248="N/A"," ",IF(OR('Pricing Inputs'!$AQ$3=2,'Pricing Inputs'!$AQ$3=3,'Pricing Inputs'!$AQ$3=5,'Pricing Inputs'!$AQ$3=6,'Pricing Inputs'!$AQ$3=8,'Pricing Inputs'!$AQ$3=9),VLOOKUP(A248,ScaledPrice,IF(AND('Pricing Inputs'!$AQ$3&gt;=2,'Pricing Inputs'!$AQ$3&lt;=6),5,6)),0))</f>
        <v> </v>
      </c>
      <c r="L248" s="279" t="str">
        <f aca="false">IF(A248="N/A"," ",IF(OR('Pricing Inputs'!$AQ$3=2,'Pricing Inputs'!$AQ$3=3,'Pricing Inputs'!$AQ$3=5,'Pricing Inputs'!$AQ$3=6,'Pricing Inputs'!$AQ$3=8,'Pricing Inputs'!$AQ$3=9),IF(AND('Pricing Inputs'!$AQ$3&gt;=2,'Pricing Inputs'!$AQ$3&lt;=6),K248,(VLOOKUP(A248,ScaledPrice,5))*(2-(VLOOKUP(A248,ScaledPrice,3)))),0))</f>
        <v> </v>
      </c>
      <c r="M248" s="279" t="str">
        <f aca="false">IF(A248="N/A"," ",IF(OR('Pricing Inputs'!$AQ$3=3,'Pricing Inputs'!$AQ$3=6,'Pricing Inputs'!$AQ$3=9),(VLOOKUP(A248,ScaledPrice,IF(AND('Pricing Inputs'!$AQ$3&gt;=3,'Pricing Inputs'!$AQ$3&lt;=6),7,8))),0))</f>
        <v> </v>
      </c>
      <c r="N248" s="279" t="str">
        <f aca="false">IF(A248="N/A"," ",IF(OR('Pricing Inputs'!$AQ$3=3,'Pricing Inputs'!$AQ$3=6,'Pricing Inputs'!$AQ$3=9),IF(AND('Pricing Inputs'!$AQ$3&gt;=3,'Pricing Inputs'!$AQ$3&lt;=6),M248,(VLOOKUP(A248,ScaledPrice,7))*(2-(VLOOKUP(A248,ScaledPrice,3)))),0))</f>
        <v> </v>
      </c>
      <c r="O248" s="279" t="str">
        <f aca="false">IF(A248="N/A"," ",IF(AND('Pricing Inputs'!$AQ$3&gt;=1,'Pricing Inputs'!$AQ$3&lt;=3),VLOOKUP(A248,ScaledPrice,9),0))</f>
        <v> </v>
      </c>
      <c r="P248" s="280" t="str">
        <f aca="false">IF($A248="N/A"," ",IF('Pricing Inputs'!$AN$8=2,(I248-H248),IF('Pricing Inputs'!$AN$3=2,IF((I248-$H248)&gt;0,I248-$H248,0),(xSPRDOPT(I248,$E248,$BU248,0,$BP248,$BS248,$BT248,($A248-Inputs!$D$1)+15,1,0)))))</f>
        <v> </v>
      </c>
      <c r="Q248" s="280" t="str">
        <f aca="false">IF($A248="N/A"," ",IF('Pricing Inputs'!$AN$8=2,(J248-$H248),IF('Pricing Inputs'!$AN$3=2,IF((J248-$H248)&gt;0,J248-$H248,0),(xSPRDOPT(J248,$E248,$BU248,0,$BP248,$BS248,$BT248,($A248-Inputs!$D$1)+15,1,0)))))</f>
        <v> </v>
      </c>
      <c r="R248" s="280" t="str">
        <f aca="false">IF($A248="N/A"," ",IF('Pricing Inputs'!$AN$8=2,(K248-$H248),IF('Pricing Inputs'!$AN$3=2,IF((K248-$H248)&gt;0,K248-$H248,0),(xSPRDOPT(K248,$E248,$BU248,0,$BP248,$BS248,$BT248,($A248-Inputs!$D$1)+15,1,0)))))</f>
        <v> </v>
      </c>
      <c r="S248" s="280" t="str">
        <f aca="false">IF($A248="N/A"," ",IF('Pricing Inputs'!$AN$8=2,(L248-$H248),IF('Pricing Inputs'!$AN$3=2,IF((L248-$H248)&gt;0,L248-$H248,0),(xSPRDOPT(L248,$E248,$BU248,0,$BP248,$BS248,$BT248,($A248-Inputs!$D$1)+15,1,0)))))</f>
        <v> </v>
      </c>
      <c r="T248" s="280" t="str">
        <f aca="false">IF($A248="N/A"," ",IF('Pricing Inputs'!$AN$8=2,(M248-$H248),IF('Pricing Inputs'!$AN$3=2,IF((M248-$H248)&gt;0,M248-$H248,0),(xSPRDOPT(M248,$E248,$BU248,0,$BP248,$BS248,$BT248,($A248-Inputs!$D$1)+15,1,0)))))</f>
        <v> </v>
      </c>
      <c r="U248" s="280" t="str">
        <f aca="false">IF($A248="N/A"," ",IF('Pricing Inputs'!$AN$8=2,(N248-$H248),IF('Pricing Inputs'!$AN$3=2,IF((N248-$H248)&gt;0,N248-$H248,0),(xSPRDOPT(N248,$E248,$BU248,0,$BP248,$BS248,$BT248,($A248-Inputs!$D$1)+15,1,0)))))</f>
        <v> </v>
      </c>
      <c r="V248" s="281" t="str">
        <f aca="false">IF($A248="N/A"," ",(IF('Pricing Inputs'!$AN$8=2,(O248-$H248),IF((O248-$H248)&lt;=0,0,(O248-$H248)))))</f>
        <v> </v>
      </c>
      <c r="W248" s="282" t="str">
        <f aca="false">IF($A248="N/A"," ",IF(0&lt;&gt;P248,IF('Pricing Inputs'!$AN$3=2,8*VLOOKUP($A248,NumberofDaysTable,2),(xSPRDOPT(I248,$E248,$BU248,0,$BP248,$BS248,$BT248,$A248-Inputs!$D$1,1,1))*(8*VLOOKUP($A248,NumberofDaysTable,2))),0))</f>
        <v> </v>
      </c>
      <c r="X248" s="282" t="str">
        <f aca="false">IF($A248="N/A"," ",IF(Q248&lt;&gt;0,IF('Pricing Inputs'!$AN$3=2,8*VLOOKUP($A248,NumberofDaysTable,2),(xSPRDOPT(J248,$E248,$BU248,0,$BP248,$BS248,$BT248,$A248-Inputs!$D$1,1,1))*(8*VLOOKUP($A248,NumberofDaysTable,2))),0))</f>
        <v> </v>
      </c>
      <c r="Y248" s="282" t="str">
        <f aca="false">IF($A248="N/A"," ",IF(R248&lt;&gt;0,IF('Pricing Inputs'!$AN$3=2,8*VLOOKUP($A248,NumberofDaysTable,3),(xSPRDOPT(K248,$E248,$BU248,0,$BP248,$BS248,$BT248,$A248-Inputs!$D$1,1,1))*(8*VLOOKUP($A248,NumberofDaysTable,3))),0))</f>
        <v> </v>
      </c>
      <c r="Z248" s="282" t="str">
        <f aca="false">IF($A248="N/A"," ",IF(S248&lt;&gt;0,IF('Pricing Inputs'!$AN$3=2,8*VLOOKUP($A248,NumberofDaysTable,3),(xSPRDOPT(L248,$E248,$BU248,0,$BP248,$BS248,$BT248,$A248-Inputs!$D$1,1,1))*(8*VLOOKUP($A248,NumberofDaysTable,3))),0))</f>
        <v> </v>
      </c>
      <c r="AA248" s="282" t="str">
        <f aca="false">IF($A248="N/A"," ",IF(T248&lt;&gt;0,IF('Pricing Inputs'!$AN$3=2,8*VLOOKUP($A248,NumberofDaysTable,4),(xSPRDOPT(M248,$E248,$BU248,0,$BP248,$BS248,$BT248,$A248-Inputs!$D$1,1,1))*(8*VLOOKUP($A248,NumberofDaysTable,4))),0))</f>
        <v> </v>
      </c>
      <c r="AB248" s="282" t="str">
        <f aca="false">IF($A248="N/A"," ",IF(U248&lt;&gt;0,IF('Pricing Inputs'!$AN$3=2,8*VLOOKUP($A248,NumberofDaysTable,4),(xSPRDOPT(N248,$E248,$BU248,0,$BP248,$BS248,$BT248,$A248-Inputs!$D$1,1,1))*(8*VLOOKUP($A248,NumberofDaysTable,4))),0))</f>
        <v> </v>
      </c>
      <c r="AC248" s="282" t="str">
        <f aca="false">IF($A248="N/A"," ",(IF(V248&lt;&gt;0,(8*VLOOKUP($A248,NumberofDaysTable,6)),0)))</f>
        <v> </v>
      </c>
      <c r="AD248" s="298" t="str">
        <f aca="false">IF($A248="N/A"," ",RANK(P248,$P$244:$V$255))</f>
        <v> </v>
      </c>
      <c r="AE248" s="299" t="str">
        <f aca="false">IF($A248="N/A"," ",RANK(Q248,$P$244:$V$255))</f>
        <v> </v>
      </c>
      <c r="AF248" s="299" t="str">
        <f aca="false">IF($A248="N/A"," ",RANK(R248,$P$244:$V$255))</f>
        <v> </v>
      </c>
      <c r="AG248" s="299" t="str">
        <f aca="false">IF($A248="N/A"," ",RANK(S248,$P$244:$V$255))</f>
        <v> </v>
      </c>
      <c r="AH248" s="299" t="str">
        <f aca="false">IF($A248="N/A"," ",RANK(T248,$P$244:$V$255))</f>
        <v> </v>
      </c>
      <c r="AI248" s="299" t="str">
        <f aca="false">IF($A248="N/A"," ",RANK(U248,$P$244:$V$255))</f>
        <v> </v>
      </c>
      <c r="AJ248" s="300" t="str">
        <f aca="false">IF($A248="N/A"," ",RANK(V248,$P$244:$V$255))</f>
        <v> </v>
      </c>
      <c r="AK248" s="286" t="str">
        <f aca="false">IF($A248="N/A"," ",IF(AD248&lt;=$AJ$2,W248,0))</f>
        <v> </v>
      </c>
      <c r="AL248" s="301" t="str">
        <f aca="false">IF($A248="N/A"," ",IF(AE248&lt;=$AJ$2,X248,0))</f>
        <v> </v>
      </c>
      <c r="AM248" s="301" t="str">
        <f aca="false">IF($A248="N/A"," ",IF(AF248&lt;=$AJ$2,Y248,0))</f>
        <v> </v>
      </c>
      <c r="AN248" s="301" t="str">
        <f aca="false">IF($A248="N/A"," ",IF(AG248&lt;=$AJ$2,Z248,0))</f>
        <v> </v>
      </c>
      <c r="AO248" s="301" t="str">
        <f aca="false">IF($A248="N/A"," ",IF(AH248&lt;=$AJ$2,AA248,0))</f>
        <v> </v>
      </c>
      <c r="AP248" s="301" t="str">
        <f aca="false">IF($A248="N/A"," ",IF(AI248&lt;=$AJ$2,AB248,0))</f>
        <v> </v>
      </c>
      <c r="AQ248" s="301" t="str">
        <f aca="false">IF($A248="N/A"," ",IF(AJ248&lt;=$AJ$2,AC248,0))</f>
        <v> </v>
      </c>
      <c r="AR248" s="300"/>
      <c r="AS248" s="288" t="str">
        <f aca="false">IF($A248="N/A"," ",IF(AND(AD248=$AJ$2+1,AK248=0),MIN($AR$255,W248),0))</f>
        <v> </v>
      </c>
      <c r="AT248" s="302" t="str">
        <f aca="false">IF($A248="N/A"," ",IF(AND(AE248=$AJ$2+1,AL248=0),MIN($AR$255,X248),0))</f>
        <v> </v>
      </c>
      <c r="AU248" s="302" t="str">
        <f aca="false">IF($A248="N/A"," ",IF(AND(AF248=$AJ$2+1,AM248=0),MIN($AR$255,Y248),0))</f>
        <v> </v>
      </c>
      <c r="AV248" s="302" t="str">
        <f aca="false">IF($A248="N/A"," ",IF(AND(AG248=$AJ$2+1,AN248=0),MIN($AR$255,Z248),0))</f>
        <v> </v>
      </c>
      <c r="AW248" s="302" t="str">
        <f aca="false">IF($A248="N/A"," ",IF(AND(AH248=$AJ$2+1,AO248=0),MIN($AR$255,AA248),0))</f>
        <v> </v>
      </c>
      <c r="AX248" s="302" t="str">
        <f aca="false">IF($A248="N/A"," ",IF(AND(AI248=$AJ$2+1,AP248=0),MIN($AR$255,AB248),0))</f>
        <v> </v>
      </c>
      <c r="AY248" s="302" t="str">
        <f aca="false">IF($A248="N/A"," ",IF(AND(AJ248=$AJ$2+1,AQ248=0),MIN($AR$255,AC248),0))</f>
        <v> </v>
      </c>
      <c r="AZ248" s="300"/>
      <c r="BA248" s="291" t="str">
        <f aca="false">IF($A248="N/A"," ",(IF(MONTH(A248)&gt;=4,IF(MONTH(A248)&lt;=10,Inputs!$F$13,Inputs!$F$14),Inputs!$F$14))*$BW248)</f>
        <v> </v>
      </c>
      <c r="BB248" s="292" t="str">
        <f aca="false">IF($A248="N/A"," ",(IF(AK248&gt;0,($BA248*(8*(VLOOKUP($A248,NumberofDaysTable,2)))*P248),0)+IF(AS248&gt;0,($BA248*((AS248))*P248),0)))</f>
        <v> </v>
      </c>
      <c r="BC248" s="292" t="str">
        <f aca="false">IF($A248="N/A"," ",(IF(AL248&gt;0,($BA248*(8*(VLOOKUP($A248,NumberofDaysTable,2)))*Q248),0)+IF(AT248&gt;0,($BA248*((AT248))*Q248),0)))</f>
        <v> </v>
      </c>
      <c r="BD248" s="292" t="str">
        <f aca="false">IF($A248="N/A"," ",(IF(AM248&gt;0,($BA248*(8*(VLOOKUP($A248,NumberofDaysTable,3)))*R248),0)+IF(AU248&gt;0,($BA248*((AU248))*R248),0)))</f>
        <v> </v>
      </c>
      <c r="BE248" s="292" t="str">
        <f aca="false">IF($A248="N/A"," ",(IF(AN248&gt;0,($BA248*(8*(VLOOKUP($A248,NumberofDaysTable,3)))*S248),0)+IF(AV248&gt;0,($BA248*((AV248))*S248),0)))</f>
        <v> </v>
      </c>
      <c r="BF248" s="292" t="str">
        <f aca="false">IF($A248="N/A"," ",(IF(AO248&gt;0,($BA248*(8*(VLOOKUP($A248,NumberofDaysTable,4)+VLOOKUP($A248,NumberofDaysTable,5)))*T248),0)+IF(AW248&gt;0,($BA248*((AW248))*T248),0)))</f>
        <v> </v>
      </c>
      <c r="BG248" s="292" t="str">
        <f aca="false">IF($A248="N/A"," ",(IF(AP248&gt;0,($BA248*(8*(VLOOKUP($A248,NumberofDaysTable,4)+VLOOKUP($A248,NumberofDaysTable,5)))*U248),0)+IF(AX248&gt;0,($BA248*((AX248))*U248),0)))</f>
        <v> </v>
      </c>
      <c r="BH248" s="292" t="str">
        <f aca="false">IF($A248="N/A"," ",($BA248*AQ248*V248))</f>
        <v> </v>
      </c>
      <c r="BI248" s="292" t="str">
        <f aca="false">IF($A248="N/A"," ",SUM(BB248:BH248))</f>
        <v> </v>
      </c>
      <c r="BJ248" s="293" t="str">
        <f aca="false">IF($A248="N/A"," ",(H248*(SUM(AK248:AQ248)+SUM(AS248:AY248))*BA248))</f>
        <v> </v>
      </c>
      <c r="BK248" s="293" t="str">
        <f aca="false">IF($A248="N/A"," ",((C248*D248)*(SUM($AK248:$AQ248)+SUM($AS248:$AY248))*$BA248))</f>
        <v> </v>
      </c>
      <c r="BL248" s="293" t="str">
        <f aca="false">IF($A248="N/A"," ",(F248*(SUM($AK248:$AQ248)+SUM($AS248:$AY248))*$BA248))</f>
        <v> </v>
      </c>
      <c r="BM248" s="293" t="str">
        <f aca="false">IF($A248="N/A"," ",(G248*(SUM($AK248:$AQ248)+SUM($AS248:$AY248))*$BA248))</f>
        <v> </v>
      </c>
      <c r="BN248" s="294" t="str">
        <f aca="false">IF(A248="N/A"," ",(VLOOKUP(A248,PowerVolTable,(IF('Pricing Inputs'!$AT$3=2,7,IF('Pricing Inputs'!$AT$3=1,6,8))),FALSE())))</f>
        <v> </v>
      </c>
      <c r="BO248" s="294" t="str">
        <f aca="false">IF(A248="N/A"," ",(VLOOKUP(A248,IntraPowerVol,(IF('Pricing Inputs'!$AT$3=2,3,IF('Pricing Inputs'!$AT$3=1,2,4))),FALSE())*VLOOKUP(MONTH($A248),Inputs!$A$28:$B$39,2)))</f>
        <v> </v>
      </c>
      <c r="BP248" s="295" t="str">
        <f aca="false">IF($A248="N/A"," ",(IF(DateToday&gt;$A248,$BO248,((($BN248^2)*((($A248-1)-DateToday)/((EOMONTH($A248,0)+1)-DateToday-15)))+((($BO248)^2)*((15)/((EOMONTH($A248,0)+1)-DateToday-15))))^0.5)))</f>
        <v> </v>
      </c>
      <c r="BQ248" s="294" t="str">
        <f aca="false">IF($A248="N/A"," ",(VLOOKUP($A248,GasVolTable,(IF('Pricing Inputs'!$AT$3=2,6,IF('Pricing Inputs'!$AT$3=1,7,5))),FALSE())))</f>
        <v> </v>
      </c>
      <c r="BR248" s="294" t="str">
        <f aca="false">IF($A248="N/A"," ",(VLOOKUP($A248,OmicronVol,(IF('Pricing Inputs'!$AT$3=2,3,IF('Pricing Inputs'!$AT$3=1,4,2))),FALSE())))</f>
        <v> </v>
      </c>
      <c r="BS248" s="295" t="str">
        <f aca="false">IF($A248="N/A"," ",IF('Pricing Inputs'!$AN$3=1,(IF(DateToday&gt;$A248,$BR248,((($BQ248^2)*((($A248-1)-DateToday)/((EOMONTH($A248,0)+1)-DateToday-15)))+((($BR248)^2)*((15)/((EOMONTH($A248,0)+1)-DateToday-15))))^0.5)),0.0001))</f>
        <v> </v>
      </c>
      <c r="BT248" s="294" t="str">
        <f aca="false">IF($A248="N/A"," ",IF('Pricing Inputs'!$AN$3=1,(VLOOKUP($A248,CorrelationTable,2,FALSE())),0))</f>
        <v> </v>
      </c>
      <c r="BU248" s="296" t="str">
        <f aca="false">IF($A248="N/A"," ",F248+G248+(D248*(VLOOKUP($A248,'Gas Curves'!$B$17:$P$310,14,FALSE()))))</f>
        <v> </v>
      </c>
      <c r="BV248" s="294" t="str">
        <f aca="false">IF($A248="N/A"," ",IF('Pricing Inputs'!$AW$3=1,0,(VLOOKUP($A248,InterestRatesTable,2))))</f>
        <v> </v>
      </c>
      <c r="BW248" s="297" t="str">
        <f aca="false">IF($A248="N/A"," ",(1+BV248/2)^(-2*((EOMONTH(A248,0)+20)-DateToday)/365.25))</f>
        <v> </v>
      </c>
    </row>
    <row r="249" customFormat="false" ht="12.75" hidden="false" customHeight="false" outlineLevel="0" collapsed="false">
      <c r="A249" s="272" t="str">
        <f aca="false">IF(A248="N/A","N/A",IF(EDATE(A248,1)&gt;Inputs!$K$3,"N/A",EDATE(A248,1)))</f>
        <v>N/A</v>
      </c>
      <c r="B249" s="273" t="str">
        <f aca="false">IF(A249="N/A"," ",YEAR(A249))</f>
        <v> </v>
      </c>
      <c r="C249" s="274" t="str">
        <f aca="false">IF(A249="N/A"," ",VLOOKUP(A249,ScaledPrice,10))</f>
        <v> </v>
      </c>
      <c r="D249" s="275" t="str">
        <f aca="false">IF(A249="N/A"," ",(VLOOKUP(MONTH($A249),Inputs!$A$14:$B$25,2))/1000)</f>
        <v> </v>
      </c>
      <c r="E249" s="276" t="str">
        <f aca="false">IF($A249="N/A"," ",C249*D249)</f>
        <v> </v>
      </c>
      <c r="F249" s="277" t="str">
        <f aca="false">IF(A249="N/A"," ",Inputs!$F$6)</f>
        <v> </v>
      </c>
      <c r="G249" s="277" t="str">
        <f aca="false">IF(A249="N/A"," ",Inputs!$F$9/IF(AND('Pricing Inputs'!$AQ$3&gt;=4,'Pricing Inputs'!$AQ$3&lt;=6),16,IF(AND('Pricing Inputs'!$AQ$3&gt;=7,'Pricing Inputs'!$AQ$3&lt;=9),8,24))/(BA249/BW249))</f>
        <v> </v>
      </c>
      <c r="H249" s="278" t="str">
        <f aca="false">IF(A249="N/A"," ",(C249*D249)+F249+G249)</f>
        <v> </v>
      </c>
      <c r="I249" s="279" t="str">
        <f aca="false">VLOOKUP(A249,ScaledPrice,(IF(AND('Pricing Inputs'!$AQ$3&gt;=1,'Pricing Inputs'!$AQ$3&lt;=6),2,4)))</f>
        <v> </v>
      </c>
      <c r="J249" s="279" t="str">
        <f aca="false">IF(A249="N/A"," ",IF(AND('Pricing Inputs'!$AQ$3&gt;=1,'Pricing Inputs'!$AQ$3&lt;=6),I249,(VLOOKUP(A249,ScaledPrice,2))*(2-(VLOOKUP(A249,ScaledPrice,3)))))</f>
        <v> </v>
      </c>
      <c r="K249" s="279" t="str">
        <f aca="false">IF(A249="N/A"," ",IF(OR('Pricing Inputs'!$AQ$3=2,'Pricing Inputs'!$AQ$3=3,'Pricing Inputs'!$AQ$3=5,'Pricing Inputs'!$AQ$3=6,'Pricing Inputs'!$AQ$3=8,'Pricing Inputs'!$AQ$3=9),VLOOKUP(A249,ScaledPrice,IF(AND('Pricing Inputs'!$AQ$3&gt;=2,'Pricing Inputs'!$AQ$3&lt;=6),5,6)),0))</f>
        <v> </v>
      </c>
      <c r="L249" s="279" t="str">
        <f aca="false">IF(A249="N/A"," ",IF(OR('Pricing Inputs'!$AQ$3=2,'Pricing Inputs'!$AQ$3=3,'Pricing Inputs'!$AQ$3=5,'Pricing Inputs'!$AQ$3=6,'Pricing Inputs'!$AQ$3=8,'Pricing Inputs'!$AQ$3=9),IF(AND('Pricing Inputs'!$AQ$3&gt;=2,'Pricing Inputs'!$AQ$3&lt;=6),K249,(VLOOKUP(A249,ScaledPrice,5))*(2-(VLOOKUP(A249,ScaledPrice,3)))),0))</f>
        <v> </v>
      </c>
      <c r="M249" s="279" t="str">
        <f aca="false">IF(A249="N/A"," ",IF(OR('Pricing Inputs'!$AQ$3=3,'Pricing Inputs'!$AQ$3=6,'Pricing Inputs'!$AQ$3=9),(VLOOKUP(A249,ScaledPrice,IF(AND('Pricing Inputs'!$AQ$3&gt;=3,'Pricing Inputs'!$AQ$3&lt;=6),7,8))),0))</f>
        <v> </v>
      </c>
      <c r="N249" s="279" t="str">
        <f aca="false">IF(A249="N/A"," ",IF(OR('Pricing Inputs'!$AQ$3=3,'Pricing Inputs'!$AQ$3=6,'Pricing Inputs'!$AQ$3=9),IF(AND('Pricing Inputs'!$AQ$3&gt;=3,'Pricing Inputs'!$AQ$3&lt;=6),M249,(VLOOKUP(A249,ScaledPrice,7))*(2-(VLOOKUP(A249,ScaledPrice,3)))),0))</f>
        <v> </v>
      </c>
      <c r="O249" s="279" t="str">
        <f aca="false">IF(A249="N/A"," ",IF(AND('Pricing Inputs'!$AQ$3&gt;=1,'Pricing Inputs'!$AQ$3&lt;=3),VLOOKUP(A249,ScaledPrice,9),0))</f>
        <v> </v>
      </c>
      <c r="P249" s="280" t="str">
        <f aca="false">IF($A249="N/A"," ",IF('Pricing Inputs'!$AN$8=2,(I249-H249),IF('Pricing Inputs'!$AN$3=2,IF((I249-$H249)&gt;0,I249-$H249,0),(xSPRDOPT(I249,$E249,$BU249,0,$BP249,$BS249,$BT249,($A249-Inputs!$D$1)+15,1,0)))))</f>
        <v> </v>
      </c>
      <c r="Q249" s="280" t="str">
        <f aca="false">IF($A249="N/A"," ",IF('Pricing Inputs'!$AN$8=2,(J249-$H249),IF('Pricing Inputs'!$AN$3=2,IF((J249-$H249)&gt;0,J249-$H249,0),(xSPRDOPT(J249,$E249,$BU249,0,$BP249,$BS249,$BT249,($A249-Inputs!$D$1)+15,1,0)))))</f>
        <v> </v>
      </c>
      <c r="R249" s="280" t="str">
        <f aca="false">IF($A249="N/A"," ",IF('Pricing Inputs'!$AN$8=2,(K249-$H249),IF('Pricing Inputs'!$AN$3=2,IF((K249-$H249)&gt;0,K249-$H249,0),(xSPRDOPT(K249,$E249,$BU249,0,$BP249,$BS249,$BT249,($A249-Inputs!$D$1)+15,1,0)))))</f>
        <v> </v>
      </c>
      <c r="S249" s="280" t="str">
        <f aca="false">IF($A249="N/A"," ",IF('Pricing Inputs'!$AN$8=2,(L249-$H249),IF('Pricing Inputs'!$AN$3=2,IF((L249-$H249)&gt;0,L249-$H249,0),(xSPRDOPT(L249,$E249,$BU249,0,$BP249,$BS249,$BT249,($A249-Inputs!$D$1)+15,1,0)))))</f>
        <v> </v>
      </c>
      <c r="T249" s="280" t="str">
        <f aca="false">IF($A249="N/A"," ",IF('Pricing Inputs'!$AN$8=2,(M249-$H249),IF('Pricing Inputs'!$AN$3=2,IF((M249-$H249)&gt;0,M249-$H249,0),(xSPRDOPT(M249,$E249,$BU249,0,$BP249,$BS249,$BT249,($A249-Inputs!$D$1)+15,1,0)))))</f>
        <v> </v>
      </c>
      <c r="U249" s="280" t="str">
        <f aca="false">IF($A249="N/A"," ",IF('Pricing Inputs'!$AN$8=2,(N249-$H249),IF('Pricing Inputs'!$AN$3=2,IF((N249-$H249)&gt;0,N249-$H249,0),(xSPRDOPT(N249,$E249,$BU249,0,$BP249,$BS249,$BT249,($A249-Inputs!$D$1)+15,1,0)))))</f>
        <v> </v>
      </c>
      <c r="V249" s="281" t="str">
        <f aca="false">IF($A249="N/A"," ",(IF('Pricing Inputs'!$AN$8=2,(O249-$H249),IF((O249-$H249)&lt;=0,0,(O249-$H249)))))</f>
        <v> </v>
      </c>
      <c r="W249" s="282" t="str">
        <f aca="false">IF($A249="N/A"," ",IF(0&lt;&gt;P249,IF('Pricing Inputs'!$AN$3=2,8*VLOOKUP($A249,NumberofDaysTable,2),(xSPRDOPT(I249,$E249,$BU249,0,$BP249,$BS249,$BT249,$A249-Inputs!$D$1,1,1))*(8*VLOOKUP($A249,NumberofDaysTable,2))),0))</f>
        <v> </v>
      </c>
      <c r="X249" s="282" t="str">
        <f aca="false">IF($A249="N/A"," ",IF(Q249&lt;&gt;0,IF('Pricing Inputs'!$AN$3=2,8*VLOOKUP($A249,NumberofDaysTable,2),(xSPRDOPT(J249,$E249,$BU249,0,$BP249,$BS249,$BT249,$A249-Inputs!$D$1,1,1))*(8*VLOOKUP($A249,NumberofDaysTable,2))),0))</f>
        <v> </v>
      </c>
      <c r="Y249" s="282" t="str">
        <f aca="false">IF($A249="N/A"," ",IF(R249&lt;&gt;0,IF('Pricing Inputs'!$AN$3=2,8*VLOOKUP($A249,NumberofDaysTable,3),(xSPRDOPT(K249,$E249,$BU249,0,$BP249,$BS249,$BT249,$A249-Inputs!$D$1,1,1))*(8*VLOOKUP($A249,NumberofDaysTable,3))),0))</f>
        <v> </v>
      </c>
      <c r="Z249" s="282" t="str">
        <f aca="false">IF($A249="N/A"," ",IF(S249&lt;&gt;0,IF('Pricing Inputs'!$AN$3=2,8*VLOOKUP($A249,NumberofDaysTable,3),(xSPRDOPT(L249,$E249,$BU249,0,$BP249,$BS249,$BT249,$A249-Inputs!$D$1,1,1))*(8*VLOOKUP($A249,NumberofDaysTable,3))),0))</f>
        <v> </v>
      </c>
      <c r="AA249" s="282" t="str">
        <f aca="false">IF($A249="N/A"," ",IF(T249&lt;&gt;0,IF('Pricing Inputs'!$AN$3=2,8*VLOOKUP($A249,NumberofDaysTable,4),(xSPRDOPT(M249,$E249,$BU249,0,$BP249,$BS249,$BT249,$A249-Inputs!$D$1,1,1))*(8*VLOOKUP($A249,NumberofDaysTable,4))),0))</f>
        <v> </v>
      </c>
      <c r="AB249" s="282" t="str">
        <f aca="false">IF($A249="N/A"," ",IF(U249&lt;&gt;0,IF('Pricing Inputs'!$AN$3=2,8*VLOOKUP($A249,NumberofDaysTable,4),(xSPRDOPT(N249,$E249,$BU249,0,$BP249,$BS249,$BT249,$A249-Inputs!$D$1,1,1))*(8*VLOOKUP($A249,NumberofDaysTable,4))),0))</f>
        <v> </v>
      </c>
      <c r="AC249" s="282" t="str">
        <f aca="false">IF($A249="N/A"," ",(IF(V249&lt;&gt;0,(8*VLOOKUP($A249,NumberofDaysTable,6)),0)))</f>
        <v> </v>
      </c>
      <c r="AD249" s="298" t="str">
        <f aca="false">IF($A249="N/A"," ",RANK(P249,$P$244:$V$255))</f>
        <v> </v>
      </c>
      <c r="AE249" s="299" t="str">
        <f aca="false">IF($A249="N/A"," ",RANK(Q249,$P$244:$V$255))</f>
        <v> </v>
      </c>
      <c r="AF249" s="299" t="str">
        <f aca="false">IF($A249="N/A"," ",RANK(R249,$P$244:$V$255))</f>
        <v> </v>
      </c>
      <c r="AG249" s="299" t="str">
        <f aca="false">IF($A249="N/A"," ",RANK(S249,$P$244:$V$255))</f>
        <v> </v>
      </c>
      <c r="AH249" s="299" t="str">
        <f aca="false">IF($A249="N/A"," ",RANK(T249,$P$244:$V$255))</f>
        <v> </v>
      </c>
      <c r="AI249" s="299" t="str">
        <f aca="false">IF($A249="N/A"," ",RANK(U249,$P$244:$V$255))</f>
        <v> </v>
      </c>
      <c r="AJ249" s="300" t="str">
        <f aca="false">IF($A249="N/A"," ",RANK(V249,$P$244:$V$255))</f>
        <v> </v>
      </c>
      <c r="AK249" s="286" t="str">
        <f aca="false">IF($A249="N/A"," ",IF(AD249&lt;=$AJ$2,W249,0))</f>
        <v> </v>
      </c>
      <c r="AL249" s="301" t="str">
        <f aca="false">IF($A249="N/A"," ",IF(AE249&lt;=$AJ$2,X249,0))</f>
        <v> </v>
      </c>
      <c r="AM249" s="301" t="str">
        <f aca="false">IF($A249="N/A"," ",IF(AF249&lt;=$AJ$2,Y249,0))</f>
        <v> </v>
      </c>
      <c r="AN249" s="301" t="str">
        <f aca="false">IF($A249="N/A"," ",IF(AG249&lt;=$AJ$2,Z249,0))</f>
        <v> </v>
      </c>
      <c r="AO249" s="301" t="str">
        <f aca="false">IF($A249="N/A"," ",IF(AH249&lt;=$AJ$2,AA249,0))</f>
        <v> </v>
      </c>
      <c r="AP249" s="301" t="str">
        <f aca="false">IF($A249="N/A"," ",IF(AI249&lt;=$AJ$2,AB249,0))</f>
        <v> </v>
      </c>
      <c r="AQ249" s="301" t="str">
        <f aca="false">IF($A249="N/A"," ",IF(AJ249&lt;=$AJ$2,AC249,0))</f>
        <v> </v>
      </c>
      <c r="AR249" s="300"/>
      <c r="AS249" s="288" t="str">
        <f aca="false">IF($A249="N/A"," ",IF(AND(AD249=$AJ$2+1,AK249=0),MIN($AR$255,W249),0))</f>
        <v> </v>
      </c>
      <c r="AT249" s="302" t="str">
        <f aca="false">IF($A249="N/A"," ",IF(AND(AE249=$AJ$2+1,AL249=0),MIN($AR$255,X249),0))</f>
        <v> </v>
      </c>
      <c r="AU249" s="302" t="str">
        <f aca="false">IF($A249="N/A"," ",IF(AND(AF249=$AJ$2+1,AM249=0),MIN($AR$255,Y249),0))</f>
        <v> </v>
      </c>
      <c r="AV249" s="302" t="str">
        <f aca="false">IF($A249="N/A"," ",IF(AND(AG249=$AJ$2+1,AN249=0),MIN($AR$255,Z249),0))</f>
        <v> </v>
      </c>
      <c r="AW249" s="302" t="str">
        <f aca="false">IF($A249="N/A"," ",IF(AND(AH249=$AJ$2+1,AO249=0),MIN($AR$255,AA249),0))</f>
        <v> </v>
      </c>
      <c r="AX249" s="302" t="str">
        <f aca="false">IF($A249="N/A"," ",IF(AND(AI249=$AJ$2+1,AP249=0),MIN($AR$255,AB249),0))</f>
        <v> </v>
      </c>
      <c r="AY249" s="302" t="str">
        <f aca="false">IF($A249="N/A"," ",IF(AND(AJ249=$AJ$2+1,AQ249=0),MIN($AR$255,AC249),0))</f>
        <v> </v>
      </c>
      <c r="AZ249" s="300"/>
      <c r="BA249" s="291" t="str">
        <f aca="false">IF($A249="N/A"," ",(IF(MONTH(A249)&gt;=4,IF(MONTH(A249)&lt;=10,Inputs!$F$13,Inputs!$F$14),Inputs!$F$14))*$BW249)</f>
        <v> </v>
      </c>
      <c r="BB249" s="292" t="str">
        <f aca="false">IF($A249="N/A"," ",(IF(AK249&gt;0,($BA249*(8*(VLOOKUP($A249,NumberofDaysTable,2)))*P249),0)+IF(AS249&gt;0,($BA249*((AS249))*P249),0)))</f>
        <v> </v>
      </c>
      <c r="BC249" s="292" t="str">
        <f aca="false">IF($A249="N/A"," ",(IF(AL249&gt;0,($BA249*(8*(VLOOKUP($A249,NumberofDaysTable,2)))*Q249),0)+IF(AT249&gt;0,($BA249*((AT249))*Q249),0)))</f>
        <v> </v>
      </c>
      <c r="BD249" s="292" t="str">
        <f aca="false">IF($A249="N/A"," ",(IF(AM249&gt;0,($BA249*(8*(VLOOKUP($A249,NumberofDaysTable,3)))*R249),0)+IF(AU249&gt;0,($BA249*((AU249))*R249),0)))</f>
        <v> </v>
      </c>
      <c r="BE249" s="292" t="str">
        <f aca="false">IF($A249="N/A"," ",(IF(AN249&gt;0,($BA249*(8*(VLOOKUP($A249,NumberofDaysTable,3)))*S249),0)+IF(AV249&gt;0,($BA249*((AV249))*S249),0)))</f>
        <v> </v>
      </c>
      <c r="BF249" s="292" t="str">
        <f aca="false">IF($A249="N/A"," ",(IF(AO249&gt;0,($BA249*(8*(VLOOKUP($A249,NumberofDaysTable,4)+VLOOKUP($A249,NumberofDaysTable,5)))*T249),0)+IF(AW249&gt;0,($BA249*((AW249))*T249),0)))</f>
        <v> </v>
      </c>
      <c r="BG249" s="292" t="str">
        <f aca="false">IF($A249="N/A"," ",(IF(AP249&gt;0,($BA249*(8*(VLOOKUP($A249,NumberofDaysTable,4)+VLOOKUP($A249,NumberofDaysTable,5)))*U249),0)+IF(AX249&gt;0,($BA249*((AX249))*U249),0)))</f>
        <v> </v>
      </c>
      <c r="BH249" s="292" t="str">
        <f aca="false">IF($A249="N/A"," ",($BA249*AQ249*V249))</f>
        <v> </v>
      </c>
      <c r="BI249" s="292" t="str">
        <f aca="false">IF($A249="N/A"," ",SUM(BB249:BH249))</f>
        <v> </v>
      </c>
      <c r="BJ249" s="293" t="str">
        <f aca="false">IF($A249="N/A"," ",(H249*(SUM(AK249:AQ249)+SUM(AS249:AY249))*BA249))</f>
        <v> </v>
      </c>
      <c r="BK249" s="293" t="str">
        <f aca="false">IF($A249="N/A"," ",((C249*D249)*(SUM($AK249:$AQ249)+SUM($AS249:$AY249))*$BA249))</f>
        <v> </v>
      </c>
      <c r="BL249" s="293" t="str">
        <f aca="false">IF($A249="N/A"," ",(F249*(SUM($AK249:$AQ249)+SUM($AS249:$AY249))*$BA249))</f>
        <v> </v>
      </c>
      <c r="BM249" s="293" t="str">
        <f aca="false">IF($A249="N/A"," ",(G249*(SUM($AK249:$AQ249)+SUM($AS249:$AY249))*$BA249))</f>
        <v> </v>
      </c>
      <c r="BN249" s="294" t="str">
        <f aca="false">IF(A249="N/A"," ",(VLOOKUP(A249,PowerVolTable,(IF('Pricing Inputs'!$AT$3=2,7,IF('Pricing Inputs'!$AT$3=1,6,8))),FALSE())))</f>
        <v> </v>
      </c>
      <c r="BO249" s="294" t="str">
        <f aca="false">IF(A249="N/A"," ",(VLOOKUP(A249,IntraPowerVol,(IF('Pricing Inputs'!$AT$3=2,3,IF('Pricing Inputs'!$AT$3=1,2,4))),FALSE())*VLOOKUP(MONTH($A249),Inputs!$A$28:$B$39,2)))</f>
        <v> </v>
      </c>
      <c r="BP249" s="295" t="str">
        <f aca="false">IF($A249="N/A"," ",(IF(DateToday&gt;$A249,$BO249,((($BN249^2)*((($A249-1)-DateToday)/((EOMONTH($A249,0)+1)-DateToday-15)))+((($BO249)^2)*((15)/((EOMONTH($A249,0)+1)-DateToday-15))))^0.5)))</f>
        <v> </v>
      </c>
      <c r="BQ249" s="294" t="str">
        <f aca="false">IF($A249="N/A"," ",(VLOOKUP($A249,GasVolTable,(IF('Pricing Inputs'!$AT$3=2,6,IF('Pricing Inputs'!$AT$3=1,7,5))),FALSE())))</f>
        <v> </v>
      </c>
      <c r="BR249" s="294" t="str">
        <f aca="false">IF($A249="N/A"," ",(VLOOKUP($A249,OmicronVol,(IF('Pricing Inputs'!$AT$3=2,3,IF('Pricing Inputs'!$AT$3=1,4,2))),FALSE())))</f>
        <v> </v>
      </c>
      <c r="BS249" s="295" t="str">
        <f aca="false">IF($A249="N/A"," ",IF('Pricing Inputs'!$AN$3=1,(IF(DateToday&gt;$A249,$BR249,((($BQ249^2)*((($A249-1)-DateToday)/((EOMONTH($A249,0)+1)-DateToday-15)))+((($BR249)^2)*((15)/((EOMONTH($A249,0)+1)-DateToday-15))))^0.5)),0.0001))</f>
        <v> </v>
      </c>
      <c r="BT249" s="294" t="str">
        <f aca="false">IF($A249="N/A"," ",IF('Pricing Inputs'!$AN$3=1,(VLOOKUP($A249,CorrelationTable,2,FALSE())),0))</f>
        <v> </v>
      </c>
      <c r="BU249" s="296" t="str">
        <f aca="false">IF($A249="N/A"," ",F249+G249+(D249*(VLOOKUP($A249,'Gas Curves'!$B$17:$P$310,14,FALSE()))))</f>
        <v> </v>
      </c>
      <c r="BV249" s="294" t="str">
        <f aca="false">IF($A249="N/A"," ",IF('Pricing Inputs'!$AW$3=1,0,(VLOOKUP($A249,InterestRatesTable,2))))</f>
        <v> </v>
      </c>
      <c r="BW249" s="297" t="str">
        <f aca="false">IF($A249="N/A"," ",(1+BV249/2)^(-2*((EOMONTH(A249,0)+20)-DateToday)/365.25))</f>
        <v> </v>
      </c>
    </row>
    <row r="250" customFormat="false" ht="12.75" hidden="false" customHeight="false" outlineLevel="0" collapsed="false">
      <c r="A250" s="272" t="str">
        <f aca="false">IF(A249="N/A","N/A",IF(EDATE(A249,1)&gt;Inputs!$K$3,"N/A",EDATE(A249,1)))</f>
        <v>N/A</v>
      </c>
      <c r="B250" s="273" t="str">
        <f aca="false">IF(A250="N/A"," ",YEAR(A250))</f>
        <v> </v>
      </c>
      <c r="C250" s="274" t="str">
        <f aca="false">IF(A250="N/A"," ",VLOOKUP(A250,ScaledPrice,10))</f>
        <v> </v>
      </c>
      <c r="D250" s="275" t="str">
        <f aca="false">IF(A250="N/A"," ",(VLOOKUP(MONTH($A250),Inputs!$A$14:$B$25,2))/1000)</f>
        <v> </v>
      </c>
      <c r="E250" s="276" t="str">
        <f aca="false">IF($A250="N/A"," ",C250*D250)</f>
        <v> </v>
      </c>
      <c r="F250" s="277" t="str">
        <f aca="false">IF(A250="N/A"," ",Inputs!$F$6)</f>
        <v> </v>
      </c>
      <c r="G250" s="277" t="str">
        <f aca="false">IF(A250="N/A"," ",Inputs!$F$9/IF(AND('Pricing Inputs'!$AQ$3&gt;=4,'Pricing Inputs'!$AQ$3&lt;=6),16,IF(AND('Pricing Inputs'!$AQ$3&gt;=7,'Pricing Inputs'!$AQ$3&lt;=9),8,24))/(BA250/BW250))</f>
        <v> </v>
      </c>
      <c r="H250" s="278" t="str">
        <f aca="false">IF(A250="N/A"," ",(C250*D250)+F250+G250)</f>
        <v> </v>
      </c>
      <c r="I250" s="279" t="str">
        <f aca="false">VLOOKUP(A250,ScaledPrice,(IF(AND('Pricing Inputs'!$AQ$3&gt;=1,'Pricing Inputs'!$AQ$3&lt;=6),2,4)))</f>
        <v> </v>
      </c>
      <c r="J250" s="279" t="str">
        <f aca="false">IF(A250="N/A"," ",IF(AND('Pricing Inputs'!$AQ$3&gt;=1,'Pricing Inputs'!$AQ$3&lt;=6),I250,(VLOOKUP(A250,ScaledPrice,2))*(2-(VLOOKUP(A250,ScaledPrice,3)))))</f>
        <v> </v>
      </c>
      <c r="K250" s="279" t="str">
        <f aca="false">IF(A250="N/A"," ",IF(OR('Pricing Inputs'!$AQ$3=2,'Pricing Inputs'!$AQ$3=3,'Pricing Inputs'!$AQ$3=5,'Pricing Inputs'!$AQ$3=6,'Pricing Inputs'!$AQ$3=8,'Pricing Inputs'!$AQ$3=9),VLOOKUP(A250,ScaledPrice,IF(AND('Pricing Inputs'!$AQ$3&gt;=2,'Pricing Inputs'!$AQ$3&lt;=6),5,6)),0))</f>
        <v> </v>
      </c>
      <c r="L250" s="279" t="str">
        <f aca="false">IF(A250="N/A"," ",IF(OR('Pricing Inputs'!$AQ$3=2,'Pricing Inputs'!$AQ$3=3,'Pricing Inputs'!$AQ$3=5,'Pricing Inputs'!$AQ$3=6,'Pricing Inputs'!$AQ$3=8,'Pricing Inputs'!$AQ$3=9),IF(AND('Pricing Inputs'!$AQ$3&gt;=2,'Pricing Inputs'!$AQ$3&lt;=6),K250,(VLOOKUP(A250,ScaledPrice,5))*(2-(VLOOKUP(A250,ScaledPrice,3)))),0))</f>
        <v> </v>
      </c>
      <c r="M250" s="279" t="str">
        <f aca="false">IF(A250="N/A"," ",IF(OR('Pricing Inputs'!$AQ$3=3,'Pricing Inputs'!$AQ$3=6,'Pricing Inputs'!$AQ$3=9),(VLOOKUP(A250,ScaledPrice,IF(AND('Pricing Inputs'!$AQ$3&gt;=3,'Pricing Inputs'!$AQ$3&lt;=6),7,8))),0))</f>
        <v> </v>
      </c>
      <c r="N250" s="279" t="str">
        <f aca="false">IF(A250="N/A"," ",IF(OR('Pricing Inputs'!$AQ$3=3,'Pricing Inputs'!$AQ$3=6,'Pricing Inputs'!$AQ$3=9),IF(AND('Pricing Inputs'!$AQ$3&gt;=3,'Pricing Inputs'!$AQ$3&lt;=6),M250,(VLOOKUP(A250,ScaledPrice,7))*(2-(VLOOKUP(A250,ScaledPrice,3)))),0))</f>
        <v> </v>
      </c>
      <c r="O250" s="279" t="str">
        <f aca="false">IF(A250="N/A"," ",IF(AND('Pricing Inputs'!$AQ$3&gt;=1,'Pricing Inputs'!$AQ$3&lt;=3),VLOOKUP(A250,ScaledPrice,9),0))</f>
        <v> </v>
      </c>
      <c r="P250" s="280" t="str">
        <f aca="false">IF($A250="N/A"," ",IF('Pricing Inputs'!$AN$8=2,(I250-H250),IF('Pricing Inputs'!$AN$3=2,IF((I250-$H250)&gt;0,I250-$H250,0),(xSPRDOPT(I250,$E250,$BU250,0,$BP250,$BS250,$BT250,($A250-Inputs!$D$1)+15,1,0)))))</f>
        <v> </v>
      </c>
      <c r="Q250" s="280" t="str">
        <f aca="false">IF($A250="N/A"," ",IF('Pricing Inputs'!$AN$8=2,(J250-$H250),IF('Pricing Inputs'!$AN$3=2,IF((J250-$H250)&gt;0,J250-$H250,0),(xSPRDOPT(J250,$E250,$BU250,0,$BP250,$BS250,$BT250,($A250-Inputs!$D$1)+15,1,0)))))</f>
        <v> </v>
      </c>
      <c r="R250" s="280" t="str">
        <f aca="false">IF($A250="N/A"," ",IF('Pricing Inputs'!$AN$8=2,(K250-$H250),IF('Pricing Inputs'!$AN$3=2,IF((K250-$H250)&gt;0,K250-$H250,0),(xSPRDOPT(K250,$E250,$BU250,0,$BP250,$BS250,$BT250,($A250-Inputs!$D$1)+15,1,0)))))</f>
        <v> </v>
      </c>
      <c r="S250" s="280" t="str">
        <f aca="false">IF($A250="N/A"," ",IF('Pricing Inputs'!$AN$8=2,(L250-$H250),IF('Pricing Inputs'!$AN$3=2,IF((L250-$H250)&gt;0,L250-$H250,0),(xSPRDOPT(L250,$E250,$BU250,0,$BP250,$BS250,$BT250,($A250-Inputs!$D$1)+15,1,0)))))</f>
        <v> </v>
      </c>
      <c r="T250" s="280" t="str">
        <f aca="false">IF($A250="N/A"," ",IF('Pricing Inputs'!$AN$8=2,(M250-$H250),IF('Pricing Inputs'!$AN$3=2,IF((M250-$H250)&gt;0,M250-$H250,0),(xSPRDOPT(M250,$E250,$BU250,0,$BP250,$BS250,$BT250,($A250-Inputs!$D$1)+15,1,0)))))</f>
        <v> </v>
      </c>
      <c r="U250" s="280" t="str">
        <f aca="false">IF($A250="N/A"," ",IF('Pricing Inputs'!$AN$8=2,(N250-$H250),IF('Pricing Inputs'!$AN$3=2,IF((N250-$H250)&gt;0,N250-$H250,0),(xSPRDOPT(N250,$E250,$BU250,0,$BP250,$BS250,$BT250,($A250-Inputs!$D$1)+15,1,0)))))</f>
        <v> </v>
      </c>
      <c r="V250" s="281" t="str">
        <f aca="false">IF($A250="N/A"," ",(IF('Pricing Inputs'!$AN$8=2,(O250-$H250),IF((O250-$H250)&lt;=0,0,(O250-$H250)))))</f>
        <v> </v>
      </c>
      <c r="W250" s="282" t="str">
        <f aca="false">IF($A250="N/A"," ",IF(0&lt;&gt;P250,IF('Pricing Inputs'!$AN$3=2,8*VLOOKUP($A250,NumberofDaysTable,2),(xSPRDOPT(I250,$E250,$BU250,0,$BP250,$BS250,$BT250,$A250-Inputs!$D$1,1,1))*(8*VLOOKUP($A250,NumberofDaysTable,2))),0))</f>
        <v> </v>
      </c>
      <c r="X250" s="282" t="str">
        <f aca="false">IF($A250="N/A"," ",IF(Q250&lt;&gt;0,IF('Pricing Inputs'!$AN$3=2,8*VLOOKUP($A250,NumberofDaysTable,2),(xSPRDOPT(J250,$E250,$BU250,0,$BP250,$BS250,$BT250,$A250-Inputs!$D$1,1,1))*(8*VLOOKUP($A250,NumberofDaysTable,2))),0))</f>
        <v> </v>
      </c>
      <c r="Y250" s="282" t="str">
        <f aca="false">IF($A250="N/A"," ",IF(R250&lt;&gt;0,IF('Pricing Inputs'!$AN$3=2,8*VLOOKUP($A250,NumberofDaysTable,3),(xSPRDOPT(K250,$E250,$BU250,0,$BP250,$BS250,$BT250,$A250-Inputs!$D$1,1,1))*(8*VLOOKUP($A250,NumberofDaysTable,3))),0))</f>
        <v> </v>
      </c>
      <c r="Z250" s="282" t="str">
        <f aca="false">IF($A250="N/A"," ",IF(S250&lt;&gt;0,IF('Pricing Inputs'!$AN$3=2,8*VLOOKUP($A250,NumberofDaysTable,3),(xSPRDOPT(L250,$E250,$BU250,0,$BP250,$BS250,$BT250,$A250-Inputs!$D$1,1,1))*(8*VLOOKUP($A250,NumberofDaysTable,3))),0))</f>
        <v> </v>
      </c>
      <c r="AA250" s="282" t="str">
        <f aca="false">IF($A250="N/A"," ",IF(T250&lt;&gt;0,IF('Pricing Inputs'!$AN$3=2,8*VLOOKUP($A250,NumberofDaysTable,4),(xSPRDOPT(M250,$E250,$BU250,0,$BP250,$BS250,$BT250,$A250-Inputs!$D$1,1,1))*(8*VLOOKUP($A250,NumberofDaysTable,4))),0))</f>
        <v> </v>
      </c>
      <c r="AB250" s="282" t="str">
        <f aca="false">IF($A250="N/A"," ",IF(U250&lt;&gt;0,IF('Pricing Inputs'!$AN$3=2,8*VLOOKUP($A250,NumberofDaysTable,4),(xSPRDOPT(N250,$E250,$BU250,0,$BP250,$BS250,$BT250,$A250-Inputs!$D$1,1,1))*(8*VLOOKUP($A250,NumberofDaysTable,4))),0))</f>
        <v> </v>
      </c>
      <c r="AC250" s="282" t="str">
        <f aca="false">IF($A250="N/A"," ",(IF(V250&lt;&gt;0,(8*VLOOKUP($A250,NumberofDaysTable,6)),0)))</f>
        <v> </v>
      </c>
      <c r="AD250" s="298" t="str">
        <f aca="false">IF($A250="N/A"," ",RANK(P250,$P$244:$V$255))</f>
        <v> </v>
      </c>
      <c r="AE250" s="299" t="str">
        <f aca="false">IF($A250="N/A"," ",RANK(Q250,$P$244:$V$255))</f>
        <v> </v>
      </c>
      <c r="AF250" s="299" t="str">
        <f aca="false">IF($A250="N/A"," ",RANK(R250,$P$244:$V$255))</f>
        <v> </v>
      </c>
      <c r="AG250" s="299" t="str">
        <f aca="false">IF($A250="N/A"," ",RANK(S250,$P$244:$V$255))</f>
        <v> </v>
      </c>
      <c r="AH250" s="299" t="str">
        <f aca="false">IF($A250="N/A"," ",RANK(T250,$P$244:$V$255))</f>
        <v> </v>
      </c>
      <c r="AI250" s="299" t="str">
        <f aca="false">IF($A250="N/A"," ",RANK(U250,$P$244:$V$255))</f>
        <v> </v>
      </c>
      <c r="AJ250" s="300" t="str">
        <f aca="false">IF($A250="N/A"," ",RANK(V250,$P$244:$V$255))</f>
        <v> </v>
      </c>
      <c r="AK250" s="286" t="str">
        <f aca="false">IF($A250="N/A"," ",IF(AD250&lt;=$AJ$2,W250,0))</f>
        <v> </v>
      </c>
      <c r="AL250" s="301" t="str">
        <f aca="false">IF($A250="N/A"," ",IF(AE250&lt;=$AJ$2,X250,0))</f>
        <v> </v>
      </c>
      <c r="AM250" s="301" t="str">
        <f aca="false">IF($A250="N/A"," ",IF(AF250&lt;=$AJ$2,Y250,0))</f>
        <v> </v>
      </c>
      <c r="AN250" s="301" t="str">
        <f aca="false">IF($A250="N/A"," ",IF(AG250&lt;=$AJ$2,Z250,0))</f>
        <v> </v>
      </c>
      <c r="AO250" s="301" t="str">
        <f aca="false">IF($A250="N/A"," ",IF(AH250&lt;=$AJ$2,AA250,0))</f>
        <v> </v>
      </c>
      <c r="AP250" s="301" t="str">
        <f aca="false">IF($A250="N/A"," ",IF(AI250&lt;=$AJ$2,AB250,0))</f>
        <v> </v>
      </c>
      <c r="AQ250" s="301" t="str">
        <f aca="false">IF($A250="N/A"," ",IF(AJ250&lt;=$AJ$2,AC250,0))</f>
        <v> </v>
      </c>
      <c r="AR250" s="300"/>
      <c r="AS250" s="288" t="str">
        <f aca="false">IF($A250="N/A"," ",IF(AND(AD250=$AJ$2+1,AK250=0),MIN($AR$255,W250),0))</f>
        <v> </v>
      </c>
      <c r="AT250" s="302" t="str">
        <f aca="false">IF($A250="N/A"," ",IF(AND(AE250=$AJ$2+1,AL250=0),MIN($AR$255,X250),0))</f>
        <v> </v>
      </c>
      <c r="AU250" s="302" t="str">
        <f aca="false">IF($A250="N/A"," ",IF(AND(AF250=$AJ$2+1,AM250=0),MIN($AR$255,Y250),0))</f>
        <v> </v>
      </c>
      <c r="AV250" s="302" t="str">
        <f aca="false">IF($A250="N/A"," ",IF(AND(AG250=$AJ$2+1,AN250=0),MIN($AR$255,Z250),0))</f>
        <v> </v>
      </c>
      <c r="AW250" s="302" t="str">
        <f aca="false">IF($A250="N/A"," ",IF(AND(AH250=$AJ$2+1,AO250=0),MIN($AR$255,AA250),0))</f>
        <v> </v>
      </c>
      <c r="AX250" s="302" t="str">
        <f aca="false">IF($A250="N/A"," ",IF(AND(AI250=$AJ$2+1,AP250=0),MIN($AR$255,AB250),0))</f>
        <v> </v>
      </c>
      <c r="AY250" s="302" t="str">
        <f aca="false">IF($A250="N/A"," ",IF(AND(AJ250=$AJ$2+1,AQ250=0),MIN($AR$255,AC250),0))</f>
        <v> </v>
      </c>
      <c r="AZ250" s="300"/>
      <c r="BA250" s="291" t="str">
        <f aca="false">IF($A250="N/A"," ",(IF(MONTH(A250)&gt;=4,IF(MONTH(A250)&lt;=10,Inputs!$F$13,Inputs!$F$14),Inputs!$F$14))*$BW250)</f>
        <v> </v>
      </c>
      <c r="BB250" s="292" t="str">
        <f aca="false">IF($A250="N/A"," ",(IF(AK250&gt;0,($BA250*(8*(VLOOKUP($A250,NumberofDaysTable,2)))*P250),0)+IF(AS250&gt;0,($BA250*((AS250))*P250),0)))</f>
        <v> </v>
      </c>
      <c r="BC250" s="292" t="str">
        <f aca="false">IF($A250="N/A"," ",(IF(AL250&gt;0,($BA250*(8*(VLOOKUP($A250,NumberofDaysTable,2)))*Q250),0)+IF(AT250&gt;0,($BA250*((AT250))*Q250),0)))</f>
        <v> </v>
      </c>
      <c r="BD250" s="292" t="str">
        <f aca="false">IF($A250="N/A"," ",(IF(AM250&gt;0,($BA250*(8*(VLOOKUP($A250,NumberofDaysTable,3)))*R250),0)+IF(AU250&gt;0,($BA250*((AU250))*R250),0)))</f>
        <v> </v>
      </c>
      <c r="BE250" s="292" t="str">
        <f aca="false">IF($A250="N/A"," ",(IF(AN250&gt;0,($BA250*(8*(VLOOKUP($A250,NumberofDaysTable,3)))*S250),0)+IF(AV250&gt;0,($BA250*((AV250))*S250),0)))</f>
        <v> </v>
      </c>
      <c r="BF250" s="292" t="str">
        <f aca="false">IF($A250="N/A"," ",(IF(AO250&gt;0,($BA250*(8*(VLOOKUP($A250,NumberofDaysTable,4)+VLOOKUP($A250,NumberofDaysTable,5)))*T250),0)+IF(AW250&gt;0,($BA250*((AW250))*T250),0)))</f>
        <v> </v>
      </c>
      <c r="BG250" s="292" t="str">
        <f aca="false">IF($A250="N/A"," ",(IF(AP250&gt;0,($BA250*(8*(VLOOKUP($A250,NumberofDaysTable,4)+VLOOKUP($A250,NumberofDaysTable,5)))*U250),0)+IF(AX250&gt;0,($BA250*((AX250))*U250),0)))</f>
        <v> </v>
      </c>
      <c r="BH250" s="292" t="str">
        <f aca="false">IF($A250="N/A"," ",($BA250*AQ250*V250))</f>
        <v> </v>
      </c>
      <c r="BI250" s="292" t="str">
        <f aca="false">IF($A250="N/A"," ",SUM(BB250:BH250))</f>
        <v> </v>
      </c>
      <c r="BJ250" s="293" t="str">
        <f aca="false">IF($A250="N/A"," ",(H250*(SUM(AK250:AQ250)+SUM(AS250:AY250))*BA250))</f>
        <v> </v>
      </c>
      <c r="BK250" s="293" t="str">
        <f aca="false">IF($A250="N/A"," ",((C250*D250)*(SUM($AK250:$AQ250)+SUM($AS250:$AY250))*$BA250))</f>
        <v> </v>
      </c>
      <c r="BL250" s="293" t="str">
        <f aca="false">IF($A250="N/A"," ",(F250*(SUM($AK250:$AQ250)+SUM($AS250:$AY250))*$BA250))</f>
        <v> </v>
      </c>
      <c r="BM250" s="293" t="str">
        <f aca="false">IF($A250="N/A"," ",(G250*(SUM($AK250:$AQ250)+SUM($AS250:$AY250))*$BA250))</f>
        <v> </v>
      </c>
      <c r="BN250" s="294" t="str">
        <f aca="false">IF(A250="N/A"," ",(VLOOKUP(A250,PowerVolTable,(IF('Pricing Inputs'!$AT$3=2,7,IF('Pricing Inputs'!$AT$3=1,6,8))),FALSE())))</f>
        <v> </v>
      </c>
      <c r="BO250" s="294" t="str">
        <f aca="false">IF(A250="N/A"," ",(VLOOKUP(A250,IntraPowerVol,(IF('Pricing Inputs'!$AT$3=2,3,IF('Pricing Inputs'!$AT$3=1,2,4))),FALSE())*VLOOKUP(MONTH($A250),Inputs!$A$28:$B$39,2)))</f>
        <v> </v>
      </c>
      <c r="BP250" s="295" t="str">
        <f aca="false">IF($A250="N/A"," ",(IF(DateToday&gt;$A250,$BO250,((($BN250^2)*((($A250-1)-DateToday)/((EOMONTH($A250,0)+1)-DateToday-15)))+((($BO250)^2)*((15)/((EOMONTH($A250,0)+1)-DateToday-15))))^0.5)))</f>
        <v> </v>
      </c>
      <c r="BQ250" s="294" t="str">
        <f aca="false">IF($A250="N/A"," ",(VLOOKUP($A250,GasVolTable,(IF('Pricing Inputs'!$AT$3=2,6,IF('Pricing Inputs'!$AT$3=1,7,5))),FALSE())))</f>
        <v> </v>
      </c>
      <c r="BR250" s="294" t="str">
        <f aca="false">IF($A250="N/A"," ",(VLOOKUP($A250,OmicronVol,(IF('Pricing Inputs'!$AT$3=2,3,IF('Pricing Inputs'!$AT$3=1,4,2))),FALSE())))</f>
        <v> </v>
      </c>
      <c r="BS250" s="295" t="str">
        <f aca="false">IF($A250="N/A"," ",IF('Pricing Inputs'!$AN$3=1,(IF(DateToday&gt;$A250,$BR250,((($BQ250^2)*((($A250-1)-DateToday)/((EOMONTH($A250,0)+1)-DateToday-15)))+((($BR250)^2)*((15)/((EOMONTH($A250,0)+1)-DateToday-15))))^0.5)),0.0001))</f>
        <v> </v>
      </c>
      <c r="BT250" s="294" t="str">
        <f aca="false">IF($A250="N/A"," ",IF('Pricing Inputs'!$AN$3=1,(VLOOKUP($A250,CorrelationTable,2,FALSE())),0))</f>
        <v> </v>
      </c>
      <c r="BU250" s="296" t="str">
        <f aca="false">IF($A250="N/A"," ",F250+G250+(D250*(VLOOKUP($A250,'Gas Curves'!$B$17:$P$310,14,FALSE()))))</f>
        <v> </v>
      </c>
      <c r="BV250" s="294" t="str">
        <f aca="false">IF($A250="N/A"," ",IF('Pricing Inputs'!$AW$3=1,0,(VLOOKUP($A250,InterestRatesTable,2))))</f>
        <v> </v>
      </c>
      <c r="BW250" s="297" t="str">
        <f aca="false">IF($A250="N/A"," ",(1+BV250/2)^(-2*((EOMONTH(A250,0)+20)-DateToday)/365.25))</f>
        <v> </v>
      </c>
    </row>
    <row r="251" customFormat="false" ht="12.75" hidden="false" customHeight="false" outlineLevel="0" collapsed="false">
      <c r="A251" s="272" t="str">
        <f aca="false">IF(A250="N/A","N/A",IF(EDATE(A250,1)&gt;Inputs!$K$3,"N/A",EDATE(A250,1)))</f>
        <v>N/A</v>
      </c>
      <c r="B251" s="273" t="str">
        <f aca="false">IF(A251="N/A"," ",YEAR(A251))</f>
        <v> </v>
      </c>
      <c r="C251" s="274" t="str">
        <f aca="false">IF(A251="N/A"," ",VLOOKUP(A251,ScaledPrice,10))</f>
        <v> </v>
      </c>
      <c r="D251" s="275" t="str">
        <f aca="false">IF(A251="N/A"," ",(VLOOKUP(MONTH($A251),Inputs!$A$14:$B$25,2))/1000)</f>
        <v> </v>
      </c>
      <c r="E251" s="276" t="str">
        <f aca="false">IF($A251="N/A"," ",C251*D251)</f>
        <v> </v>
      </c>
      <c r="F251" s="277" t="str">
        <f aca="false">IF(A251="N/A"," ",Inputs!$F$6)</f>
        <v> </v>
      </c>
      <c r="G251" s="277" t="str">
        <f aca="false">IF(A251="N/A"," ",Inputs!$F$9/IF(AND('Pricing Inputs'!$AQ$3&gt;=4,'Pricing Inputs'!$AQ$3&lt;=6),16,IF(AND('Pricing Inputs'!$AQ$3&gt;=7,'Pricing Inputs'!$AQ$3&lt;=9),8,24))/(BA251/BW251))</f>
        <v> </v>
      </c>
      <c r="H251" s="278" t="str">
        <f aca="false">IF(A251="N/A"," ",(C251*D251)+F251+G251)</f>
        <v> </v>
      </c>
      <c r="I251" s="279" t="str">
        <f aca="false">VLOOKUP(A251,ScaledPrice,(IF(AND('Pricing Inputs'!$AQ$3&gt;=1,'Pricing Inputs'!$AQ$3&lt;=6),2,4)))</f>
        <v> </v>
      </c>
      <c r="J251" s="279" t="str">
        <f aca="false">IF(A251="N/A"," ",IF(AND('Pricing Inputs'!$AQ$3&gt;=1,'Pricing Inputs'!$AQ$3&lt;=6),I251,(VLOOKUP(A251,ScaledPrice,2))*(2-(VLOOKUP(A251,ScaledPrice,3)))))</f>
        <v> </v>
      </c>
      <c r="K251" s="279" t="str">
        <f aca="false">IF(A251="N/A"," ",IF(OR('Pricing Inputs'!$AQ$3=2,'Pricing Inputs'!$AQ$3=3,'Pricing Inputs'!$AQ$3=5,'Pricing Inputs'!$AQ$3=6,'Pricing Inputs'!$AQ$3=8,'Pricing Inputs'!$AQ$3=9),VLOOKUP(A251,ScaledPrice,IF(AND('Pricing Inputs'!$AQ$3&gt;=2,'Pricing Inputs'!$AQ$3&lt;=6),5,6)),0))</f>
        <v> </v>
      </c>
      <c r="L251" s="279" t="str">
        <f aca="false">IF(A251="N/A"," ",IF(OR('Pricing Inputs'!$AQ$3=2,'Pricing Inputs'!$AQ$3=3,'Pricing Inputs'!$AQ$3=5,'Pricing Inputs'!$AQ$3=6,'Pricing Inputs'!$AQ$3=8,'Pricing Inputs'!$AQ$3=9),IF(AND('Pricing Inputs'!$AQ$3&gt;=2,'Pricing Inputs'!$AQ$3&lt;=6),K251,(VLOOKUP(A251,ScaledPrice,5))*(2-(VLOOKUP(A251,ScaledPrice,3)))),0))</f>
        <v> </v>
      </c>
      <c r="M251" s="279" t="str">
        <f aca="false">IF(A251="N/A"," ",IF(OR('Pricing Inputs'!$AQ$3=3,'Pricing Inputs'!$AQ$3=6,'Pricing Inputs'!$AQ$3=9),(VLOOKUP(A251,ScaledPrice,IF(AND('Pricing Inputs'!$AQ$3&gt;=3,'Pricing Inputs'!$AQ$3&lt;=6),7,8))),0))</f>
        <v> </v>
      </c>
      <c r="N251" s="279" t="str">
        <f aca="false">IF(A251="N/A"," ",IF(OR('Pricing Inputs'!$AQ$3=3,'Pricing Inputs'!$AQ$3=6,'Pricing Inputs'!$AQ$3=9),IF(AND('Pricing Inputs'!$AQ$3&gt;=3,'Pricing Inputs'!$AQ$3&lt;=6),M251,(VLOOKUP(A251,ScaledPrice,7))*(2-(VLOOKUP(A251,ScaledPrice,3)))),0))</f>
        <v> </v>
      </c>
      <c r="O251" s="279" t="str">
        <f aca="false">IF(A251="N/A"," ",IF(AND('Pricing Inputs'!$AQ$3&gt;=1,'Pricing Inputs'!$AQ$3&lt;=3),VLOOKUP(A251,ScaledPrice,9),0))</f>
        <v> </v>
      </c>
      <c r="P251" s="280" t="str">
        <f aca="false">IF($A251="N/A"," ",IF('Pricing Inputs'!$AN$8=2,(I251-H251),IF('Pricing Inputs'!$AN$3=2,IF((I251-$H251)&gt;0,I251-$H251,0),(xSPRDOPT(I251,$E251,$BU251,0,$BP251,$BS251,$BT251,($A251-Inputs!$D$1)+15,1,0)))))</f>
        <v> </v>
      </c>
      <c r="Q251" s="280" t="str">
        <f aca="false">IF($A251="N/A"," ",IF('Pricing Inputs'!$AN$8=2,(J251-$H251),IF('Pricing Inputs'!$AN$3=2,IF((J251-$H251)&gt;0,J251-$H251,0),(xSPRDOPT(J251,$E251,$BU251,0,$BP251,$BS251,$BT251,($A251-Inputs!$D$1)+15,1,0)))))</f>
        <v> </v>
      </c>
      <c r="R251" s="280" t="str">
        <f aca="false">IF($A251="N/A"," ",IF('Pricing Inputs'!$AN$8=2,(K251-$H251),IF('Pricing Inputs'!$AN$3=2,IF((K251-$H251)&gt;0,K251-$H251,0),(xSPRDOPT(K251,$E251,$BU251,0,$BP251,$BS251,$BT251,($A251-Inputs!$D$1)+15,1,0)))))</f>
        <v> </v>
      </c>
      <c r="S251" s="280" t="str">
        <f aca="false">IF($A251="N/A"," ",IF('Pricing Inputs'!$AN$8=2,(L251-$H251),IF('Pricing Inputs'!$AN$3=2,IF((L251-$H251)&gt;0,L251-$H251,0),(xSPRDOPT(L251,$E251,$BU251,0,$BP251,$BS251,$BT251,($A251-Inputs!$D$1)+15,1,0)))))</f>
        <v> </v>
      </c>
      <c r="T251" s="280" t="str">
        <f aca="false">IF($A251="N/A"," ",IF('Pricing Inputs'!$AN$8=2,(M251-$H251),IF('Pricing Inputs'!$AN$3=2,IF((M251-$H251)&gt;0,M251-$H251,0),(xSPRDOPT(M251,$E251,$BU251,0,$BP251,$BS251,$BT251,($A251-Inputs!$D$1)+15,1,0)))))</f>
        <v> </v>
      </c>
      <c r="U251" s="280" t="str">
        <f aca="false">IF($A251="N/A"," ",IF('Pricing Inputs'!$AN$8=2,(N251-$H251),IF('Pricing Inputs'!$AN$3=2,IF((N251-$H251)&gt;0,N251-$H251,0),(xSPRDOPT(N251,$E251,$BU251,0,$BP251,$BS251,$BT251,($A251-Inputs!$D$1)+15,1,0)))))</f>
        <v> </v>
      </c>
      <c r="V251" s="281" t="str">
        <f aca="false">IF($A251="N/A"," ",(IF('Pricing Inputs'!$AN$8=2,(O251-$H251),IF((O251-$H251)&lt;=0,0,(O251-$H251)))))</f>
        <v> </v>
      </c>
      <c r="W251" s="282" t="str">
        <f aca="false">IF($A251="N/A"," ",IF(0&lt;&gt;P251,IF('Pricing Inputs'!$AN$3=2,8*VLOOKUP($A251,NumberofDaysTable,2),(xSPRDOPT(I251,$E251,$BU251,0,$BP251,$BS251,$BT251,$A251-Inputs!$D$1,1,1))*(8*VLOOKUP($A251,NumberofDaysTable,2))),0))</f>
        <v> </v>
      </c>
      <c r="X251" s="282" t="str">
        <f aca="false">IF($A251="N/A"," ",IF(Q251&lt;&gt;0,IF('Pricing Inputs'!$AN$3=2,8*VLOOKUP($A251,NumberofDaysTable,2),(xSPRDOPT(J251,$E251,$BU251,0,$BP251,$BS251,$BT251,$A251-Inputs!$D$1,1,1))*(8*VLOOKUP($A251,NumberofDaysTable,2))),0))</f>
        <v> </v>
      </c>
      <c r="Y251" s="282" t="str">
        <f aca="false">IF($A251="N/A"," ",IF(R251&lt;&gt;0,IF('Pricing Inputs'!$AN$3=2,8*VLOOKUP($A251,NumberofDaysTable,3),(xSPRDOPT(K251,$E251,$BU251,0,$BP251,$BS251,$BT251,$A251-Inputs!$D$1,1,1))*(8*VLOOKUP($A251,NumberofDaysTable,3))),0))</f>
        <v> </v>
      </c>
      <c r="Z251" s="282" t="str">
        <f aca="false">IF($A251="N/A"," ",IF(S251&lt;&gt;0,IF('Pricing Inputs'!$AN$3=2,8*VLOOKUP($A251,NumberofDaysTable,3),(xSPRDOPT(L251,$E251,$BU251,0,$BP251,$BS251,$BT251,$A251-Inputs!$D$1,1,1))*(8*VLOOKUP($A251,NumberofDaysTable,3))),0))</f>
        <v> </v>
      </c>
      <c r="AA251" s="282" t="str">
        <f aca="false">IF($A251="N/A"," ",IF(T251&lt;&gt;0,IF('Pricing Inputs'!$AN$3=2,8*VLOOKUP($A251,NumberofDaysTable,4),(xSPRDOPT(M251,$E251,$BU251,0,$BP251,$BS251,$BT251,$A251-Inputs!$D$1,1,1))*(8*VLOOKUP($A251,NumberofDaysTable,4))),0))</f>
        <v> </v>
      </c>
      <c r="AB251" s="282" t="str">
        <f aca="false">IF($A251="N/A"," ",IF(U251&lt;&gt;0,IF('Pricing Inputs'!$AN$3=2,8*VLOOKUP($A251,NumberofDaysTable,4),(xSPRDOPT(N251,$E251,$BU251,0,$BP251,$BS251,$BT251,$A251-Inputs!$D$1,1,1))*(8*VLOOKUP($A251,NumberofDaysTable,4))),0))</f>
        <v> </v>
      </c>
      <c r="AC251" s="282" t="str">
        <f aca="false">IF($A251="N/A"," ",(IF(V251&lt;&gt;0,(8*VLOOKUP($A251,NumberofDaysTable,6)),0)))</f>
        <v> </v>
      </c>
      <c r="AD251" s="298" t="str">
        <f aca="false">IF($A251="N/A"," ",RANK(P251,$P$244:$V$255))</f>
        <v> </v>
      </c>
      <c r="AE251" s="299" t="str">
        <f aca="false">IF($A251="N/A"," ",RANK(Q251,$P$244:$V$255))</f>
        <v> </v>
      </c>
      <c r="AF251" s="299" t="str">
        <f aca="false">IF($A251="N/A"," ",RANK(R251,$P$244:$V$255))</f>
        <v> </v>
      </c>
      <c r="AG251" s="299" t="str">
        <f aca="false">IF($A251="N/A"," ",RANK(S251,$P$244:$V$255))</f>
        <v> </v>
      </c>
      <c r="AH251" s="299" t="str">
        <f aca="false">IF($A251="N/A"," ",RANK(T251,$P$244:$V$255))</f>
        <v> </v>
      </c>
      <c r="AI251" s="299" t="str">
        <f aca="false">IF($A251="N/A"," ",RANK(U251,$P$244:$V$255))</f>
        <v> </v>
      </c>
      <c r="AJ251" s="300" t="str">
        <f aca="false">IF($A251="N/A"," ",RANK(V251,$P$244:$V$255))</f>
        <v> </v>
      </c>
      <c r="AK251" s="286" t="str">
        <f aca="false">IF($A251="N/A"," ",IF(AD251&lt;=$AJ$2,W251,0))</f>
        <v> </v>
      </c>
      <c r="AL251" s="301" t="str">
        <f aca="false">IF($A251="N/A"," ",IF(AE251&lt;=$AJ$2,X251,0))</f>
        <v> </v>
      </c>
      <c r="AM251" s="301" t="str">
        <f aca="false">IF($A251="N/A"," ",IF(AF251&lt;=$AJ$2,Y251,0))</f>
        <v> </v>
      </c>
      <c r="AN251" s="301" t="str">
        <f aca="false">IF($A251="N/A"," ",IF(AG251&lt;=$AJ$2,Z251,0))</f>
        <v> </v>
      </c>
      <c r="AO251" s="301" t="str">
        <f aca="false">IF($A251="N/A"," ",IF(AH251&lt;=$AJ$2,AA251,0))</f>
        <v> </v>
      </c>
      <c r="AP251" s="301" t="str">
        <f aca="false">IF($A251="N/A"," ",IF(AI251&lt;=$AJ$2,AB251,0))</f>
        <v> </v>
      </c>
      <c r="AQ251" s="301" t="str">
        <f aca="false">IF($A251="N/A"," ",IF(AJ251&lt;=$AJ$2,AC251,0))</f>
        <v> </v>
      </c>
      <c r="AR251" s="300"/>
      <c r="AS251" s="288" t="str">
        <f aca="false">IF($A251="N/A"," ",IF(AND(AD251=$AJ$2+1,AK251=0),MIN($AR$255,W251),0))</f>
        <v> </v>
      </c>
      <c r="AT251" s="302" t="str">
        <f aca="false">IF($A251="N/A"," ",IF(AND(AE251=$AJ$2+1,AL251=0),MIN($AR$255,X251),0))</f>
        <v> </v>
      </c>
      <c r="AU251" s="302" t="str">
        <f aca="false">IF($A251="N/A"," ",IF(AND(AF251=$AJ$2+1,AM251=0),MIN($AR$255,Y251),0))</f>
        <v> </v>
      </c>
      <c r="AV251" s="302" t="str">
        <f aca="false">IF($A251="N/A"," ",IF(AND(AG251=$AJ$2+1,AN251=0),MIN($AR$255,Z251),0))</f>
        <v> </v>
      </c>
      <c r="AW251" s="302" t="str">
        <f aca="false">IF($A251="N/A"," ",IF(AND(AH251=$AJ$2+1,AO251=0),MIN($AR$255,AA251),0))</f>
        <v> </v>
      </c>
      <c r="AX251" s="302" t="str">
        <f aca="false">IF($A251="N/A"," ",IF(AND(AI251=$AJ$2+1,AP251=0),MIN($AR$255,AB251),0))</f>
        <v> </v>
      </c>
      <c r="AY251" s="302" t="str">
        <f aca="false">IF($A251="N/A"," ",IF(AND(AJ251=$AJ$2+1,AQ251=0),MIN($AR$255,AC251),0))</f>
        <v> </v>
      </c>
      <c r="AZ251" s="300"/>
      <c r="BA251" s="291" t="str">
        <f aca="false">IF($A251="N/A"," ",(IF(MONTH(A251)&gt;=4,IF(MONTH(A251)&lt;=10,Inputs!$F$13,Inputs!$F$14),Inputs!$F$14))*$BW251)</f>
        <v> </v>
      </c>
      <c r="BB251" s="292" t="str">
        <f aca="false">IF($A251="N/A"," ",(IF(AK251&gt;0,($BA251*(8*(VLOOKUP($A251,NumberofDaysTable,2)))*P251),0)+IF(AS251&gt;0,($BA251*((AS251))*P251),0)))</f>
        <v> </v>
      </c>
      <c r="BC251" s="292" t="str">
        <f aca="false">IF($A251="N/A"," ",(IF(AL251&gt;0,($BA251*(8*(VLOOKUP($A251,NumberofDaysTable,2)))*Q251),0)+IF(AT251&gt;0,($BA251*((AT251))*Q251),0)))</f>
        <v> </v>
      </c>
      <c r="BD251" s="292" t="str">
        <f aca="false">IF($A251="N/A"," ",(IF(AM251&gt;0,($BA251*(8*(VLOOKUP($A251,NumberofDaysTable,3)))*R251),0)+IF(AU251&gt;0,($BA251*((AU251))*R251),0)))</f>
        <v> </v>
      </c>
      <c r="BE251" s="292" t="str">
        <f aca="false">IF($A251="N/A"," ",(IF(AN251&gt;0,($BA251*(8*(VLOOKUP($A251,NumberofDaysTable,3)))*S251),0)+IF(AV251&gt;0,($BA251*((AV251))*S251),0)))</f>
        <v> </v>
      </c>
      <c r="BF251" s="292" t="str">
        <f aca="false">IF($A251="N/A"," ",(IF(AO251&gt;0,($BA251*(8*(VLOOKUP($A251,NumberofDaysTable,4)+VLOOKUP($A251,NumberofDaysTable,5)))*T251),0)+IF(AW251&gt;0,($BA251*((AW251))*T251),0)))</f>
        <v> </v>
      </c>
      <c r="BG251" s="292" t="str">
        <f aca="false">IF($A251="N/A"," ",(IF(AP251&gt;0,($BA251*(8*(VLOOKUP($A251,NumberofDaysTable,4)+VLOOKUP($A251,NumberofDaysTable,5)))*U251),0)+IF(AX251&gt;0,($BA251*((AX251))*U251),0)))</f>
        <v> </v>
      </c>
      <c r="BH251" s="292" t="str">
        <f aca="false">IF($A251="N/A"," ",($BA251*AQ251*V251))</f>
        <v> </v>
      </c>
      <c r="BI251" s="292" t="str">
        <f aca="false">IF($A251="N/A"," ",SUM(BB251:BH251))</f>
        <v> </v>
      </c>
      <c r="BJ251" s="293" t="str">
        <f aca="false">IF($A251="N/A"," ",(H251*(SUM(AK251:AQ251)+SUM(AS251:AY251))*BA251))</f>
        <v> </v>
      </c>
      <c r="BK251" s="293" t="str">
        <f aca="false">IF($A251="N/A"," ",((C251*D251)*(SUM($AK251:$AQ251)+SUM($AS251:$AY251))*$BA251))</f>
        <v> </v>
      </c>
      <c r="BL251" s="293" t="str">
        <f aca="false">IF($A251="N/A"," ",(F251*(SUM($AK251:$AQ251)+SUM($AS251:$AY251))*$BA251))</f>
        <v> </v>
      </c>
      <c r="BM251" s="293" t="str">
        <f aca="false">IF($A251="N/A"," ",(G251*(SUM($AK251:$AQ251)+SUM($AS251:$AY251))*$BA251))</f>
        <v> </v>
      </c>
      <c r="BN251" s="294" t="str">
        <f aca="false">IF(A251="N/A"," ",(VLOOKUP(A251,PowerVolTable,(IF('Pricing Inputs'!$AT$3=2,7,IF('Pricing Inputs'!$AT$3=1,6,8))),FALSE())))</f>
        <v> </v>
      </c>
      <c r="BO251" s="294" t="str">
        <f aca="false">IF(A251="N/A"," ",(VLOOKUP(A251,IntraPowerVol,(IF('Pricing Inputs'!$AT$3=2,3,IF('Pricing Inputs'!$AT$3=1,2,4))),FALSE())*VLOOKUP(MONTH($A251),Inputs!$A$28:$B$39,2)))</f>
        <v> </v>
      </c>
      <c r="BP251" s="295" t="str">
        <f aca="false">IF($A251="N/A"," ",(IF(DateToday&gt;$A251,$BO251,((($BN251^2)*((($A251-1)-DateToday)/((EOMONTH($A251,0)+1)-DateToday-15)))+((($BO251)^2)*((15)/((EOMONTH($A251,0)+1)-DateToday-15))))^0.5)))</f>
        <v> </v>
      </c>
      <c r="BQ251" s="294" t="str">
        <f aca="false">IF($A251="N/A"," ",(VLOOKUP($A251,GasVolTable,(IF('Pricing Inputs'!$AT$3=2,6,IF('Pricing Inputs'!$AT$3=1,7,5))),FALSE())))</f>
        <v> </v>
      </c>
      <c r="BR251" s="294" t="str">
        <f aca="false">IF($A251="N/A"," ",(VLOOKUP($A251,OmicronVol,(IF('Pricing Inputs'!$AT$3=2,3,IF('Pricing Inputs'!$AT$3=1,4,2))),FALSE())))</f>
        <v> </v>
      </c>
      <c r="BS251" s="295" t="str">
        <f aca="false">IF($A251="N/A"," ",IF('Pricing Inputs'!$AN$3=1,(IF(DateToday&gt;$A251,$BR251,((($BQ251^2)*((($A251-1)-DateToday)/((EOMONTH($A251,0)+1)-DateToday-15)))+((($BR251)^2)*((15)/((EOMONTH($A251,0)+1)-DateToday-15))))^0.5)),0.0001))</f>
        <v> </v>
      </c>
      <c r="BT251" s="294" t="str">
        <f aca="false">IF($A251="N/A"," ",IF('Pricing Inputs'!$AN$3=1,(VLOOKUP($A251,CorrelationTable,2,FALSE())),0))</f>
        <v> </v>
      </c>
      <c r="BU251" s="296" t="str">
        <f aca="false">IF($A251="N/A"," ",F251+G251+(D251*(VLOOKUP($A251,'Gas Curves'!$B$17:$P$310,14,FALSE()))))</f>
        <v> </v>
      </c>
      <c r="BV251" s="294" t="str">
        <f aca="false">IF($A251="N/A"," ",IF('Pricing Inputs'!$AW$3=1,0,(VLOOKUP($A251,InterestRatesTable,2))))</f>
        <v> </v>
      </c>
      <c r="BW251" s="297" t="str">
        <f aca="false">IF($A251="N/A"," ",(1+BV251/2)^(-2*((EOMONTH(A251,0)+20)-DateToday)/365.25))</f>
        <v> </v>
      </c>
    </row>
    <row r="252" customFormat="false" ht="12.75" hidden="false" customHeight="false" outlineLevel="0" collapsed="false">
      <c r="A252" s="272" t="str">
        <f aca="false">IF(A251="N/A","N/A",IF(EDATE(A251,1)&gt;Inputs!$K$3,"N/A",EDATE(A251,1)))</f>
        <v>N/A</v>
      </c>
      <c r="B252" s="273" t="str">
        <f aca="false">IF(A252="N/A"," ",YEAR(A252))</f>
        <v> </v>
      </c>
      <c r="C252" s="274" t="str">
        <f aca="false">IF(A252="N/A"," ",VLOOKUP(A252,ScaledPrice,10))</f>
        <v> </v>
      </c>
      <c r="D252" s="275" t="str">
        <f aca="false">IF(A252="N/A"," ",(VLOOKUP(MONTH($A252),Inputs!$A$14:$B$25,2))/1000)</f>
        <v> </v>
      </c>
      <c r="E252" s="276" t="str">
        <f aca="false">IF($A252="N/A"," ",C252*D252)</f>
        <v> </v>
      </c>
      <c r="F252" s="277" t="str">
        <f aca="false">IF(A252="N/A"," ",Inputs!$F$6)</f>
        <v> </v>
      </c>
      <c r="G252" s="277" t="str">
        <f aca="false">IF(A252="N/A"," ",Inputs!$F$9/IF(AND('Pricing Inputs'!$AQ$3&gt;=4,'Pricing Inputs'!$AQ$3&lt;=6),16,IF(AND('Pricing Inputs'!$AQ$3&gt;=7,'Pricing Inputs'!$AQ$3&lt;=9),8,24))/(BA252/BW252))</f>
        <v> </v>
      </c>
      <c r="H252" s="278" t="str">
        <f aca="false">IF(A252="N/A"," ",(C252*D252)+F252+G252)</f>
        <v> </v>
      </c>
      <c r="I252" s="279" t="str">
        <f aca="false">VLOOKUP(A252,ScaledPrice,(IF(AND('Pricing Inputs'!$AQ$3&gt;=1,'Pricing Inputs'!$AQ$3&lt;=6),2,4)))</f>
        <v> </v>
      </c>
      <c r="J252" s="279" t="str">
        <f aca="false">IF(A252="N/A"," ",IF(AND('Pricing Inputs'!$AQ$3&gt;=1,'Pricing Inputs'!$AQ$3&lt;=6),I252,(VLOOKUP(A252,ScaledPrice,2))*(2-(VLOOKUP(A252,ScaledPrice,3)))))</f>
        <v> </v>
      </c>
      <c r="K252" s="279" t="str">
        <f aca="false">IF(A252="N/A"," ",IF(OR('Pricing Inputs'!$AQ$3=2,'Pricing Inputs'!$AQ$3=3,'Pricing Inputs'!$AQ$3=5,'Pricing Inputs'!$AQ$3=6,'Pricing Inputs'!$AQ$3=8,'Pricing Inputs'!$AQ$3=9),VLOOKUP(A252,ScaledPrice,IF(AND('Pricing Inputs'!$AQ$3&gt;=2,'Pricing Inputs'!$AQ$3&lt;=6),5,6)),0))</f>
        <v> </v>
      </c>
      <c r="L252" s="279" t="str">
        <f aca="false">IF(A252="N/A"," ",IF(OR('Pricing Inputs'!$AQ$3=2,'Pricing Inputs'!$AQ$3=3,'Pricing Inputs'!$AQ$3=5,'Pricing Inputs'!$AQ$3=6,'Pricing Inputs'!$AQ$3=8,'Pricing Inputs'!$AQ$3=9),IF(AND('Pricing Inputs'!$AQ$3&gt;=2,'Pricing Inputs'!$AQ$3&lt;=6),K252,(VLOOKUP(A252,ScaledPrice,5))*(2-(VLOOKUP(A252,ScaledPrice,3)))),0))</f>
        <v> </v>
      </c>
      <c r="M252" s="279" t="str">
        <f aca="false">IF(A252="N/A"," ",IF(OR('Pricing Inputs'!$AQ$3=3,'Pricing Inputs'!$AQ$3=6,'Pricing Inputs'!$AQ$3=9),(VLOOKUP(A252,ScaledPrice,IF(AND('Pricing Inputs'!$AQ$3&gt;=3,'Pricing Inputs'!$AQ$3&lt;=6),7,8))),0))</f>
        <v> </v>
      </c>
      <c r="N252" s="279" t="str">
        <f aca="false">IF(A252="N/A"," ",IF(OR('Pricing Inputs'!$AQ$3=3,'Pricing Inputs'!$AQ$3=6,'Pricing Inputs'!$AQ$3=9),IF(AND('Pricing Inputs'!$AQ$3&gt;=3,'Pricing Inputs'!$AQ$3&lt;=6),M252,(VLOOKUP(A252,ScaledPrice,7))*(2-(VLOOKUP(A252,ScaledPrice,3)))),0))</f>
        <v> </v>
      </c>
      <c r="O252" s="279" t="str">
        <f aca="false">IF(A252="N/A"," ",IF(AND('Pricing Inputs'!$AQ$3&gt;=1,'Pricing Inputs'!$AQ$3&lt;=3),VLOOKUP(A252,ScaledPrice,9),0))</f>
        <v> </v>
      </c>
      <c r="P252" s="280" t="str">
        <f aca="false">IF($A252="N/A"," ",IF('Pricing Inputs'!$AN$8=2,(I252-H252),IF('Pricing Inputs'!$AN$3=2,IF((I252-$H252)&gt;0,I252-$H252,0),(xSPRDOPT(I252,$E252,$BU252,0,$BP252,$BS252,$BT252,($A252-Inputs!$D$1)+15,1,0)))))</f>
        <v> </v>
      </c>
      <c r="Q252" s="280" t="str">
        <f aca="false">IF($A252="N/A"," ",IF('Pricing Inputs'!$AN$8=2,(J252-$H252),IF('Pricing Inputs'!$AN$3=2,IF((J252-$H252)&gt;0,J252-$H252,0),(xSPRDOPT(J252,$E252,$BU252,0,$BP252,$BS252,$BT252,($A252-Inputs!$D$1)+15,1,0)))))</f>
        <v> </v>
      </c>
      <c r="R252" s="280" t="str">
        <f aca="false">IF($A252="N/A"," ",IF('Pricing Inputs'!$AN$8=2,(K252-$H252),IF('Pricing Inputs'!$AN$3=2,IF((K252-$H252)&gt;0,K252-$H252,0),(xSPRDOPT(K252,$E252,$BU252,0,$BP252,$BS252,$BT252,($A252-Inputs!$D$1)+15,1,0)))))</f>
        <v> </v>
      </c>
      <c r="S252" s="280" t="str">
        <f aca="false">IF($A252="N/A"," ",IF('Pricing Inputs'!$AN$8=2,(L252-$H252),IF('Pricing Inputs'!$AN$3=2,IF((L252-$H252)&gt;0,L252-$H252,0),(xSPRDOPT(L252,$E252,$BU252,0,$BP252,$BS252,$BT252,($A252-Inputs!$D$1)+15,1,0)))))</f>
        <v> </v>
      </c>
      <c r="T252" s="280" t="str">
        <f aca="false">IF($A252="N/A"," ",IF('Pricing Inputs'!$AN$8=2,(M252-$H252),IF('Pricing Inputs'!$AN$3=2,IF((M252-$H252)&gt;0,M252-$H252,0),(xSPRDOPT(M252,$E252,$BU252,0,$BP252,$BS252,$BT252,($A252-Inputs!$D$1)+15,1,0)))))</f>
        <v> </v>
      </c>
      <c r="U252" s="280" t="str">
        <f aca="false">IF($A252="N/A"," ",IF('Pricing Inputs'!$AN$8=2,(N252-$H252),IF('Pricing Inputs'!$AN$3=2,IF((N252-$H252)&gt;0,N252-$H252,0),(xSPRDOPT(N252,$E252,$BU252,0,$BP252,$BS252,$BT252,($A252-Inputs!$D$1)+15,1,0)))))</f>
        <v> </v>
      </c>
      <c r="V252" s="281" t="str">
        <f aca="false">IF($A252="N/A"," ",(IF('Pricing Inputs'!$AN$8=2,(O252-$H252),IF((O252-$H252)&lt;=0,0,(O252-$H252)))))</f>
        <v> </v>
      </c>
      <c r="W252" s="282" t="str">
        <f aca="false">IF($A252="N/A"," ",IF(0&lt;&gt;P252,IF('Pricing Inputs'!$AN$3=2,8*VLOOKUP($A252,NumberofDaysTable,2),(xSPRDOPT(I252,$E252,$BU252,0,$BP252,$BS252,$BT252,$A252-Inputs!$D$1,1,1))*(8*VLOOKUP($A252,NumberofDaysTable,2))),0))</f>
        <v> </v>
      </c>
      <c r="X252" s="282" t="str">
        <f aca="false">IF($A252="N/A"," ",IF(Q252&lt;&gt;0,IF('Pricing Inputs'!$AN$3=2,8*VLOOKUP($A252,NumberofDaysTable,2),(xSPRDOPT(J252,$E252,$BU252,0,$BP252,$BS252,$BT252,$A252-Inputs!$D$1,1,1))*(8*VLOOKUP($A252,NumberofDaysTable,2))),0))</f>
        <v> </v>
      </c>
      <c r="Y252" s="282" t="str">
        <f aca="false">IF($A252="N/A"," ",IF(R252&lt;&gt;0,IF('Pricing Inputs'!$AN$3=2,8*VLOOKUP($A252,NumberofDaysTable,3),(xSPRDOPT(K252,$E252,$BU252,0,$BP252,$BS252,$BT252,$A252-Inputs!$D$1,1,1))*(8*VLOOKUP($A252,NumberofDaysTable,3))),0))</f>
        <v> </v>
      </c>
      <c r="Z252" s="282" t="str">
        <f aca="false">IF($A252="N/A"," ",IF(S252&lt;&gt;0,IF('Pricing Inputs'!$AN$3=2,8*VLOOKUP($A252,NumberofDaysTable,3),(xSPRDOPT(L252,$E252,$BU252,0,$BP252,$BS252,$BT252,$A252-Inputs!$D$1,1,1))*(8*VLOOKUP($A252,NumberofDaysTable,3))),0))</f>
        <v> </v>
      </c>
      <c r="AA252" s="282" t="str">
        <f aca="false">IF($A252="N/A"," ",IF(T252&lt;&gt;0,IF('Pricing Inputs'!$AN$3=2,8*VLOOKUP($A252,NumberofDaysTable,4),(xSPRDOPT(M252,$E252,$BU252,0,$BP252,$BS252,$BT252,$A252-Inputs!$D$1,1,1))*(8*VLOOKUP($A252,NumberofDaysTable,4))),0))</f>
        <v> </v>
      </c>
      <c r="AB252" s="282" t="str">
        <f aca="false">IF($A252="N/A"," ",IF(U252&lt;&gt;0,IF('Pricing Inputs'!$AN$3=2,8*VLOOKUP($A252,NumberofDaysTable,4),(xSPRDOPT(N252,$E252,$BU252,0,$BP252,$BS252,$BT252,$A252-Inputs!$D$1,1,1))*(8*VLOOKUP($A252,NumberofDaysTable,4))),0))</f>
        <v> </v>
      </c>
      <c r="AC252" s="282" t="str">
        <f aca="false">IF($A252="N/A"," ",(IF(V252&lt;&gt;0,(8*VLOOKUP($A252,NumberofDaysTable,6)),0)))</f>
        <v> </v>
      </c>
      <c r="AD252" s="298" t="str">
        <f aca="false">IF($A252="N/A"," ",RANK(P252,$P$244:$V$255))</f>
        <v> </v>
      </c>
      <c r="AE252" s="299" t="str">
        <f aca="false">IF($A252="N/A"," ",RANK(Q252,$P$244:$V$255))</f>
        <v> </v>
      </c>
      <c r="AF252" s="299" t="str">
        <f aca="false">IF($A252="N/A"," ",RANK(R252,$P$244:$V$255))</f>
        <v> </v>
      </c>
      <c r="AG252" s="299" t="str">
        <f aca="false">IF($A252="N/A"," ",RANK(S252,$P$244:$V$255))</f>
        <v> </v>
      </c>
      <c r="AH252" s="299" t="str">
        <f aca="false">IF($A252="N/A"," ",RANK(T252,$P$244:$V$255))</f>
        <v> </v>
      </c>
      <c r="AI252" s="299" t="str">
        <f aca="false">IF($A252="N/A"," ",RANK(U252,$P$244:$V$255))</f>
        <v> </v>
      </c>
      <c r="AJ252" s="300" t="str">
        <f aca="false">IF($A252="N/A"," ",RANK(V252,$P$244:$V$255))</f>
        <v> </v>
      </c>
      <c r="AK252" s="286" t="str">
        <f aca="false">IF($A252="N/A"," ",IF(AD252&lt;=$AJ$2,W252,0))</f>
        <v> </v>
      </c>
      <c r="AL252" s="301" t="str">
        <f aca="false">IF($A252="N/A"," ",IF(AE252&lt;=$AJ$2,X252,0))</f>
        <v> </v>
      </c>
      <c r="AM252" s="301" t="str">
        <f aca="false">IF($A252="N/A"," ",IF(AF252&lt;=$AJ$2,Y252,0))</f>
        <v> </v>
      </c>
      <c r="AN252" s="301" t="str">
        <f aca="false">IF($A252="N/A"," ",IF(AG252&lt;=$AJ$2,Z252,0))</f>
        <v> </v>
      </c>
      <c r="AO252" s="301" t="str">
        <f aca="false">IF($A252="N/A"," ",IF(AH252&lt;=$AJ$2,AA252,0))</f>
        <v> </v>
      </c>
      <c r="AP252" s="301" t="str">
        <f aca="false">IF($A252="N/A"," ",IF(AI252&lt;=$AJ$2,AB252,0))</f>
        <v> </v>
      </c>
      <c r="AQ252" s="301" t="str">
        <f aca="false">IF($A252="N/A"," ",IF(AJ252&lt;=$AJ$2,AC252,0))</f>
        <v> </v>
      </c>
      <c r="AR252" s="303"/>
      <c r="AS252" s="288" t="str">
        <f aca="false">IF($A252="N/A"," ",IF(AND(AD252=$AJ$2+1,AK252=0),MIN($AR$255,W252),0))</f>
        <v> </v>
      </c>
      <c r="AT252" s="302" t="str">
        <f aca="false">IF($A252="N/A"," ",IF(AND(AE252=$AJ$2+1,AL252=0),MIN($AR$255,X252),0))</f>
        <v> </v>
      </c>
      <c r="AU252" s="302" t="str">
        <f aca="false">IF($A252="N/A"," ",IF(AND(AF252=$AJ$2+1,AM252=0),MIN($AR$255,Y252),0))</f>
        <v> </v>
      </c>
      <c r="AV252" s="302" t="str">
        <f aca="false">IF($A252="N/A"," ",IF(AND(AG252=$AJ$2+1,AN252=0),MIN($AR$255,Z252),0))</f>
        <v> </v>
      </c>
      <c r="AW252" s="302" t="str">
        <f aca="false">IF($A252="N/A"," ",IF(AND(AH252=$AJ$2+1,AO252=0),MIN($AR$255,AA252),0))</f>
        <v> </v>
      </c>
      <c r="AX252" s="302" t="str">
        <f aca="false">IF($A252="N/A"," ",IF(AND(AI252=$AJ$2+1,AP252=0),MIN($AR$255,AB252),0))</f>
        <v> </v>
      </c>
      <c r="AY252" s="302" t="str">
        <f aca="false">IF($A252="N/A"," ",IF(AND(AJ252=$AJ$2+1,AQ252=0),MIN($AR$255,AC252),0))</f>
        <v> </v>
      </c>
      <c r="AZ252" s="300"/>
      <c r="BA252" s="291" t="str">
        <f aca="false">IF($A252="N/A"," ",(IF(MONTH(A252)&gt;=4,IF(MONTH(A252)&lt;=10,Inputs!$F$13,Inputs!$F$14),Inputs!$F$14))*$BW252)</f>
        <v> </v>
      </c>
      <c r="BB252" s="292" t="str">
        <f aca="false">IF($A252="N/A"," ",(IF(AK252&gt;0,($BA252*(8*(VLOOKUP($A252,NumberofDaysTable,2)))*P252),0)+IF(AS252&gt;0,($BA252*((AS252))*P252),0)))</f>
        <v> </v>
      </c>
      <c r="BC252" s="292" t="str">
        <f aca="false">IF($A252="N/A"," ",(IF(AL252&gt;0,($BA252*(8*(VLOOKUP($A252,NumberofDaysTable,2)))*Q252),0)+IF(AT252&gt;0,($BA252*((AT252))*Q252),0)))</f>
        <v> </v>
      </c>
      <c r="BD252" s="292" t="str">
        <f aca="false">IF($A252="N/A"," ",(IF(AM252&gt;0,($BA252*(8*(VLOOKUP($A252,NumberofDaysTable,3)))*R252),0)+IF(AU252&gt;0,($BA252*((AU252))*R252),0)))</f>
        <v> </v>
      </c>
      <c r="BE252" s="292" t="str">
        <f aca="false">IF($A252="N/A"," ",(IF(AN252&gt;0,($BA252*(8*(VLOOKUP($A252,NumberofDaysTable,3)))*S252),0)+IF(AV252&gt;0,($BA252*((AV252))*S252),0)))</f>
        <v> </v>
      </c>
      <c r="BF252" s="292" t="str">
        <f aca="false">IF($A252="N/A"," ",(IF(AO252&gt;0,($BA252*(8*(VLOOKUP($A252,NumberofDaysTable,4)+VLOOKUP($A252,NumberofDaysTable,5)))*T252),0)+IF(AW252&gt;0,($BA252*((AW252))*T252),0)))</f>
        <v> </v>
      </c>
      <c r="BG252" s="292" t="str">
        <f aca="false">IF($A252="N/A"," ",(IF(AP252&gt;0,($BA252*(8*(VLOOKUP($A252,NumberofDaysTable,4)+VLOOKUP($A252,NumberofDaysTable,5)))*U252),0)+IF(AX252&gt;0,($BA252*((AX252))*U252),0)))</f>
        <v> </v>
      </c>
      <c r="BH252" s="292" t="str">
        <f aca="false">IF($A252="N/A"," ",($BA252*AQ252*V252))</f>
        <v> </v>
      </c>
      <c r="BI252" s="292" t="str">
        <f aca="false">IF($A252="N/A"," ",SUM(BB252:BH252))</f>
        <v> </v>
      </c>
      <c r="BJ252" s="293" t="str">
        <f aca="false">IF($A252="N/A"," ",(H252*(SUM(AK252:AQ252)+SUM(AS252:AY252))*BA252))</f>
        <v> </v>
      </c>
      <c r="BK252" s="293" t="str">
        <f aca="false">IF($A252="N/A"," ",((C252*D252)*(SUM($AK252:$AQ252)+SUM($AS252:$AY252))*$BA252))</f>
        <v> </v>
      </c>
      <c r="BL252" s="293" t="str">
        <f aca="false">IF($A252="N/A"," ",(F252*(SUM($AK252:$AQ252)+SUM($AS252:$AY252))*$BA252))</f>
        <v> </v>
      </c>
      <c r="BM252" s="293" t="str">
        <f aca="false">IF($A252="N/A"," ",(G252*(SUM($AK252:$AQ252)+SUM($AS252:$AY252))*$BA252))</f>
        <v> </v>
      </c>
      <c r="BN252" s="294" t="str">
        <f aca="false">IF(A252="N/A"," ",(VLOOKUP(A252,PowerVolTable,(IF('Pricing Inputs'!$AT$3=2,7,IF('Pricing Inputs'!$AT$3=1,6,8))),FALSE())))</f>
        <v> </v>
      </c>
      <c r="BO252" s="294" t="str">
        <f aca="false">IF(A252="N/A"," ",(VLOOKUP(A252,IntraPowerVol,(IF('Pricing Inputs'!$AT$3=2,3,IF('Pricing Inputs'!$AT$3=1,2,4))),FALSE())*VLOOKUP(MONTH($A252),Inputs!$A$28:$B$39,2)))</f>
        <v> </v>
      </c>
      <c r="BP252" s="295" t="str">
        <f aca="false">IF($A252="N/A"," ",(IF(DateToday&gt;$A252,$BO252,((($BN252^2)*((($A252-1)-DateToday)/((EOMONTH($A252,0)+1)-DateToday-15)))+((($BO252)^2)*((15)/((EOMONTH($A252,0)+1)-DateToday-15))))^0.5)))</f>
        <v> </v>
      </c>
      <c r="BQ252" s="294" t="str">
        <f aca="false">IF($A252="N/A"," ",(VLOOKUP($A252,GasVolTable,(IF('Pricing Inputs'!$AT$3=2,6,IF('Pricing Inputs'!$AT$3=1,7,5))),FALSE())))</f>
        <v> </v>
      </c>
      <c r="BR252" s="294" t="str">
        <f aca="false">IF($A252="N/A"," ",(VLOOKUP($A252,OmicronVol,(IF('Pricing Inputs'!$AT$3=2,3,IF('Pricing Inputs'!$AT$3=1,4,2))),FALSE())))</f>
        <v> </v>
      </c>
      <c r="BS252" s="295" t="str">
        <f aca="false">IF($A252="N/A"," ",IF('Pricing Inputs'!$AN$3=1,(IF(DateToday&gt;$A252,$BR252,((($BQ252^2)*((($A252-1)-DateToday)/((EOMONTH($A252,0)+1)-DateToday-15)))+((($BR252)^2)*((15)/((EOMONTH($A252,0)+1)-DateToday-15))))^0.5)),0.0001))</f>
        <v> </v>
      </c>
      <c r="BT252" s="294" t="str">
        <f aca="false">IF($A252="N/A"," ",IF('Pricing Inputs'!$AN$3=1,(VLOOKUP($A252,CorrelationTable,2,FALSE())),0))</f>
        <v> </v>
      </c>
      <c r="BU252" s="296" t="str">
        <f aca="false">IF($A252="N/A"," ",F252+G252+(D252*(VLOOKUP($A252,'Gas Curves'!$B$17:$P$310,14,FALSE()))))</f>
        <v> </v>
      </c>
      <c r="BV252" s="294" t="str">
        <f aca="false">IF($A252="N/A"," ",IF('Pricing Inputs'!$AW$3=1,0,(VLOOKUP($A252,InterestRatesTable,2))))</f>
        <v> </v>
      </c>
      <c r="BW252" s="297" t="str">
        <f aca="false">IF($A252="N/A"," ",(1+BV252/2)^(-2*((EOMONTH(A252,0)+20)-DateToday)/365.25))</f>
        <v> </v>
      </c>
    </row>
    <row r="253" customFormat="false" ht="12.75" hidden="false" customHeight="false" outlineLevel="0" collapsed="false">
      <c r="A253" s="272" t="str">
        <f aca="false">IF(A252="N/A","N/A",IF(EDATE(A252,1)&gt;Inputs!$K$3,"N/A",EDATE(A252,1)))</f>
        <v>N/A</v>
      </c>
      <c r="B253" s="273" t="str">
        <f aca="false">IF(A253="N/A"," ",YEAR(A253))</f>
        <v> </v>
      </c>
      <c r="C253" s="274" t="str">
        <f aca="false">IF(A253="N/A"," ",VLOOKUP(A253,ScaledPrice,10))</f>
        <v> </v>
      </c>
      <c r="D253" s="275" t="str">
        <f aca="false">IF(A253="N/A"," ",(VLOOKUP(MONTH($A253),Inputs!$A$14:$B$25,2))/1000)</f>
        <v> </v>
      </c>
      <c r="E253" s="276" t="str">
        <f aca="false">IF($A253="N/A"," ",C253*D253)</f>
        <v> </v>
      </c>
      <c r="F253" s="277" t="str">
        <f aca="false">IF(A253="N/A"," ",Inputs!$F$6)</f>
        <v> </v>
      </c>
      <c r="G253" s="277" t="str">
        <f aca="false">IF(A253="N/A"," ",Inputs!$F$9/IF(AND('Pricing Inputs'!$AQ$3&gt;=4,'Pricing Inputs'!$AQ$3&lt;=6),16,IF(AND('Pricing Inputs'!$AQ$3&gt;=7,'Pricing Inputs'!$AQ$3&lt;=9),8,24))/(BA253/BW253))</f>
        <v> </v>
      </c>
      <c r="H253" s="278" t="str">
        <f aca="false">IF(A253="N/A"," ",(C253*D253)+F253+G253)</f>
        <v> </v>
      </c>
      <c r="I253" s="279" t="str">
        <f aca="false">VLOOKUP(A253,ScaledPrice,(IF(AND('Pricing Inputs'!$AQ$3&gt;=1,'Pricing Inputs'!$AQ$3&lt;=6),2,4)))</f>
        <v> </v>
      </c>
      <c r="J253" s="279" t="str">
        <f aca="false">IF(A253="N/A"," ",IF(AND('Pricing Inputs'!$AQ$3&gt;=1,'Pricing Inputs'!$AQ$3&lt;=6),I253,(VLOOKUP(A253,ScaledPrice,2))*(2-(VLOOKUP(A253,ScaledPrice,3)))))</f>
        <v> </v>
      </c>
      <c r="K253" s="279" t="str">
        <f aca="false">IF(A253="N/A"," ",IF(OR('Pricing Inputs'!$AQ$3=2,'Pricing Inputs'!$AQ$3=3,'Pricing Inputs'!$AQ$3=5,'Pricing Inputs'!$AQ$3=6,'Pricing Inputs'!$AQ$3=8,'Pricing Inputs'!$AQ$3=9),VLOOKUP(A253,ScaledPrice,IF(AND('Pricing Inputs'!$AQ$3&gt;=2,'Pricing Inputs'!$AQ$3&lt;=6),5,6)),0))</f>
        <v> </v>
      </c>
      <c r="L253" s="279" t="str">
        <f aca="false">IF(A253="N/A"," ",IF(OR('Pricing Inputs'!$AQ$3=2,'Pricing Inputs'!$AQ$3=3,'Pricing Inputs'!$AQ$3=5,'Pricing Inputs'!$AQ$3=6,'Pricing Inputs'!$AQ$3=8,'Pricing Inputs'!$AQ$3=9),IF(AND('Pricing Inputs'!$AQ$3&gt;=2,'Pricing Inputs'!$AQ$3&lt;=6),K253,(VLOOKUP(A253,ScaledPrice,5))*(2-(VLOOKUP(A253,ScaledPrice,3)))),0))</f>
        <v> </v>
      </c>
      <c r="M253" s="279" t="str">
        <f aca="false">IF(A253="N/A"," ",IF(OR('Pricing Inputs'!$AQ$3=3,'Pricing Inputs'!$AQ$3=6,'Pricing Inputs'!$AQ$3=9),(VLOOKUP(A253,ScaledPrice,IF(AND('Pricing Inputs'!$AQ$3&gt;=3,'Pricing Inputs'!$AQ$3&lt;=6),7,8))),0))</f>
        <v> </v>
      </c>
      <c r="N253" s="279" t="str">
        <f aca="false">IF(A253="N/A"," ",IF(OR('Pricing Inputs'!$AQ$3=3,'Pricing Inputs'!$AQ$3=6,'Pricing Inputs'!$AQ$3=9),IF(AND('Pricing Inputs'!$AQ$3&gt;=3,'Pricing Inputs'!$AQ$3&lt;=6),M253,(VLOOKUP(A253,ScaledPrice,7))*(2-(VLOOKUP(A253,ScaledPrice,3)))),0))</f>
        <v> </v>
      </c>
      <c r="O253" s="279" t="str">
        <f aca="false">IF(A253="N/A"," ",IF(AND('Pricing Inputs'!$AQ$3&gt;=1,'Pricing Inputs'!$AQ$3&lt;=3),VLOOKUP(A253,ScaledPrice,9),0))</f>
        <v> </v>
      </c>
      <c r="P253" s="280" t="str">
        <f aca="false">IF($A253="N/A"," ",IF('Pricing Inputs'!$AN$8=2,(I253-H253),IF('Pricing Inputs'!$AN$3=2,IF((I253-$H253)&gt;0,I253-$H253,0),(xSPRDOPT(I253,$E253,$BU253,0,$BP253,$BS253,$BT253,($A253-Inputs!$D$1)+15,1,0)))))</f>
        <v> </v>
      </c>
      <c r="Q253" s="280" t="str">
        <f aca="false">IF($A253="N/A"," ",IF('Pricing Inputs'!$AN$8=2,(J253-$H253),IF('Pricing Inputs'!$AN$3=2,IF((J253-$H253)&gt;0,J253-$H253,0),(xSPRDOPT(J253,$E253,$BU253,0,$BP253,$BS253,$BT253,($A253-Inputs!$D$1)+15,1,0)))))</f>
        <v> </v>
      </c>
      <c r="R253" s="280" t="str">
        <f aca="false">IF($A253="N/A"," ",IF('Pricing Inputs'!$AN$8=2,(K253-$H253),IF('Pricing Inputs'!$AN$3=2,IF((K253-$H253)&gt;0,K253-$H253,0),(xSPRDOPT(K253,$E253,$BU253,0,$BP253,$BS253,$BT253,($A253-Inputs!$D$1)+15,1,0)))))</f>
        <v> </v>
      </c>
      <c r="S253" s="280" t="str">
        <f aca="false">IF($A253="N/A"," ",IF('Pricing Inputs'!$AN$8=2,(L253-$H253),IF('Pricing Inputs'!$AN$3=2,IF((L253-$H253)&gt;0,L253-$H253,0),(xSPRDOPT(L253,$E253,$BU253,0,$BP253,$BS253,$BT253,($A253-Inputs!$D$1)+15,1,0)))))</f>
        <v> </v>
      </c>
      <c r="T253" s="280" t="str">
        <f aca="false">IF($A253="N/A"," ",IF('Pricing Inputs'!$AN$8=2,(M253-$H253),IF('Pricing Inputs'!$AN$3=2,IF((M253-$H253)&gt;0,M253-$H253,0),(xSPRDOPT(M253,$E253,$BU253,0,$BP253,$BS253,$BT253,($A253-Inputs!$D$1)+15,1,0)))))</f>
        <v> </v>
      </c>
      <c r="U253" s="280" t="str">
        <f aca="false">IF($A253="N/A"," ",IF('Pricing Inputs'!$AN$8=2,(N253-$H253),IF('Pricing Inputs'!$AN$3=2,IF((N253-$H253)&gt;0,N253-$H253,0),(xSPRDOPT(N253,$E253,$BU253,0,$BP253,$BS253,$BT253,($A253-Inputs!$D$1)+15,1,0)))))</f>
        <v> </v>
      </c>
      <c r="V253" s="281" t="str">
        <f aca="false">IF($A253="N/A"," ",(IF('Pricing Inputs'!$AN$8=2,(O253-$H253),IF((O253-$H253)&lt;=0,0,(O253-$H253)))))</f>
        <v> </v>
      </c>
      <c r="W253" s="282" t="str">
        <f aca="false">IF($A253="N/A"," ",IF(0&lt;&gt;P253,IF('Pricing Inputs'!$AN$3=2,8*VLOOKUP($A253,NumberofDaysTable,2),(xSPRDOPT(I253,$E253,$BU253,0,$BP253,$BS253,$BT253,$A253-Inputs!$D$1,1,1))*(8*VLOOKUP($A253,NumberofDaysTable,2))),0))</f>
        <v> </v>
      </c>
      <c r="X253" s="282" t="str">
        <f aca="false">IF($A253="N/A"," ",IF(Q253&lt;&gt;0,IF('Pricing Inputs'!$AN$3=2,8*VLOOKUP($A253,NumberofDaysTable,2),(xSPRDOPT(J253,$E253,$BU253,0,$BP253,$BS253,$BT253,$A253-Inputs!$D$1,1,1))*(8*VLOOKUP($A253,NumberofDaysTable,2))),0))</f>
        <v> </v>
      </c>
      <c r="Y253" s="282" t="str">
        <f aca="false">IF($A253="N/A"," ",IF(R253&lt;&gt;0,IF('Pricing Inputs'!$AN$3=2,8*VLOOKUP($A253,NumberofDaysTable,3),(xSPRDOPT(K253,$E253,$BU253,0,$BP253,$BS253,$BT253,$A253-Inputs!$D$1,1,1))*(8*VLOOKUP($A253,NumberofDaysTable,3))),0))</f>
        <v> </v>
      </c>
      <c r="Z253" s="282" t="str">
        <f aca="false">IF($A253="N/A"," ",IF(S253&lt;&gt;0,IF('Pricing Inputs'!$AN$3=2,8*VLOOKUP($A253,NumberofDaysTable,3),(xSPRDOPT(L253,$E253,$BU253,0,$BP253,$BS253,$BT253,$A253-Inputs!$D$1,1,1))*(8*VLOOKUP($A253,NumberofDaysTable,3))),0))</f>
        <v> </v>
      </c>
      <c r="AA253" s="282" t="str">
        <f aca="false">IF($A253="N/A"," ",IF(T253&lt;&gt;0,IF('Pricing Inputs'!$AN$3=2,8*VLOOKUP($A253,NumberofDaysTable,4),(xSPRDOPT(M253,$E253,$BU253,0,$BP253,$BS253,$BT253,$A253-Inputs!$D$1,1,1))*(8*VLOOKUP($A253,NumberofDaysTable,4))),0))</f>
        <v> </v>
      </c>
      <c r="AB253" s="282" t="str">
        <f aca="false">IF($A253="N/A"," ",IF(U253&lt;&gt;0,IF('Pricing Inputs'!$AN$3=2,8*VLOOKUP($A253,NumberofDaysTable,4),(xSPRDOPT(N253,$E253,$BU253,0,$BP253,$BS253,$BT253,$A253-Inputs!$D$1,1,1))*(8*VLOOKUP($A253,NumberofDaysTable,4))),0))</f>
        <v> </v>
      </c>
      <c r="AC253" s="282" t="str">
        <f aca="false">IF($A253="N/A"," ",(IF(V253&lt;&gt;0,(8*VLOOKUP($A253,NumberofDaysTable,6)),0)))</f>
        <v> </v>
      </c>
      <c r="AD253" s="298" t="str">
        <f aca="false">IF($A253="N/A"," ",RANK(P253,$P$244:$V$255))</f>
        <v> </v>
      </c>
      <c r="AE253" s="299" t="str">
        <f aca="false">IF($A253="N/A"," ",RANK(Q253,$P$244:$V$255))</f>
        <v> </v>
      </c>
      <c r="AF253" s="299" t="str">
        <f aca="false">IF($A253="N/A"," ",RANK(R253,$P$244:$V$255))</f>
        <v> </v>
      </c>
      <c r="AG253" s="299" t="str">
        <f aca="false">IF($A253="N/A"," ",RANK(S253,$P$244:$V$255))</f>
        <v> </v>
      </c>
      <c r="AH253" s="299" t="str">
        <f aca="false">IF($A253="N/A"," ",RANK(T253,$P$244:$V$255))</f>
        <v> </v>
      </c>
      <c r="AI253" s="299" t="str">
        <f aca="false">IF($A253="N/A"," ",RANK(U253,$P$244:$V$255))</f>
        <v> </v>
      </c>
      <c r="AJ253" s="300" t="str">
        <f aca="false">IF($A253="N/A"," ",RANK(V253,$P$244:$V$255))</f>
        <v> </v>
      </c>
      <c r="AK253" s="286" t="str">
        <f aca="false">IF($A253="N/A"," ",IF(AD253&lt;=$AJ$2,W253,0))</f>
        <v> </v>
      </c>
      <c r="AL253" s="301" t="str">
        <f aca="false">IF($A253="N/A"," ",IF(AE253&lt;=$AJ$2,X253,0))</f>
        <v> </v>
      </c>
      <c r="AM253" s="301" t="str">
        <f aca="false">IF($A253="N/A"," ",IF(AF253&lt;=$AJ$2,Y253,0))</f>
        <v> </v>
      </c>
      <c r="AN253" s="301" t="str">
        <f aca="false">IF($A253="N/A"," ",IF(AG253&lt;=$AJ$2,Z253,0))</f>
        <v> </v>
      </c>
      <c r="AO253" s="301" t="str">
        <f aca="false">IF($A253="N/A"," ",IF(AH253&lt;=$AJ$2,AA253,0))</f>
        <v> </v>
      </c>
      <c r="AP253" s="301" t="str">
        <f aca="false">IF($A253="N/A"," ",IF(AI253&lt;=$AJ$2,AB253,0))</f>
        <v> </v>
      </c>
      <c r="AQ253" s="301" t="str">
        <f aca="false">IF($A253="N/A"," ",IF(AJ253&lt;=$AJ$2,AC253,0))</f>
        <v> </v>
      </c>
      <c r="AR253" s="304" t="s">
        <v>1301</v>
      </c>
      <c r="AS253" s="288" t="str">
        <f aca="false">IF($A253="N/A"," ",IF(AND(AD253=$AJ$2+1,AK253=0),MIN($AR$255,W253),0))</f>
        <v> </v>
      </c>
      <c r="AT253" s="302" t="str">
        <f aca="false">IF($A253="N/A"," ",IF(AND(AE253=$AJ$2+1,AL253=0),MIN($AR$255,X253),0))</f>
        <v> </v>
      </c>
      <c r="AU253" s="302" t="str">
        <f aca="false">IF($A253="N/A"," ",IF(AND(AF253=$AJ$2+1,AM253=0),MIN($AR$255,Y253),0))</f>
        <v> </v>
      </c>
      <c r="AV253" s="302" t="str">
        <f aca="false">IF($A253="N/A"," ",IF(AND(AG253=$AJ$2+1,AN253=0),MIN($AR$255,Z253),0))</f>
        <v> </v>
      </c>
      <c r="AW253" s="302" t="str">
        <f aca="false">IF($A253="N/A"," ",IF(AND(AH253=$AJ$2+1,AO253=0),MIN($AR$255,AA253),0))</f>
        <v> </v>
      </c>
      <c r="AX253" s="302" t="str">
        <f aca="false">IF($A253="N/A"," ",IF(AND(AI253=$AJ$2+1,AP253=0),MIN($AR$255,AB253),0))</f>
        <v> </v>
      </c>
      <c r="AY253" s="302" t="str">
        <f aca="false">IF($A253="N/A"," ",IF(AND(AJ253=$AJ$2+1,AQ253=0),MIN($AR$255,AC253),0))</f>
        <v> </v>
      </c>
      <c r="AZ253" s="303" t="s">
        <v>1328</v>
      </c>
      <c r="BA253" s="291" t="str">
        <f aca="false">IF($A253="N/A"," ",(IF(MONTH(A253)&gt;=4,IF(MONTH(A253)&lt;=10,Inputs!$F$13,Inputs!$F$14),Inputs!$F$14))*$BW253)</f>
        <v> </v>
      </c>
      <c r="BB253" s="292" t="str">
        <f aca="false">IF($A253="N/A"," ",(IF(AK253&gt;0,($BA253*(8*(VLOOKUP($A253,NumberofDaysTable,2)))*P253),0)+IF(AS253&gt;0,($BA253*((AS253))*P253),0)))</f>
        <v> </v>
      </c>
      <c r="BC253" s="292" t="str">
        <f aca="false">IF($A253="N/A"," ",(IF(AL253&gt;0,($BA253*(8*(VLOOKUP($A253,NumberofDaysTable,2)))*Q253),0)+IF(AT253&gt;0,($BA253*((AT253))*Q253),0)))</f>
        <v> </v>
      </c>
      <c r="BD253" s="292" t="str">
        <f aca="false">IF($A253="N/A"," ",(IF(AM253&gt;0,($BA253*(8*(VLOOKUP($A253,NumberofDaysTable,3)))*R253),0)+IF(AU253&gt;0,($BA253*((AU253))*R253),0)))</f>
        <v> </v>
      </c>
      <c r="BE253" s="292" t="str">
        <f aca="false">IF($A253="N/A"," ",(IF(AN253&gt;0,($BA253*(8*(VLOOKUP($A253,NumberofDaysTable,3)))*S253),0)+IF(AV253&gt;0,($BA253*((AV253))*S253),0)))</f>
        <v> </v>
      </c>
      <c r="BF253" s="292" t="str">
        <f aca="false">IF($A253="N/A"," ",(IF(AO253&gt;0,($BA253*(8*(VLOOKUP($A253,NumberofDaysTable,4)+VLOOKUP($A253,NumberofDaysTable,5)))*T253),0)+IF(AW253&gt;0,($BA253*((AW253))*T253),0)))</f>
        <v> </v>
      </c>
      <c r="BG253" s="292" t="str">
        <f aca="false">IF($A253="N/A"," ",(IF(AP253&gt;0,($BA253*(8*(VLOOKUP($A253,NumberofDaysTable,4)+VLOOKUP($A253,NumberofDaysTable,5)))*U253),0)+IF(AX253&gt;0,($BA253*((AX253))*U253),0)))</f>
        <v> </v>
      </c>
      <c r="BH253" s="292" t="str">
        <f aca="false">IF($A253="N/A"," ",($BA253*AQ253*V253))</f>
        <v> </v>
      </c>
      <c r="BI253" s="292" t="str">
        <f aca="false">IF($A253="N/A"," ",SUM(BB253:BH253))</f>
        <v> </v>
      </c>
      <c r="BJ253" s="293" t="str">
        <f aca="false">IF($A253="N/A"," ",(H253*(SUM(AK253:AQ253)+SUM(AS253:AY253))*BA253))</f>
        <v> </v>
      </c>
      <c r="BK253" s="293" t="str">
        <f aca="false">IF($A253="N/A"," ",((C253*D253)*(SUM($AK253:$AQ253)+SUM($AS253:$AY253))*$BA253))</f>
        <v> </v>
      </c>
      <c r="BL253" s="293" t="str">
        <f aca="false">IF($A253="N/A"," ",(F253*(SUM($AK253:$AQ253)+SUM($AS253:$AY253))*$BA253))</f>
        <v> </v>
      </c>
      <c r="BM253" s="293" t="str">
        <f aca="false">IF($A253="N/A"," ",(G253*(SUM($AK253:$AQ253)+SUM($AS253:$AY253))*$BA253))</f>
        <v> </v>
      </c>
      <c r="BN253" s="294" t="str">
        <f aca="false">IF(A253="N/A"," ",(VLOOKUP(A253,PowerVolTable,(IF('Pricing Inputs'!$AT$3=2,7,IF('Pricing Inputs'!$AT$3=1,6,8))),FALSE())))</f>
        <v> </v>
      </c>
      <c r="BO253" s="294" t="str">
        <f aca="false">IF(A253="N/A"," ",(VLOOKUP(A253,IntraPowerVol,(IF('Pricing Inputs'!$AT$3=2,3,IF('Pricing Inputs'!$AT$3=1,2,4))),FALSE())*VLOOKUP(MONTH($A253),Inputs!$A$28:$B$39,2)))</f>
        <v> </v>
      </c>
      <c r="BP253" s="295" t="str">
        <f aca="false">IF($A253="N/A"," ",(IF(DateToday&gt;$A253,$BO253,((($BN253^2)*((($A253-1)-DateToday)/((EOMONTH($A253,0)+1)-DateToday-15)))+((($BO253)^2)*((15)/((EOMONTH($A253,0)+1)-DateToday-15))))^0.5)))</f>
        <v> </v>
      </c>
      <c r="BQ253" s="294" t="str">
        <f aca="false">IF($A253="N/A"," ",(VLOOKUP($A253,GasVolTable,(IF('Pricing Inputs'!$AT$3=2,6,IF('Pricing Inputs'!$AT$3=1,7,5))),FALSE())))</f>
        <v> </v>
      </c>
      <c r="BR253" s="294" t="str">
        <f aca="false">IF($A253="N/A"," ",(VLOOKUP($A253,OmicronVol,(IF('Pricing Inputs'!$AT$3=2,3,IF('Pricing Inputs'!$AT$3=1,4,2))),FALSE())))</f>
        <v> </v>
      </c>
      <c r="BS253" s="295" t="str">
        <f aca="false">IF($A253="N/A"," ",IF('Pricing Inputs'!$AN$3=1,(IF(DateToday&gt;$A253,$BR253,((($BQ253^2)*((($A253-1)-DateToday)/((EOMONTH($A253,0)+1)-DateToday-15)))+((($BR253)^2)*((15)/((EOMONTH($A253,0)+1)-DateToday-15))))^0.5)),0.0001))</f>
        <v> </v>
      </c>
      <c r="BT253" s="294" t="str">
        <f aca="false">IF($A253="N/A"," ",IF('Pricing Inputs'!$AN$3=1,(VLOOKUP($A253,CorrelationTable,2,FALSE())),0))</f>
        <v> </v>
      </c>
      <c r="BU253" s="296" t="str">
        <f aca="false">IF($A253="N/A"," ",F253+G253+(D253*(VLOOKUP($A253,'Gas Curves'!$B$17:$P$310,14,FALSE()))))</f>
        <v> </v>
      </c>
      <c r="BV253" s="294" t="str">
        <f aca="false">IF($A253="N/A"," ",IF('Pricing Inputs'!$AW$3=1,0,(VLOOKUP($A253,InterestRatesTable,2))))</f>
        <v> </v>
      </c>
      <c r="BW253" s="297" t="str">
        <f aca="false">IF($A253="N/A"," ",(1+BV253/2)^(-2*((EOMONTH(A253,0)+20)-DateToday)/365.25))</f>
        <v> </v>
      </c>
    </row>
    <row r="254" customFormat="false" ht="12.75" hidden="false" customHeight="false" outlineLevel="0" collapsed="false">
      <c r="A254" s="272" t="str">
        <f aca="false">IF(A253="N/A","N/A",IF(EDATE(A253,1)&gt;Inputs!$K$3,"N/A",EDATE(A253,1)))</f>
        <v>N/A</v>
      </c>
      <c r="B254" s="273" t="str">
        <f aca="false">IF(A254="N/A"," ",YEAR(A254))</f>
        <v> </v>
      </c>
      <c r="C254" s="274" t="str">
        <f aca="false">IF(A254="N/A"," ",VLOOKUP(A254,ScaledPrice,10))</f>
        <v> </v>
      </c>
      <c r="D254" s="275" t="str">
        <f aca="false">IF(A254="N/A"," ",(VLOOKUP(MONTH($A254),Inputs!$A$14:$B$25,2))/1000)</f>
        <v> </v>
      </c>
      <c r="E254" s="276" t="str">
        <f aca="false">IF($A254="N/A"," ",C254*D254)</f>
        <v> </v>
      </c>
      <c r="F254" s="277" t="str">
        <f aca="false">IF(A254="N/A"," ",Inputs!$F$6)</f>
        <v> </v>
      </c>
      <c r="G254" s="277" t="str">
        <f aca="false">IF(A254="N/A"," ",Inputs!$F$9/IF(AND('Pricing Inputs'!$AQ$3&gt;=4,'Pricing Inputs'!$AQ$3&lt;=6),16,IF(AND('Pricing Inputs'!$AQ$3&gt;=7,'Pricing Inputs'!$AQ$3&lt;=9),8,24))/(BA254/BW254))</f>
        <v> </v>
      </c>
      <c r="H254" s="278" t="str">
        <f aca="false">IF(A254="N/A"," ",(C254*D254)+F254+G254)</f>
        <v> </v>
      </c>
      <c r="I254" s="279" t="str">
        <f aca="false">VLOOKUP(A254,ScaledPrice,(IF(AND('Pricing Inputs'!$AQ$3&gt;=1,'Pricing Inputs'!$AQ$3&lt;=6),2,4)))</f>
        <v> </v>
      </c>
      <c r="J254" s="279" t="str">
        <f aca="false">IF(A254="N/A"," ",IF(AND('Pricing Inputs'!$AQ$3&gt;=1,'Pricing Inputs'!$AQ$3&lt;=6),I254,(VLOOKUP(A254,ScaledPrice,2))*(2-(VLOOKUP(A254,ScaledPrice,3)))))</f>
        <v> </v>
      </c>
      <c r="K254" s="279" t="str">
        <f aca="false">IF(A254="N/A"," ",IF(OR('Pricing Inputs'!$AQ$3=2,'Pricing Inputs'!$AQ$3=3,'Pricing Inputs'!$AQ$3=5,'Pricing Inputs'!$AQ$3=6,'Pricing Inputs'!$AQ$3=8,'Pricing Inputs'!$AQ$3=9),VLOOKUP(A254,ScaledPrice,IF(AND('Pricing Inputs'!$AQ$3&gt;=2,'Pricing Inputs'!$AQ$3&lt;=6),5,6)),0))</f>
        <v> </v>
      </c>
      <c r="L254" s="279" t="str">
        <f aca="false">IF(A254="N/A"," ",IF(OR('Pricing Inputs'!$AQ$3=2,'Pricing Inputs'!$AQ$3=3,'Pricing Inputs'!$AQ$3=5,'Pricing Inputs'!$AQ$3=6,'Pricing Inputs'!$AQ$3=8,'Pricing Inputs'!$AQ$3=9),IF(AND('Pricing Inputs'!$AQ$3&gt;=2,'Pricing Inputs'!$AQ$3&lt;=6),K254,(VLOOKUP(A254,ScaledPrice,5))*(2-(VLOOKUP(A254,ScaledPrice,3)))),0))</f>
        <v> </v>
      </c>
      <c r="M254" s="279" t="str">
        <f aca="false">IF(A254="N/A"," ",IF(OR('Pricing Inputs'!$AQ$3=3,'Pricing Inputs'!$AQ$3=6,'Pricing Inputs'!$AQ$3=9),(VLOOKUP(A254,ScaledPrice,IF(AND('Pricing Inputs'!$AQ$3&gt;=3,'Pricing Inputs'!$AQ$3&lt;=6),7,8))),0))</f>
        <v> </v>
      </c>
      <c r="N254" s="279" t="str">
        <f aca="false">IF(A254="N/A"," ",IF(OR('Pricing Inputs'!$AQ$3=3,'Pricing Inputs'!$AQ$3=6,'Pricing Inputs'!$AQ$3=9),IF(AND('Pricing Inputs'!$AQ$3&gt;=3,'Pricing Inputs'!$AQ$3&lt;=6),M254,(VLOOKUP(A254,ScaledPrice,7))*(2-(VLOOKUP(A254,ScaledPrice,3)))),0))</f>
        <v> </v>
      </c>
      <c r="O254" s="279" t="str">
        <f aca="false">IF(A254="N/A"," ",IF(AND('Pricing Inputs'!$AQ$3&gt;=1,'Pricing Inputs'!$AQ$3&lt;=3),VLOOKUP(A254,ScaledPrice,9),0))</f>
        <v> </v>
      </c>
      <c r="P254" s="280" t="str">
        <f aca="false">IF($A254="N/A"," ",IF('Pricing Inputs'!$AN$8=2,(I254-H254),IF('Pricing Inputs'!$AN$3=2,IF((I254-$H254)&gt;0,I254-$H254,0),(xSPRDOPT(I254,$E254,$BU254,0,$BP254,$BS254,$BT254,($A254-Inputs!$D$1)+15,1,0)))))</f>
        <v> </v>
      </c>
      <c r="Q254" s="280" t="str">
        <f aca="false">IF($A254="N/A"," ",IF('Pricing Inputs'!$AN$8=2,(J254-$H254),IF('Pricing Inputs'!$AN$3=2,IF((J254-$H254)&gt;0,J254-$H254,0),(xSPRDOPT(J254,$E254,$BU254,0,$BP254,$BS254,$BT254,($A254-Inputs!$D$1)+15,1,0)))))</f>
        <v> </v>
      </c>
      <c r="R254" s="280" t="str">
        <f aca="false">IF($A254="N/A"," ",IF('Pricing Inputs'!$AN$8=2,(K254-$H254),IF('Pricing Inputs'!$AN$3=2,IF((K254-$H254)&gt;0,K254-$H254,0),(xSPRDOPT(K254,$E254,$BU254,0,$BP254,$BS254,$BT254,($A254-Inputs!$D$1)+15,1,0)))))</f>
        <v> </v>
      </c>
      <c r="S254" s="280" t="str">
        <f aca="false">IF($A254="N/A"," ",IF('Pricing Inputs'!$AN$8=2,(L254-$H254),IF('Pricing Inputs'!$AN$3=2,IF((L254-$H254)&gt;0,L254-$H254,0),(xSPRDOPT(L254,$E254,$BU254,0,$BP254,$BS254,$BT254,($A254-Inputs!$D$1)+15,1,0)))))</f>
        <v> </v>
      </c>
      <c r="T254" s="280" t="str">
        <f aca="false">IF($A254="N/A"," ",IF('Pricing Inputs'!$AN$8=2,(M254-$H254),IF('Pricing Inputs'!$AN$3=2,IF((M254-$H254)&gt;0,M254-$H254,0),(xSPRDOPT(M254,$E254,$BU254,0,$BP254,$BS254,$BT254,($A254-Inputs!$D$1)+15,1,0)))))</f>
        <v> </v>
      </c>
      <c r="U254" s="280" t="str">
        <f aca="false">IF($A254="N/A"," ",IF('Pricing Inputs'!$AN$8=2,(N254-$H254),IF('Pricing Inputs'!$AN$3=2,IF((N254-$H254)&gt;0,N254-$H254,0),(xSPRDOPT(N254,$E254,$BU254,0,$BP254,$BS254,$BT254,($A254-Inputs!$D$1)+15,1,0)))))</f>
        <v> </v>
      </c>
      <c r="V254" s="281" t="str">
        <f aca="false">IF($A254="N/A"," ",(IF('Pricing Inputs'!$AN$8=2,(O254-$H254),IF((O254-$H254)&lt;=0,0,(O254-$H254)))))</f>
        <v> </v>
      </c>
      <c r="W254" s="282" t="str">
        <f aca="false">IF($A254="N/A"," ",IF(0&lt;&gt;P254,IF('Pricing Inputs'!$AN$3=2,8*VLOOKUP($A254,NumberofDaysTable,2),(xSPRDOPT(I254,$E254,$BU254,0,$BP254,$BS254,$BT254,$A254-Inputs!$D$1,1,1))*(8*VLOOKUP($A254,NumberofDaysTable,2))),0))</f>
        <v> </v>
      </c>
      <c r="X254" s="282" t="str">
        <f aca="false">IF($A254="N/A"," ",IF(Q254&lt;&gt;0,IF('Pricing Inputs'!$AN$3=2,8*VLOOKUP($A254,NumberofDaysTable,2),(xSPRDOPT(J254,$E254,$BU254,0,$BP254,$BS254,$BT254,$A254-Inputs!$D$1,1,1))*(8*VLOOKUP($A254,NumberofDaysTable,2))),0))</f>
        <v> </v>
      </c>
      <c r="Y254" s="282" t="str">
        <f aca="false">IF($A254="N/A"," ",IF(R254&lt;&gt;0,IF('Pricing Inputs'!$AN$3=2,8*VLOOKUP($A254,NumberofDaysTable,3),(xSPRDOPT(K254,$E254,$BU254,0,$BP254,$BS254,$BT254,$A254-Inputs!$D$1,1,1))*(8*VLOOKUP($A254,NumberofDaysTable,3))),0))</f>
        <v> </v>
      </c>
      <c r="Z254" s="282" t="str">
        <f aca="false">IF($A254="N/A"," ",IF(S254&lt;&gt;0,IF('Pricing Inputs'!$AN$3=2,8*VLOOKUP($A254,NumberofDaysTable,3),(xSPRDOPT(L254,$E254,$BU254,0,$BP254,$BS254,$BT254,$A254-Inputs!$D$1,1,1))*(8*VLOOKUP($A254,NumberofDaysTable,3))),0))</f>
        <v> </v>
      </c>
      <c r="AA254" s="282" t="str">
        <f aca="false">IF($A254="N/A"," ",IF(T254&lt;&gt;0,IF('Pricing Inputs'!$AN$3=2,8*VLOOKUP($A254,NumberofDaysTable,4),(xSPRDOPT(M254,$E254,$BU254,0,$BP254,$BS254,$BT254,$A254-Inputs!$D$1,1,1))*(8*VLOOKUP($A254,NumberofDaysTable,4))),0))</f>
        <v> </v>
      </c>
      <c r="AB254" s="282" t="str">
        <f aca="false">IF($A254="N/A"," ",IF(U254&lt;&gt;0,IF('Pricing Inputs'!$AN$3=2,8*VLOOKUP($A254,NumberofDaysTable,4),(xSPRDOPT(N254,$E254,$BU254,0,$BP254,$BS254,$BT254,$A254-Inputs!$D$1,1,1))*(8*VLOOKUP($A254,NumberofDaysTable,4))),0))</f>
        <v> </v>
      </c>
      <c r="AC254" s="282" t="str">
        <f aca="false">IF($A254="N/A"," ",(IF(V254&lt;&gt;0,(8*VLOOKUP($A254,NumberofDaysTable,6)),0)))</f>
        <v> </v>
      </c>
      <c r="AD254" s="298" t="str">
        <f aca="false">IF($A254="N/A"," ",RANK(P254,$P$244:$V$255))</f>
        <v> </v>
      </c>
      <c r="AE254" s="299" t="str">
        <f aca="false">IF($A254="N/A"," ",RANK(Q254,$P$244:$V$255))</f>
        <v> </v>
      </c>
      <c r="AF254" s="299" t="str">
        <f aca="false">IF($A254="N/A"," ",RANK(R254,$P$244:$V$255))</f>
        <v> </v>
      </c>
      <c r="AG254" s="299" t="str">
        <f aca="false">IF($A254="N/A"," ",RANK(S254,$P$244:$V$255))</f>
        <v> </v>
      </c>
      <c r="AH254" s="299" t="str">
        <f aca="false">IF($A254="N/A"," ",RANK(T254,$P$244:$V$255))</f>
        <v> </v>
      </c>
      <c r="AI254" s="299" t="str">
        <f aca="false">IF($A254="N/A"," ",RANK(U254,$P$244:$V$255))</f>
        <v> </v>
      </c>
      <c r="AJ254" s="300" t="str">
        <f aca="false">IF($A254="N/A"," ",RANK(V254,$P$244:$V$255))</f>
        <v> </v>
      </c>
      <c r="AK254" s="286" t="str">
        <f aca="false">IF($A254="N/A"," ",IF(AD254&lt;=$AJ$2,W254,0))</f>
        <v> </v>
      </c>
      <c r="AL254" s="301" t="str">
        <f aca="false">IF($A254="N/A"," ",IF(AE254&lt;=$AJ$2,X254,0))</f>
        <v> </v>
      </c>
      <c r="AM254" s="301" t="str">
        <f aca="false">IF($A254="N/A"," ",IF(AF254&lt;=$AJ$2,Y254,0))</f>
        <v> </v>
      </c>
      <c r="AN254" s="301" t="str">
        <f aca="false">IF($A254="N/A"," ",IF(AG254&lt;=$AJ$2,Z254,0))</f>
        <v> </v>
      </c>
      <c r="AO254" s="301" t="str">
        <f aca="false">IF($A254="N/A"," ",IF(AH254&lt;=$AJ$2,AA254,0))</f>
        <v> </v>
      </c>
      <c r="AP254" s="301" t="str">
        <f aca="false">IF($A254="N/A"," ",IF(AI254&lt;=$AJ$2,AB254,0))</f>
        <v> </v>
      </c>
      <c r="AQ254" s="301" t="str">
        <f aca="false">IF($A254="N/A"," ",IF(AJ254&lt;=$AJ$2,AC254,0))</f>
        <v> </v>
      </c>
      <c r="AR254" s="300" t="n">
        <f aca="false">SUM(AK244:AQ255)</f>
        <v>0</v>
      </c>
      <c r="AS254" s="288" t="str">
        <f aca="false">IF($A254="N/A"," ",IF(AND(AD254=$AJ$2+1,AK254=0),MIN($AR$255,W254),0))</f>
        <v> </v>
      </c>
      <c r="AT254" s="302" t="str">
        <f aca="false">IF($A254="N/A"," ",IF(AND(AE254=$AJ$2+1,AL254=0),MIN($AR$255,X254),0))</f>
        <v> </v>
      </c>
      <c r="AU254" s="302" t="str">
        <f aca="false">IF($A254="N/A"," ",IF(AND(AF254=$AJ$2+1,AM254=0),MIN($AR$255,Y254),0))</f>
        <v> </v>
      </c>
      <c r="AV254" s="302" t="str">
        <f aca="false">IF($A254="N/A"," ",IF(AND(AG254=$AJ$2+1,AN254=0),MIN($AR$255,Z254),0))</f>
        <v> </v>
      </c>
      <c r="AW254" s="302" t="str">
        <f aca="false">IF($A254="N/A"," ",IF(AND(AH254=$AJ$2+1,AO254=0),MIN($AR$255,AA254),0))</f>
        <v> </v>
      </c>
      <c r="AX254" s="302" t="str">
        <f aca="false">IF($A254="N/A"," ",IF(AND(AI254=$AJ$2+1,AP254=0),MIN($AR$255,AB254),0))</f>
        <v> </v>
      </c>
      <c r="AY254" s="302" t="str">
        <f aca="false">IF($A254="N/A"," ",IF(AND(AJ254=$AJ$2+1,AQ254=0),MIN($AR$255,AC254),0))</f>
        <v> </v>
      </c>
      <c r="AZ254" s="300" t="n">
        <f aca="false">SUM(AS244:AY255)</f>
        <v>0</v>
      </c>
      <c r="BA254" s="291" t="str">
        <f aca="false">IF($A254="N/A"," ",(IF(MONTH(A254)&gt;=4,IF(MONTH(A254)&lt;=10,Inputs!$F$13,Inputs!$F$14),Inputs!$F$14))*$BW254)</f>
        <v> </v>
      </c>
      <c r="BB254" s="292" t="str">
        <f aca="false">IF($A254="N/A"," ",(IF(AK254&gt;0,($BA254*(8*(VLOOKUP($A254,NumberofDaysTable,2)))*P254),0)+IF(AS254&gt;0,($BA254*((AS254))*P254),0)))</f>
        <v> </v>
      </c>
      <c r="BC254" s="292" t="str">
        <f aca="false">IF($A254="N/A"," ",(IF(AL254&gt;0,($BA254*(8*(VLOOKUP($A254,NumberofDaysTable,2)))*Q254),0)+IF(AT254&gt;0,($BA254*((AT254))*Q254),0)))</f>
        <v> </v>
      </c>
      <c r="BD254" s="292" t="str">
        <f aca="false">IF($A254="N/A"," ",(IF(AM254&gt;0,($BA254*(8*(VLOOKUP($A254,NumberofDaysTable,3)))*R254),0)+IF(AU254&gt;0,($BA254*((AU254))*R254),0)))</f>
        <v> </v>
      </c>
      <c r="BE254" s="292" t="str">
        <f aca="false">IF($A254="N/A"," ",(IF(AN254&gt;0,($BA254*(8*(VLOOKUP($A254,NumberofDaysTable,3)))*S254),0)+IF(AV254&gt;0,($BA254*((AV254))*S254),0)))</f>
        <v> </v>
      </c>
      <c r="BF254" s="292" t="str">
        <f aca="false">IF($A254="N/A"," ",(IF(AO254&gt;0,($BA254*(8*(VLOOKUP($A254,NumberofDaysTable,4)+VLOOKUP($A254,NumberofDaysTable,5)))*T254),0)+IF(AW254&gt;0,($BA254*((AW254))*T254),0)))</f>
        <v> </v>
      </c>
      <c r="BG254" s="292" t="str">
        <f aca="false">IF($A254="N/A"," ",(IF(AP254&gt;0,($BA254*(8*(VLOOKUP($A254,NumberofDaysTable,4)+VLOOKUP($A254,NumberofDaysTable,5)))*U254),0)+IF(AX254&gt;0,($BA254*((AX254))*U254),0)))</f>
        <v> </v>
      </c>
      <c r="BH254" s="292" t="str">
        <f aca="false">IF($A254="N/A"," ",($BA254*AQ254*V254))</f>
        <v> </v>
      </c>
      <c r="BI254" s="292" t="str">
        <f aca="false">IF($A254="N/A"," ",SUM(BB254:BH254))</f>
        <v> </v>
      </c>
      <c r="BJ254" s="293" t="str">
        <f aca="false">IF($A254="N/A"," ",(H254*(SUM(AK254:AQ254)+SUM(AS254:AY254))*BA254))</f>
        <v> </v>
      </c>
      <c r="BK254" s="293" t="str">
        <f aca="false">IF($A254="N/A"," ",((C254*D254)*(SUM($AK254:$AQ254)+SUM($AS254:$AY254))*$BA254))</f>
        <v> </v>
      </c>
      <c r="BL254" s="293" t="str">
        <f aca="false">IF($A254="N/A"," ",(F254*(SUM($AK254:$AQ254)+SUM($AS254:$AY254))*$BA254))</f>
        <v> </v>
      </c>
      <c r="BM254" s="293" t="str">
        <f aca="false">IF($A254="N/A"," ",(G254*(SUM($AK254:$AQ254)+SUM($AS254:$AY254))*$BA254))</f>
        <v> </v>
      </c>
      <c r="BN254" s="294" t="str">
        <f aca="false">IF(A254="N/A"," ",(VLOOKUP(A254,PowerVolTable,(IF('Pricing Inputs'!$AT$3=2,7,IF('Pricing Inputs'!$AT$3=1,6,8))),FALSE())))</f>
        <v> </v>
      </c>
      <c r="BO254" s="294" t="str">
        <f aca="false">IF(A254="N/A"," ",(VLOOKUP(A254,IntraPowerVol,(IF('Pricing Inputs'!$AT$3=2,3,IF('Pricing Inputs'!$AT$3=1,2,4))),FALSE())*VLOOKUP(MONTH($A254),Inputs!$A$28:$B$39,2)))</f>
        <v> </v>
      </c>
      <c r="BP254" s="295" t="str">
        <f aca="false">IF($A254="N/A"," ",(IF(DateToday&gt;$A254,$BO254,((($BN254^2)*((($A254-1)-DateToday)/((EOMONTH($A254,0)+1)-DateToday-15)))+((($BO254)^2)*((15)/((EOMONTH($A254,0)+1)-DateToday-15))))^0.5)))</f>
        <v> </v>
      </c>
      <c r="BQ254" s="294" t="str">
        <f aca="false">IF($A254="N/A"," ",(VLOOKUP($A254,GasVolTable,(IF('Pricing Inputs'!$AT$3=2,6,IF('Pricing Inputs'!$AT$3=1,7,5))),FALSE())))</f>
        <v> </v>
      </c>
      <c r="BR254" s="294" t="str">
        <f aca="false">IF($A254="N/A"," ",(VLOOKUP($A254,OmicronVol,(IF('Pricing Inputs'!$AT$3=2,3,IF('Pricing Inputs'!$AT$3=1,4,2))),FALSE())))</f>
        <v> </v>
      </c>
      <c r="BS254" s="295" t="str">
        <f aca="false">IF($A254="N/A"," ",IF('Pricing Inputs'!$AN$3=1,(IF(DateToday&gt;$A254,$BR254,((($BQ254^2)*((($A254-1)-DateToday)/((EOMONTH($A254,0)+1)-DateToday-15)))+((($BR254)^2)*((15)/((EOMONTH($A254,0)+1)-DateToday-15))))^0.5)),0.0001))</f>
        <v> </v>
      </c>
      <c r="BT254" s="294" t="str">
        <f aca="false">IF($A254="N/A"," ",IF('Pricing Inputs'!$AN$3=1,(VLOOKUP($A254,CorrelationTable,2,FALSE())),0))</f>
        <v> </v>
      </c>
      <c r="BU254" s="296" t="str">
        <f aca="false">IF($A254="N/A"," ",F254+G254+(D254*(VLOOKUP($A254,'Gas Curves'!$B$17:$P$310,14,FALSE()))))</f>
        <v> </v>
      </c>
      <c r="BV254" s="294" t="str">
        <f aca="false">IF($A254="N/A"," ",IF('Pricing Inputs'!$AW$3=1,0,(VLOOKUP($A254,InterestRatesTable,2))))</f>
        <v> </v>
      </c>
      <c r="BW254" s="297" t="str">
        <f aca="false">IF($A254="N/A"," ",(1+BV254/2)^(-2*((EOMONTH(A254,0)+20)-DateToday)/365.25))</f>
        <v> </v>
      </c>
    </row>
    <row r="255" customFormat="false" ht="12.75" hidden="false" customHeight="false" outlineLevel="0" collapsed="false">
      <c r="A255" s="272" t="str">
        <f aca="false">IF(A254="N/A","N/A",IF(EDATE(A254,1)&gt;Inputs!$K$3,"N/A",EDATE(A254,1)))</f>
        <v>N/A</v>
      </c>
      <c r="B255" s="273" t="str">
        <f aca="false">IF(A255="N/A"," ",YEAR(A255))</f>
        <v> </v>
      </c>
      <c r="C255" s="274" t="str">
        <f aca="false">IF(A255="N/A"," ",VLOOKUP(A255,ScaledPrice,10))</f>
        <v> </v>
      </c>
      <c r="D255" s="275" t="str">
        <f aca="false">IF(A255="N/A"," ",(VLOOKUP(MONTH($A255),Inputs!$A$14:$B$25,2))/1000)</f>
        <v> </v>
      </c>
      <c r="E255" s="276" t="str">
        <f aca="false">IF($A255="N/A"," ",C255*D255)</f>
        <v> </v>
      </c>
      <c r="F255" s="277" t="str">
        <f aca="false">IF(A255="N/A"," ",Inputs!$F$6)</f>
        <v> </v>
      </c>
      <c r="G255" s="277" t="str">
        <f aca="false">IF(A255="N/A"," ",Inputs!$F$9/IF(AND('Pricing Inputs'!$AQ$3&gt;=4,'Pricing Inputs'!$AQ$3&lt;=6),16,IF(AND('Pricing Inputs'!$AQ$3&gt;=7,'Pricing Inputs'!$AQ$3&lt;=9),8,24))/(BA255/BW255))</f>
        <v> </v>
      </c>
      <c r="H255" s="278" t="str">
        <f aca="false">IF(A255="N/A"," ",(C255*D255)+F255+G255)</f>
        <v> </v>
      </c>
      <c r="I255" s="279" t="str">
        <f aca="false">VLOOKUP(A255,ScaledPrice,(IF(AND('Pricing Inputs'!$AQ$3&gt;=1,'Pricing Inputs'!$AQ$3&lt;=6),2,4)))</f>
        <v> </v>
      </c>
      <c r="J255" s="279" t="str">
        <f aca="false">IF(A255="N/A"," ",IF(AND('Pricing Inputs'!$AQ$3&gt;=1,'Pricing Inputs'!$AQ$3&lt;=6),I255,(VLOOKUP(A255,ScaledPrice,2))*(2-(VLOOKUP(A255,ScaledPrice,3)))))</f>
        <v> </v>
      </c>
      <c r="K255" s="279" t="str">
        <f aca="false">IF(A255="N/A"," ",IF(OR('Pricing Inputs'!$AQ$3=2,'Pricing Inputs'!$AQ$3=3,'Pricing Inputs'!$AQ$3=5,'Pricing Inputs'!$AQ$3=6,'Pricing Inputs'!$AQ$3=8,'Pricing Inputs'!$AQ$3=9),VLOOKUP(A255,ScaledPrice,IF(AND('Pricing Inputs'!$AQ$3&gt;=2,'Pricing Inputs'!$AQ$3&lt;=6),5,6)),0))</f>
        <v> </v>
      </c>
      <c r="L255" s="279" t="str">
        <f aca="false">IF(A255="N/A"," ",IF(OR('Pricing Inputs'!$AQ$3=2,'Pricing Inputs'!$AQ$3=3,'Pricing Inputs'!$AQ$3=5,'Pricing Inputs'!$AQ$3=6,'Pricing Inputs'!$AQ$3=8,'Pricing Inputs'!$AQ$3=9),IF(AND('Pricing Inputs'!$AQ$3&gt;=2,'Pricing Inputs'!$AQ$3&lt;=6),K255,(VLOOKUP(A255,ScaledPrice,5))*(2-(VLOOKUP(A255,ScaledPrice,3)))),0))</f>
        <v> </v>
      </c>
      <c r="M255" s="279" t="str">
        <f aca="false">IF(A255="N/A"," ",IF(OR('Pricing Inputs'!$AQ$3=3,'Pricing Inputs'!$AQ$3=6,'Pricing Inputs'!$AQ$3=9),(VLOOKUP(A255,ScaledPrice,IF(AND('Pricing Inputs'!$AQ$3&gt;=3,'Pricing Inputs'!$AQ$3&lt;=6),7,8))),0))</f>
        <v> </v>
      </c>
      <c r="N255" s="279" t="str">
        <f aca="false">IF(A255="N/A"," ",IF(OR('Pricing Inputs'!$AQ$3=3,'Pricing Inputs'!$AQ$3=6,'Pricing Inputs'!$AQ$3=9),IF(AND('Pricing Inputs'!$AQ$3&gt;=3,'Pricing Inputs'!$AQ$3&lt;=6),M255,(VLOOKUP(A255,ScaledPrice,7))*(2-(VLOOKUP(A255,ScaledPrice,3)))),0))</f>
        <v> </v>
      </c>
      <c r="O255" s="279" t="str">
        <f aca="false">IF(A255="N/A"," ",IF(AND('Pricing Inputs'!$AQ$3&gt;=1,'Pricing Inputs'!$AQ$3&lt;=3),VLOOKUP(A255,ScaledPrice,9),0))</f>
        <v> </v>
      </c>
      <c r="P255" s="280" t="str">
        <f aca="false">IF($A255="N/A"," ",IF('Pricing Inputs'!$AN$8=2,(I255-H255),IF('Pricing Inputs'!$AN$3=2,IF((I255-$H255)&gt;0,I255-$H255,0),(xSPRDOPT(I255,$E255,$BU255,0,$BP255,$BS255,$BT255,($A255-Inputs!$D$1)+15,1,0)))))</f>
        <v> </v>
      </c>
      <c r="Q255" s="280" t="str">
        <f aca="false">IF($A255="N/A"," ",IF('Pricing Inputs'!$AN$8=2,(J255-$H255),IF('Pricing Inputs'!$AN$3=2,IF((J255-$H255)&gt;0,J255-$H255,0),(xSPRDOPT(J255,$E255,$BU255,0,$BP255,$BS255,$BT255,($A255-Inputs!$D$1)+15,1,0)))))</f>
        <v> </v>
      </c>
      <c r="R255" s="280" t="str">
        <f aca="false">IF($A255="N/A"," ",IF('Pricing Inputs'!$AN$8=2,(K255-$H255),IF('Pricing Inputs'!$AN$3=2,IF((K255-$H255)&gt;0,K255-$H255,0),(xSPRDOPT(K255,$E255,$BU255,0,$BP255,$BS255,$BT255,($A255-Inputs!$D$1)+15,1,0)))))</f>
        <v> </v>
      </c>
      <c r="S255" s="280" t="str">
        <f aca="false">IF($A255="N/A"," ",IF('Pricing Inputs'!$AN$8=2,(L255-$H255),IF('Pricing Inputs'!$AN$3=2,IF((L255-$H255)&gt;0,L255-$H255,0),(xSPRDOPT(L255,$E255,$BU255,0,$BP255,$BS255,$BT255,($A255-Inputs!$D$1)+15,1,0)))))</f>
        <v> </v>
      </c>
      <c r="T255" s="280" t="str">
        <f aca="false">IF($A255="N/A"," ",IF('Pricing Inputs'!$AN$8=2,(M255-$H255),IF('Pricing Inputs'!$AN$3=2,IF((M255-$H255)&gt;0,M255-$H255,0),(xSPRDOPT(M255,$E255,$BU255,0,$BP255,$BS255,$BT255,($A255-Inputs!$D$1)+15,1,0)))))</f>
        <v> </v>
      </c>
      <c r="U255" s="280" t="str">
        <f aca="false">IF($A255="N/A"," ",IF('Pricing Inputs'!$AN$8=2,(N255-$H255),IF('Pricing Inputs'!$AN$3=2,IF((N255-$H255)&gt;0,N255-$H255,0),(xSPRDOPT(N255,$E255,$BU255,0,$BP255,$BS255,$BT255,($A255-Inputs!$D$1)+15,1,0)))))</f>
        <v> </v>
      </c>
      <c r="V255" s="281" t="str">
        <f aca="false">IF($A255="N/A"," ",(IF('Pricing Inputs'!$AN$8=2,(O255-$H255),IF((O255-$H255)&lt;=0,0,(O255-$H255)))))</f>
        <v> </v>
      </c>
      <c r="W255" s="282" t="str">
        <f aca="false">IF($A255="N/A"," ",IF(0&lt;&gt;P255,IF('Pricing Inputs'!$AN$3=2,8*VLOOKUP($A255,NumberofDaysTable,2),(xSPRDOPT(I255,$E255,$BU255,0,$BP255,$BS255,$BT255,$A255-Inputs!$D$1,1,1))*(8*VLOOKUP($A255,NumberofDaysTable,2))),0))</f>
        <v> </v>
      </c>
      <c r="X255" s="282" t="str">
        <f aca="false">IF($A255="N/A"," ",IF(Q255&lt;&gt;0,IF('Pricing Inputs'!$AN$3=2,8*VLOOKUP($A255,NumberofDaysTable,2),(xSPRDOPT(J255,$E255,$BU255,0,$BP255,$BS255,$BT255,$A255-Inputs!$D$1,1,1))*(8*VLOOKUP($A255,NumberofDaysTable,2))),0))</f>
        <v> </v>
      </c>
      <c r="Y255" s="282" t="str">
        <f aca="false">IF($A255="N/A"," ",IF(R255&lt;&gt;0,IF('Pricing Inputs'!$AN$3=2,8*VLOOKUP($A255,NumberofDaysTable,3),(xSPRDOPT(K255,$E255,$BU255,0,$BP255,$BS255,$BT255,$A255-Inputs!$D$1,1,1))*(8*VLOOKUP($A255,NumberofDaysTable,3))),0))</f>
        <v> </v>
      </c>
      <c r="Z255" s="282" t="str">
        <f aca="false">IF($A255="N/A"," ",IF(S255&lt;&gt;0,IF('Pricing Inputs'!$AN$3=2,8*VLOOKUP($A255,NumberofDaysTable,3),(xSPRDOPT(L255,$E255,$BU255,0,$BP255,$BS255,$BT255,$A255-Inputs!$D$1,1,1))*(8*VLOOKUP($A255,NumberofDaysTable,3))),0))</f>
        <v> </v>
      </c>
      <c r="AA255" s="282" t="str">
        <f aca="false">IF($A255="N/A"," ",IF(T255&lt;&gt;0,IF('Pricing Inputs'!$AN$3=2,8*VLOOKUP($A255,NumberofDaysTable,4),(xSPRDOPT(M255,$E255,$BU255,0,$BP255,$BS255,$BT255,$A255-Inputs!$D$1,1,1))*(8*VLOOKUP($A255,NumberofDaysTable,4))),0))</f>
        <v> </v>
      </c>
      <c r="AB255" s="282" t="str">
        <f aca="false">IF($A255="N/A"," ",IF(U255&lt;&gt;0,IF('Pricing Inputs'!$AN$3=2,8*VLOOKUP($A255,NumberofDaysTable,4),(xSPRDOPT(N255,$E255,$BU255,0,$BP255,$BS255,$BT255,$A255-Inputs!$D$1,1,1))*(8*VLOOKUP($A255,NumberofDaysTable,4))),0))</f>
        <v> </v>
      </c>
      <c r="AC255" s="282" t="str">
        <f aca="false">IF($A255="N/A"," ",(IF(V255&lt;&gt;0,(8*VLOOKUP($A255,NumberofDaysTable,6)),0)))</f>
        <v> </v>
      </c>
      <c r="AD255" s="305" t="str">
        <f aca="false">IF($A255="N/A"," ",RANK(P255,$P$244:$V$255))</f>
        <v> </v>
      </c>
      <c r="AE255" s="306" t="str">
        <f aca="false">IF($A255="N/A"," ",RANK(Q255,$P$244:$V$255))</f>
        <v> </v>
      </c>
      <c r="AF255" s="306" t="str">
        <f aca="false">IF($A255="N/A"," ",RANK(R255,$P$244:$V$255))</f>
        <v> </v>
      </c>
      <c r="AG255" s="306" t="str">
        <f aca="false">IF($A255="N/A"," ",RANK(S255,$P$244:$V$255))</f>
        <v> </v>
      </c>
      <c r="AH255" s="306" t="str">
        <f aca="false">IF($A255="N/A"," ",RANK(T255,$P$244:$V$255))</f>
        <v> </v>
      </c>
      <c r="AI255" s="306" t="str">
        <f aca="false">IF($A255="N/A"," ",RANK(U255,$P$244:$V$255))</f>
        <v> </v>
      </c>
      <c r="AJ255" s="307" t="str">
        <f aca="false">IF($A255="N/A"," ",RANK(V255,$P$244:$V$255))</f>
        <v> </v>
      </c>
      <c r="AK255" s="308" t="str">
        <f aca="false">IF($A255="N/A"," ",IF(AD255&lt;=$AJ$2,W255,0))</f>
        <v> </v>
      </c>
      <c r="AL255" s="309" t="str">
        <f aca="false">IF($A255="N/A"," ",IF(AE255&lt;=$AJ$2,X255,0))</f>
        <v> </v>
      </c>
      <c r="AM255" s="309" t="str">
        <f aca="false">IF($A255="N/A"," ",IF(AF255&lt;=$AJ$2,Y255,0))</f>
        <v> </v>
      </c>
      <c r="AN255" s="309" t="str">
        <f aca="false">IF($A255="N/A"," ",IF(AG255&lt;=$AJ$2,Z255,0))</f>
        <v> </v>
      </c>
      <c r="AO255" s="309" t="str">
        <f aca="false">IF($A255="N/A"," ",IF(AH255&lt;=$AJ$2,AA255,0))</f>
        <v> </v>
      </c>
      <c r="AP255" s="309" t="str">
        <f aca="false">IF($A255="N/A"," ",IF(AI255&lt;=$AJ$2,AB255,0))</f>
        <v> </v>
      </c>
      <c r="AQ255" s="309" t="str">
        <f aca="false">IF($A255="N/A"," ",IF(AJ255&lt;=$AJ$2,AC255,0))</f>
        <v> </v>
      </c>
      <c r="AR255" s="307" t="n">
        <f aca="false">IF(($AP$2-AR254)&gt;=0,$AP$2-AR254,0)</f>
        <v>1400</v>
      </c>
      <c r="AS255" s="310" t="str">
        <f aca="false">IF($A255="N/A"," ",IF(AND(AD255=$AJ$2+1,AK255=0),MIN($AR$255,W255),0))</f>
        <v> </v>
      </c>
      <c r="AT255" s="311" t="str">
        <f aca="false">IF($A255="N/A"," ",IF(AND(AE255=$AJ$2+1,AL255=0),MIN($AR$255,X255),0))</f>
        <v> </v>
      </c>
      <c r="AU255" s="311" t="str">
        <f aca="false">IF($A255="N/A"," ",IF(AND(AF255=$AJ$2+1,AM255=0),MIN($AR$255,Y255),0))</f>
        <v> </v>
      </c>
      <c r="AV255" s="311" t="str">
        <f aca="false">IF($A255="N/A"," ",IF(AND(AG255=$AJ$2+1,AN255=0),MIN($AR$255,Z255),0))</f>
        <v> </v>
      </c>
      <c r="AW255" s="311" t="str">
        <f aca="false">IF($A255="N/A"," ",IF(AND(AH255=$AJ$2+1,AO255=0),MIN($AR$255,AA255),0))</f>
        <v> </v>
      </c>
      <c r="AX255" s="311" t="str">
        <f aca="false">IF($A255="N/A"," ",IF(AND(AI255=$AJ$2+1,AP255=0),MIN($AR$255,AB255),0))</f>
        <v> </v>
      </c>
      <c r="AY255" s="311" t="str">
        <f aca="false">IF($A255="N/A"," ",IF(AND(AJ255=$AJ$2+1,AQ255=0),MIN($AR$255,AC255),0))</f>
        <v> </v>
      </c>
      <c r="AZ255" s="312" t="n">
        <f aca="false">AR254+AZ254</f>
        <v>0</v>
      </c>
      <c r="BA255" s="291" t="str">
        <f aca="false">IF($A255="N/A"," ",(IF(MONTH(A255)&gt;=4,IF(MONTH(A255)&lt;=10,Inputs!$F$13,Inputs!$F$14),Inputs!$F$14))*$BW255)</f>
        <v> </v>
      </c>
      <c r="BB255" s="292" t="str">
        <f aca="false">IF($A255="N/A"," ",(IF(AK255&gt;0,($BA255*(8*(VLOOKUP($A255,NumberofDaysTable,2)))*P255),0)+IF(AS255&gt;0,($BA255*((AS255))*P255),0)))</f>
        <v> </v>
      </c>
      <c r="BC255" s="292" t="str">
        <f aca="false">IF($A255="N/A"," ",(IF(AL255&gt;0,($BA255*(8*(VLOOKUP($A255,NumberofDaysTable,2)))*Q255),0)+IF(AT255&gt;0,($BA255*((AT255))*Q255),0)))</f>
        <v> </v>
      </c>
      <c r="BD255" s="292" t="str">
        <f aca="false">IF($A255="N/A"," ",(IF(AM255&gt;0,($BA255*(8*(VLOOKUP($A255,NumberofDaysTable,3)))*R255),0)+IF(AU255&gt;0,($BA255*((AU255))*R255),0)))</f>
        <v> </v>
      </c>
      <c r="BE255" s="292" t="str">
        <f aca="false">IF($A255="N/A"," ",(IF(AN255&gt;0,($BA255*(8*(VLOOKUP($A255,NumberofDaysTable,3)))*S255),0)+IF(AV255&gt;0,($BA255*((AV255))*S255),0)))</f>
        <v> </v>
      </c>
      <c r="BF255" s="292" t="str">
        <f aca="false">IF($A255="N/A"," ",(IF(AO255&gt;0,($BA255*(8*(VLOOKUP($A255,NumberofDaysTable,4)+VLOOKUP($A255,NumberofDaysTable,5)))*T255),0)+IF(AW255&gt;0,($BA255*((AW255))*T255),0)))</f>
        <v> </v>
      </c>
      <c r="BG255" s="292" t="str">
        <f aca="false">IF($A255="N/A"," ",(IF(AP255&gt;0,($BA255*(8*(VLOOKUP($A255,NumberofDaysTable,4)+VLOOKUP($A255,NumberofDaysTable,5)))*U255),0)+IF(AX255&gt;0,($BA255*((AX255))*U255),0)))</f>
        <v> </v>
      </c>
      <c r="BH255" s="292" t="str">
        <f aca="false">IF($A255="N/A"," ",($BA255*AQ255*V255))</f>
        <v> </v>
      </c>
      <c r="BI255" s="292" t="str">
        <f aca="false">IF($A255="N/A"," ",SUM(BB255:BH255))</f>
        <v> </v>
      </c>
      <c r="BJ255" s="293" t="str">
        <f aca="false">IF($A255="N/A"," ",(H255*(SUM(AK255:AQ255)+SUM(AS255:AY255))*BA255))</f>
        <v> </v>
      </c>
      <c r="BK255" s="293" t="str">
        <f aca="false">IF($A255="N/A"," ",((C255*D255)*(SUM($AK255:$AQ255)+SUM($AS255:$AY255))*$BA255))</f>
        <v> </v>
      </c>
      <c r="BL255" s="293" t="str">
        <f aca="false">IF($A255="N/A"," ",(F255*(SUM($AK255:$AQ255)+SUM($AS255:$AY255))*$BA255))</f>
        <v> </v>
      </c>
      <c r="BM255" s="293" t="str">
        <f aca="false">IF($A255="N/A"," ",(G255*(SUM($AK255:$AQ255)+SUM($AS255:$AY255))*$BA255))</f>
        <v> </v>
      </c>
      <c r="BN255" s="294" t="str">
        <f aca="false">IF(A255="N/A"," ",(VLOOKUP(A255,PowerVolTable,(IF('Pricing Inputs'!$AT$3=2,7,IF('Pricing Inputs'!$AT$3=1,6,8))),FALSE())))</f>
        <v> </v>
      </c>
      <c r="BO255" s="294" t="str">
        <f aca="false">IF(A255="N/A"," ",(VLOOKUP(A255,IntraPowerVol,(IF('Pricing Inputs'!$AT$3=2,3,IF('Pricing Inputs'!$AT$3=1,2,4))),FALSE())*VLOOKUP(MONTH($A255),Inputs!$A$28:$B$39,2)))</f>
        <v> </v>
      </c>
      <c r="BP255" s="295" t="str">
        <f aca="false">IF($A255="N/A"," ",(IF(DateToday&gt;$A255,$BO255,((($BN255^2)*((($A255-1)-DateToday)/((EOMONTH($A255,0)+1)-DateToday-15)))+((($BO255)^2)*((15)/((EOMONTH($A255,0)+1)-DateToday-15))))^0.5)))</f>
        <v> </v>
      </c>
      <c r="BQ255" s="294" t="str">
        <f aca="false">IF($A255="N/A"," ",(VLOOKUP($A255,GasVolTable,(IF('Pricing Inputs'!$AT$3=2,6,IF('Pricing Inputs'!$AT$3=1,7,5))),FALSE())))</f>
        <v> </v>
      </c>
      <c r="BR255" s="294" t="str">
        <f aca="false">IF($A255="N/A"," ",(VLOOKUP($A255,OmicronVol,(IF('Pricing Inputs'!$AT$3=2,3,IF('Pricing Inputs'!$AT$3=1,4,2))),FALSE())))</f>
        <v> </v>
      </c>
      <c r="BS255" s="295" t="str">
        <f aca="false">IF($A255="N/A"," ",IF('Pricing Inputs'!$AN$3=1,(IF(DateToday&gt;$A255,$BR255,((($BQ255^2)*((($A255-1)-DateToday)/((EOMONTH($A255,0)+1)-DateToday-15)))+((($BR255)^2)*((15)/((EOMONTH($A255,0)+1)-DateToday-15))))^0.5)),0.0001))</f>
        <v> </v>
      </c>
      <c r="BT255" s="294" t="str">
        <f aca="false">IF($A255="N/A"," ",IF('Pricing Inputs'!$AN$3=1,(VLOOKUP($A255,CorrelationTable,2,FALSE())),0))</f>
        <v> </v>
      </c>
      <c r="BU255" s="296" t="str">
        <f aca="false">IF($A255="N/A"," ",F255+G255+(D255*(VLOOKUP($A255,'Gas Curves'!$B$17:$P$310,14,FALSE()))))</f>
        <v> </v>
      </c>
      <c r="BV255" s="294" t="str">
        <f aca="false">IF($A255="N/A"," ",IF('Pricing Inputs'!$AW$3=1,0,(VLOOKUP($A255,InterestRatesTable,2))))</f>
        <v> </v>
      </c>
      <c r="BW255" s="297" t="str">
        <f aca="false">IF($A255="N/A"," ",(1+BV255/2)^(-2*((EOMONTH(A255,0)+20)-DateToday)/365.25))</f>
        <v> </v>
      </c>
    </row>
    <row r="256" customFormat="false" ht="12.75" hidden="false" customHeight="false" outlineLevel="0" collapsed="false">
      <c r="A256" s="272" t="str">
        <f aca="false">IF(A255="N/A","N/A",IF(EDATE(A255,1)&gt;Inputs!$K$3,"N/A",EDATE(A255,1)))</f>
        <v>N/A</v>
      </c>
      <c r="B256" s="273" t="str">
        <f aca="false">IF(A256="N/A"," ",YEAR(A256))</f>
        <v> </v>
      </c>
      <c r="C256" s="274" t="str">
        <f aca="false">IF(A256="N/A"," ",VLOOKUP(A256,ScaledPrice,10))</f>
        <v> </v>
      </c>
      <c r="D256" s="275" t="str">
        <f aca="false">IF(A256="N/A"," ",(VLOOKUP(MONTH($A256),Inputs!$A$14:$B$25,2))/1000)</f>
        <v> </v>
      </c>
      <c r="E256" s="276" t="str">
        <f aca="false">IF($A256="N/A"," ",C256*D256)</f>
        <v> </v>
      </c>
      <c r="F256" s="277" t="str">
        <f aca="false">IF(A256="N/A"," ",Inputs!$F$6)</f>
        <v> </v>
      </c>
      <c r="G256" s="277" t="str">
        <f aca="false">IF(A256="N/A"," ",Inputs!$F$9/IF(AND('Pricing Inputs'!$AQ$3&gt;=4,'Pricing Inputs'!$AQ$3&lt;=6),16,IF(AND('Pricing Inputs'!$AQ$3&gt;=7,'Pricing Inputs'!$AQ$3&lt;=9),8,24))/(BA256/BW256))</f>
        <v> </v>
      </c>
      <c r="H256" s="278" t="str">
        <f aca="false">IF(A256="N/A"," ",(C256*D256)+F256+G256)</f>
        <v> </v>
      </c>
      <c r="I256" s="279" t="str">
        <f aca="false">VLOOKUP(A256,ScaledPrice,(IF(AND('Pricing Inputs'!$AQ$3&gt;=1,'Pricing Inputs'!$AQ$3&lt;=6),2,4)))</f>
        <v> </v>
      </c>
      <c r="J256" s="279" t="str">
        <f aca="false">IF(A256="N/A"," ",IF(AND('Pricing Inputs'!$AQ$3&gt;=1,'Pricing Inputs'!$AQ$3&lt;=6),I256,(VLOOKUP(A256,ScaledPrice,2))*(2-(VLOOKUP(A256,ScaledPrice,3)))))</f>
        <v> </v>
      </c>
      <c r="K256" s="279" t="str">
        <f aca="false">IF(A256="N/A"," ",IF(OR('Pricing Inputs'!$AQ$3=2,'Pricing Inputs'!$AQ$3=3,'Pricing Inputs'!$AQ$3=5,'Pricing Inputs'!$AQ$3=6,'Pricing Inputs'!$AQ$3=8,'Pricing Inputs'!$AQ$3=9),VLOOKUP(A256,ScaledPrice,IF(AND('Pricing Inputs'!$AQ$3&gt;=2,'Pricing Inputs'!$AQ$3&lt;=6),5,6)),0))</f>
        <v> </v>
      </c>
      <c r="L256" s="279" t="str">
        <f aca="false">IF(A256="N/A"," ",IF(OR('Pricing Inputs'!$AQ$3=2,'Pricing Inputs'!$AQ$3=3,'Pricing Inputs'!$AQ$3=5,'Pricing Inputs'!$AQ$3=6,'Pricing Inputs'!$AQ$3=8,'Pricing Inputs'!$AQ$3=9),IF(AND('Pricing Inputs'!$AQ$3&gt;=2,'Pricing Inputs'!$AQ$3&lt;=6),K256,(VLOOKUP(A256,ScaledPrice,5))*(2-(VLOOKUP(A256,ScaledPrice,3)))),0))</f>
        <v> </v>
      </c>
      <c r="M256" s="279" t="str">
        <f aca="false">IF(A256="N/A"," ",IF(OR('Pricing Inputs'!$AQ$3=3,'Pricing Inputs'!$AQ$3=6,'Pricing Inputs'!$AQ$3=9),(VLOOKUP(A256,ScaledPrice,IF(AND('Pricing Inputs'!$AQ$3&gt;=3,'Pricing Inputs'!$AQ$3&lt;=6),7,8))),0))</f>
        <v> </v>
      </c>
      <c r="N256" s="279" t="str">
        <f aca="false">IF(A256="N/A"," ",IF(OR('Pricing Inputs'!$AQ$3=3,'Pricing Inputs'!$AQ$3=6,'Pricing Inputs'!$AQ$3=9),IF(AND('Pricing Inputs'!$AQ$3&gt;=3,'Pricing Inputs'!$AQ$3&lt;=6),M256,(VLOOKUP(A256,ScaledPrice,7))*(2-(VLOOKUP(A256,ScaledPrice,3)))),0))</f>
        <v> </v>
      </c>
      <c r="O256" s="279" t="str">
        <f aca="false">IF(A256="N/A"," ",IF(AND('Pricing Inputs'!$AQ$3&gt;=1,'Pricing Inputs'!$AQ$3&lt;=3),VLOOKUP(A256,ScaledPrice,9),0))</f>
        <v> </v>
      </c>
      <c r="P256" s="280" t="str">
        <f aca="false">IF($A256="N/A"," ",IF('Pricing Inputs'!$AN$8=2,(I256-H256),IF('Pricing Inputs'!$AN$3=2,IF((I256-$H256)&gt;0,I256-$H256,0),(xSPRDOPT(I256,$E256,$BU256,0,$BP256,$BS256,$BT256,($A256-Inputs!$D$1)+15,1,0)))))</f>
        <v> </v>
      </c>
      <c r="Q256" s="280" t="str">
        <f aca="false">IF($A256="N/A"," ",IF('Pricing Inputs'!$AN$8=2,(J256-$H256),IF('Pricing Inputs'!$AN$3=2,IF((J256-$H256)&gt;0,J256-$H256,0),(xSPRDOPT(J256,$E256,$BU256,0,$BP256,$BS256,$BT256,($A256-Inputs!$D$1)+15,1,0)))))</f>
        <v> </v>
      </c>
      <c r="R256" s="280" t="str">
        <f aca="false">IF($A256="N/A"," ",IF('Pricing Inputs'!$AN$8=2,(K256-$H256),IF('Pricing Inputs'!$AN$3=2,IF((K256-$H256)&gt;0,K256-$H256,0),(xSPRDOPT(K256,$E256,$BU256,0,$BP256,$BS256,$BT256,($A256-Inputs!$D$1)+15,1,0)))))</f>
        <v> </v>
      </c>
      <c r="S256" s="280" t="str">
        <f aca="false">IF($A256="N/A"," ",IF('Pricing Inputs'!$AN$8=2,(L256-$H256),IF('Pricing Inputs'!$AN$3=2,IF((L256-$H256)&gt;0,L256-$H256,0),(xSPRDOPT(L256,$E256,$BU256,0,$BP256,$BS256,$BT256,($A256-Inputs!$D$1)+15,1,0)))))</f>
        <v> </v>
      </c>
      <c r="T256" s="280" t="str">
        <f aca="false">IF($A256="N/A"," ",IF('Pricing Inputs'!$AN$8=2,(M256-$H256),IF('Pricing Inputs'!$AN$3=2,IF((M256-$H256)&gt;0,M256-$H256,0),(xSPRDOPT(M256,$E256,$BU256,0,$BP256,$BS256,$BT256,($A256-Inputs!$D$1)+15,1,0)))))</f>
        <v> </v>
      </c>
      <c r="U256" s="280" t="str">
        <f aca="false">IF($A256="N/A"," ",IF('Pricing Inputs'!$AN$8=2,(N256-$H256),IF('Pricing Inputs'!$AN$3=2,IF((N256-$H256)&gt;0,N256-$H256,0),(xSPRDOPT(N256,$E256,$BU256,0,$BP256,$BS256,$BT256,($A256-Inputs!$D$1)+15,1,0)))))</f>
        <v> </v>
      </c>
      <c r="V256" s="281" t="str">
        <f aca="false">IF($A256="N/A"," ",(IF('Pricing Inputs'!$AN$8=2,(O256-$H256),IF((O256-$H256)&lt;=0,0,(O256-$H256)))))</f>
        <v> </v>
      </c>
      <c r="W256" s="282" t="str">
        <f aca="false">IF($A256="N/A"," ",IF(0&lt;&gt;P256,IF('Pricing Inputs'!$AN$3=2,8*VLOOKUP($A256,NumberofDaysTable,2),(xSPRDOPT(I256,$E256,$BU256,0,$BP256,$BS256,$BT256,$A256-Inputs!$D$1,1,1))*(8*VLOOKUP($A256,NumberofDaysTable,2))),0))</f>
        <v> </v>
      </c>
      <c r="X256" s="282" t="str">
        <f aca="false">IF($A256="N/A"," ",IF(Q256&lt;&gt;0,IF('Pricing Inputs'!$AN$3=2,8*VLOOKUP($A256,NumberofDaysTable,2),(xSPRDOPT(J256,$E256,$BU256,0,$BP256,$BS256,$BT256,$A256-Inputs!$D$1,1,1))*(8*VLOOKUP($A256,NumberofDaysTable,2))),0))</f>
        <v> </v>
      </c>
      <c r="Y256" s="282" t="str">
        <f aca="false">IF($A256="N/A"," ",IF(R256&lt;&gt;0,IF('Pricing Inputs'!$AN$3=2,8*VLOOKUP($A256,NumberofDaysTable,3),(xSPRDOPT(K256,$E256,$BU256,0,$BP256,$BS256,$BT256,$A256-Inputs!$D$1,1,1))*(8*VLOOKUP($A256,NumberofDaysTable,3))),0))</f>
        <v> </v>
      </c>
      <c r="Z256" s="282" t="str">
        <f aca="false">IF($A256="N/A"," ",IF(S256&lt;&gt;0,IF('Pricing Inputs'!$AN$3=2,8*VLOOKUP($A256,NumberofDaysTable,3),(xSPRDOPT(L256,$E256,$BU256,0,$BP256,$BS256,$BT256,$A256-Inputs!$D$1,1,1))*(8*VLOOKUP($A256,NumberofDaysTable,3))),0))</f>
        <v> </v>
      </c>
      <c r="AA256" s="282" t="str">
        <f aca="false">IF($A256="N/A"," ",IF(T256&lt;&gt;0,IF('Pricing Inputs'!$AN$3=2,8*VLOOKUP($A256,NumberofDaysTable,4),(xSPRDOPT(M256,$E256,$BU256,0,$BP256,$BS256,$BT256,$A256-Inputs!$D$1,1,1))*(8*VLOOKUP($A256,NumberofDaysTable,4))),0))</f>
        <v> </v>
      </c>
      <c r="AB256" s="282" t="str">
        <f aca="false">IF($A256="N/A"," ",IF(U256&lt;&gt;0,IF('Pricing Inputs'!$AN$3=2,8*VLOOKUP($A256,NumberofDaysTable,4),(xSPRDOPT(N256,$E256,$BU256,0,$BP256,$BS256,$BT256,$A256-Inputs!$D$1,1,1))*(8*VLOOKUP($A256,NumberofDaysTable,4))),0))</f>
        <v> </v>
      </c>
      <c r="AC256" s="282" t="str">
        <f aca="false">IF($A256="N/A"," ",(IF(V256&lt;&gt;0,(8*VLOOKUP($A256,NumberofDaysTable,6)),0)))</f>
        <v> </v>
      </c>
      <c r="AD256" s="318" t="str">
        <f aca="false">IF($A256="N/A"," ",RANK(P256,$P$256:$V$256))</f>
        <v> </v>
      </c>
      <c r="AE256" s="319" t="str">
        <f aca="false">IF($A256="N/A"," ",RANK(Q256,$P$256:$V$256))</f>
        <v> </v>
      </c>
      <c r="AF256" s="319" t="str">
        <f aca="false">IF($A256="N/A"," ",RANK(R256,$P$256:$V$256))</f>
        <v> </v>
      </c>
      <c r="AG256" s="319" t="str">
        <f aca="false">IF($A256="N/A"," ",RANK(S256,$P$256:$V$256))</f>
        <v> </v>
      </c>
      <c r="AH256" s="319" t="str">
        <f aca="false">IF($A256="N/A"," ",RANK(T256,$P$256:$V$256))</f>
        <v> </v>
      </c>
      <c r="AI256" s="319" t="str">
        <f aca="false">IF($A256="N/A"," ",RANK(U256,$P$256:$V$256))</f>
        <v> </v>
      </c>
      <c r="AJ256" s="320" t="str">
        <f aca="false">IF($A256="N/A"," ",RANK(V256,$P$256:$V$256))</f>
        <v> </v>
      </c>
      <c r="AK256" s="321" t="str">
        <f aca="false">IF($A256="N/A"," ",IF(AD256&lt;=$AJ$2,W256,0))</f>
        <v> </v>
      </c>
      <c r="AL256" s="322" t="str">
        <f aca="false">IF($A256="N/A"," ",IF(AE256&lt;=$AJ$2,X256,0))</f>
        <v> </v>
      </c>
      <c r="AM256" s="322" t="str">
        <f aca="false">IF($A256="N/A"," ",IF(AF256&lt;=$AJ$2,Y256,0))</f>
        <v> </v>
      </c>
      <c r="AN256" s="322" t="str">
        <f aca="false">IF($A256="N/A"," ",IF(AG256&lt;=$AJ$2,Z256,0))</f>
        <v> </v>
      </c>
      <c r="AO256" s="322" t="str">
        <f aca="false">IF($A256="N/A"," ",IF(AH256&lt;=$AJ$2,AA256,0))</f>
        <v> </v>
      </c>
      <c r="AP256" s="322" t="str">
        <f aca="false">IF($A256="N/A"," ",IF(AI256&lt;=$AJ$2,AB256,0))</f>
        <v> </v>
      </c>
      <c r="AQ256" s="322" t="str">
        <f aca="false">IF($A256="N/A"," ",IF(AJ256&lt;=$AJ$2,AC256,0))</f>
        <v> </v>
      </c>
      <c r="AR256" s="320"/>
      <c r="AS256" s="299"/>
      <c r="AT256" s="299"/>
      <c r="AU256" s="299"/>
      <c r="AV256" s="299"/>
      <c r="AW256" s="299"/>
      <c r="AX256" s="299"/>
      <c r="AY256" s="299"/>
      <c r="AZ256" s="299"/>
      <c r="BA256" s="291" t="str">
        <f aca="false">IF($A256="N/A"," ",(IF(MONTH(A256)&gt;=4,IF(MONTH(A256)&lt;=10,Inputs!$F$13,Inputs!$F$14),Inputs!$F$14))*$BW256)</f>
        <v> </v>
      </c>
      <c r="BB256" s="292" t="str">
        <f aca="false">IF($A256="N/A"," ",(IF(AK256&gt;0,($BA256*(8*(VLOOKUP($A256,NumberofDaysTable,2)))*P256),0)+IF(AS256&gt;0,($BA256*((AS256))*P256),0)))</f>
        <v> </v>
      </c>
      <c r="BC256" s="292" t="str">
        <f aca="false">IF($A256="N/A"," ",(IF(AL256&gt;0,($BA256*(8*(VLOOKUP($A256,NumberofDaysTable,2)))*Q256),0)+IF(AT256&gt;0,($BA256*((AT256))*Q256),0)))</f>
        <v> </v>
      </c>
      <c r="BD256" s="292" t="str">
        <f aca="false">IF($A256="N/A"," ",(IF(AM256&gt;0,($BA256*(8*(VLOOKUP($A256,NumberofDaysTable,3)))*R256),0)+IF(AU256&gt;0,($BA256*((AU256))*R256),0)))</f>
        <v> </v>
      </c>
      <c r="BE256" s="292" t="str">
        <f aca="false">IF($A256="N/A"," ",(IF(AN256&gt;0,($BA256*(8*(VLOOKUP($A256,NumberofDaysTable,3)))*S256),0)+IF(AV256&gt;0,($BA256*((AV256))*S256),0)))</f>
        <v> </v>
      </c>
      <c r="BF256" s="292" t="str">
        <f aca="false">IF($A256="N/A"," ",(IF(AO256&gt;0,($BA256*(8*(VLOOKUP($A256,NumberofDaysTable,4)+VLOOKUP($A256,NumberofDaysTable,5)))*T256),0)+IF(AW256&gt;0,($BA256*((AW256))*T256),0)))</f>
        <v> </v>
      </c>
      <c r="BG256" s="292" t="str">
        <f aca="false">IF($A256="N/A"," ",(IF(AP256&gt;0,($BA256*(8*(VLOOKUP($A256,NumberofDaysTable,4)+VLOOKUP($A256,NumberofDaysTable,5)))*U256),0)+IF(AX256&gt;0,($BA256*((AX256))*U256),0)))</f>
        <v> </v>
      </c>
      <c r="BH256" s="292" t="str">
        <f aca="false">IF($A256="N/A"," ",($BA256*AQ256*V256))</f>
        <v> </v>
      </c>
      <c r="BI256" s="292" t="str">
        <f aca="false">IF($A256="N/A"," ",SUM(BB256:BH256))</f>
        <v> </v>
      </c>
      <c r="BJ256" s="293" t="str">
        <f aca="false">IF($A256="N/A"," ",(H256*(SUM(AK256:AQ256)+SUM(AS256:AY256))*BA256))</f>
        <v> </v>
      </c>
      <c r="BK256" s="293" t="str">
        <f aca="false">IF($A256="N/A"," ",((C256*D256)*(SUM($AK256:$AQ256)+SUM($AS256:$AY256))*$BA256))</f>
        <v> </v>
      </c>
      <c r="BL256" s="293" t="str">
        <f aca="false">IF($A256="N/A"," ",(F256*(SUM($AK256:$AQ256)+SUM($AS256:$AY256))*$BA256))</f>
        <v> </v>
      </c>
      <c r="BM256" s="293" t="str">
        <f aca="false">IF($A256="N/A"," ",(G256*(SUM($AK256:$AQ256)+SUM($AS256:$AY256))*$BA256))</f>
        <v> </v>
      </c>
      <c r="BN256" s="294" t="str">
        <f aca="false">IF(A256="N/A"," ",(VLOOKUP(A256,PowerVolTable,(IF('Pricing Inputs'!$AT$3=2,7,IF('Pricing Inputs'!$AT$3=1,6,8))),FALSE())))</f>
        <v> </v>
      </c>
      <c r="BO256" s="294" t="str">
        <f aca="false">IF(A256="N/A"," ",(VLOOKUP(A256,IntraPowerVol,(IF('Pricing Inputs'!$AT$3=2,3,IF('Pricing Inputs'!$AT$3=1,2,4))),FALSE())*VLOOKUP(MONTH($A256),Inputs!$A$28:$B$39,2)))</f>
        <v> </v>
      </c>
      <c r="BP256" s="295" t="str">
        <f aca="false">IF($A256="N/A"," ",(IF(DateToday&gt;$A256,$BO256,((($BN256^2)*((($A256-1)-DateToday)/((EOMONTH($A256,0)+1)-DateToday-15)))+((($BO256)^2)*((15)/((EOMONTH($A256,0)+1)-DateToday-15))))^0.5)))</f>
        <v> </v>
      </c>
      <c r="BQ256" s="294" t="str">
        <f aca="false">IF($A256="N/A"," ",(VLOOKUP($A256,GasVolTable,(IF('Pricing Inputs'!$AT$3=2,6,IF('Pricing Inputs'!$AT$3=1,7,5))),FALSE())))</f>
        <v> </v>
      </c>
      <c r="BR256" s="294" t="str">
        <f aca="false">IF($A256="N/A"," ",(VLOOKUP($A256,OmicronVol,(IF('Pricing Inputs'!$AT$3=2,3,IF('Pricing Inputs'!$AT$3=1,4,2))),FALSE())))</f>
        <v> </v>
      </c>
      <c r="BS256" s="295" t="str">
        <f aca="false">IF($A256="N/A"," ",IF('Pricing Inputs'!$AN$3=1,(IF(DateToday&gt;$A256,$BR256,((($BQ256^2)*((($A256-1)-DateToday)/((EOMONTH($A256,0)+1)-DateToday-15)))+((($BR256)^2)*((15)/((EOMONTH($A256,0)+1)-DateToday-15))))^0.5)),0.0001))</f>
        <v> </v>
      </c>
      <c r="BT256" s="294" t="str">
        <f aca="false">IF($A256="N/A"," ",IF('Pricing Inputs'!$AN$3=1,(VLOOKUP($A256,CorrelationTable,2,FALSE())),0))</f>
        <v> </v>
      </c>
      <c r="BU256" s="296" t="str">
        <f aca="false">IF($A256="N/A"," ",F256+G256+(D256*(VLOOKUP($A256,'Gas Curves'!$B$17:$P$310,14,FALSE()))))</f>
        <v> </v>
      </c>
      <c r="BV256" s="294" t="str">
        <f aca="false">IF($A256="N/A"," ",IF('Pricing Inputs'!$AW$3=1,0,(VLOOKUP($A256,InterestRatesTable,2))))</f>
        <v> </v>
      </c>
      <c r="BW256" s="297" t="str">
        <f aca="false">IF($A256="N/A"," ",(1+BV256/2)^(-2*((EOMONTH(A256,0)+20)-DateToday)/365.25))</f>
        <v> </v>
      </c>
    </row>
    <row r="257" customFormat="false" ht="12.75" hidden="false" customHeight="false" outlineLevel="0" collapsed="false">
      <c r="A257" s="272" t="str">
        <f aca="false">IF(A256="N/A","N/A",IF(EDATE(A256,1)&gt;Inputs!$K$3,"N/A",EDATE(A256,1)))</f>
        <v>N/A</v>
      </c>
      <c r="B257" s="273" t="str">
        <f aca="false">IF(A257="N/A"," ",YEAR(A257))</f>
        <v> </v>
      </c>
      <c r="C257" s="274" t="str">
        <f aca="false">IF(A257="N/A"," ",VLOOKUP(A257,ScaledPrice,10))</f>
        <v> </v>
      </c>
      <c r="D257" s="275" t="str">
        <f aca="false">IF(A257="N/A"," ",(VLOOKUP(MONTH($A257),Inputs!$A$14:$B$25,2))/1000)</f>
        <v> </v>
      </c>
      <c r="E257" s="276" t="str">
        <f aca="false">IF($A257="N/A"," ",C257*D257)</f>
        <v> </v>
      </c>
      <c r="F257" s="277" t="str">
        <f aca="false">IF(A257="N/A"," ",Inputs!$F$6)</f>
        <v> </v>
      </c>
      <c r="G257" s="277" t="str">
        <f aca="false">IF(A257="N/A"," ",Inputs!$F$9/IF(AND('Pricing Inputs'!$AQ$3&gt;=4,'Pricing Inputs'!$AQ$3&lt;=6),16,IF(AND('Pricing Inputs'!$AQ$3&gt;=7,'Pricing Inputs'!$AQ$3&lt;=9),8,24))/(BA257/BW257))</f>
        <v> </v>
      </c>
      <c r="H257" s="278" t="str">
        <f aca="false">IF(A257="N/A"," ",(C257*D257)+F257+G257)</f>
        <v> </v>
      </c>
      <c r="I257" s="279" t="str">
        <f aca="false">VLOOKUP(A257,ScaledPrice,(IF(AND('Pricing Inputs'!$AQ$3&gt;=1,'Pricing Inputs'!$AQ$3&lt;=6),2,4)))</f>
        <v> </v>
      </c>
      <c r="J257" s="279" t="str">
        <f aca="false">IF(A257="N/A"," ",IF(AND('Pricing Inputs'!$AQ$3&gt;=1,'Pricing Inputs'!$AQ$3&lt;=6),I257,(VLOOKUP(A257,ScaledPrice,2))*(2-(VLOOKUP(A257,ScaledPrice,3)))))</f>
        <v> </v>
      </c>
      <c r="K257" s="279" t="str">
        <f aca="false">IF(A257="N/A"," ",IF(OR('Pricing Inputs'!$AQ$3=2,'Pricing Inputs'!$AQ$3=3,'Pricing Inputs'!$AQ$3=5,'Pricing Inputs'!$AQ$3=6,'Pricing Inputs'!$AQ$3=8,'Pricing Inputs'!$AQ$3=9),VLOOKUP(A257,ScaledPrice,IF(AND('Pricing Inputs'!$AQ$3&gt;=2,'Pricing Inputs'!$AQ$3&lt;=6),5,6)),0))</f>
        <v> </v>
      </c>
      <c r="L257" s="279" t="str">
        <f aca="false">IF(A257="N/A"," ",IF(OR('Pricing Inputs'!$AQ$3=2,'Pricing Inputs'!$AQ$3=3,'Pricing Inputs'!$AQ$3=5,'Pricing Inputs'!$AQ$3=6,'Pricing Inputs'!$AQ$3=8,'Pricing Inputs'!$AQ$3=9),IF(AND('Pricing Inputs'!$AQ$3&gt;=2,'Pricing Inputs'!$AQ$3&lt;=6),K257,(VLOOKUP(A257,ScaledPrice,5))*(2-(VLOOKUP(A257,ScaledPrice,3)))),0))</f>
        <v> </v>
      </c>
      <c r="M257" s="279" t="str">
        <f aca="false">IF(A257="N/A"," ",IF(OR('Pricing Inputs'!$AQ$3=3,'Pricing Inputs'!$AQ$3=6,'Pricing Inputs'!$AQ$3=9),(VLOOKUP(A257,ScaledPrice,IF(AND('Pricing Inputs'!$AQ$3&gt;=3,'Pricing Inputs'!$AQ$3&lt;=6),7,8))),0))</f>
        <v> </v>
      </c>
      <c r="N257" s="279" t="str">
        <f aca="false">IF(A257="N/A"," ",IF(OR('Pricing Inputs'!$AQ$3=3,'Pricing Inputs'!$AQ$3=6,'Pricing Inputs'!$AQ$3=9),IF(AND('Pricing Inputs'!$AQ$3&gt;=3,'Pricing Inputs'!$AQ$3&lt;=6),M257,(VLOOKUP(A257,ScaledPrice,7))*(2-(VLOOKUP(A257,ScaledPrice,3)))),0))</f>
        <v> </v>
      </c>
      <c r="O257" s="279" t="str">
        <f aca="false">IF(A257="N/A"," ",IF(AND('Pricing Inputs'!$AQ$3&gt;=1,'Pricing Inputs'!$AQ$3&lt;=3),VLOOKUP(A257,ScaledPrice,9),0))</f>
        <v> </v>
      </c>
      <c r="P257" s="280" t="str">
        <f aca="false">IF($A257="N/A"," ",IF('Pricing Inputs'!$AN$8=2,(I257-H257),IF('Pricing Inputs'!$AN$3=2,IF((I257-$H257)&gt;0,I257-$H257,0),(xSPRDOPT(I257,$E257,$BU257,0,$BP257,$BS257,$BT257,($A257-Inputs!$D$1)+15,1,0)))))</f>
        <v> </v>
      </c>
      <c r="Q257" s="280" t="str">
        <f aca="false">IF($A257="N/A"," ",IF('Pricing Inputs'!$AN$8=2,(J257-$H257),IF('Pricing Inputs'!$AN$3=2,IF((J257-$H257)&gt;0,J257-$H257,0),(xSPRDOPT(J257,$E257,$BU257,0,$BP257,$BS257,$BT257,($A257-Inputs!$D$1)+15,1,0)))))</f>
        <v> </v>
      </c>
      <c r="R257" s="280" t="str">
        <f aca="false">IF($A257="N/A"," ",IF('Pricing Inputs'!$AN$8=2,(K257-$H257),IF('Pricing Inputs'!$AN$3=2,IF((K257-$H257)&gt;0,K257-$H257,0),(xSPRDOPT(K257,$E257,$BU257,0,$BP257,$BS257,$BT257,($A257-Inputs!$D$1)+15,1,0)))))</f>
        <v> </v>
      </c>
      <c r="S257" s="280" t="str">
        <f aca="false">IF($A257="N/A"," ",IF('Pricing Inputs'!$AN$8=2,(L257-$H257),IF('Pricing Inputs'!$AN$3=2,IF((L257-$H257)&gt;0,L257-$H257,0),(xSPRDOPT(L257,$E257,$BU257,0,$BP257,$BS257,$BT257,($A257-Inputs!$D$1)+15,1,0)))))</f>
        <v> </v>
      </c>
      <c r="T257" s="280" t="str">
        <f aca="false">IF($A257="N/A"," ",IF('Pricing Inputs'!$AN$8=2,(M257-$H257),IF('Pricing Inputs'!$AN$3=2,IF((M257-$H257)&gt;0,M257-$H257,0),(xSPRDOPT(M257,$E257,$BU257,0,$BP257,$BS257,$BT257,($A257-Inputs!$D$1)+15,1,0)))))</f>
        <v> </v>
      </c>
      <c r="U257" s="280" t="str">
        <f aca="false">IF($A257="N/A"," ",IF('Pricing Inputs'!$AN$8=2,(N257-$H257),IF('Pricing Inputs'!$AN$3=2,IF((N257-$H257)&gt;0,N257-$H257,0),(xSPRDOPT(N257,$E257,$BU257,0,$BP257,$BS257,$BT257,($A257-Inputs!$D$1)+15,1,0)))))</f>
        <v> </v>
      </c>
      <c r="V257" s="281" t="str">
        <f aca="false">IF($A257="N/A"," ",(IF('Pricing Inputs'!$AN$8=2,(O257-$H257),IF((O257-$H257)&lt;=0,0,(O257-$H257)))))</f>
        <v> </v>
      </c>
      <c r="AC257" s="282" t="str">
        <f aca="false">IF($A257="N/A"," ",(IF(V257&lt;&gt;0,(8*VLOOKUP($A257,NumberofDaysTable,6)),0)))</f>
        <v> </v>
      </c>
      <c r="AK257" s="31"/>
      <c r="AL257" s="31"/>
      <c r="AM257" s="31"/>
      <c r="AN257" s="31"/>
      <c r="AO257" s="31"/>
      <c r="AP257" s="31"/>
      <c r="AQ257" s="31"/>
      <c r="AR257" s="31"/>
      <c r="BA257" s="291" t="str">
        <f aca="false">IF($A257="N/A"," ",(IF(MONTH(A257)&gt;=4,IF(MONTH(A257)&lt;=10,Inputs!$F$13,Inputs!$F$14),Inputs!$F$14))*$BW257)</f>
        <v> </v>
      </c>
      <c r="BN257" s="294" t="str">
        <f aca="false">IF(A257="N/A"," ",(VLOOKUP(A257,PowerVolTable,(IF('Pricing Inputs'!$AT$3=2,7,IF('Pricing Inputs'!$AT$3=1,6,8))),FALSE())))</f>
        <v> </v>
      </c>
      <c r="BO257" s="294" t="str">
        <f aca="false">IF(A257="N/A"," ",(VLOOKUP(A257,IntraPowerVol,(IF('Pricing Inputs'!$AT$3=2,3,IF('Pricing Inputs'!$AT$3=1,2,4))),FALSE())*VLOOKUP(MONTH($A257),Inputs!$A$28:$B$39,2)))</f>
        <v> </v>
      </c>
      <c r="BP257" s="295" t="str">
        <f aca="false">IF($A257="N/A"," ",(IF(DateToday&gt;$A257,$BO257,((($BN257^2)*((($A257-1)-DateToday)/((EOMONTH($A257,0)+1)-DateToday-15)))+((($BO257)^2)*((15)/((EOMONTH($A257,0)+1)-DateToday-15))))^0.5)))</f>
        <v> </v>
      </c>
      <c r="BQ257" s="294" t="str">
        <f aca="false">IF($A257="N/A"," ",(VLOOKUP($A257,GasVolTable,(IF('Pricing Inputs'!$AT$3=2,6,IF('Pricing Inputs'!$AT$3=1,7,5))),FALSE())))</f>
        <v> </v>
      </c>
      <c r="BR257" s="294" t="str">
        <f aca="false">IF($A257="N/A"," ",(VLOOKUP($A257,OmicronVol,(IF('Pricing Inputs'!$AT$3=2,3,IF('Pricing Inputs'!$AT$3=1,4,2))),FALSE())))</f>
        <v> </v>
      </c>
      <c r="BS257" s="295" t="str">
        <f aca="false">IF($A257="N/A"," ",IF('Pricing Inputs'!$AN$3=1,(IF(DateToday&gt;$A257,$BR257,((($BQ257^2)*((($A257-1)-DateToday)/((EOMONTH($A257,0)+1)-DateToday-15)))+((($BR257)^2)*((15)/((EOMONTH($A257,0)+1)-DateToday-15))))^0.5)),0.0001))</f>
        <v> </v>
      </c>
      <c r="BT257" s="294" t="str">
        <f aca="false">IF($A257="N/A"," ",IF('Pricing Inputs'!$AN$3=1,(VLOOKUP($A257,CorrelationTable,2,FALSE())),0))</f>
        <v> </v>
      </c>
      <c r="BU257" s="296" t="str">
        <f aca="false">IF($A257="N/A"," ",F257+G257+(D257*(VLOOKUP($A257,'Gas Curves'!$B$17:$P$310,14,FALSE()))))</f>
        <v> </v>
      </c>
      <c r="BV257" s="294" t="str">
        <f aca="false">IF($A257="N/A"," ",IF('Pricing Inputs'!$AW$3=1,0,(VLOOKUP($A257,InterestRatesTable,2))))</f>
        <v> </v>
      </c>
      <c r="BW257" s="297" t="str">
        <f aca="false">IF($A257="N/A"," ",(1+BV257/2)^(-2*((EOMONTH(A257,0)+20)-DateToday)/365.25))</f>
        <v> </v>
      </c>
    </row>
    <row r="258" customFormat="false" ht="12.75" hidden="false" customHeight="false" outlineLevel="0" collapsed="false">
      <c r="A258" s="272" t="str">
        <f aca="false">IF(A257="N/A","N/A",IF(EDATE(A257,1)&gt;Inputs!$K$3,"N/A",EDATE(A257,1)))</f>
        <v>N/A</v>
      </c>
      <c r="B258" s="273" t="str">
        <f aca="false">IF(A258="N/A"," ",YEAR(A258))</f>
        <v> </v>
      </c>
      <c r="C258" s="274" t="str">
        <f aca="false">IF(A258="N/A"," ",VLOOKUP(A258,ScaledPrice,10))</f>
        <v> </v>
      </c>
      <c r="D258" s="275" t="str">
        <f aca="false">IF(A258="N/A"," ",(VLOOKUP(MONTH($A258),Inputs!$A$14:$B$25,2))/1000)</f>
        <v> </v>
      </c>
      <c r="E258" s="276" t="str">
        <f aca="false">IF($A258="N/A"," ",C258*D258)</f>
        <v> </v>
      </c>
      <c r="F258" s="277" t="str">
        <f aca="false">IF(A258="N/A"," ",Inputs!$F$6)</f>
        <v> </v>
      </c>
      <c r="G258" s="277" t="str">
        <f aca="false">IF(A258="N/A"," ",Inputs!$F$9/IF(AND('Pricing Inputs'!$AQ$3&gt;=4,'Pricing Inputs'!$AQ$3&lt;=6),16,IF(AND('Pricing Inputs'!$AQ$3&gt;=7,'Pricing Inputs'!$AQ$3&lt;=9),8,24))/(BA258/BW258))</f>
        <v> </v>
      </c>
      <c r="H258" s="278" t="str">
        <f aca="false">IF(A258="N/A"," ",(C258*D258)+F258+G258)</f>
        <v> </v>
      </c>
      <c r="I258" s="279" t="str">
        <f aca="false">VLOOKUP(A258,ScaledPrice,(IF(AND('Pricing Inputs'!$AQ$3&gt;=1,'Pricing Inputs'!$AQ$3&lt;=6),2,4)))</f>
        <v> </v>
      </c>
      <c r="J258" s="279" t="str">
        <f aca="false">IF(A258="N/A"," ",IF(AND('Pricing Inputs'!$AQ$3&gt;=1,'Pricing Inputs'!$AQ$3&lt;=6),I258,(VLOOKUP(A258,ScaledPrice,2))*(2-(VLOOKUP(A258,ScaledPrice,3)))))</f>
        <v> </v>
      </c>
      <c r="K258" s="279" t="str">
        <f aca="false">IF(A258="N/A"," ",IF(OR('Pricing Inputs'!$AQ$3=2,'Pricing Inputs'!$AQ$3=3,'Pricing Inputs'!$AQ$3=5,'Pricing Inputs'!$AQ$3=6,'Pricing Inputs'!$AQ$3=8,'Pricing Inputs'!$AQ$3=9),VLOOKUP(A258,ScaledPrice,IF(AND('Pricing Inputs'!$AQ$3&gt;=2,'Pricing Inputs'!$AQ$3&lt;=6),5,6)),0))</f>
        <v> </v>
      </c>
      <c r="L258" s="279" t="str">
        <f aca="false">IF(A258="N/A"," ",IF(OR('Pricing Inputs'!$AQ$3=2,'Pricing Inputs'!$AQ$3=3,'Pricing Inputs'!$AQ$3=5,'Pricing Inputs'!$AQ$3=6,'Pricing Inputs'!$AQ$3=8,'Pricing Inputs'!$AQ$3=9),IF(AND('Pricing Inputs'!$AQ$3&gt;=2,'Pricing Inputs'!$AQ$3&lt;=6),K258,(VLOOKUP(A258,ScaledPrice,5))*(2-(VLOOKUP(A258,ScaledPrice,3)))),0))</f>
        <v> </v>
      </c>
      <c r="M258" s="279" t="str">
        <f aca="false">IF(A258="N/A"," ",IF(OR('Pricing Inputs'!$AQ$3=3,'Pricing Inputs'!$AQ$3=6,'Pricing Inputs'!$AQ$3=9),(VLOOKUP(A258,ScaledPrice,IF(AND('Pricing Inputs'!$AQ$3&gt;=3,'Pricing Inputs'!$AQ$3&lt;=6),7,8))),0))</f>
        <v> </v>
      </c>
      <c r="N258" s="279" t="str">
        <f aca="false">IF(A258="N/A"," ",IF(OR('Pricing Inputs'!$AQ$3=3,'Pricing Inputs'!$AQ$3=6,'Pricing Inputs'!$AQ$3=9),IF(AND('Pricing Inputs'!$AQ$3&gt;=3,'Pricing Inputs'!$AQ$3&lt;=6),M258,(VLOOKUP(A258,ScaledPrice,7))*(2-(VLOOKUP(A258,ScaledPrice,3)))),0))</f>
        <v> </v>
      </c>
      <c r="O258" s="279" t="str">
        <f aca="false">IF(A258="N/A"," ",IF(AND('Pricing Inputs'!$AQ$3&gt;=1,'Pricing Inputs'!$AQ$3&lt;=3),VLOOKUP(A258,ScaledPrice,9),0))</f>
        <v> </v>
      </c>
      <c r="P258" s="280" t="str">
        <f aca="false">IF($A258="N/A"," ",IF('Pricing Inputs'!$AN$8=2,(I258-H258),IF('Pricing Inputs'!$AN$3=2,IF((I258-$H258)&gt;0,I258-$H258,0),(xSPRDOPT(I258,$E258,$BU258,0,$BP258,$BS258,$BT258,($A258-Inputs!$D$1)+15,1,0)))))</f>
        <v> </v>
      </c>
      <c r="Q258" s="280" t="str">
        <f aca="false">IF($A258="N/A"," ",IF('Pricing Inputs'!$AN$8=2,(J258-$H258),IF('Pricing Inputs'!$AN$3=2,IF((J258-$H258)&gt;0,J258-$H258,0),(xSPRDOPT(J258,$E258,$BU258,0,$BP258,$BS258,$BT258,($A258-Inputs!$D$1)+15,1,0)))))</f>
        <v> </v>
      </c>
      <c r="R258" s="280" t="str">
        <f aca="false">IF($A258="N/A"," ",IF('Pricing Inputs'!$AN$8=2,(K258-$H258),IF('Pricing Inputs'!$AN$3=2,IF((K258-$H258)&gt;0,K258-$H258,0),(xSPRDOPT(K258,$E258,$BU258,0,$BP258,$BS258,$BT258,($A258-Inputs!$D$1)+15,1,0)))))</f>
        <v> </v>
      </c>
      <c r="S258" s="280" t="str">
        <f aca="false">IF($A258="N/A"," ",IF('Pricing Inputs'!$AN$8=2,(L258-$H258),IF('Pricing Inputs'!$AN$3=2,IF((L258-$H258)&gt;0,L258-$H258,0),(xSPRDOPT(L258,$E258,$BU258,0,$BP258,$BS258,$BT258,($A258-Inputs!$D$1)+15,1,0)))))</f>
        <v> </v>
      </c>
      <c r="T258" s="280" t="str">
        <f aca="false">IF($A258="N/A"," ",IF('Pricing Inputs'!$AN$8=2,(M258-$H258),IF('Pricing Inputs'!$AN$3=2,IF((M258-$H258)&gt;0,M258-$H258,0),(xSPRDOPT(M258,$E258,$BU258,0,$BP258,$BS258,$BT258,($A258-Inputs!$D$1)+15,1,0)))))</f>
        <v> </v>
      </c>
      <c r="U258" s="280" t="str">
        <f aca="false">IF($A258="N/A"," ",IF('Pricing Inputs'!$AN$8=2,(N258-$H258),IF('Pricing Inputs'!$AN$3=2,IF((N258-$H258)&gt;0,N258-$H258,0),(xSPRDOPT(N258,$E258,$BU258,0,$BP258,$BS258,$BT258,($A258-Inputs!$D$1)+15,1,0)))))</f>
        <v> </v>
      </c>
      <c r="V258" s="281" t="str">
        <f aca="false">IF($A258="N/A"," ",(IF('Pricing Inputs'!$AN$8=2,(O258-$H258),IF((O258-$H258)&lt;=0,0,(O258-$H258)))))</f>
        <v> </v>
      </c>
      <c r="AK258" s="31"/>
      <c r="AL258" s="31"/>
      <c r="AM258" s="31"/>
      <c r="AN258" s="31"/>
      <c r="AO258" s="31"/>
      <c r="AP258" s="31"/>
      <c r="AQ258" s="31"/>
      <c r="AR258" s="31"/>
      <c r="BA258" s="291" t="str">
        <f aca="false">IF($A258="N/A"," ",(IF(MONTH(A258)&gt;=4,IF(MONTH(A258)&lt;=10,Inputs!$F$13,Inputs!$F$14),Inputs!$F$14))*$BW258)</f>
        <v> </v>
      </c>
      <c r="BN258" s="294" t="str">
        <f aca="false">IF(A258="N/A"," ",(VLOOKUP(A258,PowerVolTable,(IF('Pricing Inputs'!$AT$3=2,7,IF('Pricing Inputs'!$AT$3=1,6,8))),FALSE())))</f>
        <v> </v>
      </c>
      <c r="BO258" s="294" t="str">
        <f aca="false">IF(A258="N/A"," ",(VLOOKUP(A258,IntraPowerVol,(IF('Pricing Inputs'!$AT$3=2,3,IF('Pricing Inputs'!$AT$3=1,2,4))),FALSE())*VLOOKUP(MONTH($A258),Inputs!$A$28:$B$39,2)))</f>
        <v> </v>
      </c>
      <c r="BP258" s="295" t="str">
        <f aca="false">IF($A258="N/A"," ",(IF(DateToday&gt;$A258,$BO258,((($BN258^2)*((($A258-1)-DateToday)/((EOMONTH($A258,0)+1)-DateToday-15)))+((($BO258)^2)*((15)/((EOMONTH($A258,0)+1)-DateToday-15))))^0.5)))</f>
        <v> </v>
      </c>
      <c r="BQ258" s="294" t="str">
        <f aca="false">IF($A258="N/A"," ",(VLOOKUP($A258,GasVolTable,(IF('Pricing Inputs'!$AT$3=2,6,IF('Pricing Inputs'!$AT$3=1,7,5))),FALSE())))</f>
        <v> </v>
      </c>
      <c r="BR258" s="294" t="str">
        <f aca="false">IF($A258="N/A"," ",(VLOOKUP($A258,OmicronVol,(IF('Pricing Inputs'!$AT$3=2,3,IF('Pricing Inputs'!$AT$3=1,4,2))),FALSE())))</f>
        <v> </v>
      </c>
      <c r="BS258" s="295" t="str">
        <f aca="false">IF($A258="N/A"," ",IF('Pricing Inputs'!$AN$3=1,(IF(DateToday&gt;$A258,$BR258,((($BQ258^2)*((($A258-1)-DateToday)/((EOMONTH($A258,0)+1)-DateToday-15)))+((($BR258)^2)*((15)/((EOMONTH($A258,0)+1)-DateToday-15))))^0.5)),0.0001))</f>
        <v> </v>
      </c>
      <c r="BT258" s="294" t="str">
        <f aca="false">IF($A258="N/A"," ",IF('Pricing Inputs'!$AN$3=1,(VLOOKUP($A258,CorrelationTable,2,FALSE())),0))</f>
        <v> </v>
      </c>
      <c r="BU258" s="296" t="str">
        <f aca="false">IF($A258="N/A"," ",F258+G258+(D258*(VLOOKUP($A258,'Gas Curves'!$B$17:$P$310,14,FALSE()))))</f>
        <v> </v>
      </c>
      <c r="BV258" s="294" t="str">
        <f aca="false">IF($A258="N/A"," ",IF('Pricing Inputs'!$AW$3=1,0,(VLOOKUP($A258,InterestRatesTable,2))))</f>
        <v> </v>
      </c>
      <c r="BW258" s="297" t="str">
        <f aca="false">IF($A258="N/A"," ",(1+BV258/2)^(-2*((EOMONTH(A258,0)+20)-DateToday)/365.25))</f>
        <v> </v>
      </c>
    </row>
    <row r="259" customFormat="false" ht="12.75" hidden="false" customHeight="false" outlineLevel="0" collapsed="false">
      <c r="A259" s="272" t="str">
        <f aca="false">IF(A258="N/A","N/A",IF(EDATE(A258,1)&gt;Inputs!$K$3,"N/A",EDATE(A258,1)))</f>
        <v>N/A</v>
      </c>
      <c r="B259" s="273" t="str">
        <f aca="false">IF(A259="N/A"," ",YEAR(A259))</f>
        <v> </v>
      </c>
      <c r="C259" s="274" t="str">
        <f aca="false">IF(A259="N/A"," ",VLOOKUP(A259,ScaledPrice,10))</f>
        <v> </v>
      </c>
      <c r="D259" s="275" t="str">
        <f aca="false">IF(A259="N/A"," ",(VLOOKUP(MONTH($A259),Inputs!$A$14:$B$25,2))/1000)</f>
        <v> </v>
      </c>
      <c r="E259" s="276" t="str">
        <f aca="false">IF($A259="N/A"," ",C259*D259)</f>
        <v> </v>
      </c>
      <c r="F259" s="277" t="str">
        <f aca="false">IF(A259="N/A"," ",Inputs!$F$6)</f>
        <v> </v>
      </c>
      <c r="G259" s="277" t="str">
        <f aca="false">IF(A259="N/A"," ",Inputs!$F$9/IF(AND('Pricing Inputs'!$AQ$3&gt;=4,'Pricing Inputs'!$AQ$3&lt;=6),16,IF(AND('Pricing Inputs'!$AQ$3&gt;=7,'Pricing Inputs'!$AQ$3&lt;=9),8,24))/(BA259/BW259))</f>
        <v> </v>
      </c>
      <c r="H259" s="278" t="str">
        <f aca="false">IF(A259="N/A"," ",(C259*D259)+F259+G259)</f>
        <v> </v>
      </c>
      <c r="I259" s="279" t="str">
        <f aca="false">VLOOKUP(A259,ScaledPrice,(IF(AND('Pricing Inputs'!$AQ$3&gt;=1,'Pricing Inputs'!$AQ$3&lt;=6),2,4)))</f>
        <v> </v>
      </c>
      <c r="J259" s="279" t="str">
        <f aca="false">IF(A259="N/A"," ",IF(AND('Pricing Inputs'!$AQ$3&gt;=1,'Pricing Inputs'!$AQ$3&lt;=6),I259,(VLOOKUP(A259,ScaledPrice,2))*(2-(VLOOKUP(A259,ScaledPrice,3)))))</f>
        <v> </v>
      </c>
      <c r="K259" s="279" t="str">
        <f aca="false">IF(A259="N/A"," ",IF(OR('Pricing Inputs'!$AQ$3=2,'Pricing Inputs'!$AQ$3=3,'Pricing Inputs'!$AQ$3=5,'Pricing Inputs'!$AQ$3=6,'Pricing Inputs'!$AQ$3=8,'Pricing Inputs'!$AQ$3=9),VLOOKUP(A259,ScaledPrice,IF(AND('Pricing Inputs'!$AQ$3&gt;=2,'Pricing Inputs'!$AQ$3&lt;=6),5,6)),0))</f>
        <v> </v>
      </c>
      <c r="L259" s="279" t="str">
        <f aca="false">IF(A259="N/A"," ",IF(OR('Pricing Inputs'!$AQ$3=2,'Pricing Inputs'!$AQ$3=3,'Pricing Inputs'!$AQ$3=5,'Pricing Inputs'!$AQ$3=6,'Pricing Inputs'!$AQ$3=8,'Pricing Inputs'!$AQ$3=9),IF(AND('Pricing Inputs'!$AQ$3&gt;=2,'Pricing Inputs'!$AQ$3&lt;=6),K259,(VLOOKUP(A259,ScaledPrice,5))*(2-(VLOOKUP(A259,ScaledPrice,3)))),0))</f>
        <v> </v>
      </c>
      <c r="M259" s="279" t="str">
        <f aca="false">IF(A259="N/A"," ",IF(OR('Pricing Inputs'!$AQ$3=3,'Pricing Inputs'!$AQ$3=6,'Pricing Inputs'!$AQ$3=9),(VLOOKUP(A259,ScaledPrice,IF(AND('Pricing Inputs'!$AQ$3&gt;=3,'Pricing Inputs'!$AQ$3&lt;=6),7,8))),0))</f>
        <v> </v>
      </c>
      <c r="N259" s="279" t="str">
        <f aca="false">IF(A259="N/A"," ",IF(OR('Pricing Inputs'!$AQ$3=3,'Pricing Inputs'!$AQ$3=6,'Pricing Inputs'!$AQ$3=9),IF(AND('Pricing Inputs'!$AQ$3&gt;=3,'Pricing Inputs'!$AQ$3&lt;=6),M259,(VLOOKUP(A259,ScaledPrice,7))*(2-(VLOOKUP(A259,ScaledPrice,3)))),0))</f>
        <v> </v>
      </c>
      <c r="O259" s="279" t="str">
        <f aca="false">IF(A259="N/A"," ",IF(AND('Pricing Inputs'!$AQ$3&gt;=1,'Pricing Inputs'!$AQ$3&lt;=3),VLOOKUP(A259,ScaledPrice,9),0))</f>
        <v> </v>
      </c>
      <c r="P259" s="280" t="str">
        <f aca="false">IF($A259="N/A"," ",IF('Pricing Inputs'!$AN$8=2,(I259-H259),IF('Pricing Inputs'!$AN$3=2,IF((I259-$H259)&gt;0,I259-$H259,0),(xSPRDOPT(I259,$E259,$BU259,0,$BP259,$BS259,$BT259,($A259-Inputs!$D$1)+15,1,0)))))</f>
        <v> </v>
      </c>
      <c r="Q259" s="280" t="str">
        <f aca="false">IF($A259="N/A"," ",IF('Pricing Inputs'!$AN$8=2,(J259-$H259),IF('Pricing Inputs'!$AN$3=2,IF((J259-$H259)&gt;0,J259-$H259,0),(xSPRDOPT(J259,$E259,$BU259,0,$BP259,$BS259,$BT259,($A259-Inputs!$D$1)+15,1,0)))))</f>
        <v> </v>
      </c>
      <c r="R259" s="280" t="str">
        <f aca="false">IF($A259="N/A"," ",IF('Pricing Inputs'!$AN$8=2,(K259-$H259),IF('Pricing Inputs'!$AN$3=2,IF((K259-$H259)&gt;0,K259-$H259,0),(xSPRDOPT(K259,$E259,$BU259,0,$BP259,$BS259,$BT259,($A259-Inputs!$D$1)+15,1,0)))))</f>
        <v> </v>
      </c>
      <c r="S259" s="280" t="str">
        <f aca="false">IF($A259="N/A"," ",IF('Pricing Inputs'!$AN$8=2,(L259-$H259),IF('Pricing Inputs'!$AN$3=2,IF((L259-$H259)&gt;0,L259-$H259,0),(xSPRDOPT(L259,$E259,$BU259,0,$BP259,$BS259,$BT259,($A259-Inputs!$D$1)+15,1,0)))))</f>
        <v> </v>
      </c>
      <c r="T259" s="280" t="str">
        <f aca="false">IF($A259="N/A"," ",IF('Pricing Inputs'!$AN$8=2,(M259-$H259),IF('Pricing Inputs'!$AN$3=2,IF((M259-$H259)&gt;0,M259-$H259,0),(xSPRDOPT(M259,$E259,$BU259,0,$BP259,$BS259,$BT259,($A259-Inputs!$D$1)+15,1,0)))))</f>
        <v> </v>
      </c>
      <c r="U259" s="280" t="str">
        <f aca="false">IF($A259="N/A"," ",IF('Pricing Inputs'!$AN$8=2,(N259-$H259),IF('Pricing Inputs'!$AN$3=2,IF((N259-$H259)&gt;0,N259-$H259,0),(xSPRDOPT(N259,$E259,$BU259,0,$BP259,$BS259,$BT259,($A259-Inputs!$D$1)+15,1,0)))))</f>
        <v> </v>
      </c>
      <c r="V259" s="281" t="str">
        <f aca="false">IF($A259="N/A"," ",(IF('Pricing Inputs'!$AN$8=2,(O259-$H259),IF((O259-$H259)&lt;=0,0,(O259-$H259)))))</f>
        <v> </v>
      </c>
      <c r="AK259" s="31"/>
      <c r="AL259" s="31"/>
      <c r="AM259" s="31"/>
      <c r="AN259" s="31"/>
      <c r="AO259" s="31"/>
      <c r="AP259" s="31"/>
      <c r="AQ259" s="31"/>
      <c r="AR259" s="31"/>
      <c r="BA259" s="291" t="str">
        <f aca="false">IF($A259="N/A"," ",(IF(MONTH(A259)&gt;=4,IF(MONTH(A259)&lt;=10,Inputs!$F$13,Inputs!$F$14),Inputs!$F$14))*$BW259)</f>
        <v> </v>
      </c>
      <c r="BN259" s="294" t="str">
        <f aca="false">IF(A259="N/A"," ",(VLOOKUP(A259,PowerVolTable,(IF('Pricing Inputs'!$AT$3=2,7,IF('Pricing Inputs'!$AT$3=1,6,8))),FALSE())))</f>
        <v> </v>
      </c>
      <c r="BO259" s="294" t="str">
        <f aca="false">IF(A259="N/A"," ",(VLOOKUP(A259,IntraPowerVol,(IF('Pricing Inputs'!$AT$3=2,3,IF('Pricing Inputs'!$AT$3=1,2,4))),FALSE())*VLOOKUP(MONTH($A259),Inputs!$A$28:$B$39,2)))</f>
        <v> </v>
      </c>
      <c r="BP259" s="295" t="str">
        <f aca="false">IF($A259="N/A"," ",(IF(DateToday&gt;$A259,$BO259,((($BN259^2)*((($A259-1)-DateToday)/((EOMONTH($A259,0)+1)-DateToday-15)))+((($BO259)^2)*((15)/((EOMONTH($A259,0)+1)-DateToday-15))))^0.5)))</f>
        <v> </v>
      </c>
      <c r="BQ259" s="294" t="str">
        <f aca="false">IF($A259="N/A"," ",(VLOOKUP($A259,GasVolTable,(IF('Pricing Inputs'!$AT$3=2,6,IF('Pricing Inputs'!$AT$3=1,7,5))),FALSE())))</f>
        <v> </v>
      </c>
      <c r="BR259" s="294" t="str">
        <f aca="false">IF($A259="N/A"," ",(VLOOKUP($A259,OmicronVol,(IF('Pricing Inputs'!$AT$3=2,3,IF('Pricing Inputs'!$AT$3=1,4,2))),FALSE())))</f>
        <v> </v>
      </c>
      <c r="BS259" s="295" t="str">
        <f aca="false">IF($A259="N/A"," ",IF('Pricing Inputs'!$AN$3=1,(IF(DateToday&gt;$A259,$BR259,((($BQ259^2)*((($A259-1)-DateToday)/((EOMONTH($A259,0)+1)-DateToday-15)))+((($BR259)^2)*((15)/((EOMONTH($A259,0)+1)-DateToday-15))))^0.5)),0.0001))</f>
        <v> </v>
      </c>
      <c r="BT259" s="294" t="str">
        <f aca="false">IF($A259="N/A"," ",IF('Pricing Inputs'!$AN$3=1,(VLOOKUP($A259,CorrelationTable,2,FALSE())),0))</f>
        <v> </v>
      </c>
      <c r="BU259" s="296" t="str">
        <f aca="false">IF($A259="N/A"," ",F259+G259+(D259*(VLOOKUP($A259,'Gas Curves'!$B$17:$P$310,14,FALSE()))))</f>
        <v> </v>
      </c>
      <c r="BV259" s="294" t="str">
        <f aca="false">IF($A259="N/A"," ",IF('Pricing Inputs'!$AW$3=1,0,(VLOOKUP($A259,InterestRatesTable,2))))</f>
        <v> </v>
      </c>
      <c r="BW259" s="297" t="str">
        <f aca="false">IF($A259="N/A"," ",(1+BV259/2)^(-2*((EOMONTH(A259,0)+20)-DateToday)/365.25))</f>
        <v> </v>
      </c>
    </row>
    <row r="260" customFormat="false" ht="12.75" hidden="false" customHeight="false" outlineLevel="0" collapsed="false">
      <c r="A260" s="272" t="str">
        <f aca="false">IF(A259="N/A","N/A",IF(EDATE(A259,1)&gt;Inputs!$K$3,"N/A",EDATE(A259,1)))</f>
        <v>N/A</v>
      </c>
      <c r="B260" s="273" t="str">
        <f aca="false">IF(A260="N/A"," ",YEAR(A260))</f>
        <v> </v>
      </c>
      <c r="C260" s="274" t="str">
        <f aca="false">IF(A260="N/A"," ",VLOOKUP(A260,ScaledPrice,10))</f>
        <v> </v>
      </c>
      <c r="D260" s="275" t="str">
        <f aca="false">IF(A260="N/A"," ",(VLOOKUP(MONTH($A260),Inputs!$A$14:$B$25,2))/1000)</f>
        <v> </v>
      </c>
      <c r="E260" s="276" t="str">
        <f aca="false">IF($A260="N/A"," ",C260*D260)</f>
        <v> </v>
      </c>
      <c r="F260" s="277" t="str">
        <f aca="false">IF(A260="N/A"," ",Inputs!$F$6)</f>
        <v> </v>
      </c>
      <c r="G260" s="277" t="str">
        <f aca="false">IF(A260="N/A"," ",Inputs!$F$9/IF(AND('Pricing Inputs'!$AQ$3&gt;=4,'Pricing Inputs'!$AQ$3&lt;=6),16,IF(AND('Pricing Inputs'!$AQ$3&gt;=7,'Pricing Inputs'!$AQ$3&lt;=9),8,24))/(BA260/BW260))</f>
        <v> </v>
      </c>
      <c r="H260" s="278" t="str">
        <f aca="false">IF(A260="N/A"," ",(C260*D260)+F260+G260)</f>
        <v> </v>
      </c>
      <c r="I260" s="279" t="str">
        <f aca="false">VLOOKUP(A260,ScaledPrice,(IF(AND('Pricing Inputs'!$AQ$3&gt;=1,'Pricing Inputs'!$AQ$3&lt;=6),2,4)))</f>
        <v> </v>
      </c>
      <c r="J260" s="279" t="str">
        <f aca="false">IF(A260="N/A"," ",IF(AND('Pricing Inputs'!$AQ$3&gt;=1,'Pricing Inputs'!$AQ$3&lt;=6),I260,(VLOOKUP(A260,ScaledPrice,2))*(2-(VLOOKUP(A260,ScaledPrice,3)))))</f>
        <v> </v>
      </c>
      <c r="K260" s="279" t="str">
        <f aca="false">IF(A260="N/A"," ",IF(OR('Pricing Inputs'!$AQ$3=2,'Pricing Inputs'!$AQ$3=3,'Pricing Inputs'!$AQ$3=5,'Pricing Inputs'!$AQ$3=6,'Pricing Inputs'!$AQ$3=8,'Pricing Inputs'!$AQ$3=9),VLOOKUP(A260,ScaledPrice,IF(AND('Pricing Inputs'!$AQ$3&gt;=2,'Pricing Inputs'!$AQ$3&lt;=6),5,6)),0))</f>
        <v> </v>
      </c>
      <c r="L260" s="279" t="str">
        <f aca="false">IF(A260="N/A"," ",IF(OR('Pricing Inputs'!$AQ$3=2,'Pricing Inputs'!$AQ$3=3,'Pricing Inputs'!$AQ$3=5,'Pricing Inputs'!$AQ$3=6,'Pricing Inputs'!$AQ$3=8,'Pricing Inputs'!$AQ$3=9),IF(AND('Pricing Inputs'!$AQ$3&gt;=2,'Pricing Inputs'!$AQ$3&lt;=6),K260,(VLOOKUP(A260,ScaledPrice,5))*(2-(VLOOKUP(A260,ScaledPrice,3)))),0))</f>
        <v> </v>
      </c>
      <c r="M260" s="279" t="str">
        <f aca="false">IF(A260="N/A"," ",IF(OR('Pricing Inputs'!$AQ$3=3,'Pricing Inputs'!$AQ$3=6,'Pricing Inputs'!$AQ$3=9),(VLOOKUP(A260,ScaledPrice,IF(AND('Pricing Inputs'!$AQ$3&gt;=3,'Pricing Inputs'!$AQ$3&lt;=6),7,8))),0))</f>
        <v> </v>
      </c>
      <c r="N260" s="279" t="str">
        <f aca="false">IF(A260="N/A"," ",IF(OR('Pricing Inputs'!$AQ$3=3,'Pricing Inputs'!$AQ$3=6,'Pricing Inputs'!$AQ$3=9),IF(AND('Pricing Inputs'!$AQ$3&gt;=3,'Pricing Inputs'!$AQ$3&lt;=6),M260,(VLOOKUP(A260,ScaledPrice,7))*(2-(VLOOKUP(A260,ScaledPrice,3)))),0))</f>
        <v> </v>
      </c>
      <c r="O260" s="279" t="str">
        <f aca="false">IF(A260="N/A"," ",IF(AND('Pricing Inputs'!$AQ$3&gt;=1,'Pricing Inputs'!$AQ$3&lt;=3),VLOOKUP(A260,ScaledPrice,9),0))</f>
        <v> </v>
      </c>
      <c r="P260" s="280" t="str">
        <f aca="false">IF($A260="N/A"," ",IF('Pricing Inputs'!$AN$8=2,(I260-H260),IF('Pricing Inputs'!$AN$3=2,IF((I260-$H260)&gt;0,I260-$H260,0),(xSPRDOPT(I260,$E260,$BU260,0,$BP260,$BS260,$BT260,($A260-Inputs!$D$1)+15,1,0)))))</f>
        <v> </v>
      </c>
      <c r="Q260" s="280" t="str">
        <f aca="false">IF($A260="N/A"," ",IF('Pricing Inputs'!$AN$8=2,(J260-$H260),IF('Pricing Inputs'!$AN$3=2,IF((J260-$H260)&gt;0,J260-$H260,0),(xSPRDOPT(J260,$E260,$BU260,0,$BP260,$BS260,$BT260,($A260-Inputs!$D$1)+15,1,0)))))</f>
        <v> </v>
      </c>
      <c r="R260" s="280" t="str">
        <f aca="false">IF($A260="N/A"," ",IF('Pricing Inputs'!$AN$8=2,(K260-$H260),IF('Pricing Inputs'!$AN$3=2,IF((K260-$H260)&gt;0,K260-$H260,0),(xSPRDOPT(K260,$E260,$BU260,0,$BP260,$BS260,$BT260,($A260-Inputs!$D$1)+15,1,0)))))</f>
        <v> </v>
      </c>
      <c r="S260" s="280" t="str">
        <f aca="false">IF($A260="N/A"," ",IF('Pricing Inputs'!$AN$8=2,(L260-$H260),IF('Pricing Inputs'!$AN$3=2,IF((L260-$H260)&gt;0,L260-$H260,0),(xSPRDOPT(L260,$E260,$BU260,0,$BP260,$BS260,$BT260,($A260-Inputs!$D$1)+15,1,0)))))</f>
        <v> </v>
      </c>
      <c r="T260" s="280" t="str">
        <f aca="false">IF($A260="N/A"," ",IF('Pricing Inputs'!$AN$8=2,(M260-$H260),IF('Pricing Inputs'!$AN$3=2,IF((M260-$H260)&gt;0,M260-$H260,0),(xSPRDOPT(M260,$E260,$BU260,0,$BP260,$BS260,$BT260,($A260-Inputs!$D$1)+15,1,0)))))</f>
        <v> </v>
      </c>
      <c r="U260" s="280" t="str">
        <f aca="false">IF($A260="N/A"," ",IF('Pricing Inputs'!$AN$8=2,(N260-$H260),IF('Pricing Inputs'!$AN$3=2,IF((N260-$H260)&gt;0,N260-$H260,0),(xSPRDOPT(N260,$E260,$BU260,0,$BP260,$BS260,$BT260,($A260-Inputs!$D$1)+15,1,0)))))</f>
        <v> </v>
      </c>
      <c r="V260" s="281" t="str">
        <f aca="false">IF($A260="N/A"," ",(IF('Pricing Inputs'!$AN$8=2,(O260-$H260),IF((O260-$H260)&lt;=0,0,(O260-$H260)))))</f>
        <v> </v>
      </c>
      <c r="AK260" s="31"/>
      <c r="AL260" s="31"/>
      <c r="AM260" s="31"/>
      <c r="AN260" s="31"/>
      <c r="AO260" s="31"/>
      <c r="AP260" s="31"/>
      <c r="AQ260" s="31"/>
      <c r="AR260" s="31"/>
      <c r="BA260" s="291" t="str">
        <f aca="false">IF($A260="N/A"," ",(IF(MONTH(A260)&gt;=4,IF(MONTH(A260)&lt;=10,Inputs!$F$13,Inputs!$F$14),Inputs!$F$14))*$BW260)</f>
        <v> </v>
      </c>
      <c r="BN260" s="294" t="str">
        <f aca="false">IF(A260="N/A"," ",(VLOOKUP(A260,PowerVolTable,(IF('Pricing Inputs'!$AT$3=2,7,IF('Pricing Inputs'!$AT$3=1,6,8))),FALSE())))</f>
        <v> </v>
      </c>
      <c r="BO260" s="294" t="str">
        <f aca="false">IF(A260="N/A"," ",(VLOOKUP(A260,IntraPowerVol,(IF('Pricing Inputs'!$AT$3=2,3,IF('Pricing Inputs'!$AT$3=1,2,4))),FALSE())*VLOOKUP(MONTH($A260),Inputs!$A$28:$B$39,2)))</f>
        <v> </v>
      </c>
      <c r="BP260" s="295" t="str">
        <f aca="false">IF($A260="N/A"," ",(IF(DateToday&gt;$A260,$BO260,((($BN260^2)*((($A260-1)-DateToday)/((EOMONTH($A260,0)+1)-DateToday-15)))+((($BO260)^2)*((15)/((EOMONTH($A260,0)+1)-DateToday-15))))^0.5)))</f>
        <v> </v>
      </c>
      <c r="BQ260" s="294" t="str">
        <f aca="false">IF($A260="N/A"," ",(VLOOKUP($A260,GasVolTable,(IF('Pricing Inputs'!$AT$3=2,6,IF('Pricing Inputs'!$AT$3=1,7,5))),FALSE())))</f>
        <v> </v>
      </c>
      <c r="BR260" s="294" t="str">
        <f aca="false">IF($A260="N/A"," ",(VLOOKUP($A260,OmicronVol,(IF('Pricing Inputs'!$AT$3=2,3,IF('Pricing Inputs'!$AT$3=1,4,2))),FALSE())))</f>
        <v> </v>
      </c>
      <c r="BS260" s="295" t="str">
        <f aca="false">IF($A260="N/A"," ",IF('Pricing Inputs'!$AN$3=1,(IF(DateToday&gt;$A260,$BR260,((($BQ260^2)*((($A260-1)-DateToday)/((EOMONTH($A260,0)+1)-DateToday-15)))+((($BR260)^2)*((15)/((EOMONTH($A260,0)+1)-DateToday-15))))^0.5)),0.0001))</f>
        <v> </v>
      </c>
      <c r="BT260" s="294" t="str">
        <f aca="false">IF($A260="N/A"," ",IF('Pricing Inputs'!$AN$3=1,(VLOOKUP($A260,CorrelationTable,2,FALSE())),0))</f>
        <v> </v>
      </c>
      <c r="BU260" s="296" t="str">
        <f aca="false">IF($A260="N/A"," ",F260+G260+(D260*(VLOOKUP($A260,'Gas Curves'!$B$17:$P$310,14,FALSE()))))</f>
        <v> </v>
      </c>
      <c r="BV260" s="294" t="str">
        <f aca="false">IF($A260="N/A"," ",IF('Pricing Inputs'!$AW$3=1,0,(VLOOKUP($A260,InterestRatesTable,2))))</f>
        <v> </v>
      </c>
      <c r="BW260" s="297" t="str">
        <f aca="false">IF($A260="N/A"," ",(1+BV260/2)^(-2*((EOMONTH(A260,0)+20)-DateToday)/365.25))</f>
        <v> </v>
      </c>
    </row>
    <row r="261" customFormat="false" ht="12.75" hidden="false" customHeight="false" outlineLevel="0" collapsed="false">
      <c r="A261" s="272" t="str">
        <f aca="false">IF(A260="N/A","N/A",IF(EDATE(A260,1)&gt;Inputs!$K$3,"N/A",EDATE(A260,1)))</f>
        <v>N/A</v>
      </c>
      <c r="B261" s="273" t="str">
        <f aca="false">IF(A261="N/A"," ",YEAR(A261))</f>
        <v> </v>
      </c>
      <c r="C261" s="274" t="str">
        <f aca="false">IF(A261="N/A"," ",VLOOKUP(A261,ScaledPrice,10))</f>
        <v> </v>
      </c>
      <c r="D261" s="275" t="str">
        <f aca="false">IF(A261="N/A"," ",(VLOOKUP(MONTH($A261),Inputs!$A$14:$B$25,2))/1000)</f>
        <v> </v>
      </c>
      <c r="E261" s="276" t="str">
        <f aca="false">IF($A261="N/A"," ",C261*D261)</f>
        <v> </v>
      </c>
      <c r="F261" s="277" t="str">
        <f aca="false">IF(A261="N/A"," ",Inputs!$F$6)</f>
        <v> </v>
      </c>
      <c r="G261" s="277" t="str">
        <f aca="false">IF(A261="N/A"," ",Inputs!$F$9/IF(AND('Pricing Inputs'!$AQ$3&gt;=4,'Pricing Inputs'!$AQ$3&lt;=6),16,IF(AND('Pricing Inputs'!$AQ$3&gt;=7,'Pricing Inputs'!$AQ$3&lt;=9),8,24))/(BA261/BW261))</f>
        <v> </v>
      </c>
      <c r="H261" s="278" t="str">
        <f aca="false">IF(A261="N/A"," ",(C261*D261)+F261+G261)</f>
        <v> </v>
      </c>
      <c r="I261" s="279" t="str">
        <f aca="false">VLOOKUP(A261,ScaledPrice,(IF(AND('Pricing Inputs'!$AQ$3&gt;=1,'Pricing Inputs'!$AQ$3&lt;=6),2,4)))</f>
        <v> </v>
      </c>
      <c r="J261" s="279" t="str">
        <f aca="false">IF(A261="N/A"," ",IF(AND('Pricing Inputs'!$AQ$3&gt;=1,'Pricing Inputs'!$AQ$3&lt;=6),I261,(VLOOKUP(A261,ScaledPrice,2))*(2-(VLOOKUP(A261,ScaledPrice,3)))))</f>
        <v> </v>
      </c>
      <c r="K261" s="279" t="str">
        <f aca="false">IF(A261="N/A"," ",IF(OR('Pricing Inputs'!$AQ$3=2,'Pricing Inputs'!$AQ$3=3,'Pricing Inputs'!$AQ$3=5,'Pricing Inputs'!$AQ$3=6,'Pricing Inputs'!$AQ$3=8,'Pricing Inputs'!$AQ$3=9),VLOOKUP(A261,ScaledPrice,IF(AND('Pricing Inputs'!$AQ$3&gt;=2,'Pricing Inputs'!$AQ$3&lt;=6),5,6)),0))</f>
        <v> </v>
      </c>
      <c r="L261" s="279" t="str">
        <f aca="false">IF(A261="N/A"," ",IF(OR('Pricing Inputs'!$AQ$3=2,'Pricing Inputs'!$AQ$3=3,'Pricing Inputs'!$AQ$3=5,'Pricing Inputs'!$AQ$3=6,'Pricing Inputs'!$AQ$3=8,'Pricing Inputs'!$AQ$3=9),IF(AND('Pricing Inputs'!$AQ$3&gt;=2,'Pricing Inputs'!$AQ$3&lt;=6),K261,(VLOOKUP(A261,ScaledPrice,5))*(2-(VLOOKUP(A261,ScaledPrice,3)))),0))</f>
        <v> </v>
      </c>
      <c r="M261" s="279" t="str">
        <f aca="false">IF(A261="N/A"," ",IF(OR('Pricing Inputs'!$AQ$3=3,'Pricing Inputs'!$AQ$3=6,'Pricing Inputs'!$AQ$3=9),(VLOOKUP(A261,ScaledPrice,IF(AND('Pricing Inputs'!$AQ$3&gt;=3,'Pricing Inputs'!$AQ$3&lt;=6),7,8))),0))</f>
        <v> </v>
      </c>
      <c r="N261" s="279" t="str">
        <f aca="false">IF(A261="N/A"," ",IF(OR('Pricing Inputs'!$AQ$3=3,'Pricing Inputs'!$AQ$3=6,'Pricing Inputs'!$AQ$3=9),IF(AND('Pricing Inputs'!$AQ$3&gt;=3,'Pricing Inputs'!$AQ$3&lt;=6),M261,(VLOOKUP(A261,ScaledPrice,7))*(2-(VLOOKUP(A261,ScaledPrice,3)))),0))</f>
        <v> </v>
      </c>
      <c r="O261" s="279" t="str">
        <f aca="false">IF(A261="N/A"," ",IF(AND('Pricing Inputs'!$AQ$3&gt;=1,'Pricing Inputs'!$AQ$3&lt;=3),VLOOKUP(A261,ScaledPrice,9),0))</f>
        <v> </v>
      </c>
      <c r="P261" s="280" t="str">
        <f aca="false">IF($A261="N/A"," ",IF('Pricing Inputs'!$AN$8=2,(I261-H261),IF('Pricing Inputs'!$AN$3=2,IF((I261-$H261)&gt;0,I261-$H261,0),(xSPRDOPT(I261,$E261,$BU261,0,$BP261,$BS261,$BT261,($A261-Inputs!$D$1)+15,1,0)))))</f>
        <v> </v>
      </c>
      <c r="Q261" s="280" t="str">
        <f aca="false">IF($A261="N/A"," ",IF('Pricing Inputs'!$AN$8=2,(J261-$H261),IF('Pricing Inputs'!$AN$3=2,IF((J261-$H261)&gt;0,J261-$H261,0),(xSPRDOPT(J261,$E261,$BU261,0,$BP261,$BS261,$BT261,($A261-Inputs!$D$1)+15,1,0)))))</f>
        <v> </v>
      </c>
      <c r="R261" s="280" t="str">
        <f aca="false">IF($A261="N/A"," ",IF('Pricing Inputs'!$AN$8=2,(K261-$H261),IF('Pricing Inputs'!$AN$3=2,IF((K261-$H261)&gt;0,K261-$H261,0),(xSPRDOPT(K261,$E261,$BU261,0,$BP261,$BS261,$BT261,($A261-Inputs!$D$1)+15,1,0)))))</f>
        <v> </v>
      </c>
      <c r="S261" s="280" t="str">
        <f aca="false">IF($A261="N/A"," ",IF('Pricing Inputs'!$AN$8=2,(L261-$H261),IF('Pricing Inputs'!$AN$3=2,IF((L261-$H261)&gt;0,L261-$H261,0),(xSPRDOPT(L261,$E261,$BU261,0,$BP261,$BS261,$BT261,($A261-Inputs!$D$1)+15,1,0)))))</f>
        <v> </v>
      </c>
      <c r="T261" s="280" t="str">
        <f aca="false">IF($A261="N/A"," ",IF('Pricing Inputs'!$AN$8=2,(M261-$H261),IF('Pricing Inputs'!$AN$3=2,IF((M261-$H261)&gt;0,M261-$H261,0),(xSPRDOPT(M261,$E261,$BU261,0,$BP261,$BS261,$BT261,($A261-Inputs!$D$1)+15,1,0)))))</f>
        <v> </v>
      </c>
      <c r="U261" s="280" t="str">
        <f aca="false">IF($A261="N/A"," ",IF('Pricing Inputs'!$AN$8=2,(N261-$H261),IF('Pricing Inputs'!$AN$3=2,IF((N261-$H261)&gt;0,N261-$H261,0),(xSPRDOPT(N261,$E261,$BU261,0,$BP261,$BS261,$BT261,($A261-Inputs!$D$1)+15,1,0)))))</f>
        <v> </v>
      </c>
      <c r="V261" s="281" t="str">
        <f aca="false">IF($A261="N/A"," ",(IF('Pricing Inputs'!$AN$8=2,(O261-$H261),IF((O261-$H261)&lt;=0,0,(O261-$H261)))))</f>
        <v> </v>
      </c>
      <c r="AK261" s="31"/>
      <c r="AL261" s="31"/>
      <c r="AM261" s="31"/>
      <c r="AN261" s="31"/>
      <c r="AO261" s="31"/>
      <c r="AP261" s="31"/>
      <c r="AQ261" s="31"/>
      <c r="AR261" s="31"/>
      <c r="BA261" s="291" t="str">
        <f aca="false">IF($A261="N/A"," ",(IF(MONTH(A261)&gt;=4,IF(MONTH(A261)&lt;=10,Inputs!$F$13,Inputs!$F$14),Inputs!$F$14))*$BW261)</f>
        <v> </v>
      </c>
      <c r="BN261" s="294" t="str">
        <f aca="false">IF(A261="N/A"," ",(VLOOKUP(A261,PowerVolTable,(IF('Pricing Inputs'!$AT$3=2,7,IF('Pricing Inputs'!$AT$3=1,6,8))),FALSE())))</f>
        <v> </v>
      </c>
      <c r="BO261" s="294" t="str">
        <f aca="false">IF(A261="N/A"," ",(VLOOKUP(A261,IntraPowerVol,(IF('Pricing Inputs'!$AT$3=2,3,IF('Pricing Inputs'!$AT$3=1,2,4))),FALSE())*VLOOKUP(MONTH($A261),Inputs!$A$28:$B$39,2)))</f>
        <v> </v>
      </c>
      <c r="BP261" s="295" t="str">
        <f aca="false">IF($A261="N/A"," ",(IF(DateToday&gt;$A261,$BO261,((($BN261^2)*((($A261-1)-DateToday)/((EOMONTH($A261,0)+1)-DateToday-15)))+((($BO261)^2)*((15)/((EOMONTH($A261,0)+1)-DateToday-15))))^0.5)))</f>
        <v> </v>
      </c>
      <c r="BQ261" s="294" t="str">
        <f aca="false">IF($A261="N/A"," ",(VLOOKUP($A261,GasVolTable,(IF('Pricing Inputs'!$AT$3=2,6,IF('Pricing Inputs'!$AT$3=1,7,5))),FALSE())))</f>
        <v> </v>
      </c>
      <c r="BR261" s="294" t="str">
        <f aca="false">IF($A261="N/A"," ",(VLOOKUP($A261,OmicronVol,(IF('Pricing Inputs'!$AT$3=2,3,IF('Pricing Inputs'!$AT$3=1,4,2))),FALSE())))</f>
        <v> </v>
      </c>
      <c r="BS261" s="295" t="str">
        <f aca="false">IF($A261="N/A"," ",IF('Pricing Inputs'!$AN$3=1,(IF(DateToday&gt;$A261,$BR261,((($BQ261^2)*((($A261-1)-DateToday)/((EOMONTH($A261,0)+1)-DateToday-15)))+((($BR261)^2)*((15)/((EOMONTH($A261,0)+1)-DateToday-15))))^0.5)),0.0001))</f>
        <v> </v>
      </c>
      <c r="BT261" s="294" t="str">
        <f aca="false">IF($A261="N/A"," ",IF('Pricing Inputs'!$AN$3=1,(VLOOKUP($A261,CorrelationTable,2,FALSE())),0))</f>
        <v> </v>
      </c>
      <c r="BU261" s="296" t="str">
        <f aca="false">IF($A261="N/A"," ",F261+G261+(D261*(VLOOKUP($A261,'Gas Curves'!$B$17:$P$310,14,FALSE()))))</f>
        <v> </v>
      </c>
      <c r="BV261" s="294" t="str">
        <f aca="false">IF($A261="N/A"," ",IF('Pricing Inputs'!$AW$3=1,0,(VLOOKUP($A261,InterestRatesTable,2))))</f>
        <v> </v>
      </c>
      <c r="BW261" s="297" t="str">
        <f aca="false">IF($A261="N/A"," ",(1+BV261/2)^(-2*((EOMONTH(A261,0)+20)-DateToday)/365.25))</f>
        <v> </v>
      </c>
    </row>
    <row r="262" customFormat="false" ht="12.75" hidden="false" customHeight="false" outlineLevel="0" collapsed="false">
      <c r="A262" s="272" t="str">
        <f aca="false">IF(A261="N/A","N/A",IF(EDATE(A261,1)&gt;Inputs!$K$3,"N/A",EDATE(A261,1)))</f>
        <v>N/A</v>
      </c>
      <c r="B262" s="273" t="str">
        <f aca="false">IF(A262="N/A"," ",YEAR(A262))</f>
        <v> </v>
      </c>
      <c r="C262" s="274" t="str">
        <f aca="false">IF(A262="N/A"," ",VLOOKUP(A262,ScaledPrice,10))</f>
        <v> </v>
      </c>
      <c r="D262" s="275" t="str">
        <f aca="false">IF(A262="N/A"," ",(VLOOKUP(MONTH($A262),Inputs!$A$14:$B$25,2))/1000)</f>
        <v> </v>
      </c>
      <c r="E262" s="276" t="str">
        <f aca="false">IF($A262="N/A"," ",C262*D262)</f>
        <v> </v>
      </c>
      <c r="F262" s="277" t="str">
        <f aca="false">IF(A262="N/A"," ",Inputs!$F$6)</f>
        <v> </v>
      </c>
      <c r="G262" s="277" t="str">
        <f aca="false">IF(A262="N/A"," ",Inputs!$F$9/IF(AND('Pricing Inputs'!$AQ$3&gt;=4,'Pricing Inputs'!$AQ$3&lt;=6),16,IF(AND('Pricing Inputs'!$AQ$3&gt;=7,'Pricing Inputs'!$AQ$3&lt;=9),8,24))/(BA262/BW262))</f>
        <v> </v>
      </c>
      <c r="H262" s="278" t="str">
        <f aca="false">IF(A262="N/A"," ",(C262*D262)+F262+G262)</f>
        <v> </v>
      </c>
      <c r="I262" s="279" t="str">
        <f aca="false">VLOOKUP(A262,ScaledPrice,(IF(AND('Pricing Inputs'!$AQ$3&gt;=1,'Pricing Inputs'!$AQ$3&lt;=6),2,4)))</f>
        <v> </v>
      </c>
      <c r="J262" s="279" t="str">
        <f aca="false">IF(A262="N/A"," ",IF(AND('Pricing Inputs'!$AQ$3&gt;=1,'Pricing Inputs'!$AQ$3&lt;=6),I262,(VLOOKUP(A262,ScaledPrice,2))*(2-(VLOOKUP(A262,ScaledPrice,3)))))</f>
        <v> </v>
      </c>
      <c r="K262" s="279" t="str">
        <f aca="false">IF(A262="N/A"," ",IF(OR('Pricing Inputs'!$AQ$3=2,'Pricing Inputs'!$AQ$3=3,'Pricing Inputs'!$AQ$3=5,'Pricing Inputs'!$AQ$3=6,'Pricing Inputs'!$AQ$3=8,'Pricing Inputs'!$AQ$3=9),VLOOKUP(A262,ScaledPrice,IF(AND('Pricing Inputs'!$AQ$3&gt;=2,'Pricing Inputs'!$AQ$3&lt;=6),5,6)),0))</f>
        <v> </v>
      </c>
      <c r="L262" s="279" t="str">
        <f aca="false">IF(A262="N/A"," ",IF(OR('Pricing Inputs'!$AQ$3=2,'Pricing Inputs'!$AQ$3=3,'Pricing Inputs'!$AQ$3=5,'Pricing Inputs'!$AQ$3=6,'Pricing Inputs'!$AQ$3=8,'Pricing Inputs'!$AQ$3=9),IF(AND('Pricing Inputs'!$AQ$3&gt;=2,'Pricing Inputs'!$AQ$3&lt;=6),K262,(VLOOKUP(A262,ScaledPrice,5))*(2-(VLOOKUP(A262,ScaledPrice,3)))),0))</f>
        <v> </v>
      </c>
      <c r="M262" s="279" t="str">
        <f aca="false">IF(A262="N/A"," ",IF(OR('Pricing Inputs'!$AQ$3=3,'Pricing Inputs'!$AQ$3=6,'Pricing Inputs'!$AQ$3=9),(VLOOKUP(A262,ScaledPrice,IF(AND('Pricing Inputs'!$AQ$3&gt;=3,'Pricing Inputs'!$AQ$3&lt;=6),7,8))),0))</f>
        <v> </v>
      </c>
      <c r="N262" s="279" t="str">
        <f aca="false">IF(A262="N/A"," ",IF(OR('Pricing Inputs'!$AQ$3=3,'Pricing Inputs'!$AQ$3=6,'Pricing Inputs'!$AQ$3=9),IF(AND('Pricing Inputs'!$AQ$3&gt;=3,'Pricing Inputs'!$AQ$3&lt;=6),M262,(VLOOKUP(A262,ScaledPrice,7))*(2-(VLOOKUP(A262,ScaledPrice,3)))),0))</f>
        <v> </v>
      </c>
      <c r="O262" s="279" t="str">
        <f aca="false">IF(A262="N/A"," ",IF(AND('Pricing Inputs'!$AQ$3&gt;=1,'Pricing Inputs'!$AQ$3&lt;=3),VLOOKUP(A262,ScaledPrice,9),0))</f>
        <v> </v>
      </c>
      <c r="P262" s="280" t="str">
        <f aca="false">IF($A262="N/A"," ",IF('Pricing Inputs'!$AN$8=2,(I262-H262),IF('Pricing Inputs'!$AN$3=2,IF((I262-$H262)&gt;0,I262-$H262,0),(xSPRDOPT(I262,$E262,$BU262,0,$BP262,$BS262,$BT262,($A262-Inputs!$D$1)+15,1,0)))))</f>
        <v> </v>
      </c>
      <c r="Q262" s="280" t="str">
        <f aca="false">IF($A262="N/A"," ",IF('Pricing Inputs'!$AN$8=2,(J262-$H262),IF('Pricing Inputs'!$AN$3=2,IF((J262-$H262)&gt;0,J262-$H262,0),(xSPRDOPT(J262,$E262,$BU262,0,$BP262,$BS262,$BT262,($A262-Inputs!$D$1)+15,1,0)))))</f>
        <v> </v>
      </c>
      <c r="R262" s="280" t="str">
        <f aca="false">IF($A262="N/A"," ",IF('Pricing Inputs'!$AN$8=2,(K262-$H262),IF('Pricing Inputs'!$AN$3=2,IF((K262-$H262)&gt;0,K262-$H262,0),(xSPRDOPT(K262,$E262,$BU262,0,$BP262,$BS262,$BT262,($A262-Inputs!$D$1)+15,1,0)))))</f>
        <v> </v>
      </c>
      <c r="S262" s="280" t="str">
        <f aca="false">IF($A262="N/A"," ",IF('Pricing Inputs'!$AN$8=2,(L262-$H262),IF('Pricing Inputs'!$AN$3=2,IF((L262-$H262)&gt;0,L262-$H262,0),(xSPRDOPT(L262,$E262,$BU262,0,$BP262,$BS262,$BT262,($A262-Inputs!$D$1)+15,1,0)))))</f>
        <v> </v>
      </c>
      <c r="T262" s="280" t="str">
        <f aca="false">IF($A262="N/A"," ",IF('Pricing Inputs'!$AN$8=2,(M262-$H262),IF('Pricing Inputs'!$AN$3=2,IF((M262-$H262)&gt;0,M262-$H262,0),(xSPRDOPT(M262,$E262,$BU262,0,$BP262,$BS262,$BT262,($A262-Inputs!$D$1)+15,1,0)))))</f>
        <v> </v>
      </c>
      <c r="U262" s="280" t="str">
        <f aca="false">IF($A262="N/A"," ",IF('Pricing Inputs'!$AN$8=2,(N262-$H262),IF('Pricing Inputs'!$AN$3=2,IF((N262-$H262)&gt;0,N262-$H262,0),(xSPRDOPT(N262,$E262,$BU262,0,$BP262,$BS262,$BT262,($A262-Inputs!$D$1)+15,1,0)))))</f>
        <v> </v>
      </c>
      <c r="V262" s="281" t="str">
        <f aca="false">IF($A262="N/A"," ",(IF('Pricing Inputs'!$AN$8=2,(O262-$H262),IF((O262-$H262)&lt;=0,0,(O262-$H262)))))</f>
        <v> </v>
      </c>
      <c r="AK262" s="31"/>
      <c r="AL262" s="31"/>
      <c r="AM262" s="31"/>
      <c r="AN262" s="31"/>
      <c r="AO262" s="31"/>
      <c r="AP262" s="31"/>
      <c r="AQ262" s="31"/>
      <c r="AR262" s="31"/>
      <c r="BA262" s="291" t="str">
        <f aca="false">IF($A262="N/A"," ",(IF(MONTH(A262)&gt;=4,IF(MONTH(A262)&lt;=10,Inputs!$F$13,Inputs!$F$14),Inputs!$F$14))*$BW262)</f>
        <v> </v>
      </c>
      <c r="BN262" s="294" t="str">
        <f aca="false">IF(A262="N/A"," ",(VLOOKUP(A262,PowerVolTable,(IF('Pricing Inputs'!$AT$3=2,7,IF('Pricing Inputs'!$AT$3=1,6,8))),FALSE())))</f>
        <v> </v>
      </c>
      <c r="BO262" s="294" t="str">
        <f aca="false">IF(A262="N/A"," ",(VLOOKUP(A262,IntraPowerVol,(IF('Pricing Inputs'!$AT$3=2,3,IF('Pricing Inputs'!$AT$3=1,2,4))),FALSE())*VLOOKUP(MONTH($A262),Inputs!$A$28:$B$39,2)))</f>
        <v> </v>
      </c>
      <c r="BP262" s="295" t="str">
        <f aca="false">IF($A262="N/A"," ",(IF(DateToday&gt;$A262,$BO262,((($BN262^2)*((($A262-1)-DateToday)/((EOMONTH($A262,0)+1)-DateToday-15)))+((($BO262)^2)*((15)/((EOMONTH($A262,0)+1)-DateToday-15))))^0.5)))</f>
        <v> </v>
      </c>
      <c r="BQ262" s="294" t="str">
        <f aca="false">IF($A262="N/A"," ",(VLOOKUP($A262,GasVolTable,(IF('Pricing Inputs'!$AT$3=2,6,IF('Pricing Inputs'!$AT$3=1,7,5))),FALSE())))</f>
        <v> </v>
      </c>
      <c r="BR262" s="294" t="str">
        <f aca="false">IF($A262="N/A"," ",(VLOOKUP($A262,OmicronVol,(IF('Pricing Inputs'!$AT$3=2,3,IF('Pricing Inputs'!$AT$3=1,4,2))),FALSE())))</f>
        <v> </v>
      </c>
      <c r="BS262" s="295" t="str">
        <f aca="false">IF($A262="N/A"," ",IF('Pricing Inputs'!$AN$3=1,(IF(DateToday&gt;$A262,$BR262,((($BQ262^2)*((($A262-1)-DateToday)/((EOMONTH($A262,0)+1)-DateToday-15)))+((($BR262)^2)*((15)/((EOMONTH($A262,0)+1)-DateToday-15))))^0.5)),0.0001))</f>
        <v> </v>
      </c>
      <c r="BT262" s="294" t="str">
        <f aca="false">IF($A262="N/A"," ",IF('Pricing Inputs'!$AN$3=1,(VLOOKUP($A262,CorrelationTable,2,FALSE())),0))</f>
        <v> </v>
      </c>
      <c r="BU262" s="296" t="str">
        <f aca="false">IF($A262="N/A"," ",F262+G262+(D262*(VLOOKUP($A262,'Gas Curves'!$B$17:$P$310,14,FALSE()))))</f>
        <v> </v>
      </c>
      <c r="BV262" s="294" t="str">
        <f aca="false">IF($A262="N/A"," ",IF('Pricing Inputs'!$AW$3=1,0,(VLOOKUP($A262,InterestRatesTable,2))))</f>
        <v> </v>
      </c>
      <c r="BW262" s="297" t="str">
        <f aca="false">IF($A262="N/A"," ",(1+BV262/2)^(-2*((EOMONTH(A262,0)+20)-DateToday)/365.25))</f>
        <v> </v>
      </c>
    </row>
    <row r="263" customFormat="false" ht="12.75" hidden="false" customHeight="false" outlineLevel="0" collapsed="false">
      <c r="A263" s="272" t="str">
        <f aca="false">IF(A262="N/A","N/A",IF(EDATE(A262,1)&gt;Inputs!$K$3,"N/A",EDATE(A262,1)))</f>
        <v>N/A</v>
      </c>
      <c r="B263" s="273" t="str">
        <f aca="false">IF(A263="N/A"," ",YEAR(A263))</f>
        <v> </v>
      </c>
      <c r="C263" s="274" t="str">
        <f aca="false">IF(A263="N/A"," ",VLOOKUP(A263,ScaledPrice,10))</f>
        <v> </v>
      </c>
      <c r="D263" s="275" t="str">
        <f aca="false">IF(A263="N/A"," ",(VLOOKUP(MONTH($A263),Inputs!$A$14:$B$25,2))/1000)</f>
        <v> </v>
      </c>
      <c r="E263" s="276" t="str">
        <f aca="false">IF($A263="N/A"," ",C263*D263)</f>
        <v> </v>
      </c>
      <c r="F263" s="277" t="str">
        <f aca="false">IF(A263="N/A"," ",Inputs!$F$6)</f>
        <v> </v>
      </c>
      <c r="G263" s="277" t="str">
        <f aca="false">IF(A263="N/A"," ",Inputs!$F$9/IF(AND('Pricing Inputs'!$AQ$3&gt;=4,'Pricing Inputs'!$AQ$3&lt;=6),16,IF(AND('Pricing Inputs'!$AQ$3&gt;=7,'Pricing Inputs'!$AQ$3&lt;=9),8,24))/(BA263/BW263))</f>
        <v> </v>
      </c>
      <c r="H263" s="278" t="str">
        <f aca="false">IF(A263="N/A"," ",(C263*D263)+F263+G263)</f>
        <v> </v>
      </c>
      <c r="I263" s="279" t="str">
        <f aca="false">VLOOKUP(A263,ScaledPrice,(IF(AND('Pricing Inputs'!$AQ$3&gt;=1,'Pricing Inputs'!$AQ$3&lt;=6),2,4)))</f>
        <v> </v>
      </c>
      <c r="J263" s="279" t="str">
        <f aca="false">IF(A263="N/A"," ",IF(AND('Pricing Inputs'!$AQ$3&gt;=1,'Pricing Inputs'!$AQ$3&lt;=6),I263,(VLOOKUP(A263,ScaledPrice,2))*(2-(VLOOKUP(A263,ScaledPrice,3)))))</f>
        <v> </v>
      </c>
      <c r="K263" s="279" t="str">
        <f aca="false">IF(A263="N/A"," ",IF(OR('Pricing Inputs'!$AQ$3=2,'Pricing Inputs'!$AQ$3=3,'Pricing Inputs'!$AQ$3=5,'Pricing Inputs'!$AQ$3=6,'Pricing Inputs'!$AQ$3=8,'Pricing Inputs'!$AQ$3=9),VLOOKUP(A263,ScaledPrice,IF(AND('Pricing Inputs'!$AQ$3&gt;=2,'Pricing Inputs'!$AQ$3&lt;=6),5,6)),0))</f>
        <v> </v>
      </c>
      <c r="L263" s="279" t="str">
        <f aca="false">IF(A263="N/A"," ",IF(OR('Pricing Inputs'!$AQ$3=2,'Pricing Inputs'!$AQ$3=3,'Pricing Inputs'!$AQ$3=5,'Pricing Inputs'!$AQ$3=6,'Pricing Inputs'!$AQ$3=8,'Pricing Inputs'!$AQ$3=9),IF(AND('Pricing Inputs'!$AQ$3&gt;=2,'Pricing Inputs'!$AQ$3&lt;=6),K263,(VLOOKUP(A263,ScaledPrice,5))*(2-(VLOOKUP(A263,ScaledPrice,3)))),0))</f>
        <v> </v>
      </c>
      <c r="M263" s="279" t="str">
        <f aca="false">IF(A263="N/A"," ",IF(OR('Pricing Inputs'!$AQ$3=3,'Pricing Inputs'!$AQ$3=6,'Pricing Inputs'!$AQ$3=9),(VLOOKUP(A263,ScaledPrice,IF(AND('Pricing Inputs'!$AQ$3&gt;=3,'Pricing Inputs'!$AQ$3&lt;=6),7,8))),0))</f>
        <v> </v>
      </c>
      <c r="N263" s="279" t="str">
        <f aca="false">IF(A263="N/A"," ",IF(OR('Pricing Inputs'!$AQ$3=3,'Pricing Inputs'!$AQ$3=6,'Pricing Inputs'!$AQ$3=9),IF(AND('Pricing Inputs'!$AQ$3&gt;=3,'Pricing Inputs'!$AQ$3&lt;=6),M263,(VLOOKUP(A263,ScaledPrice,7))*(2-(VLOOKUP(A263,ScaledPrice,3)))),0))</f>
        <v> </v>
      </c>
      <c r="O263" s="279" t="str">
        <f aca="false">IF(A263="N/A"," ",IF(AND('Pricing Inputs'!$AQ$3&gt;=1,'Pricing Inputs'!$AQ$3&lt;=3),VLOOKUP(A263,ScaledPrice,9),0))</f>
        <v> </v>
      </c>
      <c r="P263" s="280" t="str">
        <f aca="false">IF($A263="N/A"," ",IF('Pricing Inputs'!$AN$8=2,(I263-H263),IF('Pricing Inputs'!$AN$3=2,IF((I263-$H263)&gt;0,I263-$H263,0),(xSPRDOPT(I263,$E263,$BU263,0,$BP263,$BS263,$BT263,($A263-Inputs!$D$1)+15,1,0)))))</f>
        <v> </v>
      </c>
      <c r="Q263" s="280" t="str">
        <f aca="false">IF($A263="N/A"," ",IF('Pricing Inputs'!$AN$8=2,(J263-$H263),IF('Pricing Inputs'!$AN$3=2,IF((J263-$H263)&gt;0,J263-$H263,0),(xSPRDOPT(J263,$E263,$BU263,0,$BP263,$BS263,$BT263,($A263-Inputs!$D$1)+15,1,0)))))</f>
        <v> </v>
      </c>
      <c r="R263" s="280" t="str">
        <f aca="false">IF($A263="N/A"," ",IF('Pricing Inputs'!$AN$8=2,(K263-$H263),IF('Pricing Inputs'!$AN$3=2,IF((K263-$H263)&gt;0,K263-$H263,0),(xSPRDOPT(K263,$E263,$BU263,0,$BP263,$BS263,$BT263,($A263-Inputs!$D$1)+15,1,0)))))</f>
        <v> </v>
      </c>
      <c r="S263" s="280" t="str">
        <f aca="false">IF($A263="N/A"," ",IF('Pricing Inputs'!$AN$8=2,(L263-$H263),IF('Pricing Inputs'!$AN$3=2,IF((L263-$H263)&gt;0,L263-$H263,0),(xSPRDOPT(L263,$E263,$BU263,0,$BP263,$BS263,$BT263,($A263-Inputs!$D$1)+15,1,0)))))</f>
        <v> </v>
      </c>
      <c r="T263" s="280" t="str">
        <f aca="false">IF($A263="N/A"," ",IF('Pricing Inputs'!$AN$8=2,(M263-$H263),IF('Pricing Inputs'!$AN$3=2,IF((M263-$H263)&gt;0,M263-$H263,0),(xSPRDOPT(M263,$E263,$BU263,0,$BP263,$BS263,$BT263,($A263-Inputs!$D$1)+15,1,0)))))</f>
        <v> </v>
      </c>
      <c r="U263" s="280" t="str">
        <f aca="false">IF($A263="N/A"," ",IF('Pricing Inputs'!$AN$8=2,(N263-$H263),IF('Pricing Inputs'!$AN$3=2,IF((N263-$H263)&gt;0,N263-$H263,0),(xSPRDOPT(N263,$E263,$BU263,0,$BP263,$BS263,$BT263,($A263-Inputs!$D$1)+15,1,0)))))</f>
        <v> </v>
      </c>
      <c r="V263" s="281" t="str">
        <f aca="false">IF($A263="N/A"," ",(IF('Pricing Inputs'!$AN$8=2,(O263-$H263),IF((O263-$H263)&lt;=0,0,(O263-$H263)))))</f>
        <v> </v>
      </c>
      <c r="AK263" s="31"/>
      <c r="AL263" s="31"/>
      <c r="AM263" s="31"/>
      <c r="AN263" s="31"/>
      <c r="AO263" s="31"/>
      <c r="AP263" s="31"/>
      <c r="AQ263" s="31"/>
      <c r="AR263" s="31"/>
      <c r="BA263" s="291" t="str">
        <f aca="false">IF($A263="N/A"," ",(IF(MONTH(A263)&gt;=4,IF(MONTH(A263)&lt;=10,Inputs!$F$13,Inputs!$F$14),Inputs!$F$14))*$BW263)</f>
        <v> </v>
      </c>
      <c r="BN263" s="294" t="str">
        <f aca="false">IF(A263="N/A"," ",(VLOOKUP(A263,PowerVolTable,(IF('Pricing Inputs'!$AT$3=2,7,IF('Pricing Inputs'!$AT$3=1,6,8))),FALSE())))</f>
        <v> </v>
      </c>
      <c r="BO263" s="294" t="str">
        <f aca="false">IF(A263="N/A"," ",(VLOOKUP(A263,IntraPowerVol,(IF('Pricing Inputs'!$AT$3=2,3,IF('Pricing Inputs'!$AT$3=1,2,4))),FALSE())*VLOOKUP(MONTH($A263),Inputs!$A$28:$B$39,2)))</f>
        <v> </v>
      </c>
      <c r="BP263" s="295" t="str">
        <f aca="false">IF($A263="N/A"," ",(IF(DateToday&gt;$A263,$BO263,((($BN263^2)*((($A263-1)-DateToday)/((EOMONTH($A263,0)+1)-DateToday-15)))+((($BO263)^2)*((15)/((EOMONTH($A263,0)+1)-DateToday-15))))^0.5)))</f>
        <v> </v>
      </c>
      <c r="BQ263" s="294" t="str">
        <f aca="false">IF($A263="N/A"," ",(VLOOKUP($A263,GasVolTable,(IF('Pricing Inputs'!$AT$3=2,6,IF('Pricing Inputs'!$AT$3=1,7,5))),FALSE())))</f>
        <v> </v>
      </c>
      <c r="BR263" s="294" t="str">
        <f aca="false">IF($A263="N/A"," ",(VLOOKUP($A263,OmicronVol,(IF('Pricing Inputs'!$AT$3=2,3,IF('Pricing Inputs'!$AT$3=1,4,2))),FALSE())))</f>
        <v> </v>
      </c>
      <c r="BS263" s="295" t="str">
        <f aca="false">IF($A263="N/A"," ",IF('Pricing Inputs'!$AN$3=1,(IF(DateToday&gt;$A263,$BR263,((($BQ263^2)*((($A263-1)-DateToday)/((EOMONTH($A263,0)+1)-DateToday-15)))+((($BR263)^2)*((15)/((EOMONTH($A263,0)+1)-DateToday-15))))^0.5)),0.0001))</f>
        <v> </v>
      </c>
      <c r="BT263" s="294" t="str">
        <f aca="false">IF($A263="N/A"," ",IF('Pricing Inputs'!$AN$3=1,(VLOOKUP($A263,CorrelationTable,2,FALSE())),0))</f>
        <v> </v>
      </c>
      <c r="BU263" s="296" t="str">
        <f aca="false">IF($A263="N/A"," ",F263+G263+(D263*(VLOOKUP($A263,'Gas Curves'!$B$17:$P$310,14,FALSE()))))</f>
        <v> </v>
      </c>
      <c r="BV263" s="294" t="str">
        <f aca="false">IF($A263="N/A"," ",IF('Pricing Inputs'!$AW$3=1,0,(VLOOKUP($A263,InterestRatesTable,2))))</f>
        <v> </v>
      </c>
      <c r="BW263" s="297" t="str">
        <f aca="false">IF($A263="N/A"," ",(1+BV263/2)^(-2*((EOMONTH(A263,0)+20)-DateToday)/365.25))</f>
        <v> </v>
      </c>
    </row>
    <row r="264" customFormat="false" ht="12.75" hidden="false" customHeight="false" outlineLevel="0" collapsed="false">
      <c r="A264" s="272" t="str">
        <f aca="false">IF(A263="N/A","N/A",IF(EDATE(A263,1)&gt;Inputs!$K$3,"N/A",EDATE(A263,1)))</f>
        <v>N/A</v>
      </c>
      <c r="B264" s="273" t="str">
        <f aca="false">IF(A264="N/A"," ",YEAR(A264))</f>
        <v> </v>
      </c>
      <c r="C264" s="274" t="str">
        <f aca="false">IF(A264="N/A"," ",VLOOKUP(A264,ScaledPrice,10))</f>
        <v> </v>
      </c>
      <c r="D264" s="275" t="str">
        <f aca="false">IF(A264="N/A"," ",(VLOOKUP(MONTH($A264),Inputs!$A$14:$B$25,2))/1000)</f>
        <v> </v>
      </c>
      <c r="E264" s="276" t="str">
        <f aca="false">IF($A264="N/A"," ",C264*D264)</f>
        <v> </v>
      </c>
      <c r="F264" s="277" t="str">
        <f aca="false">IF(A264="N/A"," ",Inputs!$F$6)</f>
        <v> </v>
      </c>
      <c r="G264" s="277" t="str">
        <f aca="false">IF(A264="N/A"," ",Inputs!$F$9/IF(AND('Pricing Inputs'!$AQ$3&gt;=4,'Pricing Inputs'!$AQ$3&lt;=6),16,IF(AND('Pricing Inputs'!$AQ$3&gt;=7,'Pricing Inputs'!$AQ$3&lt;=9),8,24))/(BA264/BW264))</f>
        <v> </v>
      </c>
      <c r="H264" s="278" t="str">
        <f aca="false">IF(A264="N/A"," ",(C264*D264)+F264+G264)</f>
        <v> </v>
      </c>
      <c r="I264" s="279" t="str">
        <f aca="false">VLOOKUP(A264,ScaledPrice,(IF(AND('Pricing Inputs'!$AQ$3&gt;=1,'Pricing Inputs'!$AQ$3&lt;=6),2,4)))</f>
        <v> </v>
      </c>
      <c r="J264" s="279" t="str">
        <f aca="false">IF(A264="N/A"," ",IF(AND('Pricing Inputs'!$AQ$3&gt;=1,'Pricing Inputs'!$AQ$3&lt;=6),I264,(VLOOKUP(A264,ScaledPrice,2))*(2-(VLOOKUP(A264,ScaledPrice,3)))))</f>
        <v> </v>
      </c>
      <c r="K264" s="279" t="str">
        <f aca="false">IF(A264="N/A"," ",IF(OR('Pricing Inputs'!$AQ$3=2,'Pricing Inputs'!$AQ$3=3,'Pricing Inputs'!$AQ$3=5,'Pricing Inputs'!$AQ$3=6,'Pricing Inputs'!$AQ$3=8,'Pricing Inputs'!$AQ$3=9),VLOOKUP(A264,ScaledPrice,IF(AND('Pricing Inputs'!$AQ$3&gt;=2,'Pricing Inputs'!$AQ$3&lt;=6),5,6)),0))</f>
        <v> </v>
      </c>
      <c r="L264" s="279" t="str">
        <f aca="false">IF(A264="N/A"," ",IF(OR('Pricing Inputs'!$AQ$3=2,'Pricing Inputs'!$AQ$3=3,'Pricing Inputs'!$AQ$3=5,'Pricing Inputs'!$AQ$3=6,'Pricing Inputs'!$AQ$3=8,'Pricing Inputs'!$AQ$3=9),IF(AND('Pricing Inputs'!$AQ$3&gt;=2,'Pricing Inputs'!$AQ$3&lt;=6),K264,(VLOOKUP(A264,ScaledPrice,5))*(2-(VLOOKUP(A264,ScaledPrice,3)))),0))</f>
        <v> </v>
      </c>
      <c r="M264" s="279" t="str">
        <f aca="false">IF(A264="N/A"," ",IF(OR('Pricing Inputs'!$AQ$3=3,'Pricing Inputs'!$AQ$3=6,'Pricing Inputs'!$AQ$3=9),(VLOOKUP(A264,ScaledPrice,IF(AND('Pricing Inputs'!$AQ$3&gt;=3,'Pricing Inputs'!$AQ$3&lt;=6),7,8))),0))</f>
        <v> </v>
      </c>
      <c r="N264" s="279" t="str">
        <f aca="false">IF(A264="N/A"," ",IF(OR('Pricing Inputs'!$AQ$3=3,'Pricing Inputs'!$AQ$3=6,'Pricing Inputs'!$AQ$3=9),IF(AND('Pricing Inputs'!$AQ$3&gt;=3,'Pricing Inputs'!$AQ$3&lt;=6),M264,(VLOOKUP(A264,ScaledPrice,7))*(2-(VLOOKUP(A264,ScaledPrice,3)))),0))</f>
        <v> </v>
      </c>
      <c r="O264" s="279" t="str">
        <f aca="false">IF(A264="N/A"," ",IF(AND('Pricing Inputs'!$AQ$3&gt;=1,'Pricing Inputs'!$AQ$3&lt;=3),VLOOKUP(A264,ScaledPrice,9),0))</f>
        <v> </v>
      </c>
      <c r="P264" s="280" t="str">
        <f aca="false">IF($A264="N/A"," ",IF('Pricing Inputs'!$AN$8=2,(I264-H264),IF('Pricing Inputs'!$AN$3=2,IF((I264-$H264)&gt;0,I264-$H264,0),(xSPRDOPT(I264,$E264,$BU264,0,$BP264,$BS264,$BT264,($A264-Inputs!$D$1)+15,1,0)))))</f>
        <v> </v>
      </c>
      <c r="Q264" s="280" t="str">
        <f aca="false">IF($A264="N/A"," ",IF('Pricing Inputs'!$AN$8=2,(J264-$H264),IF('Pricing Inputs'!$AN$3=2,IF((J264-$H264)&gt;0,J264-$H264,0),(xSPRDOPT(J264,$E264,$BU264,0,$BP264,$BS264,$BT264,($A264-Inputs!$D$1)+15,1,0)))))</f>
        <v> </v>
      </c>
      <c r="R264" s="280" t="str">
        <f aca="false">IF($A264="N/A"," ",IF('Pricing Inputs'!$AN$8=2,(K264-$H264),IF('Pricing Inputs'!$AN$3=2,IF((K264-$H264)&gt;0,K264-$H264,0),(xSPRDOPT(K264,$E264,$BU264,0,$BP264,$BS264,$BT264,($A264-Inputs!$D$1)+15,1,0)))))</f>
        <v> </v>
      </c>
      <c r="S264" s="280" t="str">
        <f aca="false">IF($A264="N/A"," ",IF('Pricing Inputs'!$AN$8=2,(L264-$H264),IF('Pricing Inputs'!$AN$3=2,IF((L264-$H264)&gt;0,L264-$H264,0),(xSPRDOPT(L264,$E264,$BU264,0,$BP264,$BS264,$BT264,($A264-Inputs!$D$1)+15,1,0)))))</f>
        <v> </v>
      </c>
      <c r="T264" s="280" t="str">
        <f aca="false">IF($A264="N/A"," ",IF('Pricing Inputs'!$AN$8=2,(M264-$H264),IF('Pricing Inputs'!$AN$3=2,IF((M264-$H264)&gt;0,M264-$H264,0),(xSPRDOPT(M264,$E264,$BU264,0,$BP264,$BS264,$BT264,($A264-Inputs!$D$1)+15,1,0)))))</f>
        <v> </v>
      </c>
      <c r="U264" s="280" t="str">
        <f aca="false">IF($A264="N/A"," ",IF('Pricing Inputs'!$AN$8=2,(N264-$H264),IF('Pricing Inputs'!$AN$3=2,IF((N264-$H264)&gt;0,N264-$H264,0),(xSPRDOPT(N264,$E264,$BU264,0,$BP264,$BS264,$BT264,($A264-Inputs!$D$1)+15,1,0)))))</f>
        <v> </v>
      </c>
      <c r="V264" s="281" t="str">
        <f aca="false">IF($A264="N/A"," ",(IF('Pricing Inputs'!$AN$8=2,(O264-$H264),IF((O264-$H264)&lt;=0,0,(O264-$H264)))))</f>
        <v> </v>
      </c>
      <c r="AK264" s="31"/>
      <c r="AL264" s="31"/>
      <c r="AM264" s="31"/>
      <c r="AN264" s="31"/>
      <c r="AO264" s="31"/>
      <c r="AP264" s="31"/>
      <c r="AQ264" s="31"/>
      <c r="AR264" s="31"/>
      <c r="BA264" s="291" t="str">
        <f aca="false">IF($A264="N/A"," ",(IF(MONTH(A264)&gt;=4,IF(MONTH(A264)&lt;=10,Inputs!$F$13,Inputs!$F$14),Inputs!$F$14))*$BW264)</f>
        <v> </v>
      </c>
      <c r="BN264" s="294" t="str">
        <f aca="false">IF(A264="N/A"," ",(VLOOKUP(A264,PowerVolTable,(IF('Pricing Inputs'!$AT$3=2,7,IF('Pricing Inputs'!$AT$3=1,6,8))),FALSE())))</f>
        <v> </v>
      </c>
      <c r="BO264" s="294" t="str">
        <f aca="false">IF(A264="N/A"," ",(VLOOKUP(A264,IntraPowerVol,(IF('Pricing Inputs'!$AT$3=2,3,IF('Pricing Inputs'!$AT$3=1,2,4))),FALSE())*VLOOKUP(MONTH($A264),Inputs!$A$28:$B$39,2)))</f>
        <v> </v>
      </c>
      <c r="BP264" s="295" t="str">
        <f aca="false">IF($A264="N/A"," ",(IF(DateToday&gt;$A264,$BO264,((($BN264^2)*((($A264-1)-DateToday)/((EOMONTH($A264,0)+1)-DateToday-15)))+((($BO264)^2)*((15)/((EOMONTH($A264,0)+1)-DateToday-15))))^0.5)))</f>
        <v> </v>
      </c>
      <c r="BQ264" s="294" t="str">
        <f aca="false">IF($A264="N/A"," ",(VLOOKUP($A264,GasVolTable,(IF('Pricing Inputs'!$AT$3=2,6,IF('Pricing Inputs'!$AT$3=1,7,5))),FALSE())))</f>
        <v> </v>
      </c>
      <c r="BR264" s="294" t="str">
        <f aca="false">IF($A264="N/A"," ",(VLOOKUP($A264,OmicronVol,(IF('Pricing Inputs'!$AT$3=2,3,IF('Pricing Inputs'!$AT$3=1,4,2))),FALSE())))</f>
        <v> </v>
      </c>
      <c r="BS264" s="295" t="str">
        <f aca="false">IF($A264="N/A"," ",IF('Pricing Inputs'!$AN$3=1,(IF(DateToday&gt;$A264,$BR264,((($BQ264^2)*((($A264-1)-DateToday)/((EOMONTH($A264,0)+1)-DateToday-15)))+((($BR264)^2)*((15)/((EOMONTH($A264,0)+1)-DateToday-15))))^0.5)),0.0001))</f>
        <v> </v>
      </c>
      <c r="BT264" s="294" t="str">
        <f aca="false">IF($A264="N/A"," ",IF('Pricing Inputs'!$AN$3=1,(VLOOKUP($A264,CorrelationTable,2,FALSE())),0))</f>
        <v> </v>
      </c>
      <c r="BU264" s="296" t="str">
        <f aca="false">IF($A264="N/A"," ",F264+G264+(D264*(VLOOKUP($A264,'Gas Curves'!$B$17:$P$310,14,FALSE()))))</f>
        <v> </v>
      </c>
      <c r="BV264" s="294" t="str">
        <f aca="false">IF($A264="N/A"," ",IF('Pricing Inputs'!$AW$3=1,0,(VLOOKUP($A264,InterestRatesTable,2))))</f>
        <v> </v>
      </c>
      <c r="BW264" s="297" t="str">
        <f aca="false">IF($A264="N/A"," ",(1+BV264/2)^(-2*((EOMONTH(A264,0)+20)-DateToday)/365.25))</f>
        <v> </v>
      </c>
    </row>
    <row r="265" customFormat="false" ht="12.75" hidden="false" customHeight="false" outlineLevel="0" collapsed="false">
      <c r="A265" s="272" t="str">
        <f aca="false">IF(A264="N/A","N/A",IF(EDATE(A264,1)&gt;Inputs!$K$3,"N/A",EDATE(A264,1)))</f>
        <v>N/A</v>
      </c>
      <c r="B265" s="273" t="str">
        <f aca="false">IF(A265="N/A"," ",YEAR(A265))</f>
        <v> </v>
      </c>
      <c r="C265" s="274" t="str">
        <f aca="false">IF(A265="N/A"," ",VLOOKUP(A265,ScaledPrice,10))</f>
        <v> </v>
      </c>
      <c r="D265" s="275" t="str">
        <f aca="false">IF(A265="N/A"," ",(VLOOKUP(MONTH($A265),Inputs!$A$14:$B$25,2))/1000)</f>
        <v> </v>
      </c>
      <c r="E265" s="276" t="str">
        <f aca="false">IF($A265="N/A"," ",C265*D265)</f>
        <v> </v>
      </c>
      <c r="F265" s="277" t="str">
        <f aca="false">IF(A265="N/A"," ",Inputs!$F$6)</f>
        <v> </v>
      </c>
      <c r="G265" s="277" t="str">
        <f aca="false">IF(A265="N/A"," ",Inputs!$F$9/IF(AND('Pricing Inputs'!$AQ$3&gt;=4,'Pricing Inputs'!$AQ$3&lt;=6),16,IF(AND('Pricing Inputs'!$AQ$3&gt;=7,'Pricing Inputs'!$AQ$3&lt;=9),8,24))/(BA265/BW265))</f>
        <v> </v>
      </c>
      <c r="H265" s="278" t="str">
        <f aca="false">IF(A265="N/A"," ",(C265*D265)+F265+G265)</f>
        <v> </v>
      </c>
      <c r="I265" s="279" t="str">
        <f aca="false">VLOOKUP(A265,ScaledPrice,(IF(AND('Pricing Inputs'!$AQ$3&gt;=1,'Pricing Inputs'!$AQ$3&lt;=6),2,4)))</f>
        <v> </v>
      </c>
      <c r="J265" s="279" t="str">
        <f aca="false">IF(A265="N/A"," ",IF(AND('Pricing Inputs'!$AQ$3&gt;=1,'Pricing Inputs'!$AQ$3&lt;=6),I265,(VLOOKUP(A265,ScaledPrice,2))*(2-(VLOOKUP(A265,ScaledPrice,3)))))</f>
        <v> </v>
      </c>
      <c r="K265" s="279" t="str">
        <f aca="false">IF(A265="N/A"," ",IF(OR('Pricing Inputs'!$AQ$3=2,'Pricing Inputs'!$AQ$3=3,'Pricing Inputs'!$AQ$3=5,'Pricing Inputs'!$AQ$3=6,'Pricing Inputs'!$AQ$3=8,'Pricing Inputs'!$AQ$3=9),VLOOKUP(A265,ScaledPrice,IF(AND('Pricing Inputs'!$AQ$3&gt;=2,'Pricing Inputs'!$AQ$3&lt;=6),5,6)),0))</f>
        <v> </v>
      </c>
      <c r="L265" s="279" t="str">
        <f aca="false">IF(A265="N/A"," ",IF(OR('Pricing Inputs'!$AQ$3=2,'Pricing Inputs'!$AQ$3=3,'Pricing Inputs'!$AQ$3=5,'Pricing Inputs'!$AQ$3=6,'Pricing Inputs'!$AQ$3=8,'Pricing Inputs'!$AQ$3=9),IF(AND('Pricing Inputs'!$AQ$3&gt;=2,'Pricing Inputs'!$AQ$3&lt;=6),K265,(VLOOKUP(A265,ScaledPrice,5))*(2-(VLOOKUP(A265,ScaledPrice,3)))),0))</f>
        <v> </v>
      </c>
      <c r="M265" s="279" t="str">
        <f aca="false">IF(A265="N/A"," ",IF(OR('Pricing Inputs'!$AQ$3=3,'Pricing Inputs'!$AQ$3=6,'Pricing Inputs'!$AQ$3=9),(VLOOKUP(A265,ScaledPrice,IF(AND('Pricing Inputs'!$AQ$3&gt;=3,'Pricing Inputs'!$AQ$3&lt;=6),7,8))),0))</f>
        <v> </v>
      </c>
      <c r="N265" s="279" t="str">
        <f aca="false">IF(A265="N/A"," ",IF(OR('Pricing Inputs'!$AQ$3=3,'Pricing Inputs'!$AQ$3=6,'Pricing Inputs'!$AQ$3=9),IF(AND('Pricing Inputs'!$AQ$3&gt;=3,'Pricing Inputs'!$AQ$3&lt;=6),M265,(VLOOKUP(A265,ScaledPrice,7))*(2-(VLOOKUP(A265,ScaledPrice,3)))),0))</f>
        <v> </v>
      </c>
      <c r="O265" s="279" t="str">
        <f aca="false">IF(A265="N/A"," ",IF(AND('Pricing Inputs'!$AQ$3&gt;=1,'Pricing Inputs'!$AQ$3&lt;=3),VLOOKUP(A265,ScaledPrice,9),0))</f>
        <v> </v>
      </c>
      <c r="P265" s="280" t="str">
        <f aca="false">IF($A265="N/A"," ",IF('Pricing Inputs'!$AN$8=2,(I265-H265),IF('Pricing Inputs'!$AN$3=2,IF((I265-$H265)&gt;0,I265-$H265,0),(xSPRDOPT(I265,$E265,$BU265,0,$BP265,$BS265,$BT265,($A265-Inputs!$D$1)+15,1,0)))))</f>
        <v> </v>
      </c>
      <c r="Q265" s="280" t="str">
        <f aca="false">IF($A265="N/A"," ",IF('Pricing Inputs'!$AN$8=2,(J265-$H265),IF('Pricing Inputs'!$AN$3=2,IF((J265-$H265)&gt;0,J265-$H265,0),(xSPRDOPT(J265,$E265,$BU265,0,$BP265,$BS265,$BT265,($A265-Inputs!$D$1)+15,1,0)))))</f>
        <v> </v>
      </c>
      <c r="R265" s="280" t="str">
        <f aca="false">IF($A265="N/A"," ",IF('Pricing Inputs'!$AN$8=2,(K265-$H265),IF('Pricing Inputs'!$AN$3=2,IF((K265-$H265)&gt;0,K265-$H265,0),(xSPRDOPT(K265,$E265,$BU265,0,$BP265,$BS265,$BT265,($A265-Inputs!$D$1)+15,1,0)))))</f>
        <v> </v>
      </c>
      <c r="S265" s="280" t="str">
        <f aca="false">IF($A265="N/A"," ",IF('Pricing Inputs'!$AN$8=2,(L265-$H265),IF('Pricing Inputs'!$AN$3=2,IF((L265-$H265)&gt;0,L265-$H265,0),(xSPRDOPT(L265,$E265,$BU265,0,$BP265,$BS265,$BT265,($A265-Inputs!$D$1)+15,1,0)))))</f>
        <v> </v>
      </c>
      <c r="T265" s="280" t="str">
        <f aca="false">IF($A265="N/A"," ",IF('Pricing Inputs'!$AN$8=2,(M265-$H265),IF('Pricing Inputs'!$AN$3=2,IF((M265-$H265)&gt;0,M265-$H265,0),(xSPRDOPT(M265,$E265,$BU265,0,$BP265,$BS265,$BT265,($A265-Inputs!$D$1)+15,1,0)))))</f>
        <v> </v>
      </c>
      <c r="U265" s="280" t="str">
        <f aca="false">IF($A265="N/A"," ",IF('Pricing Inputs'!$AN$8=2,(N265-$H265),IF('Pricing Inputs'!$AN$3=2,IF((N265-$H265)&gt;0,N265-$H265,0),(xSPRDOPT(N265,$E265,$BU265,0,$BP265,$BS265,$BT265,($A265-Inputs!$D$1)+15,1,0)))))</f>
        <v> </v>
      </c>
      <c r="V265" s="281" t="str">
        <f aca="false">IF($A265="N/A"," ",(IF('Pricing Inputs'!$AN$8=2,(O265-$H265),IF((O265-$H265)&lt;=0,0,(O265-$H265)))))</f>
        <v> </v>
      </c>
      <c r="AK265" s="31"/>
      <c r="AL265" s="31"/>
      <c r="AM265" s="31"/>
      <c r="AN265" s="31"/>
      <c r="AO265" s="31"/>
      <c r="AP265" s="31"/>
      <c r="AQ265" s="31"/>
      <c r="AR265" s="31"/>
      <c r="BA265" s="291" t="str">
        <f aca="false">IF($A265="N/A"," ",(IF(MONTH(A265)&gt;=4,IF(MONTH(A265)&lt;=10,Inputs!$F$13,Inputs!$F$14),Inputs!$F$14))*$BW265)</f>
        <v> </v>
      </c>
      <c r="BN265" s="294" t="str">
        <f aca="false">IF(A265="N/A"," ",(VLOOKUP(A265,PowerVolTable,(IF('Pricing Inputs'!$AT$3=2,7,IF('Pricing Inputs'!$AT$3=1,6,8))),FALSE())))</f>
        <v> </v>
      </c>
      <c r="BO265" s="294" t="str">
        <f aca="false">IF(A265="N/A"," ",(VLOOKUP(A265,IntraPowerVol,(IF('Pricing Inputs'!$AT$3=2,3,IF('Pricing Inputs'!$AT$3=1,2,4))),FALSE())*VLOOKUP(MONTH($A265),Inputs!$A$28:$B$39,2)))</f>
        <v> </v>
      </c>
      <c r="BP265" s="295" t="str">
        <f aca="false">IF($A265="N/A"," ",(IF(DateToday&gt;$A265,$BO265,((($BN265^2)*((($A265-1)-DateToday)/((EOMONTH($A265,0)+1)-DateToday-15)))+((($BO265)^2)*((15)/((EOMONTH($A265,0)+1)-DateToday-15))))^0.5)))</f>
        <v> </v>
      </c>
      <c r="BQ265" s="294" t="str">
        <f aca="false">IF($A265="N/A"," ",(VLOOKUP($A265,GasVolTable,(IF('Pricing Inputs'!$AT$3=2,6,IF('Pricing Inputs'!$AT$3=1,7,5))),FALSE())))</f>
        <v> </v>
      </c>
      <c r="BR265" s="294" t="str">
        <f aca="false">IF($A265="N/A"," ",(VLOOKUP($A265,OmicronVol,(IF('Pricing Inputs'!$AT$3=2,3,IF('Pricing Inputs'!$AT$3=1,4,2))),FALSE())))</f>
        <v> </v>
      </c>
      <c r="BS265" s="295" t="str">
        <f aca="false">IF($A265="N/A"," ",IF('Pricing Inputs'!$AN$3=1,(IF(DateToday&gt;$A265,$BR265,((($BQ265^2)*((($A265-1)-DateToday)/((EOMONTH($A265,0)+1)-DateToday-15)))+((($BR265)^2)*((15)/((EOMONTH($A265,0)+1)-DateToday-15))))^0.5)),0.0001))</f>
        <v> </v>
      </c>
      <c r="BT265" s="294" t="str">
        <f aca="false">IF($A265="N/A"," ",IF('Pricing Inputs'!$AN$3=1,(VLOOKUP($A265,CorrelationTable,2,FALSE())),0))</f>
        <v> </v>
      </c>
      <c r="BU265" s="296" t="str">
        <f aca="false">IF($A265="N/A"," ",F265+G265+(D265*(VLOOKUP($A265,'Gas Curves'!$B$17:$P$310,14,FALSE()))))</f>
        <v> </v>
      </c>
      <c r="BV265" s="294" t="str">
        <f aca="false">IF($A265="N/A"," ",IF('Pricing Inputs'!$AW$3=1,0,(VLOOKUP($A265,InterestRatesTable,2))))</f>
        <v> </v>
      </c>
      <c r="BW265" s="297" t="str">
        <f aca="false">IF($A265="N/A"," ",(1+BV265/2)^(-2*((EOMONTH(A265,0)+20)-DateToday)/365.25))</f>
        <v> </v>
      </c>
    </row>
    <row r="266" customFormat="false" ht="12.75" hidden="false" customHeight="false" outlineLevel="0" collapsed="false">
      <c r="A266" s="272" t="str">
        <f aca="false">IF(A265="N/A","N/A",IF(EDATE(A265,1)&gt;Inputs!$K$3,"N/A",EDATE(A265,1)))</f>
        <v>N/A</v>
      </c>
      <c r="B266" s="273" t="str">
        <f aca="false">IF(A266="N/A"," ",YEAR(A266))</f>
        <v> </v>
      </c>
      <c r="C266" s="274" t="str">
        <f aca="false">IF(A266="N/A"," ",VLOOKUP(A266,ScaledPrice,10))</f>
        <v> </v>
      </c>
      <c r="D266" s="275" t="str">
        <f aca="false">IF(A266="N/A"," ",(VLOOKUP(MONTH($A266),Inputs!$A$14:$B$25,2))/1000)</f>
        <v> </v>
      </c>
      <c r="E266" s="276" t="str">
        <f aca="false">IF($A266="N/A"," ",C266*D266)</f>
        <v> </v>
      </c>
      <c r="F266" s="277" t="str">
        <f aca="false">IF(A266="N/A"," ",Inputs!$F$6)</f>
        <v> </v>
      </c>
      <c r="G266" s="277" t="str">
        <f aca="false">IF(A266="N/A"," ",Inputs!$F$9/IF(AND('Pricing Inputs'!$AQ$3&gt;=4,'Pricing Inputs'!$AQ$3&lt;=6),16,IF(AND('Pricing Inputs'!$AQ$3&gt;=7,'Pricing Inputs'!$AQ$3&lt;=9),8,24))/(BA266/BW266))</f>
        <v> </v>
      </c>
      <c r="H266" s="278" t="str">
        <f aca="false">IF(A266="N/A"," ",(C266*D266)+F266+G266)</f>
        <v> </v>
      </c>
      <c r="I266" s="279" t="str">
        <f aca="false">VLOOKUP(A266,ScaledPrice,(IF(AND('Pricing Inputs'!$AQ$3&gt;=1,'Pricing Inputs'!$AQ$3&lt;=6),2,4)))</f>
        <v> </v>
      </c>
      <c r="J266" s="279" t="str">
        <f aca="false">IF(A266="N/A"," ",IF(AND('Pricing Inputs'!$AQ$3&gt;=1,'Pricing Inputs'!$AQ$3&lt;=6),I266,(VLOOKUP(A266,ScaledPrice,2))*(2-(VLOOKUP(A266,ScaledPrice,3)))))</f>
        <v> </v>
      </c>
      <c r="K266" s="279" t="str">
        <f aca="false">IF(A266="N/A"," ",IF(OR('Pricing Inputs'!$AQ$3=2,'Pricing Inputs'!$AQ$3=3,'Pricing Inputs'!$AQ$3=5,'Pricing Inputs'!$AQ$3=6,'Pricing Inputs'!$AQ$3=8,'Pricing Inputs'!$AQ$3=9),VLOOKUP(A266,ScaledPrice,IF(AND('Pricing Inputs'!$AQ$3&gt;=2,'Pricing Inputs'!$AQ$3&lt;=6),5,6)),0))</f>
        <v> </v>
      </c>
      <c r="L266" s="279" t="str">
        <f aca="false">IF(A266="N/A"," ",IF(OR('Pricing Inputs'!$AQ$3=2,'Pricing Inputs'!$AQ$3=3,'Pricing Inputs'!$AQ$3=5,'Pricing Inputs'!$AQ$3=6,'Pricing Inputs'!$AQ$3=8,'Pricing Inputs'!$AQ$3=9),IF(AND('Pricing Inputs'!$AQ$3&gt;=2,'Pricing Inputs'!$AQ$3&lt;=6),K266,(VLOOKUP(A266,ScaledPrice,5))*(2-(VLOOKUP(A266,ScaledPrice,3)))),0))</f>
        <v> </v>
      </c>
      <c r="M266" s="279" t="str">
        <f aca="false">IF(A266="N/A"," ",IF(OR('Pricing Inputs'!$AQ$3=3,'Pricing Inputs'!$AQ$3=6,'Pricing Inputs'!$AQ$3=9),(VLOOKUP(A266,ScaledPrice,IF(AND('Pricing Inputs'!$AQ$3&gt;=3,'Pricing Inputs'!$AQ$3&lt;=6),7,8))),0))</f>
        <v> </v>
      </c>
      <c r="N266" s="279" t="str">
        <f aca="false">IF(A266="N/A"," ",IF(OR('Pricing Inputs'!$AQ$3=3,'Pricing Inputs'!$AQ$3=6,'Pricing Inputs'!$AQ$3=9),IF(AND('Pricing Inputs'!$AQ$3&gt;=3,'Pricing Inputs'!$AQ$3&lt;=6),M266,(VLOOKUP(A266,ScaledPrice,7))*(2-(VLOOKUP(A266,ScaledPrice,3)))),0))</f>
        <v> </v>
      </c>
      <c r="O266" s="279" t="str">
        <f aca="false">IF(A266="N/A"," ",IF(AND('Pricing Inputs'!$AQ$3&gt;=1,'Pricing Inputs'!$AQ$3&lt;=3),VLOOKUP(A266,ScaledPrice,9),0))</f>
        <v> </v>
      </c>
      <c r="P266" s="280" t="str">
        <f aca="false">IF($A266="N/A"," ",IF('Pricing Inputs'!$AN$8=2,(I266-H266),IF('Pricing Inputs'!$AN$3=2,IF((I266-$H266)&gt;0,I266-$H266,0),(xSPRDOPT(I266,$E266,$BU266,0,$BP266,$BS266,$BT266,($A266-Inputs!$D$1)+15,1,0)))))</f>
        <v> </v>
      </c>
      <c r="Q266" s="280" t="str">
        <f aca="false">IF($A266="N/A"," ",IF('Pricing Inputs'!$AN$8=2,(J266-$H266),IF('Pricing Inputs'!$AN$3=2,IF((J266-$H266)&gt;0,J266-$H266,0),(xSPRDOPT(J266,$E266,$BU266,0,$BP266,$BS266,$BT266,($A266-Inputs!$D$1)+15,1,0)))))</f>
        <v> </v>
      </c>
      <c r="R266" s="280" t="str">
        <f aca="false">IF($A266="N/A"," ",IF('Pricing Inputs'!$AN$8=2,(K266-$H266),IF('Pricing Inputs'!$AN$3=2,IF((K266-$H266)&gt;0,K266-$H266,0),(xSPRDOPT(K266,$E266,$BU266,0,$BP266,$BS266,$BT266,($A266-Inputs!$D$1)+15,1,0)))))</f>
        <v> </v>
      </c>
      <c r="S266" s="280" t="str">
        <f aca="false">IF($A266="N/A"," ",IF('Pricing Inputs'!$AN$8=2,(L266-$H266),IF('Pricing Inputs'!$AN$3=2,IF((L266-$H266)&gt;0,L266-$H266,0),(xSPRDOPT(L266,$E266,$BU266,0,$BP266,$BS266,$BT266,($A266-Inputs!$D$1)+15,1,0)))))</f>
        <v> </v>
      </c>
      <c r="T266" s="280" t="str">
        <f aca="false">IF($A266="N/A"," ",IF('Pricing Inputs'!$AN$8=2,(M266-$H266),IF('Pricing Inputs'!$AN$3=2,IF((M266-$H266)&gt;0,M266-$H266,0),(xSPRDOPT(M266,$E266,$BU266,0,$BP266,$BS266,$BT266,($A266-Inputs!$D$1)+15,1,0)))))</f>
        <v> </v>
      </c>
      <c r="U266" s="280" t="str">
        <f aca="false">IF($A266="N/A"," ",IF('Pricing Inputs'!$AN$8=2,(N266-$H266),IF('Pricing Inputs'!$AN$3=2,IF((N266-$H266)&gt;0,N266-$H266,0),(xSPRDOPT(N266,$E266,$BU266,0,$BP266,$BS266,$BT266,($A266-Inputs!$D$1)+15,1,0)))))</f>
        <v> </v>
      </c>
      <c r="V266" s="281" t="str">
        <f aca="false">IF($A266="N/A"," ",(IF('Pricing Inputs'!$AN$8=2,(O266-$H266),IF((O266-$H266)&lt;=0,0,(O266-$H266)))))</f>
        <v> </v>
      </c>
      <c r="AK266" s="31"/>
      <c r="AL266" s="31"/>
      <c r="AM266" s="31"/>
      <c r="AN266" s="31"/>
      <c r="AO266" s="31"/>
      <c r="AP266" s="31"/>
      <c r="AQ266" s="31"/>
      <c r="AR266" s="31"/>
      <c r="BA266" s="291" t="str">
        <f aca="false">IF($A266="N/A"," ",(IF(MONTH(A266)&gt;=4,IF(MONTH(A266)&lt;=10,Inputs!$F$13,Inputs!$F$14),Inputs!$F$14))*$BW266)</f>
        <v> </v>
      </c>
      <c r="BN266" s="294" t="str">
        <f aca="false">IF(A266="N/A"," ",(VLOOKUP(A266,PowerVolTable,(IF('Pricing Inputs'!$AT$3=2,7,IF('Pricing Inputs'!$AT$3=1,6,8))),FALSE())))</f>
        <v> </v>
      </c>
      <c r="BO266" s="294" t="str">
        <f aca="false">IF(A266="N/A"," ",(VLOOKUP(A266,IntraPowerVol,(IF('Pricing Inputs'!$AT$3=2,3,IF('Pricing Inputs'!$AT$3=1,2,4))),FALSE())*VLOOKUP(MONTH($A266),Inputs!$A$28:$B$39,2)))</f>
        <v> </v>
      </c>
      <c r="BP266" s="295" t="str">
        <f aca="false">IF($A266="N/A"," ",(IF(DateToday&gt;$A266,$BO266,((($BN266^2)*((($A266-1)-DateToday)/((EOMONTH($A266,0)+1)-DateToday-15)))+((($BO266)^2)*((15)/((EOMONTH($A266,0)+1)-DateToday-15))))^0.5)))</f>
        <v> </v>
      </c>
      <c r="BQ266" s="294" t="str">
        <f aca="false">IF($A266="N/A"," ",(VLOOKUP($A266,GasVolTable,(IF('Pricing Inputs'!$AT$3=2,6,IF('Pricing Inputs'!$AT$3=1,7,5))),FALSE())))</f>
        <v> </v>
      </c>
      <c r="BR266" s="294" t="str">
        <f aca="false">IF($A266="N/A"," ",(VLOOKUP($A266,OmicronVol,(IF('Pricing Inputs'!$AT$3=2,3,IF('Pricing Inputs'!$AT$3=1,4,2))),FALSE())))</f>
        <v> </v>
      </c>
      <c r="BS266" s="295" t="str">
        <f aca="false">IF($A266="N/A"," ",IF('Pricing Inputs'!$AN$3=1,(IF(DateToday&gt;$A266,$BR266,((($BQ266^2)*((($A266-1)-DateToday)/((EOMONTH($A266,0)+1)-DateToday-15)))+((($BR266)^2)*((15)/((EOMONTH($A266,0)+1)-DateToday-15))))^0.5)),0.0001))</f>
        <v> </v>
      </c>
      <c r="BT266" s="294" t="str">
        <f aca="false">IF($A266="N/A"," ",IF('Pricing Inputs'!$AN$3=1,(VLOOKUP($A266,CorrelationTable,2,FALSE())),0))</f>
        <v> </v>
      </c>
      <c r="BU266" s="296" t="str">
        <f aca="false">IF($A266="N/A"," ",F266+G266+(D266*(VLOOKUP($A266,'Gas Curves'!$B$17:$P$310,14,FALSE()))))</f>
        <v> </v>
      </c>
      <c r="BV266" s="294" t="str">
        <f aca="false">IF($A266="N/A"," ",IF('Pricing Inputs'!$AW$3=1,0,(VLOOKUP($A266,InterestRatesTable,2))))</f>
        <v> </v>
      </c>
      <c r="BW266" s="297" t="str">
        <f aca="false">IF($A266="N/A"," ",(1+BV266/2)^(-2*((EOMONTH(A266,0)+20)-DateToday)/365.25))</f>
        <v> </v>
      </c>
    </row>
    <row r="267" customFormat="false" ht="12.75" hidden="false" customHeight="false" outlineLevel="0" collapsed="false">
      <c r="A267" s="272" t="str">
        <f aca="false">IF(A266="N/A","N/A",IF(EDATE(A266,1)&gt;Inputs!$K$3,"N/A",EDATE(A266,1)))</f>
        <v>N/A</v>
      </c>
      <c r="B267" s="273" t="str">
        <f aca="false">IF(A267="N/A"," ",YEAR(A267))</f>
        <v> </v>
      </c>
      <c r="C267" s="274" t="str">
        <f aca="false">IF(A267="N/A"," ",VLOOKUP(A267,ScaledPrice,10))</f>
        <v> </v>
      </c>
      <c r="D267" s="275" t="str">
        <f aca="false">IF(A267="N/A"," ",(VLOOKUP(MONTH($A267),Inputs!$A$14:$B$25,2))/1000)</f>
        <v> </v>
      </c>
      <c r="E267" s="276" t="str">
        <f aca="false">IF($A267="N/A"," ",C267*D267)</f>
        <v> </v>
      </c>
      <c r="F267" s="277" t="str">
        <f aca="false">IF(A267="N/A"," ",Inputs!$F$6)</f>
        <v> </v>
      </c>
      <c r="G267" s="277" t="str">
        <f aca="false">IF(A267="N/A"," ",Inputs!$F$9/IF(AND('Pricing Inputs'!$AQ$3&gt;=4,'Pricing Inputs'!$AQ$3&lt;=6),16,IF(AND('Pricing Inputs'!$AQ$3&gt;=7,'Pricing Inputs'!$AQ$3&lt;=9),8,24))/(BA267/BW267))</f>
        <v> </v>
      </c>
      <c r="H267" s="278" t="str">
        <f aca="false">IF(A267="N/A"," ",(C267*D267)+F267+G267)</f>
        <v> </v>
      </c>
      <c r="I267" s="279" t="str">
        <f aca="false">VLOOKUP(A267,ScaledPrice,(IF(AND('Pricing Inputs'!$AQ$3&gt;=1,'Pricing Inputs'!$AQ$3&lt;=6),2,4)))</f>
        <v> </v>
      </c>
      <c r="J267" s="279" t="str">
        <f aca="false">IF(A267="N/A"," ",IF(AND('Pricing Inputs'!$AQ$3&gt;=1,'Pricing Inputs'!$AQ$3&lt;=6),I267,(VLOOKUP(A267,ScaledPrice,2))*(2-(VLOOKUP(A267,ScaledPrice,3)))))</f>
        <v> </v>
      </c>
      <c r="K267" s="279" t="str">
        <f aca="false">IF(A267="N/A"," ",IF(OR('Pricing Inputs'!$AQ$3=2,'Pricing Inputs'!$AQ$3=3,'Pricing Inputs'!$AQ$3=5,'Pricing Inputs'!$AQ$3=6,'Pricing Inputs'!$AQ$3=8,'Pricing Inputs'!$AQ$3=9),VLOOKUP(A267,ScaledPrice,IF(AND('Pricing Inputs'!$AQ$3&gt;=2,'Pricing Inputs'!$AQ$3&lt;=6),5,6)),0))</f>
        <v> </v>
      </c>
      <c r="L267" s="279" t="str">
        <f aca="false">IF(A267="N/A"," ",IF(OR('Pricing Inputs'!$AQ$3=2,'Pricing Inputs'!$AQ$3=3,'Pricing Inputs'!$AQ$3=5,'Pricing Inputs'!$AQ$3=6,'Pricing Inputs'!$AQ$3=8,'Pricing Inputs'!$AQ$3=9),IF(AND('Pricing Inputs'!$AQ$3&gt;=2,'Pricing Inputs'!$AQ$3&lt;=6),K267,(VLOOKUP(A267,ScaledPrice,5))*(2-(VLOOKUP(A267,ScaledPrice,3)))),0))</f>
        <v> </v>
      </c>
      <c r="M267" s="279" t="str">
        <f aca="false">IF(A267="N/A"," ",IF(OR('Pricing Inputs'!$AQ$3=3,'Pricing Inputs'!$AQ$3=6,'Pricing Inputs'!$AQ$3=9),(VLOOKUP(A267,ScaledPrice,IF(AND('Pricing Inputs'!$AQ$3&gt;=3,'Pricing Inputs'!$AQ$3&lt;=6),7,8))),0))</f>
        <v> </v>
      </c>
      <c r="N267" s="279" t="str">
        <f aca="false">IF(A267="N/A"," ",IF(OR('Pricing Inputs'!$AQ$3=3,'Pricing Inputs'!$AQ$3=6,'Pricing Inputs'!$AQ$3=9),IF(AND('Pricing Inputs'!$AQ$3&gt;=3,'Pricing Inputs'!$AQ$3&lt;=6),M267,(VLOOKUP(A267,ScaledPrice,7))*(2-(VLOOKUP(A267,ScaledPrice,3)))),0))</f>
        <v> </v>
      </c>
      <c r="O267" s="279" t="str">
        <f aca="false">IF(A267="N/A"," ",IF(AND('Pricing Inputs'!$AQ$3&gt;=1,'Pricing Inputs'!$AQ$3&lt;=3),VLOOKUP(A267,ScaledPrice,9),0))</f>
        <v> </v>
      </c>
      <c r="P267" s="280" t="str">
        <f aca="false">IF($A267="N/A"," ",IF('Pricing Inputs'!$AN$8=2,(I267-H267),IF('Pricing Inputs'!$AN$3=2,IF((I267-$H267)&gt;0,I267-$H267,0),(xSPRDOPT(I267,$E267,$BU267,0,$BP267,$BS267,$BT267,($A267-Inputs!$D$1)+15,1,0)))))</f>
        <v> </v>
      </c>
      <c r="Q267" s="280" t="str">
        <f aca="false">IF($A267="N/A"," ",IF('Pricing Inputs'!$AN$8=2,(J267-$H267),IF('Pricing Inputs'!$AN$3=2,IF((J267-$H267)&gt;0,J267-$H267,0),(xSPRDOPT(J267,$E267,$BU267,0,$BP267,$BS267,$BT267,($A267-Inputs!$D$1)+15,1,0)))))</f>
        <v> </v>
      </c>
      <c r="R267" s="280" t="str">
        <f aca="false">IF($A267="N/A"," ",IF('Pricing Inputs'!$AN$8=2,(K267-$H267),IF('Pricing Inputs'!$AN$3=2,IF((K267-$H267)&gt;0,K267-$H267,0),(xSPRDOPT(K267,$E267,$BU267,0,$BP267,$BS267,$BT267,($A267-Inputs!$D$1)+15,1,0)))))</f>
        <v> </v>
      </c>
      <c r="S267" s="280" t="str">
        <f aca="false">IF($A267="N/A"," ",IF('Pricing Inputs'!$AN$8=2,(L267-$H267),IF('Pricing Inputs'!$AN$3=2,IF((L267-$H267)&gt;0,L267-$H267,0),(xSPRDOPT(L267,$E267,$BU267,0,$BP267,$BS267,$BT267,($A267-Inputs!$D$1)+15,1,0)))))</f>
        <v> </v>
      </c>
      <c r="T267" s="280" t="str">
        <f aca="false">IF($A267="N/A"," ",IF('Pricing Inputs'!$AN$8=2,(M267-$H267),IF('Pricing Inputs'!$AN$3=2,IF((M267-$H267)&gt;0,M267-$H267,0),(xSPRDOPT(M267,$E267,$BU267,0,$BP267,$BS267,$BT267,($A267-Inputs!$D$1)+15,1,0)))))</f>
        <v> </v>
      </c>
      <c r="U267" s="280" t="str">
        <f aca="false">IF($A267="N/A"," ",IF('Pricing Inputs'!$AN$8=2,(N267-$H267),IF('Pricing Inputs'!$AN$3=2,IF((N267-$H267)&gt;0,N267-$H267,0),(xSPRDOPT(N267,$E267,$BU267,0,$BP267,$BS267,$BT267,($A267-Inputs!$D$1)+15,1,0)))))</f>
        <v> </v>
      </c>
      <c r="V267" s="281" t="str">
        <f aca="false">IF($A267="N/A"," ",(IF('Pricing Inputs'!$AN$8=2,(O267-$H267),IF((O267-$H267)&lt;=0,0,(O267-$H267)))))</f>
        <v> </v>
      </c>
      <c r="AK267" s="31"/>
      <c r="AL267" s="31"/>
      <c r="AM267" s="31"/>
      <c r="AN267" s="31"/>
      <c r="AO267" s="31"/>
      <c r="AP267" s="31"/>
      <c r="AQ267" s="31"/>
      <c r="AR267" s="31"/>
      <c r="BA267" s="291" t="str">
        <f aca="false">IF($A267="N/A"," ",(IF(MONTH(A267)&gt;=4,IF(MONTH(A267)&lt;=10,Inputs!$F$13,Inputs!$F$14),Inputs!$F$14))*$BW267)</f>
        <v> </v>
      </c>
      <c r="BN267" s="294" t="str">
        <f aca="false">IF(A267="N/A"," ",(VLOOKUP(A267,PowerVolTable,(IF('Pricing Inputs'!$AT$3=2,7,IF('Pricing Inputs'!$AT$3=1,6,8))),FALSE())))</f>
        <v> </v>
      </c>
      <c r="BO267" s="294" t="str">
        <f aca="false">IF(A267="N/A"," ",(VLOOKUP(A267,IntraPowerVol,(IF('Pricing Inputs'!$AT$3=2,3,IF('Pricing Inputs'!$AT$3=1,2,4))),FALSE())*VLOOKUP(MONTH($A267),Inputs!$A$28:$B$39,2)))</f>
        <v> </v>
      </c>
      <c r="BP267" s="295" t="str">
        <f aca="false">IF($A267="N/A"," ",(IF(DateToday&gt;$A267,$BO267,((($BN267^2)*((($A267-1)-DateToday)/((EOMONTH($A267,0)+1)-DateToday-15)))+((($BO267)^2)*((15)/((EOMONTH($A267,0)+1)-DateToday-15))))^0.5)))</f>
        <v> </v>
      </c>
      <c r="BQ267" s="294" t="str">
        <f aca="false">IF($A267="N/A"," ",(VLOOKUP($A267,GasVolTable,(IF('Pricing Inputs'!$AT$3=2,6,IF('Pricing Inputs'!$AT$3=1,7,5))),FALSE())))</f>
        <v> </v>
      </c>
      <c r="BR267" s="294" t="str">
        <f aca="false">IF($A267="N/A"," ",(VLOOKUP($A267,OmicronVol,(IF('Pricing Inputs'!$AT$3=2,3,IF('Pricing Inputs'!$AT$3=1,4,2))),FALSE())))</f>
        <v> </v>
      </c>
      <c r="BS267" s="295" t="str">
        <f aca="false">IF($A267="N/A"," ",IF('Pricing Inputs'!$AN$3=1,(IF(DateToday&gt;$A267,$BR267,((($BQ267^2)*((($A267-1)-DateToday)/((EOMONTH($A267,0)+1)-DateToday-15)))+((($BR267)^2)*((15)/((EOMONTH($A267,0)+1)-DateToday-15))))^0.5)),0.0001))</f>
        <v> </v>
      </c>
      <c r="BT267" s="294" t="str">
        <f aca="false">IF($A267="N/A"," ",IF('Pricing Inputs'!$AN$3=1,(VLOOKUP($A267,CorrelationTable,2,FALSE())),0))</f>
        <v> </v>
      </c>
      <c r="BU267" s="296" t="str">
        <f aca="false">IF($A267="N/A"," ",F267+G267+(D267*(VLOOKUP($A267,'Gas Curves'!$B$17:$P$310,14,FALSE()))))</f>
        <v> </v>
      </c>
      <c r="BV267" s="294" t="str">
        <f aca="false">IF($A267="N/A"," ",IF('Pricing Inputs'!$AW$3=1,0,(VLOOKUP($A267,InterestRatesTable,2))))</f>
        <v> </v>
      </c>
      <c r="BW267" s="297" t="str">
        <f aca="false">IF($A267="N/A"," ",(1+BV267/2)^(-2*((EOMONTH(A267,0)+20)-DateToday)/365.25))</f>
        <v> </v>
      </c>
    </row>
    <row r="268" customFormat="false" ht="12.75" hidden="false" customHeight="false" outlineLevel="0" collapsed="false">
      <c r="A268" s="272" t="str">
        <f aca="false">IF(A267="N/A","N/A",IF(EDATE(A267,1)&gt;Inputs!$K$3,"N/A",EDATE(A267,1)))</f>
        <v>N/A</v>
      </c>
      <c r="B268" s="273" t="str">
        <f aca="false">IF(A268="N/A"," ",YEAR(A268))</f>
        <v> </v>
      </c>
      <c r="C268" s="274" t="str">
        <f aca="false">IF(A268="N/A"," ",VLOOKUP(A268,ScaledPrice,10))</f>
        <v> </v>
      </c>
      <c r="D268" s="275" t="str">
        <f aca="false">IF(A268="N/A"," ",(VLOOKUP(MONTH($A268),Inputs!$A$14:$B$25,2))/1000)</f>
        <v> </v>
      </c>
      <c r="E268" s="276" t="str">
        <f aca="false">IF($A268="N/A"," ",C268*D268)</f>
        <v> </v>
      </c>
      <c r="F268" s="277" t="str">
        <f aca="false">IF(A268="N/A"," ",Inputs!$F$6)</f>
        <v> </v>
      </c>
      <c r="G268" s="277" t="str">
        <f aca="false">IF(A268="N/A"," ",Inputs!$F$9/IF(AND('Pricing Inputs'!$AQ$3&gt;=4,'Pricing Inputs'!$AQ$3&lt;=6),16,IF(AND('Pricing Inputs'!$AQ$3&gt;=7,'Pricing Inputs'!$AQ$3&lt;=9),8,24))/(BA268/BW268))</f>
        <v> </v>
      </c>
      <c r="H268" s="278" t="str">
        <f aca="false">IF(A268="N/A"," ",(C268*D268)+F268+G268)</f>
        <v> </v>
      </c>
      <c r="I268" s="279" t="str">
        <f aca="false">VLOOKUP(A268,ScaledPrice,(IF(AND('Pricing Inputs'!$AQ$3&gt;=1,'Pricing Inputs'!$AQ$3&lt;=6),2,4)))</f>
        <v> </v>
      </c>
      <c r="J268" s="279" t="str">
        <f aca="false">IF(A268="N/A"," ",IF(AND('Pricing Inputs'!$AQ$3&gt;=1,'Pricing Inputs'!$AQ$3&lt;=6),I268,(VLOOKUP(A268,ScaledPrice,2))*(2-(VLOOKUP(A268,ScaledPrice,3)))))</f>
        <v> </v>
      </c>
      <c r="K268" s="279" t="str">
        <f aca="false">IF(A268="N/A"," ",IF(OR('Pricing Inputs'!$AQ$3=2,'Pricing Inputs'!$AQ$3=3,'Pricing Inputs'!$AQ$3=5,'Pricing Inputs'!$AQ$3=6,'Pricing Inputs'!$AQ$3=8,'Pricing Inputs'!$AQ$3=9),VLOOKUP(A268,ScaledPrice,IF(AND('Pricing Inputs'!$AQ$3&gt;=2,'Pricing Inputs'!$AQ$3&lt;=6),5,6)),0))</f>
        <v> </v>
      </c>
      <c r="L268" s="279" t="str">
        <f aca="false">IF(A268="N/A"," ",IF(OR('Pricing Inputs'!$AQ$3=2,'Pricing Inputs'!$AQ$3=3,'Pricing Inputs'!$AQ$3=5,'Pricing Inputs'!$AQ$3=6,'Pricing Inputs'!$AQ$3=8,'Pricing Inputs'!$AQ$3=9),IF(AND('Pricing Inputs'!$AQ$3&gt;=2,'Pricing Inputs'!$AQ$3&lt;=6),K268,(VLOOKUP(A268,ScaledPrice,5))*(2-(VLOOKUP(A268,ScaledPrice,3)))),0))</f>
        <v> </v>
      </c>
      <c r="M268" s="279" t="str">
        <f aca="false">IF(A268="N/A"," ",IF(OR('Pricing Inputs'!$AQ$3=3,'Pricing Inputs'!$AQ$3=6,'Pricing Inputs'!$AQ$3=9),(VLOOKUP(A268,ScaledPrice,IF(AND('Pricing Inputs'!$AQ$3&gt;=3,'Pricing Inputs'!$AQ$3&lt;=6),7,8))),0))</f>
        <v> </v>
      </c>
      <c r="N268" s="279" t="str">
        <f aca="false">IF(A268="N/A"," ",IF(OR('Pricing Inputs'!$AQ$3=3,'Pricing Inputs'!$AQ$3=6,'Pricing Inputs'!$AQ$3=9),IF(AND('Pricing Inputs'!$AQ$3&gt;=3,'Pricing Inputs'!$AQ$3&lt;=6),M268,(VLOOKUP(A268,ScaledPrice,7))*(2-(VLOOKUP(A268,ScaledPrice,3)))),0))</f>
        <v> </v>
      </c>
      <c r="O268" s="279" t="str">
        <f aca="false">IF(A268="N/A"," ",IF(AND('Pricing Inputs'!$AQ$3&gt;=1,'Pricing Inputs'!$AQ$3&lt;=3),VLOOKUP(A268,ScaledPrice,9),0))</f>
        <v> </v>
      </c>
      <c r="P268" s="280" t="str">
        <f aca="false">IF($A268="N/A"," ",IF('Pricing Inputs'!$AN$8=2,(I268-H268),IF('Pricing Inputs'!$AN$3=2,IF((I268-$H268)&gt;0,I268-$H268,0),(xSPRDOPT(I268,$E268,$BU268,0,$BP268,$BS268,$BT268,($A268-Inputs!$D$1)+15,1,0)))))</f>
        <v> </v>
      </c>
      <c r="Q268" s="280" t="str">
        <f aca="false">IF($A268="N/A"," ",IF('Pricing Inputs'!$AN$8=2,(J268-$H268),IF('Pricing Inputs'!$AN$3=2,IF((J268-$H268)&gt;0,J268-$H268,0),(xSPRDOPT(J268,$E268,$BU268,0,$BP268,$BS268,$BT268,($A268-Inputs!$D$1)+15,1,0)))))</f>
        <v> </v>
      </c>
      <c r="R268" s="280" t="str">
        <f aca="false">IF($A268="N/A"," ",IF('Pricing Inputs'!$AN$8=2,(K268-$H268),IF('Pricing Inputs'!$AN$3=2,IF((K268-$H268)&gt;0,K268-$H268,0),(xSPRDOPT(K268,$E268,$BU268,0,$BP268,$BS268,$BT268,($A268-Inputs!$D$1)+15,1,0)))))</f>
        <v> </v>
      </c>
      <c r="S268" s="280" t="str">
        <f aca="false">IF($A268="N/A"," ",IF('Pricing Inputs'!$AN$8=2,(L268-$H268),IF('Pricing Inputs'!$AN$3=2,IF((L268-$H268)&gt;0,L268-$H268,0),(xSPRDOPT(L268,$E268,$BU268,0,$BP268,$BS268,$BT268,($A268-Inputs!$D$1)+15,1,0)))))</f>
        <v> </v>
      </c>
      <c r="T268" s="280" t="str">
        <f aca="false">IF($A268="N/A"," ",IF('Pricing Inputs'!$AN$8=2,(M268-$H268),IF('Pricing Inputs'!$AN$3=2,IF((M268-$H268)&gt;0,M268-$H268,0),(xSPRDOPT(M268,$E268,$BU268,0,$BP268,$BS268,$BT268,($A268-Inputs!$D$1)+15,1,0)))))</f>
        <v> </v>
      </c>
      <c r="U268" s="280" t="str">
        <f aca="false">IF($A268="N/A"," ",IF('Pricing Inputs'!$AN$8=2,(N268-$H268),IF('Pricing Inputs'!$AN$3=2,IF((N268-$H268)&gt;0,N268-$H268,0),(xSPRDOPT(N268,$E268,$BU268,0,$BP268,$BS268,$BT268,($A268-Inputs!$D$1)+15,1,0)))))</f>
        <v> </v>
      </c>
      <c r="V268" s="281" t="str">
        <f aca="false">IF($A268="N/A"," ",(IF('Pricing Inputs'!$AN$8=2,(O268-$H268),IF((O268-$H268)&lt;=0,0,(O268-$H268)))))</f>
        <v> </v>
      </c>
      <c r="AK268" s="31"/>
      <c r="AL268" s="31"/>
      <c r="AM268" s="31"/>
      <c r="AN268" s="31"/>
      <c r="AO268" s="31"/>
      <c r="AP268" s="31"/>
      <c r="AQ268" s="31"/>
      <c r="AR268" s="31"/>
      <c r="BA268" s="291" t="str">
        <f aca="false">IF($A268="N/A"," ",(IF(MONTH(A268)&gt;=4,IF(MONTH(A268)&lt;=10,Inputs!$F$13,Inputs!$F$14),Inputs!$F$14))*$BW268)</f>
        <v> </v>
      </c>
      <c r="BN268" s="294" t="str">
        <f aca="false">IF(A268="N/A"," ",(VLOOKUP(A268,PowerVolTable,(IF('Pricing Inputs'!$AT$3=2,7,IF('Pricing Inputs'!$AT$3=1,6,8))),FALSE())))</f>
        <v> </v>
      </c>
      <c r="BO268" s="294" t="str">
        <f aca="false">IF(A268="N/A"," ",(VLOOKUP(A268,IntraPowerVol,(IF('Pricing Inputs'!$AT$3=2,3,IF('Pricing Inputs'!$AT$3=1,2,4))),FALSE())*VLOOKUP(MONTH($A268),Inputs!$A$28:$B$39,2)))</f>
        <v> </v>
      </c>
      <c r="BP268" s="295" t="str">
        <f aca="false">IF($A268="N/A"," ",(IF(DateToday&gt;$A268,$BO268,((($BN268^2)*((($A268-1)-DateToday)/((EOMONTH($A268,0)+1)-DateToday-15)))+((($BO268)^2)*((15)/((EOMONTH($A268,0)+1)-DateToday-15))))^0.5)))</f>
        <v> </v>
      </c>
      <c r="BQ268" s="294" t="str">
        <f aca="false">IF($A268="N/A"," ",(VLOOKUP($A268,GasVolTable,(IF('Pricing Inputs'!$AT$3=2,6,IF('Pricing Inputs'!$AT$3=1,7,5))),FALSE())))</f>
        <v> </v>
      </c>
      <c r="BR268" s="294" t="str">
        <f aca="false">IF($A268="N/A"," ",(VLOOKUP($A268,OmicronVol,(IF('Pricing Inputs'!$AT$3=2,3,IF('Pricing Inputs'!$AT$3=1,4,2))),FALSE())))</f>
        <v> </v>
      </c>
      <c r="BS268" s="295" t="str">
        <f aca="false">IF($A268="N/A"," ",IF('Pricing Inputs'!$AN$3=1,(IF(DateToday&gt;$A268,$BR268,((($BQ268^2)*((($A268-1)-DateToday)/((EOMONTH($A268,0)+1)-DateToday-15)))+((($BR268)^2)*((15)/((EOMONTH($A268,0)+1)-DateToday-15))))^0.5)),0.0001))</f>
        <v> </v>
      </c>
      <c r="BT268" s="294" t="str">
        <f aca="false">IF($A268="N/A"," ",IF('Pricing Inputs'!$AN$3=1,(VLOOKUP($A268,CorrelationTable,2,FALSE())),0))</f>
        <v> </v>
      </c>
      <c r="BU268" s="296" t="str">
        <f aca="false">IF($A268="N/A"," ",F268+G268+(D268*(VLOOKUP($A268,'Gas Curves'!$B$17:$P$310,14,FALSE()))))</f>
        <v> </v>
      </c>
      <c r="BV268" s="294" t="str">
        <f aca="false">IF($A268="N/A"," ",IF('Pricing Inputs'!$AW$3=1,0,(VLOOKUP($A268,InterestRatesTable,2))))</f>
        <v> </v>
      </c>
      <c r="BW268" s="297" t="str">
        <f aca="false">IF($A268="N/A"," ",(1+BV268/2)^(-2*((EOMONTH(A268,0)+20)-DateToday)/365.25))</f>
        <v> </v>
      </c>
    </row>
    <row r="269" customFormat="false" ht="12.75" hidden="false" customHeight="false" outlineLevel="0" collapsed="false">
      <c r="A269" s="272" t="str">
        <f aca="false">IF(A268="N/A","N/A",IF(EDATE(A268,1)&gt;Inputs!$K$3,"N/A",EDATE(A268,1)))</f>
        <v>N/A</v>
      </c>
      <c r="B269" s="273" t="str">
        <f aca="false">IF(A269="N/A"," ",YEAR(A269))</f>
        <v> </v>
      </c>
      <c r="C269" s="274" t="str">
        <f aca="false">IF(A269="N/A"," ",VLOOKUP(A269,ScaledPrice,10))</f>
        <v> </v>
      </c>
      <c r="D269" s="275" t="str">
        <f aca="false">IF(A269="N/A"," ",(VLOOKUP(MONTH($A269),Inputs!$A$14:$B$25,2))/1000)</f>
        <v> </v>
      </c>
      <c r="E269" s="276" t="str">
        <f aca="false">IF($A269="N/A"," ",C269*D269)</f>
        <v> </v>
      </c>
      <c r="F269" s="277" t="str">
        <f aca="false">IF(A269="N/A"," ",Inputs!$F$6)</f>
        <v> </v>
      </c>
      <c r="G269" s="277" t="str">
        <f aca="false">IF(A269="N/A"," ",Inputs!$F$9/IF(AND('Pricing Inputs'!$AQ$3&gt;=4,'Pricing Inputs'!$AQ$3&lt;=6),16,IF(AND('Pricing Inputs'!$AQ$3&gt;=7,'Pricing Inputs'!$AQ$3&lt;=9),8,24))/(BA269/BW269))</f>
        <v> </v>
      </c>
      <c r="H269" s="278" t="str">
        <f aca="false">IF(A269="N/A"," ",(C269*D269)+F269+G269)</f>
        <v> </v>
      </c>
      <c r="I269" s="279" t="str">
        <f aca="false">VLOOKUP(A269,ScaledPrice,(IF(AND('Pricing Inputs'!$AQ$3&gt;=1,'Pricing Inputs'!$AQ$3&lt;=6),2,4)))</f>
        <v> </v>
      </c>
      <c r="J269" s="279" t="str">
        <f aca="false">IF(A269="N/A"," ",IF(AND('Pricing Inputs'!$AQ$3&gt;=1,'Pricing Inputs'!$AQ$3&lt;=6),I269,(VLOOKUP(A269,ScaledPrice,2))*(2-(VLOOKUP(A269,ScaledPrice,3)))))</f>
        <v> </v>
      </c>
      <c r="K269" s="279" t="str">
        <f aca="false">IF(A269="N/A"," ",IF(OR('Pricing Inputs'!$AQ$3=2,'Pricing Inputs'!$AQ$3=3,'Pricing Inputs'!$AQ$3=5,'Pricing Inputs'!$AQ$3=6,'Pricing Inputs'!$AQ$3=8,'Pricing Inputs'!$AQ$3=9),VLOOKUP(A269,ScaledPrice,IF(AND('Pricing Inputs'!$AQ$3&gt;=2,'Pricing Inputs'!$AQ$3&lt;=6),5,6)),0))</f>
        <v> </v>
      </c>
      <c r="L269" s="279" t="str">
        <f aca="false">IF(A269="N/A"," ",IF(OR('Pricing Inputs'!$AQ$3=2,'Pricing Inputs'!$AQ$3=3,'Pricing Inputs'!$AQ$3=5,'Pricing Inputs'!$AQ$3=6,'Pricing Inputs'!$AQ$3=8,'Pricing Inputs'!$AQ$3=9),IF(AND('Pricing Inputs'!$AQ$3&gt;=2,'Pricing Inputs'!$AQ$3&lt;=6),K269,(VLOOKUP(A269,ScaledPrice,5))*(2-(VLOOKUP(A269,ScaledPrice,3)))),0))</f>
        <v> </v>
      </c>
      <c r="M269" s="279" t="str">
        <f aca="false">IF(A269="N/A"," ",IF(OR('Pricing Inputs'!$AQ$3=3,'Pricing Inputs'!$AQ$3=6,'Pricing Inputs'!$AQ$3=9),(VLOOKUP(A269,ScaledPrice,IF(AND('Pricing Inputs'!$AQ$3&gt;=3,'Pricing Inputs'!$AQ$3&lt;=6),7,8))),0))</f>
        <v> </v>
      </c>
      <c r="N269" s="279" t="str">
        <f aca="false">IF(A269="N/A"," ",IF(OR('Pricing Inputs'!$AQ$3=3,'Pricing Inputs'!$AQ$3=6,'Pricing Inputs'!$AQ$3=9),IF(AND('Pricing Inputs'!$AQ$3&gt;=3,'Pricing Inputs'!$AQ$3&lt;=6),M269,(VLOOKUP(A269,ScaledPrice,7))*(2-(VLOOKUP(A269,ScaledPrice,3)))),0))</f>
        <v> </v>
      </c>
      <c r="O269" s="279" t="str">
        <f aca="false">IF(A269="N/A"," ",IF(AND('Pricing Inputs'!$AQ$3&gt;=1,'Pricing Inputs'!$AQ$3&lt;=3),VLOOKUP(A269,ScaledPrice,9),0))</f>
        <v> </v>
      </c>
      <c r="P269" s="280" t="str">
        <f aca="false">IF($A269="N/A"," ",IF('Pricing Inputs'!$AN$8=2,(I269-H269),IF('Pricing Inputs'!$AN$3=2,IF((I269-$H269)&gt;0,I269-$H269,0),(xSPRDOPT(I269,$E269,$BU269,0,$BP269,$BS269,$BT269,($A269-Inputs!$D$1)+15,1,0)))))</f>
        <v> </v>
      </c>
      <c r="Q269" s="280" t="str">
        <f aca="false">IF($A269="N/A"," ",IF('Pricing Inputs'!$AN$8=2,(J269-$H269),IF('Pricing Inputs'!$AN$3=2,IF((J269-$H269)&gt;0,J269-$H269,0),(xSPRDOPT(J269,$E269,$BU269,0,$BP269,$BS269,$BT269,($A269-Inputs!$D$1)+15,1,0)))))</f>
        <v> </v>
      </c>
      <c r="R269" s="280" t="str">
        <f aca="false">IF($A269="N/A"," ",IF('Pricing Inputs'!$AN$8=2,(K269-$H269),IF('Pricing Inputs'!$AN$3=2,IF((K269-$H269)&gt;0,K269-$H269,0),(xSPRDOPT(K269,$E269,$BU269,0,$BP269,$BS269,$BT269,($A269-Inputs!$D$1)+15,1,0)))))</f>
        <v> </v>
      </c>
      <c r="S269" s="280" t="str">
        <f aca="false">IF($A269="N/A"," ",IF('Pricing Inputs'!$AN$8=2,(L269-$H269),IF('Pricing Inputs'!$AN$3=2,IF((L269-$H269)&gt;0,L269-$H269,0),(xSPRDOPT(L269,$E269,$BU269,0,$BP269,$BS269,$BT269,($A269-Inputs!$D$1)+15,1,0)))))</f>
        <v> </v>
      </c>
      <c r="T269" s="280" t="str">
        <f aca="false">IF($A269="N/A"," ",IF('Pricing Inputs'!$AN$8=2,(M269-$H269),IF('Pricing Inputs'!$AN$3=2,IF((M269-$H269)&gt;0,M269-$H269,0),(xSPRDOPT(M269,$E269,$BU269,0,$BP269,$BS269,$BT269,($A269-Inputs!$D$1)+15,1,0)))))</f>
        <v> </v>
      </c>
      <c r="U269" s="280" t="str">
        <f aca="false">IF($A269="N/A"," ",IF('Pricing Inputs'!$AN$8=2,(N269-$H269),IF('Pricing Inputs'!$AN$3=2,IF((N269-$H269)&gt;0,N269-$H269,0),(xSPRDOPT(N269,$E269,$BU269,0,$BP269,$BS269,$BT269,($A269-Inputs!$D$1)+15,1,0)))))</f>
        <v> </v>
      </c>
      <c r="V269" s="281" t="str">
        <f aca="false">IF($A269="N/A"," ",(IF('Pricing Inputs'!$AN$8=2,(O269-$H269),IF((O269-$H269)&lt;=0,0,(O269-$H269)))))</f>
        <v> </v>
      </c>
      <c r="AK269" s="31"/>
      <c r="AL269" s="31"/>
      <c r="AM269" s="31"/>
      <c r="AN269" s="31"/>
      <c r="AO269" s="31"/>
      <c r="AP269" s="31"/>
      <c r="AQ269" s="31"/>
      <c r="AR269" s="31"/>
      <c r="BA269" s="291" t="str">
        <f aca="false">IF($A269="N/A"," ",(IF(MONTH(A269)&gt;=4,IF(MONTH(A269)&lt;=10,Inputs!$F$13,Inputs!$F$14),Inputs!$F$14))*$BW269)</f>
        <v> </v>
      </c>
      <c r="BN269" s="294" t="str">
        <f aca="false">IF(A269="N/A"," ",(VLOOKUP(A269,PowerVolTable,(IF('Pricing Inputs'!$AT$3=2,7,IF('Pricing Inputs'!$AT$3=1,6,8))),FALSE())))</f>
        <v> </v>
      </c>
      <c r="BO269" s="294" t="str">
        <f aca="false">IF(A269="N/A"," ",(VLOOKUP(A269,IntraPowerVol,(IF('Pricing Inputs'!$AT$3=2,3,IF('Pricing Inputs'!$AT$3=1,2,4))),FALSE())*VLOOKUP(MONTH($A269),Inputs!$A$28:$B$39,2)))</f>
        <v> </v>
      </c>
      <c r="BP269" s="295" t="str">
        <f aca="false">IF($A269="N/A"," ",(IF(DateToday&gt;$A269,$BO269,((($BN269^2)*((($A269-1)-DateToday)/((EOMONTH($A269,0)+1)-DateToday-15)))+((($BO269)^2)*((15)/((EOMONTH($A269,0)+1)-DateToday-15))))^0.5)))</f>
        <v> </v>
      </c>
      <c r="BQ269" s="294" t="str">
        <f aca="false">IF($A269="N/A"," ",(VLOOKUP($A269,GasVolTable,(IF('Pricing Inputs'!$AT$3=2,6,IF('Pricing Inputs'!$AT$3=1,7,5))),FALSE())))</f>
        <v> </v>
      </c>
      <c r="BR269" s="294" t="str">
        <f aca="false">IF($A269="N/A"," ",(VLOOKUP($A269,OmicronVol,(IF('Pricing Inputs'!$AT$3=2,3,IF('Pricing Inputs'!$AT$3=1,4,2))),FALSE())))</f>
        <v> </v>
      </c>
      <c r="BS269" s="295" t="str">
        <f aca="false">IF($A269="N/A"," ",IF('Pricing Inputs'!$AN$3=1,(IF(DateToday&gt;$A269,$BR269,((($BQ269^2)*((($A269-1)-DateToday)/((EOMONTH($A269,0)+1)-DateToday-15)))+((($BR269)^2)*((15)/((EOMONTH($A269,0)+1)-DateToday-15))))^0.5)),0.0001))</f>
        <v> </v>
      </c>
      <c r="BT269" s="294" t="str">
        <f aca="false">IF($A269="N/A"," ",IF('Pricing Inputs'!$AN$3=1,(VLOOKUP($A269,CorrelationTable,2,FALSE())),0))</f>
        <v> </v>
      </c>
      <c r="BU269" s="296" t="str">
        <f aca="false">IF($A269="N/A"," ",F269+G269+(D269*(VLOOKUP($A269,'Gas Curves'!$B$17:$P$310,14,FALSE()))))</f>
        <v> </v>
      </c>
      <c r="BV269" s="294" t="str">
        <f aca="false">IF($A269="N/A"," ",IF('Pricing Inputs'!$AW$3=1,0,(VLOOKUP($A269,InterestRatesTable,2))))</f>
        <v> </v>
      </c>
      <c r="BW269" s="297" t="str">
        <f aca="false">IF($A269="N/A"," ",(1+BV269/2)^(-2*((EOMONTH(A269,0)+20)-DateToday)/365.25))</f>
        <v> </v>
      </c>
    </row>
    <row r="270" customFormat="false" ht="12.75" hidden="false" customHeight="false" outlineLevel="0" collapsed="false">
      <c r="A270" s="272" t="str">
        <f aca="false">IF(A269="N/A","N/A",IF(EDATE(A269,1)&gt;Inputs!$K$3,"N/A",EDATE(A269,1)))</f>
        <v>N/A</v>
      </c>
      <c r="B270" s="273" t="str">
        <f aca="false">IF(A270="N/A"," ",YEAR(A270))</f>
        <v> </v>
      </c>
      <c r="C270" s="274" t="str">
        <f aca="false">IF(A270="N/A"," ",VLOOKUP(A270,ScaledPrice,10))</f>
        <v> </v>
      </c>
      <c r="D270" s="275" t="str">
        <f aca="false">IF(A270="N/A"," ",(VLOOKUP(MONTH($A270),Inputs!$A$14:$B$25,2))/1000)</f>
        <v> </v>
      </c>
      <c r="E270" s="276" t="str">
        <f aca="false">IF($A270="N/A"," ",C270*D270)</f>
        <v> </v>
      </c>
      <c r="F270" s="277" t="str">
        <f aca="false">IF(A270="N/A"," ",Inputs!$F$6)</f>
        <v> </v>
      </c>
      <c r="G270" s="277" t="str">
        <f aca="false">IF(A270="N/A"," ",Inputs!$F$9/IF(AND('Pricing Inputs'!$AQ$3&gt;=4,'Pricing Inputs'!$AQ$3&lt;=6),16,IF(AND('Pricing Inputs'!$AQ$3&gt;=7,'Pricing Inputs'!$AQ$3&lt;=9),8,24))/(BA270/BW270))</f>
        <v> </v>
      </c>
      <c r="H270" s="278" t="str">
        <f aca="false">IF(A270="N/A"," ",(C270*D270)+F270+G270)</f>
        <v> </v>
      </c>
      <c r="I270" s="279" t="str">
        <f aca="false">VLOOKUP(A270,ScaledPrice,(IF(AND('Pricing Inputs'!$AQ$3&gt;=1,'Pricing Inputs'!$AQ$3&lt;=6),2,4)))</f>
        <v> </v>
      </c>
      <c r="J270" s="279" t="str">
        <f aca="false">IF(A270="N/A"," ",IF(AND('Pricing Inputs'!$AQ$3&gt;=1,'Pricing Inputs'!$AQ$3&lt;=6),I270,(VLOOKUP(A270,ScaledPrice,2))*(2-(VLOOKUP(A270,ScaledPrice,3)))))</f>
        <v> </v>
      </c>
      <c r="K270" s="279" t="str">
        <f aca="false">IF(A270="N/A"," ",IF(OR('Pricing Inputs'!$AQ$3=2,'Pricing Inputs'!$AQ$3=3,'Pricing Inputs'!$AQ$3=5,'Pricing Inputs'!$AQ$3=6,'Pricing Inputs'!$AQ$3=8,'Pricing Inputs'!$AQ$3=9),VLOOKUP(A270,ScaledPrice,IF(AND('Pricing Inputs'!$AQ$3&gt;=2,'Pricing Inputs'!$AQ$3&lt;=6),5,6)),0))</f>
        <v> </v>
      </c>
      <c r="L270" s="279" t="str">
        <f aca="false">IF(A270="N/A"," ",IF(OR('Pricing Inputs'!$AQ$3=2,'Pricing Inputs'!$AQ$3=3,'Pricing Inputs'!$AQ$3=5,'Pricing Inputs'!$AQ$3=6,'Pricing Inputs'!$AQ$3=8,'Pricing Inputs'!$AQ$3=9),IF(AND('Pricing Inputs'!$AQ$3&gt;=2,'Pricing Inputs'!$AQ$3&lt;=6),K270,(VLOOKUP(A270,ScaledPrice,5))*(2-(VLOOKUP(A270,ScaledPrice,3)))),0))</f>
        <v> </v>
      </c>
      <c r="M270" s="279" t="str">
        <f aca="false">IF(A270="N/A"," ",IF(OR('Pricing Inputs'!$AQ$3=3,'Pricing Inputs'!$AQ$3=6,'Pricing Inputs'!$AQ$3=9),(VLOOKUP(A270,ScaledPrice,IF(AND('Pricing Inputs'!$AQ$3&gt;=3,'Pricing Inputs'!$AQ$3&lt;=6),7,8))),0))</f>
        <v> </v>
      </c>
      <c r="N270" s="279" t="str">
        <f aca="false">IF(A270="N/A"," ",IF(OR('Pricing Inputs'!$AQ$3=3,'Pricing Inputs'!$AQ$3=6,'Pricing Inputs'!$AQ$3=9),IF(AND('Pricing Inputs'!$AQ$3&gt;=3,'Pricing Inputs'!$AQ$3&lt;=6),M270,(VLOOKUP(A270,ScaledPrice,7))*(2-(VLOOKUP(A270,ScaledPrice,3)))),0))</f>
        <v> </v>
      </c>
      <c r="O270" s="279" t="str">
        <f aca="false">IF(A270="N/A"," ",IF(AND('Pricing Inputs'!$AQ$3&gt;=1,'Pricing Inputs'!$AQ$3&lt;=3),VLOOKUP(A270,ScaledPrice,9),0))</f>
        <v> </v>
      </c>
      <c r="P270" s="280" t="str">
        <f aca="false">IF($A270="N/A"," ",IF('Pricing Inputs'!$AN$8=2,(I270-H270),IF('Pricing Inputs'!$AN$3=2,IF((I270-$H270)&gt;0,I270-$H270,0),(xSPRDOPT(I270,$E270,$BU270,0,$BP270,$BS270,$BT270,($A270-Inputs!$D$1)+15,1,0)))))</f>
        <v> </v>
      </c>
      <c r="Q270" s="280" t="str">
        <f aca="false">IF($A270="N/A"," ",IF('Pricing Inputs'!$AN$8=2,(J270-$H270),IF('Pricing Inputs'!$AN$3=2,IF((J270-$H270)&gt;0,J270-$H270,0),(xSPRDOPT(J270,$E270,$BU270,0,$BP270,$BS270,$BT270,($A270-Inputs!$D$1)+15,1,0)))))</f>
        <v> </v>
      </c>
      <c r="R270" s="280" t="str">
        <f aca="false">IF($A270="N/A"," ",IF('Pricing Inputs'!$AN$8=2,(K270-$H270),IF('Pricing Inputs'!$AN$3=2,IF((K270-$H270)&gt;0,K270-$H270,0),(xSPRDOPT(K270,$E270,$BU270,0,$BP270,$BS270,$BT270,($A270-Inputs!$D$1)+15,1,0)))))</f>
        <v> </v>
      </c>
      <c r="S270" s="280" t="str">
        <f aca="false">IF($A270="N/A"," ",IF('Pricing Inputs'!$AN$8=2,(L270-$H270),IF('Pricing Inputs'!$AN$3=2,IF((L270-$H270)&gt;0,L270-$H270,0),(xSPRDOPT(L270,$E270,$BU270,0,$BP270,$BS270,$BT270,($A270-Inputs!$D$1)+15,1,0)))))</f>
        <v> </v>
      </c>
      <c r="T270" s="280" t="str">
        <f aca="false">IF($A270="N/A"," ",IF('Pricing Inputs'!$AN$8=2,(M270-$H270),IF('Pricing Inputs'!$AN$3=2,IF((M270-$H270)&gt;0,M270-$H270,0),(xSPRDOPT(M270,$E270,$BU270,0,$BP270,$BS270,$BT270,($A270-Inputs!$D$1)+15,1,0)))))</f>
        <v> </v>
      </c>
      <c r="U270" s="280" t="str">
        <f aca="false">IF($A270="N/A"," ",IF('Pricing Inputs'!$AN$8=2,(N270-$H270),IF('Pricing Inputs'!$AN$3=2,IF((N270-$H270)&gt;0,N270-$H270,0),(xSPRDOPT(N270,$E270,$BU270,0,$BP270,$BS270,$BT270,($A270-Inputs!$D$1)+15,1,0)))))</f>
        <v> </v>
      </c>
      <c r="V270" s="281" t="str">
        <f aca="false">IF($A270="N/A"," ",(IF('Pricing Inputs'!$AN$8=2,(O270-$H270),IF((O270-$H270)&lt;=0,0,(O270-$H270)))))</f>
        <v> </v>
      </c>
      <c r="AK270" s="31"/>
      <c r="AL270" s="31"/>
      <c r="AM270" s="31"/>
      <c r="AN270" s="31"/>
      <c r="AO270" s="31"/>
      <c r="AP270" s="31"/>
      <c r="AQ270" s="31"/>
      <c r="AR270" s="31"/>
      <c r="BA270" s="291" t="str">
        <f aca="false">IF($A270="N/A"," ",(IF(MONTH(A270)&gt;=4,IF(MONTH(A270)&lt;=10,Inputs!$F$13,Inputs!$F$14),Inputs!$F$14))*$BW270)</f>
        <v> </v>
      </c>
      <c r="BN270" s="294" t="str">
        <f aca="false">IF(A270="N/A"," ",(VLOOKUP(A270,PowerVolTable,(IF('Pricing Inputs'!$AT$3=2,7,IF('Pricing Inputs'!$AT$3=1,6,8))),FALSE())))</f>
        <v> </v>
      </c>
      <c r="BO270" s="294" t="str">
        <f aca="false">IF(A270="N/A"," ",(VLOOKUP(A270,IntraPowerVol,(IF('Pricing Inputs'!$AT$3=2,3,IF('Pricing Inputs'!$AT$3=1,2,4))),FALSE())*VLOOKUP(MONTH($A270),Inputs!$A$28:$B$39,2)))</f>
        <v> </v>
      </c>
      <c r="BP270" s="295" t="str">
        <f aca="false">IF($A270="N/A"," ",(IF(DateToday&gt;$A270,$BO270,((($BN270^2)*((($A270-1)-DateToday)/((EOMONTH($A270,0)+1)-DateToday-15)))+((($BO270)^2)*((15)/((EOMONTH($A270,0)+1)-DateToday-15))))^0.5)))</f>
        <v> </v>
      </c>
      <c r="BQ270" s="294" t="str">
        <f aca="false">IF($A270="N/A"," ",(VLOOKUP($A270,GasVolTable,(IF('Pricing Inputs'!$AT$3=2,6,IF('Pricing Inputs'!$AT$3=1,7,5))),FALSE())))</f>
        <v> </v>
      </c>
      <c r="BR270" s="294" t="str">
        <f aca="false">IF($A270="N/A"," ",(VLOOKUP($A270,OmicronVol,(IF('Pricing Inputs'!$AT$3=2,3,IF('Pricing Inputs'!$AT$3=1,4,2))),FALSE())))</f>
        <v> </v>
      </c>
      <c r="BS270" s="295" t="str">
        <f aca="false">IF($A270="N/A"," ",IF('Pricing Inputs'!$AN$3=1,(IF(DateToday&gt;$A270,$BR270,((($BQ270^2)*((($A270-1)-DateToday)/((EOMONTH($A270,0)+1)-DateToday-15)))+((($BR270)^2)*((15)/((EOMONTH($A270,0)+1)-DateToday-15))))^0.5)),0.0001))</f>
        <v> </v>
      </c>
      <c r="BT270" s="294" t="str">
        <f aca="false">IF($A270="N/A"," ",IF('Pricing Inputs'!$AN$3=1,(VLOOKUP($A270,CorrelationTable,2,FALSE())),0))</f>
        <v> </v>
      </c>
      <c r="BU270" s="296" t="str">
        <f aca="false">IF($A270="N/A"," ",F270+G270+(D270*(VLOOKUP($A270,'Gas Curves'!$B$17:$P$310,14,FALSE()))))</f>
        <v> </v>
      </c>
      <c r="BV270" s="294" t="str">
        <f aca="false">IF($A270="N/A"," ",IF('Pricing Inputs'!$AW$3=1,0,(VLOOKUP($A270,InterestRatesTable,2))))</f>
        <v> </v>
      </c>
      <c r="BW270" s="297" t="str">
        <f aca="false">IF($A270="N/A"," ",(1+BV270/2)^(-2*((EOMONTH(A270,0)+20)-DateToday)/365.25))</f>
        <v> </v>
      </c>
    </row>
    <row r="271" customFormat="false" ht="12.75" hidden="false" customHeight="false" outlineLevel="0" collapsed="false">
      <c r="A271" s="272" t="str">
        <f aca="false">IF(A270="N/A","N/A",IF(EDATE(A270,1)&gt;Inputs!$K$3,"N/A",EDATE(A270,1)))</f>
        <v>N/A</v>
      </c>
      <c r="B271" s="273" t="str">
        <f aca="false">IF(A271="N/A"," ",YEAR(A271))</f>
        <v> </v>
      </c>
      <c r="C271" s="274" t="str">
        <f aca="false">IF(A271="N/A"," ",VLOOKUP(A271,ScaledPrice,10))</f>
        <v> </v>
      </c>
      <c r="D271" s="275" t="str">
        <f aca="false">IF(A271="N/A"," ",(VLOOKUP(MONTH($A271),Inputs!$A$14:$B$25,2))/1000)</f>
        <v> </v>
      </c>
      <c r="E271" s="276" t="str">
        <f aca="false">IF($A271="N/A"," ",C271*D271)</f>
        <v> </v>
      </c>
      <c r="F271" s="277" t="str">
        <f aca="false">IF(A271="N/A"," ",Inputs!$F$6)</f>
        <v> </v>
      </c>
      <c r="G271" s="277" t="str">
        <f aca="false">IF(A271="N/A"," ",Inputs!$F$9/IF(AND('Pricing Inputs'!$AQ$3&gt;=4,'Pricing Inputs'!$AQ$3&lt;=6),16,IF(AND('Pricing Inputs'!$AQ$3&gt;=7,'Pricing Inputs'!$AQ$3&lt;=9),8,24))/(BA271/BW271))</f>
        <v> </v>
      </c>
      <c r="H271" s="278" t="str">
        <f aca="false">IF(A271="N/A"," ",(C271*D271)+F271+G271)</f>
        <v> </v>
      </c>
      <c r="I271" s="279" t="str">
        <f aca="false">VLOOKUP(A271,ScaledPrice,(IF(AND('Pricing Inputs'!$AQ$3&gt;=1,'Pricing Inputs'!$AQ$3&lt;=6),2,4)))</f>
        <v> </v>
      </c>
      <c r="J271" s="279" t="str">
        <f aca="false">IF(A271="N/A"," ",IF(AND('Pricing Inputs'!$AQ$3&gt;=1,'Pricing Inputs'!$AQ$3&lt;=6),I271,(VLOOKUP(A271,ScaledPrice,2))*(2-(VLOOKUP(A271,ScaledPrice,3)))))</f>
        <v> </v>
      </c>
      <c r="K271" s="279" t="str">
        <f aca="false">IF(A271="N/A"," ",IF(OR('Pricing Inputs'!$AQ$3=2,'Pricing Inputs'!$AQ$3=3,'Pricing Inputs'!$AQ$3=5,'Pricing Inputs'!$AQ$3=6,'Pricing Inputs'!$AQ$3=8,'Pricing Inputs'!$AQ$3=9),VLOOKUP(A271,ScaledPrice,IF(AND('Pricing Inputs'!$AQ$3&gt;=2,'Pricing Inputs'!$AQ$3&lt;=6),5,6)),0))</f>
        <v> </v>
      </c>
      <c r="L271" s="279" t="str">
        <f aca="false">IF(A271="N/A"," ",IF(OR('Pricing Inputs'!$AQ$3=2,'Pricing Inputs'!$AQ$3=3,'Pricing Inputs'!$AQ$3=5,'Pricing Inputs'!$AQ$3=6,'Pricing Inputs'!$AQ$3=8,'Pricing Inputs'!$AQ$3=9),IF(AND('Pricing Inputs'!$AQ$3&gt;=2,'Pricing Inputs'!$AQ$3&lt;=6),K271,(VLOOKUP(A271,ScaledPrice,5))*(2-(VLOOKUP(A271,ScaledPrice,3)))),0))</f>
        <v> </v>
      </c>
      <c r="M271" s="279" t="str">
        <f aca="false">IF(A271="N/A"," ",IF(OR('Pricing Inputs'!$AQ$3=3,'Pricing Inputs'!$AQ$3=6,'Pricing Inputs'!$AQ$3=9),(VLOOKUP(A271,ScaledPrice,IF(AND('Pricing Inputs'!$AQ$3&gt;=3,'Pricing Inputs'!$AQ$3&lt;=6),7,8))),0))</f>
        <v> </v>
      </c>
      <c r="N271" s="279" t="str">
        <f aca="false">IF(A271="N/A"," ",IF(OR('Pricing Inputs'!$AQ$3=3,'Pricing Inputs'!$AQ$3=6,'Pricing Inputs'!$AQ$3=9),IF(AND('Pricing Inputs'!$AQ$3&gt;=3,'Pricing Inputs'!$AQ$3&lt;=6),M271,(VLOOKUP(A271,ScaledPrice,7))*(2-(VLOOKUP(A271,ScaledPrice,3)))),0))</f>
        <v> </v>
      </c>
      <c r="O271" s="279" t="str">
        <f aca="false">IF(A271="N/A"," ",IF(AND('Pricing Inputs'!$AQ$3&gt;=1,'Pricing Inputs'!$AQ$3&lt;=3),VLOOKUP(A271,ScaledPrice,9),0))</f>
        <v> </v>
      </c>
      <c r="P271" s="280" t="str">
        <f aca="false">IF($A271="N/A"," ",IF('Pricing Inputs'!$AN$8=2,(I271-H271),IF('Pricing Inputs'!$AN$3=2,IF((I271-$H271)&gt;0,I271-$H271,0),(xSPRDOPT(I271,$E271,$BU271,0,$BP271,$BS271,$BT271,($A271-Inputs!$D$1)+15,1,0)))))</f>
        <v> </v>
      </c>
      <c r="Q271" s="280" t="str">
        <f aca="false">IF($A271="N/A"," ",IF('Pricing Inputs'!$AN$8=2,(J271-$H271),IF('Pricing Inputs'!$AN$3=2,IF((J271-$H271)&gt;0,J271-$H271,0),(xSPRDOPT(J271,$E271,$BU271,0,$BP271,$BS271,$BT271,($A271-Inputs!$D$1)+15,1,0)))))</f>
        <v> </v>
      </c>
      <c r="R271" s="280" t="str">
        <f aca="false">IF($A271="N/A"," ",IF('Pricing Inputs'!$AN$8=2,(K271-$H271),IF('Pricing Inputs'!$AN$3=2,IF((K271-$H271)&gt;0,K271-$H271,0),(xSPRDOPT(K271,$E271,$BU271,0,$BP271,$BS271,$BT271,($A271-Inputs!$D$1)+15,1,0)))))</f>
        <v> </v>
      </c>
      <c r="S271" s="280" t="str">
        <f aca="false">IF($A271="N/A"," ",IF('Pricing Inputs'!$AN$8=2,(L271-$H271),IF('Pricing Inputs'!$AN$3=2,IF((L271-$H271)&gt;0,L271-$H271,0),(xSPRDOPT(L271,$E271,$BU271,0,$BP271,$BS271,$BT271,($A271-Inputs!$D$1)+15,1,0)))))</f>
        <v> </v>
      </c>
      <c r="T271" s="280" t="str">
        <f aca="false">IF($A271="N/A"," ",IF('Pricing Inputs'!$AN$8=2,(M271-$H271),IF('Pricing Inputs'!$AN$3=2,IF((M271-$H271)&gt;0,M271-$H271,0),(xSPRDOPT(M271,$E271,$BU271,0,$BP271,$BS271,$BT271,($A271-Inputs!$D$1)+15,1,0)))))</f>
        <v> </v>
      </c>
      <c r="U271" s="280" t="str">
        <f aca="false">IF($A271="N/A"," ",IF('Pricing Inputs'!$AN$8=2,(N271-$H271),IF('Pricing Inputs'!$AN$3=2,IF((N271-$H271)&gt;0,N271-$H271,0),(xSPRDOPT(N271,$E271,$BU271,0,$BP271,$BS271,$BT271,($A271-Inputs!$D$1)+15,1,0)))))</f>
        <v> </v>
      </c>
      <c r="V271" s="281" t="str">
        <f aca="false">IF($A271="N/A"," ",(IF('Pricing Inputs'!$AN$8=2,(O271-$H271),IF((O271-$H271)&lt;=0,0,(O271-$H271)))))</f>
        <v> </v>
      </c>
      <c r="AK271" s="31"/>
      <c r="AL271" s="31"/>
      <c r="AM271" s="31"/>
      <c r="AN271" s="31"/>
      <c r="AO271" s="31"/>
      <c r="AP271" s="31"/>
      <c r="AQ271" s="31"/>
      <c r="AR271" s="31"/>
      <c r="BA271" s="291" t="str">
        <f aca="false">IF($A271="N/A"," ",(IF(MONTH(A271)&gt;=4,IF(MONTH(A271)&lt;=10,Inputs!$F$13,Inputs!$F$14),Inputs!$F$14))*$BW271)</f>
        <v> </v>
      </c>
      <c r="BN271" s="294" t="str">
        <f aca="false">IF(A271="N/A"," ",(VLOOKUP(A271,PowerVolTable,(IF('Pricing Inputs'!$AT$3=2,7,IF('Pricing Inputs'!$AT$3=1,6,8))),FALSE())))</f>
        <v> </v>
      </c>
      <c r="BO271" s="294" t="str">
        <f aca="false">IF(A271="N/A"," ",(VLOOKUP(A271,IntraPowerVol,(IF('Pricing Inputs'!$AT$3=2,3,IF('Pricing Inputs'!$AT$3=1,2,4))),FALSE())*VLOOKUP(MONTH($A271),Inputs!$A$28:$B$39,2)))</f>
        <v> </v>
      </c>
      <c r="BP271" s="295" t="str">
        <f aca="false">IF($A271="N/A"," ",(IF(DateToday&gt;$A271,$BO271,((($BN271^2)*((($A271-1)-DateToday)/((EOMONTH($A271,0)+1)-DateToday-15)))+((($BO271)^2)*((15)/((EOMONTH($A271,0)+1)-DateToday-15))))^0.5)))</f>
        <v> </v>
      </c>
      <c r="BQ271" s="294" t="str">
        <f aca="false">IF($A271="N/A"," ",(VLOOKUP($A271,GasVolTable,(IF('Pricing Inputs'!$AT$3=2,6,IF('Pricing Inputs'!$AT$3=1,7,5))),FALSE())))</f>
        <v> </v>
      </c>
      <c r="BR271" s="294" t="str">
        <f aca="false">IF($A271="N/A"," ",(VLOOKUP($A271,OmicronVol,(IF('Pricing Inputs'!$AT$3=2,3,IF('Pricing Inputs'!$AT$3=1,4,2))),FALSE())))</f>
        <v> </v>
      </c>
      <c r="BS271" s="295" t="str">
        <f aca="false">IF($A271="N/A"," ",IF('Pricing Inputs'!$AN$3=1,(IF(DateToday&gt;$A271,$BR271,((($BQ271^2)*((($A271-1)-DateToday)/((EOMONTH($A271,0)+1)-DateToday-15)))+((($BR271)^2)*((15)/((EOMONTH($A271,0)+1)-DateToday-15))))^0.5)),0.0001))</f>
        <v> </v>
      </c>
      <c r="BT271" s="294" t="str">
        <f aca="false">IF($A271="N/A"," ",IF('Pricing Inputs'!$AN$3=1,(VLOOKUP($A271,CorrelationTable,2,FALSE())),0))</f>
        <v> </v>
      </c>
      <c r="BU271" s="296" t="str">
        <f aca="false">IF($A271="N/A"," ",F271+G271+(D271*(VLOOKUP($A271,'Gas Curves'!$B$17:$P$310,14,FALSE()))))</f>
        <v> </v>
      </c>
      <c r="BV271" s="294" t="str">
        <f aca="false">IF($A271="N/A"," ",IF('Pricing Inputs'!$AW$3=1,0,(VLOOKUP($A271,InterestRatesTable,2))))</f>
        <v> </v>
      </c>
      <c r="BW271" s="297" t="str">
        <f aca="false">IF($A271="N/A"," ",(1+BV271/2)^(-2*((EOMONTH(A271,0)+20)-DateToday)/365.25))</f>
        <v> </v>
      </c>
    </row>
    <row r="272" customFormat="false" ht="12.75" hidden="false" customHeight="false" outlineLevel="0" collapsed="false">
      <c r="A272" s="272" t="str">
        <f aca="false">IF(A271="N/A","N/A",IF(EDATE(A271,1)&gt;Inputs!$K$3,"N/A",EDATE(A271,1)))</f>
        <v>N/A</v>
      </c>
      <c r="B272" s="273" t="str">
        <f aca="false">IF(A272="N/A"," ",YEAR(A272))</f>
        <v> </v>
      </c>
      <c r="C272" s="274" t="str">
        <f aca="false">IF(A272="N/A"," ",VLOOKUP(A272,ScaledPrice,10))</f>
        <v> </v>
      </c>
      <c r="D272" s="275" t="str">
        <f aca="false">IF(A272="N/A"," ",(VLOOKUP(MONTH($A272),Inputs!$A$14:$B$25,2))/1000)</f>
        <v> </v>
      </c>
      <c r="E272" s="276" t="str">
        <f aca="false">IF($A272="N/A"," ",C272*D272)</f>
        <v> </v>
      </c>
      <c r="F272" s="277" t="str">
        <f aca="false">IF(A272="N/A"," ",Inputs!$F$6)</f>
        <v> </v>
      </c>
      <c r="G272" s="277" t="str">
        <f aca="false">IF(A272="N/A"," ",Inputs!$F$9/IF(AND('Pricing Inputs'!$AQ$3&gt;=4,'Pricing Inputs'!$AQ$3&lt;=6),16,IF(AND('Pricing Inputs'!$AQ$3&gt;=7,'Pricing Inputs'!$AQ$3&lt;=9),8,24))/(BA272/BW272))</f>
        <v> </v>
      </c>
      <c r="H272" s="278" t="str">
        <f aca="false">IF(A272="N/A"," ",(C272*D272)+F272+G272)</f>
        <v> </v>
      </c>
      <c r="I272" s="279" t="str">
        <f aca="false">VLOOKUP(A272,ScaledPrice,(IF(AND('Pricing Inputs'!$AQ$3&gt;=1,'Pricing Inputs'!$AQ$3&lt;=6),2,4)))</f>
        <v> </v>
      </c>
      <c r="J272" s="279" t="str">
        <f aca="false">IF(A272="N/A"," ",IF(AND('Pricing Inputs'!$AQ$3&gt;=1,'Pricing Inputs'!$AQ$3&lt;=6),I272,(VLOOKUP(A272,ScaledPrice,2))*(2-(VLOOKUP(A272,ScaledPrice,3)))))</f>
        <v> </v>
      </c>
      <c r="K272" s="279" t="str">
        <f aca="false">IF(A272="N/A"," ",IF(OR('Pricing Inputs'!$AQ$3=2,'Pricing Inputs'!$AQ$3=3,'Pricing Inputs'!$AQ$3=5,'Pricing Inputs'!$AQ$3=6,'Pricing Inputs'!$AQ$3=8,'Pricing Inputs'!$AQ$3=9),VLOOKUP(A272,ScaledPrice,IF(AND('Pricing Inputs'!$AQ$3&gt;=2,'Pricing Inputs'!$AQ$3&lt;=6),5,6)),0))</f>
        <v> </v>
      </c>
      <c r="L272" s="279" t="str">
        <f aca="false">IF(A272="N/A"," ",IF(OR('Pricing Inputs'!$AQ$3=2,'Pricing Inputs'!$AQ$3=3,'Pricing Inputs'!$AQ$3=5,'Pricing Inputs'!$AQ$3=6,'Pricing Inputs'!$AQ$3=8,'Pricing Inputs'!$AQ$3=9),IF(AND('Pricing Inputs'!$AQ$3&gt;=2,'Pricing Inputs'!$AQ$3&lt;=6),K272,(VLOOKUP(A272,ScaledPrice,5))*(2-(VLOOKUP(A272,ScaledPrice,3)))),0))</f>
        <v> </v>
      </c>
      <c r="M272" s="279" t="str">
        <f aca="false">IF(A272="N/A"," ",IF(OR('Pricing Inputs'!$AQ$3=3,'Pricing Inputs'!$AQ$3=6,'Pricing Inputs'!$AQ$3=9),(VLOOKUP(A272,ScaledPrice,IF(AND('Pricing Inputs'!$AQ$3&gt;=3,'Pricing Inputs'!$AQ$3&lt;=6),7,8))),0))</f>
        <v> </v>
      </c>
      <c r="N272" s="279" t="str">
        <f aca="false">IF(A272="N/A"," ",IF(OR('Pricing Inputs'!$AQ$3=3,'Pricing Inputs'!$AQ$3=6,'Pricing Inputs'!$AQ$3=9),IF(AND('Pricing Inputs'!$AQ$3&gt;=3,'Pricing Inputs'!$AQ$3&lt;=6),M272,(VLOOKUP(A272,ScaledPrice,7))*(2-(VLOOKUP(A272,ScaledPrice,3)))),0))</f>
        <v> </v>
      </c>
      <c r="O272" s="279" t="str">
        <f aca="false">IF(A272="N/A"," ",IF(AND('Pricing Inputs'!$AQ$3&gt;=1,'Pricing Inputs'!$AQ$3&lt;=3),VLOOKUP(A272,ScaledPrice,9),0))</f>
        <v> </v>
      </c>
      <c r="P272" s="280" t="str">
        <f aca="false">IF($A272="N/A"," ",IF('Pricing Inputs'!$AN$8=2,(I272-H272),IF('Pricing Inputs'!$AN$3=2,IF((I272-$H272)&gt;0,I272-$H272,0),(xSPRDOPT(I272,$E272,$BU272,0,$BP272,$BS272,$BT272,($A272-Inputs!$D$1)+15,1,0)))))</f>
        <v> </v>
      </c>
      <c r="Q272" s="280" t="str">
        <f aca="false">IF($A272="N/A"," ",IF('Pricing Inputs'!$AN$8=2,(J272-$H272),IF('Pricing Inputs'!$AN$3=2,IF((J272-$H272)&gt;0,J272-$H272,0),(xSPRDOPT(J272,$E272,$BU272,0,$BP272,$BS272,$BT272,($A272-Inputs!$D$1)+15,1,0)))))</f>
        <v> </v>
      </c>
      <c r="R272" s="280" t="str">
        <f aca="false">IF($A272="N/A"," ",IF('Pricing Inputs'!$AN$8=2,(K272-$H272),IF('Pricing Inputs'!$AN$3=2,IF((K272-$H272)&gt;0,K272-$H272,0),(xSPRDOPT(K272,$E272,$BU272,0,$BP272,$BS272,$BT272,($A272-Inputs!$D$1)+15,1,0)))))</f>
        <v> </v>
      </c>
      <c r="S272" s="280" t="str">
        <f aca="false">IF($A272="N/A"," ",IF('Pricing Inputs'!$AN$8=2,(L272-$H272),IF('Pricing Inputs'!$AN$3=2,IF((L272-$H272)&gt;0,L272-$H272,0),(xSPRDOPT(L272,$E272,$BU272,0,$BP272,$BS272,$BT272,($A272-Inputs!$D$1)+15,1,0)))))</f>
        <v> </v>
      </c>
      <c r="T272" s="280" t="str">
        <f aca="false">IF($A272="N/A"," ",IF('Pricing Inputs'!$AN$8=2,(M272-$H272),IF('Pricing Inputs'!$AN$3=2,IF((M272-$H272)&gt;0,M272-$H272,0),(xSPRDOPT(M272,$E272,$BU272,0,$BP272,$BS272,$BT272,($A272-Inputs!$D$1)+15,1,0)))))</f>
        <v> </v>
      </c>
      <c r="U272" s="280" t="str">
        <f aca="false">IF($A272="N/A"," ",IF('Pricing Inputs'!$AN$8=2,(N272-$H272),IF('Pricing Inputs'!$AN$3=2,IF((N272-$H272)&gt;0,N272-$H272,0),(xSPRDOPT(N272,$E272,$BU272,0,$BP272,$BS272,$BT272,($A272-Inputs!$D$1)+15,1,0)))))</f>
        <v> </v>
      </c>
      <c r="V272" s="281" t="str">
        <f aca="false">IF($A272="N/A"," ",(IF('Pricing Inputs'!$AN$8=2,(O272-$H272),IF((O272-$H272)&lt;=0,0,(O272-$H272)))))</f>
        <v> </v>
      </c>
      <c r="AK272" s="31"/>
      <c r="AL272" s="31"/>
      <c r="AM272" s="31"/>
      <c r="AN272" s="31"/>
      <c r="AO272" s="31"/>
      <c r="AP272" s="31"/>
      <c r="AQ272" s="31"/>
      <c r="AR272" s="31"/>
      <c r="BA272" s="291" t="str">
        <f aca="false">IF($A272="N/A"," ",(IF(MONTH(A272)&gt;=4,IF(MONTH(A272)&lt;=10,Inputs!$F$13,Inputs!$F$14),Inputs!$F$14))*$BW272)</f>
        <v> </v>
      </c>
      <c r="BN272" s="294" t="str">
        <f aca="false">IF(A272="N/A"," ",(VLOOKUP(A272,PowerVolTable,(IF('Pricing Inputs'!$AT$3=2,7,IF('Pricing Inputs'!$AT$3=1,6,8))),FALSE())))</f>
        <v> </v>
      </c>
      <c r="BO272" s="294" t="str">
        <f aca="false">IF(A272="N/A"," ",(VLOOKUP(A272,IntraPowerVol,(IF('Pricing Inputs'!$AT$3=2,3,IF('Pricing Inputs'!$AT$3=1,2,4))),FALSE())*VLOOKUP(MONTH($A272),Inputs!$A$28:$B$39,2)))</f>
        <v> </v>
      </c>
      <c r="BP272" s="295" t="str">
        <f aca="false">IF($A272="N/A"," ",(IF(DateToday&gt;$A272,$BO272,((($BN272^2)*((($A272-1)-DateToday)/((EOMONTH($A272,0)+1)-DateToday-15)))+((($BO272)^2)*((15)/((EOMONTH($A272,0)+1)-DateToday-15))))^0.5)))</f>
        <v> </v>
      </c>
      <c r="BQ272" s="294" t="str">
        <f aca="false">IF($A272="N/A"," ",(VLOOKUP($A272,GasVolTable,(IF('Pricing Inputs'!$AT$3=2,6,IF('Pricing Inputs'!$AT$3=1,7,5))),FALSE())))</f>
        <v> </v>
      </c>
      <c r="BR272" s="294" t="str">
        <f aca="false">IF($A272="N/A"," ",(VLOOKUP($A272,OmicronVol,(IF('Pricing Inputs'!$AT$3=2,3,IF('Pricing Inputs'!$AT$3=1,4,2))),FALSE())))</f>
        <v> </v>
      </c>
      <c r="BS272" s="295" t="str">
        <f aca="false">IF($A272="N/A"," ",IF('Pricing Inputs'!$AN$3=1,(IF(DateToday&gt;$A272,$BR272,((($BQ272^2)*((($A272-1)-DateToday)/((EOMONTH($A272,0)+1)-DateToday-15)))+((($BR272)^2)*((15)/((EOMONTH($A272,0)+1)-DateToday-15))))^0.5)),0.0001))</f>
        <v> </v>
      </c>
      <c r="BT272" s="294" t="str">
        <f aca="false">IF($A272="N/A"," ",IF('Pricing Inputs'!$AN$3=1,(VLOOKUP($A272,CorrelationTable,2,FALSE())),0))</f>
        <v> </v>
      </c>
      <c r="BU272" s="296" t="str">
        <f aca="false">IF($A272="N/A"," ",F272+G272+(D272*(VLOOKUP($A272,'Gas Curves'!$B$17:$P$310,14,FALSE()))))</f>
        <v> </v>
      </c>
      <c r="BV272" s="294" t="str">
        <f aca="false">IF($A272="N/A"," ",IF('Pricing Inputs'!$AW$3=1,0,(VLOOKUP($A272,InterestRatesTable,2))))</f>
        <v> </v>
      </c>
      <c r="BW272" s="297" t="str">
        <f aca="false">IF($A272="N/A"," ",(1+BV272/2)^(-2*((EOMONTH(A272,0)+20)-DateToday)/365.25))</f>
        <v> </v>
      </c>
    </row>
    <row r="273" customFormat="false" ht="12.75" hidden="false" customHeight="false" outlineLevel="0" collapsed="false">
      <c r="A273" s="272" t="str">
        <f aca="false">IF(A272="N/A","N/A",IF(EDATE(A272,1)&gt;Inputs!$K$3,"N/A",EDATE(A272,1)))</f>
        <v>N/A</v>
      </c>
      <c r="B273" s="273" t="str">
        <f aca="false">IF(A273="N/A"," ",YEAR(A273))</f>
        <v> </v>
      </c>
      <c r="C273" s="274" t="str">
        <f aca="false">IF(A273="N/A"," ",VLOOKUP(A273,ScaledPrice,10))</f>
        <v> </v>
      </c>
      <c r="D273" s="275" t="str">
        <f aca="false">IF(A273="N/A"," ",(VLOOKUP(MONTH($A273),Inputs!$A$14:$B$25,2))/1000)</f>
        <v> </v>
      </c>
      <c r="E273" s="276" t="str">
        <f aca="false">IF($A273="N/A"," ",C273*D273)</f>
        <v> </v>
      </c>
      <c r="F273" s="277" t="str">
        <f aca="false">IF(A273="N/A"," ",Inputs!$F$6)</f>
        <v> </v>
      </c>
      <c r="G273" s="277" t="str">
        <f aca="false">IF(A273="N/A"," ",Inputs!$F$9/IF(AND('Pricing Inputs'!$AQ$3&gt;=4,'Pricing Inputs'!$AQ$3&lt;=6),16,IF(AND('Pricing Inputs'!$AQ$3&gt;=7,'Pricing Inputs'!$AQ$3&lt;=9),8,24))/(BA273/BW273))</f>
        <v> </v>
      </c>
      <c r="H273" s="278" t="str">
        <f aca="false">IF(A273="N/A"," ",(C273*D273)+F273+G273)</f>
        <v> </v>
      </c>
      <c r="I273" s="279" t="str">
        <f aca="false">VLOOKUP(A273,ScaledPrice,(IF(AND('Pricing Inputs'!$AQ$3&gt;=1,'Pricing Inputs'!$AQ$3&lt;=6),2,4)))</f>
        <v> </v>
      </c>
      <c r="J273" s="279" t="str">
        <f aca="false">IF(A273="N/A"," ",IF(AND('Pricing Inputs'!$AQ$3&gt;=1,'Pricing Inputs'!$AQ$3&lt;=6),I273,(VLOOKUP(A273,ScaledPrice,2))*(2-(VLOOKUP(A273,ScaledPrice,3)))))</f>
        <v> </v>
      </c>
      <c r="K273" s="279" t="str">
        <f aca="false">IF(A273="N/A"," ",IF(OR('Pricing Inputs'!$AQ$3=2,'Pricing Inputs'!$AQ$3=3,'Pricing Inputs'!$AQ$3=5,'Pricing Inputs'!$AQ$3=6,'Pricing Inputs'!$AQ$3=8,'Pricing Inputs'!$AQ$3=9),VLOOKUP(A273,ScaledPrice,IF(AND('Pricing Inputs'!$AQ$3&gt;=2,'Pricing Inputs'!$AQ$3&lt;=6),5,6)),0))</f>
        <v> </v>
      </c>
      <c r="L273" s="279" t="str">
        <f aca="false">IF(A273="N/A"," ",IF(OR('Pricing Inputs'!$AQ$3=2,'Pricing Inputs'!$AQ$3=3,'Pricing Inputs'!$AQ$3=5,'Pricing Inputs'!$AQ$3=6,'Pricing Inputs'!$AQ$3=8,'Pricing Inputs'!$AQ$3=9),IF(AND('Pricing Inputs'!$AQ$3&gt;=2,'Pricing Inputs'!$AQ$3&lt;=6),K273,(VLOOKUP(A273,ScaledPrice,5))*(2-(VLOOKUP(A273,ScaledPrice,3)))),0))</f>
        <v> </v>
      </c>
      <c r="M273" s="279" t="str">
        <f aca="false">IF(A273="N/A"," ",IF(OR('Pricing Inputs'!$AQ$3=3,'Pricing Inputs'!$AQ$3=6,'Pricing Inputs'!$AQ$3=9),(VLOOKUP(A273,ScaledPrice,IF(AND('Pricing Inputs'!$AQ$3&gt;=3,'Pricing Inputs'!$AQ$3&lt;=6),7,8))),0))</f>
        <v> </v>
      </c>
      <c r="N273" s="279" t="str">
        <f aca="false">IF(A273="N/A"," ",IF(OR('Pricing Inputs'!$AQ$3=3,'Pricing Inputs'!$AQ$3=6,'Pricing Inputs'!$AQ$3=9),IF(AND('Pricing Inputs'!$AQ$3&gt;=3,'Pricing Inputs'!$AQ$3&lt;=6),M273,(VLOOKUP(A273,ScaledPrice,7))*(2-(VLOOKUP(A273,ScaledPrice,3)))),0))</f>
        <v> </v>
      </c>
      <c r="O273" s="279" t="str">
        <f aca="false">IF(A273="N/A"," ",IF(AND('Pricing Inputs'!$AQ$3&gt;=1,'Pricing Inputs'!$AQ$3&lt;=3),VLOOKUP(A273,ScaledPrice,9),0))</f>
        <v> </v>
      </c>
      <c r="P273" s="280" t="str">
        <f aca="false">IF($A273="N/A"," ",IF('Pricing Inputs'!$AN$8=2,(I273-H273),IF('Pricing Inputs'!$AN$3=2,IF((I273-$H273)&gt;0,I273-$H273,0),(xSPRDOPT(I273,$E273,$BU273,0,$BP273,$BS273,$BT273,($A273-Inputs!$D$1)+15,1,0)))))</f>
        <v> </v>
      </c>
      <c r="Q273" s="280" t="str">
        <f aca="false">IF($A273="N/A"," ",IF('Pricing Inputs'!$AN$8=2,(J273-$H273),IF('Pricing Inputs'!$AN$3=2,IF((J273-$H273)&gt;0,J273-$H273,0),(xSPRDOPT(J273,$E273,$BU273,0,$BP273,$BS273,$BT273,($A273-Inputs!$D$1)+15,1,0)))))</f>
        <v> </v>
      </c>
      <c r="R273" s="280" t="str">
        <f aca="false">IF($A273="N/A"," ",IF('Pricing Inputs'!$AN$8=2,(K273-$H273),IF('Pricing Inputs'!$AN$3=2,IF((K273-$H273)&gt;0,K273-$H273,0),(xSPRDOPT(K273,$E273,$BU273,0,$BP273,$BS273,$BT273,($A273-Inputs!$D$1)+15,1,0)))))</f>
        <v> </v>
      </c>
      <c r="S273" s="280" t="str">
        <f aca="false">IF($A273="N/A"," ",IF('Pricing Inputs'!$AN$8=2,(L273-$H273),IF('Pricing Inputs'!$AN$3=2,IF((L273-$H273)&gt;0,L273-$H273,0),(xSPRDOPT(L273,$E273,$BU273,0,$BP273,$BS273,$BT273,($A273-Inputs!$D$1)+15,1,0)))))</f>
        <v> </v>
      </c>
      <c r="T273" s="280" t="str">
        <f aca="false">IF($A273="N/A"," ",IF('Pricing Inputs'!$AN$8=2,(M273-$H273),IF('Pricing Inputs'!$AN$3=2,IF((M273-$H273)&gt;0,M273-$H273,0),(xSPRDOPT(M273,$E273,$BU273,0,$BP273,$BS273,$BT273,($A273-Inputs!$D$1)+15,1,0)))))</f>
        <v> </v>
      </c>
      <c r="U273" s="280" t="str">
        <f aca="false">IF($A273="N/A"," ",IF('Pricing Inputs'!$AN$8=2,(N273-$H273),IF('Pricing Inputs'!$AN$3=2,IF((N273-$H273)&gt;0,N273-$H273,0),(xSPRDOPT(N273,$E273,$BU273,0,$BP273,$BS273,$BT273,($A273-Inputs!$D$1)+15,1,0)))))</f>
        <v> </v>
      </c>
      <c r="V273" s="281" t="str">
        <f aca="false">IF($A273="N/A"," ",(IF('Pricing Inputs'!$AN$8=2,(O273-$H273),IF((O273-$H273)&lt;=0,0,(O273-$H273)))))</f>
        <v> </v>
      </c>
      <c r="AK273" s="31"/>
      <c r="AL273" s="31"/>
      <c r="AM273" s="31"/>
      <c r="AN273" s="31"/>
      <c r="AO273" s="31"/>
      <c r="AP273" s="31"/>
      <c r="AQ273" s="31"/>
      <c r="AR273" s="31"/>
      <c r="BA273" s="291" t="str">
        <f aca="false">IF($A273="N/A"," ",(IF(MONTH(A273)&gt;=4,IF(MONTH(A273)&lt;=10,Inputs!$F$13,Inputs!$F$14),Inputs!$F$14))*$BW273)</f>
        <v> </v>
      </c>
      <c r="BN273" s="294" t="str">
        <f aca="false">IF(A273="N/A"," ",(VLOOKUP(A273,PowerVolTable,(IF('Pricing Inputs'!$AT$3=2,7,IF('Pricing Inputs'!$AT$3=1,6,8))),FALSE())))</f>
        <v> </v>
      </c>
      <c r="BO273" s="294" t="str">
        <f aca="false">IF(A273="N/A"," ",(VLOOKUP(A273,IntraPowerVol,(IF('Pricing Inputs'!$AT$3=2,3,IF('Pricing Inputs'!$AT$3=1,2,4))),FALSE())*VLOOKUP(MONTH($A273),Inputs!$A$28:$B$39,2)))</f>
        <v> </v>
      </c>
      <c r="BP273" s="295" t="str">
        <f aca="false">IF($A273="N/A"," ",(IF(DateToday&gt;$A273,$BO273,((($BN273^2)*((($A273-1)-DateToday)/((EOMONTH($A273,0)+1)-DateToday-15)))+((($BO273)^2)*((15)/((EOMONTH($A273,0)+1)-DateToday-15))))^0.5)))</f>
        <v> </v>
      </c>
      <c r="BQ273" s="294" t="str">
        <f aca="false">IF($A273="N/A"," ",(VLOOKUP($A273,GasVolTable,(IF('Pricing Inputs'!$AT$3=2,6,IF('Pricing Inputs'!$AT$3=1,7,5))),FALSE())))</f>
        <v> </v>
      </c>
      <c r="BR273" s="294" t="str">
        <f aca="false">IF($A273="N/A"," ",(VLOOKUP($A273,OmicronVol,(IF('Pricing Inputs'!$AT$3=2,3,IF('Pricing Inputs'!$AT$3=1,4,2))),FALSE())))</f>
        <v> </v>
      </c>
      <c r="BS273" s="295" t="str">
        <f aca="false">IF($A273="N/A"," ",IF('Pricing Inputs'!$AN$3=1,(IF(DateToday&gt;$A273,$BR273,((($BQ273^2)*((($A273-1)-DateToday)/((EOMONTH($A273,0)+1)-DateToday-15)))+((($BR273)^2)*((15)/((EOMONTH($A273,0)+1)-DateToday-15))))^0.5)),0.0001))</f>
        <v> </v>
      </c>
      <c r="BT273" s="294" t="str">
        <f aca="false">IF($A273="N/A"," ",IF('Pricing Inputs'!$AN$3=1,(VLOOKUP($A273,CorrelationTable,2,FALSE())),0))</f>
        <v> </v>
      </c>
      <c r="BU273" s="296" t="str">
        <f aca="false">IF($A273="N/A"," ",F273+G273+(D273*(VLOOKUP($A273,'Gas Curves'!$B$17:$P$310,14,FALSE()))))</f>
        <v> </v>
      </c>
      <c r="BV273" s="294" t="str">
        <f aca="false">IF($A273="N/A"," ",IF('Pricing Inputs'!$AW$3=1,0,(VLOOKUP($A273,InterestRatesTable,2))))</f>
        <v> </v>
      </c>
      <c r="BW273" s="297" t="str">
        <f aca="false">IF($A273="N/A"," ",(1+BV273/2)^(-2*((EOMONTH(A273,0)+20)-DateToday)/365.25))</f>
        <v> </v>
      </c>
    </row>
    <row r="274" customFormat="false" ht="12.75" hidden="false" customHeight="false" outlineLevel="0" collapsed="false">
      <c r="A274" s="272" t="str">
        <f aca="false">IF(A273="N/A","N/A",IF(EDATE(A273,1)&gt;Inputs!$K$3,"N/A",EDATE(A273,1)))</f>
        <v>N/A</v>
      </c>
      <c r="B274" s="273" t="str">
        <f aca="false">IF(A274="N/A"," ",YEAR(A274))</f>
        <v> </v>
      </c>
      <c r="C274" s="274" t="str">
        <f aca="false">IF(A274="N/A"," ",VLOOKUP(A274,ScaledPrice,10))</f>
        <v> </v>
      </c>
      <c r="D274" s="275" t="str">
        <f aca="false">IF(A274="N/A"," ",(VLOOKUP(MONTH($A274),Inputs!$A$14:$B$25,2))/1000)</f>
        <v> </v>
      </c>
      <c r="E274" s="276" t="str">
        <f aca="false">IF($A274="N/A"," ",C274*D274)</f>
        <v> </v>
      </c>
      <c r="F274" s="277" t="str">
        <f aca="false">IF(A274="N/A"," ",Inputs!$F$6)</f>
        <v> </v>
      </c>
      <c r="G274" s="277" t="str">
        <f aca="false">IF(A274="N/A"," ",Inputs!$F$9/IF(AND('Pricing Inputs'!$AQ$3&gt;=4,'Pricing Inputs'!$AQ$3&lt;=6),16,IF(AND('Pricing Inputs'!$AQ$3&gt;=7,'Pricing Inputs'!$AQ$3&lt;=9),8,24))/(BA274/BW274))</f>
        <v> </v>
      </c>
      <c r="H274" s="278" t="str">
        <f aca="false">IF(A274="N/A"," ",(C274*D274)+F274+G274)</f>
        <v> </v>
      </c>
      <c r="I274" s="279" t="str">
        <f aca="false">VLOOKUP(A274,ScaledPrice,(IF(AND('Pricing Inputs'!$AQ$3&gt;=1,'Pricing Inputs'!$AQ$3&lt;=6),2,4)))</f>
        <v> </v>
      </c>
      <c r="J274" s="279" t="str">
        <f aca="false">IF(A274="N/A"," ",IF(AND('Pricing Inputs'!$AQ$3&gt;=1,'Pricing Inputs'!$AQ$3&lt;=6),I274,(VLOOKUP(A274,ScaledPrice,2))*(2-(VLOOKUP(A274,ScaledPrice,3)))))</f>
        <v> </v>
      </c>
      <c r="K274" s="279" t="str">
        <f aca="false">IF(A274="N/A"," ",IF(OR('Pricing Inputs'!$AQ$3=2,'Pricing Inputs'!$AQ$3=3,'Pricing Inputs'!$AQ$3=5,'Pricing Inputs'!$AQ$3=6,'Pricing Inputs'!$AQ$3=8,'Pricing Inputs'!$AQ$3=9),VLOOKUP(A274,ScaledPrice,IF(AND('Pricing Inputs'!$AQ$3&gt;=2,'Pricing Inputs'!$AQ$3&lt;=6),5,6)),0))</f>
        <v> </v>
      </c>
      <c r="L274" s="279" t="str">
        <f aca="false">IF(A274="N/A"," ",IF(OR('Pricing Inputs'!$AQ$3=2,'Pricing Inputs'!$AQ$3=3,'Pricing Inputs'!$AQ$3=5,'Pricing Inputs'!$AQ$3=6,'Pricing Inputs'!$AQ$3=8,'Pricing Inputs'!$AQ$3=9),IF(AND('Pricing Inputs'!$AQ$3&gt;=2,'Pricing Inputs'!$AQ$3&lt;=6),K274,(VLOOKUP(A274,ScaledPrice,5))*(2-(VLOOKUP(A274,ScaledPrice,3)))),0))</f>
        <v> </v>
      </c>
      <c r="M274" s="279" t="str">
        <f aca="false">IF(A274="N/A"," ",IF(OR('Pricing Inputs'!$AQ$3=3,'Pricing Inputs'!$AQ$3=6,'Pricing Inputs'!$AQ$3=9),(VLOOKUP(A274,ScaledPrice,IF(AND('Pricing Inputs'!$AQ$3&gt;=3,'Pricing Inputs'!$AQ$3&lt;=6),7,8))),0))</f>
        <v> </v>
      </c>
      <c r="N274" s="279" t="str">
        <f aca="false">IF(A274="N/A"," ",IF(OR('Pricing Inputs'!$AQ$3=3,'Pricing Inputs'!$AQ$3=6,'Pricing Inputs'!$AQ$3=9),IF(AND('Pricing Inputs'!$AQ$3&gt;=3,'Pricing Inputs'!$AQ$3&lt;=6),M274,(VLOOKUP(A274,ScaledPrice,7))*(2-(VLOOKUP(A274,ScaledPrice,3)))),0))</f>
        <v> </v>
      </c>
      <c r="O274" s="279" t="str">
        <f aca="false">IF(A274="N/A"," ",IF(AND('Pricing Inputs'!$AQ$3&gt;=1,'Pricing Inputs'!$AQ$3&lt;=3),VLOOKUP(A274,ScaledPrice,9),0))</f>
        <v> </v>
      </c>
      <c r="P274" s="280" t="str">
        <f aca="false">IF($A274="N/A"," ",IF('Pricing Inputs'!$AN$8=2,(I274-H274),IF('Pricing Inputs'!$AN$3=2,IF((I274-$H274)&gt;0,I274-$H274,0),(xSPRDOPT(I274,$E274,$BU274,0,$BP274,$BS274,$BT274,($A274-Inputs!$D$1)+15,1,0)))))</f>
        <v> </v>
      </c>
      <c r="Q274" s="280" t="str">
        <f aca="false">IF($A274="N/A"," ",IF('Pricing Inputs'!$AN$8=2,(J274-$H274),IF('Pricing Inputs'!$AN$3=2,IF((J274-$H274)&gt;0,J274-$H274,0),(xSPRDOPT(J274,$E274,$BU274,0,$BP274,$BS274,$BT274,($A274-Inputs!$D$1)+15,1,0)))))</f>
        <v> </v>
      </c>
      <c r="R274" s="280" t="str">
        <f aca="false">IF($A274="N/A"," ",IF('Pricing Inputs'!$AN$8=2,(K274-$H274),IF('Pricing Inputs'!$AN$3=2,IF((K274-$H274)&gt;0,K274-$H274,0),(xSPRDOPT(K274,$E274,$BU274,0,$BP274,$BS274,$BT274,($A274-Inputs!$D$1)+15,1,0)))))</f>
        <v> </v>
      </c>
      <c r="S274" s="280" t="str">
        <f aca="false">IF($A274="N/A"," ",IF('Pricing Inputs'!$AN$8=2,(L274-$H274),IF('Pricing Inputs'!$AN$3=2,IF((L274-$H274)&gt;0,L274-$H274,0),(xSPRDOPT(L274,$E274,$BU274,0,$BP274,$BS274,$BT274,($A274-Inputs!$D$1)+15,1,0)))))</f>
        <v> </v>
      </c>
      <c r="T274" s="280" t="str">
        <f aca="false">IF($A274="N/A"," ",IF('Pricing Inputs'!$AN$8=2,(M274-$H274),IF('Pricing Inputs'!$AN$3=2,IF((M274-$H274)&gt;0,M274-$H274,0),(xSPRDOPT(M274,$E274,$BU274,0,$BP274,$BS274,$BT274,($A274-Inputs!$D$1)+15,1,0)))))</f>
        <v> </v>
      </c>
      <c r="U274" s="280" t="str">
        <f aca="false">IF($A274="N/A"," ",IF('Pricing Inputs'!$AN$8=2,(N274-$H274),IF('Pricing Inputs'!$AN$3=2,IF((N274-$H274)&gt;0,N274-$H274,0),(xSPRDOPT(N274,$E274,$BU274,0,$BP274,$BS274,$BT274,($A274-Inputs!$D$1)+15,1,0)))))</f>
        <v> </v>
      </c>
      <c r="V274" s="281" t="str">
        <f aca="false">IF($A274="N/A"," ",(IF('Pricing Inputs'!$AN$8=2,(O274-$H274),IF((O274-$H274)&lt;=0,0,(O274-$H274)))))</f>
        <v> </v>
      </c>
      <c r="AK274" s="31"/>
      <c r="AL274" s="31"/>
      <c r="AM274" s="31"/>
      <c r="AN274" s="31"/>
      <c r="AO274" s="31"/>
      <c r="AP274" s="31"/>
      <c r="AQ274" s="31"/>
      <c r="AR274" s="31"/>
      <c r="BA274" s="291" t="str">
        <f aca="false">IF($A274="N/A"," ",(IF(MONTH(A274)&gt;=4,IF(MONTH(A274)&lt;=10,Inputs!$F$13,Inputs!$F$14),Inputs!$F$14))*$BW274)</f>
        <v> </v>
      </c>
      <c r="BN274" s="294" t="str">
        <f aca="false">IF(A274="N/A"," ",(VLOOKUP(A274,PowerVolTable,(IF('Pricing Inputs'!$AT$3=2,7,IF('Pricing Inputs'!$AT$3=1,6,8))),FALSE())))</f>
        <v> </v>
      </c>
      <c r="BO274" s="294" t="str">
        <f aca="false">IF(A274="N/A"," ",(VLOOKUP(A274,IntraPowerVol,(IF('Pricing Inputs'!$AT$3=2,3,IF('Pricing Inputs'!$AT$3=1,2,4))),FALSE())*VLOOKUP(MONTH($A274),Inputs!$A$28:$B$39,2)))</f>
        <v> </v>
      </c>
      <c r="BP274" s="295" t="str">
        <f aca="false">IF($A274="N/A"," ",(IF(DateToday&gt;$A274,$BO274,((($BN274^2)*((($A274-1)-DateToday)/((EOMONTH($A274,0)+1)-DateToday-15)))+((($BO274)^2)*((15)/((EOMONTH($A274,0)+1)-DateToday-15))))^0.5)))</f>
        <v> </v>
      </c>
      <c r="BQ274" s="294" t="str">
        <f aca="false">IF($A274="N/A"," ",(VLOOKUP($A274,GasVolTable,(IF('Pricing Inputs'!$AT$3=2,6,IF('Pricing Inputs'!$AT$3=1,7,5))),FALSE())))</f>
        <v> </v>
      </c>
      <c r="BR274" s="294" t="str">
        <f aca="false">IF($A274="N/A"," ",(VLOOKUP($A274,OmicronVol,(IF('Pricing Inputs'!$AT$3=2,3,IF('Pricing Inputs'!$AT$3=1,4,2))),FALSE())))</f>
        <v> </v>
      </c>
      <c r="BS274" s="295" t="str">
        <f aca="false">IF($A274="N/A"," ",IF('Pricing Inputs'!$AN$3=1,(IF(DateToday&gt;$A274,$BR274,((($BQ274^2)*((($A274-1)-DateToday)/((EOMONTH($A274,0)+1)-DateToday-15)))+((($BR274)^2)*((15)/((EOMONTH($A274,0)+1)-DateToday-15))))^0.5)),0.0001))</f>
        <v> </v>
      </c>
      <c r="BT274" s="294" t="str">
        <f aca="false">IF($A274="N/A"," ",IF('Pricing Inputs'!$AN$3=1,(VLOOKUP($A274,CorrelationTable,2,FALSE())),0))</f>
        <v> </v>
      </c>
      <c r="BU274" s="296" t="str">
        <f aca="false">IF($A274="N/A"," ",F274+G274+(D274*(VLOOKUP($A274,'Gas Curves'!$B$17:$P$310,14,FALSE()))))</f>
        <v> </v>
      </c>
      <c r="BV274" s="294" t="str">
        <f aca="false">IF($A274="N/A"," ",IF('Pricing Inputs'!$AW$3=1,0,(VLOOKUP($A274,InterestRatesTable,2))))</f>
        <v> </v>
      </c>
      <c r="BW274" s="297" t="str">
        <f aca="false">IF($A274="N/A"," ",(1+BV274/2)^(-2*((EOMONTH(A274,0)+20)-DateToday)/365.25))</f>
        <v> </v>
      </c>
    </row>
    <row r="275" customFormat="false" ht="12.75" hidden="false" customHeight="false" outlineLevel="0" collapsed="false">
      <c r="A275" s="272" t="str">
        <f aca="false">IF(A274="N/A","N/A",IF(EDATE(A274,1)&gt;Inputs!$K$3,"N/A",EDATE(A274,1)))</f>
        <v>N/A</v>
      </c>
      <c r="B275" s="273" t="str">
        <f aca="false">IF(A275="N/A"," ",YEAR(A275))</f>
        <v> </v>
      </c>
      <c r="C275" s="274" t="str">
        <f aca="false">IF(A275="N/A"," ",VLOOKUP(A275,ScaledPrice,10))</f>
        <v> </v>
      </c>
      <c r="D275" s="275" t="str">
        <f aca="false">IF(A275="N/A"," ",(VLOOKUP(MONTH($A275),Inputs!$A$14:$B$25,2))/1000)</f>
        <v> </v>
      </c>
      <c r="E275" s="276" t="str">
        <f aca="false">IF($A275="N/A"," ",C275*D275)</f>
        <v> </v>
      </c>
      <c r="F275" s="277" t="str">
        <f aca="false">IF(A275="N/A"," ",Inputs!$F$6)</f>
        <v> </v>
      </c>
      <c r="G275" s="277" t="str">
        <f aca="false">IF(A275="N/A"," ",Inputs!$F$9/IF(AND('Pricing Inputs'!$AQ$3&gt;=4,'Pricing Inputs'!$AQ$3&lt;=6),16,IF(AND('Pricing Inputs'!$AQ$3&gt;=7,'Pricing Inputs'!$AQ$3&lt;=9),8,24))/(BA275/BW275))</f>
        <v> </v>
      </c>
      <c r="H275" s="278" t="str">
        <f aca="false">IF(A275="N/A"," ",(C275*D275)+F275+G275)</f>
        <v> </v>
      </c>
      <c r="I275" s="279" t="str">
        <f aca="false">VLOOKUP(A275,ScaledPrice,(IF(AND('Pricing Inputs'!$AQ$3&gt;=1,'Pricing Inputs'!$AQ$3&lt;=6),2,4)))</f>
        <v> </v>
      </c>
      <c r="J275" s="279" t="str">
        <f aca="false">IF(A275="N/A"," ",IF(AND('Pricing Inputs'!$AQ$3&gt;=1,'Pricing Inputs'!$AQ$3&lt;=6),I275,(VLOOKUP(A275,ScaledPrice,2))*(2-(VLOOKUP(A275,ScaledPrice,3)))))</f>
        <v> </v>
      </c>
      <c r="K275" s="279" t="str">
        <f aca="false">IF(A275="N/A"," ",IF(OR('Pricing Inputs'!$AQ$3=2,'Pricing Inputs'!$AQ$3=3,'Pricing Inputs'!$AQ$3=5,'Pricing Inputs'!$AQ$3=6,'Pricing Inputs'!$AQ$3=8,'Pricing Inputs'!$AQ$3=9),VLOOKUP(A275,ScaledPrice,IF(AND('Pricing Inputs'!$AQ$3&gt;=2,'Pricing Inputs'!$AQ$3&lt;=6),5,6)),0))</f>
        <v> </v>
      </c>
      <c r="L275" s="279" t="str">
        <f aca="false">IF(A275="N/A"," ",IF(OR('Pricing Inputs'!$AQ$3=2,'Pricing Inputs'!$AQ$3=3,'Pricing Inputs'!$AQ$3=5,'Pricing Inputs'!$AQ$3=6,'Pricing Inputs'!$AQ$3=8,'Pricing Inputs'!$AQ$3=9),IF(AND('Pricing Inputs'!$AQ$3&gt;=2,'Pricing Inputs'!$AQ$3&lt;=6),K275,(VLOOKUP(A275,ScaledPrice,5))*(2-(VLOOKUP(A275,ScaledPrice,3)))),0))</f>
        <v> </v>
      </c>
      <c r="M275" s="279" t="str">
        <f aca="false">IF(A275="N/A"," ",IF(OR('Pricing Inputs'!$AQ$3=3,'Pricing Inputs'!$AQ$3=6,'Pricing Inputs'!$AQ$3=9),(VLOOKUP(A275,ScaledPrice,IF(AND('Pricing Inputs'!$AQ$3&gt;=3,'Pricing Inputs'!$AQ$3&lt;=6),7,8))),0))</f>
        <v> </v>
      </c>
      <c r="N275" s="279" t="str">
        <f aca="false">IF(A275="N/A"," ",IF(OR('Pricing Inputs'!$AQ$3=3,'Pricing Inputs'!$AQ$3=6,'Pricing Inputs'!$AQ$3=9),IF(AND('Pricing Inputs'!$AQ$3&gt;=3,'Pricing Inputs'!$AQ$3&lt;=6),M275,(VLOOKUP(A275,ScaledPrice,7))*(2-(VLOOKUP(A275,ScaledPrice,3)))),0))</f>
        <v> </v>
      </c>
      <c r="O275" s="279" t="str">
        <f aca="false">IF(A275="N/A"," ",IF(AND('Pricing Inputs'!$AQ$3&gt;=1,'Pricing Inputs'!$AQ$3&lt;=3),VLOOKUP(A275,ScaledPrice,9),0))</f>
        <v> </v>
      </c>
      <c r="P275" s="280" t="str">
        <f aca="false">IF($A275="N/A"," ",IF('Pricing Inputs'!$AN$8=2,(I275-H275),IF('Pricing Inputs'!$AN$3=2,IF((I275-$H275)&gt;0,I275-$H275,0),(xSPRDOPT(I275,$E275,$BU275,0,$BP275,$BS275,$BT275,($A275-Inputs!$D$1)+15,1,0)))))</f>
        <v> </v>
      </c>
      <c r="Q275" s="280" t="str">
        <f aca="false">IF($A275="N/A"," ",IF('Pricing Inputs'!$AN$8=2,(J275-$H275),IF('Pricing Inputs'!$AN$3=2,IF((J275-$H275)&gt;0,J275-$H275,0),(xSPRDOPT(J275,$E275,$BU275,0,$BP275,$BS275,$BT275,($A275-Inputs!$D$1)+15,1,0)))))</f>
        <v> </v>
      </c>
      <c r="R275" s="280" t="str">
        <f aca="false">IF($A275="N/A"," ",IF('Pricing Inputs'!$AN$8=2,(K275-$H275),IF('Pricing Inputs'!$AN$3=2,IF((K275-$H275)&gt;0,K275-$H275,0),(xSPRDOPT(K275,$E275,$BU275,0,$BP275,$BS275,$BT275,($A275-Inputs!$D$1)+15,1,0)))))</f>
        <v> </v>
      </c>
      <c r="S275" s="280" t="str">
        <f aca="false">IF($A275="N/A"," ",IF('Pricing Inputs'!$AN$8=2,(L275-$H275),IF('Pricing Inputs'!$AN$3=2,IF((L275-$H275)&gt;0,L275-$H275,0),(xSPRDOPT(L275,$E275,$BU275,0,$BP275,$BS275,$BT275,($A275-Inputs!$D$1)+15,1,0)))))</f>
        <v> </v>
      </c>
      <c r="T275" s="280" t="str">
        <f aca="false">IF($A275="N/A"," ",IF('Pricing Inputs'!$AN$8=2,(M275-$H275),IF('Pricing Inputs'!$AN$3=2,IF((M275-$H275)&gt;0,M275-$H275,0),(xSPRDOPT(M275,$E275,$BU275,0,$BP275,$BS275,$BT275,($A275-Inputs!$D$1)+15,1,0)))))</f>
        <v> </v>
      </c>
      <c r="U275" s="280" t="str">
        <f aca="false">IF($A275="N/A"," ",IF('Pricing Inputs'!$AN$8=2,(N275-$H275),IF('Pricing Inputs'!$AN$3=2,IF((N275-$H275)&gt;0,N275-$H275,0),(xSPRDOPT(N275,$E275,$BU275,0,$BP275,$BS275,$BT275,($A275-Inputs!$D$1)+15,1,0)))))</f>
        <v> </v>
      </c>
      <c r="V275" s="281" t="str">
        <f aca="false">IF($A275="N/A"," ",(IF('Pricing Inputs'!$AN$8=2,(O275-$H275),IF((O275-$H275)&lt;=0,0,(O275-$H275)))))</f>
        <v> </v>
      </c>
      <c r="AK275" s="31"/>
      <c r="AL275" s="31"/>
      <c r="AM275" s="31"/>
      <c r="AN275" s="31"/>
      <c r="AO275" s="31"/>
      <c r="AP275" s="31"/>
      <c r="AQ275" s="31"/>
      <c r="AR275" s="31"/>
      <c r="BA275" s="291" t="str">
        <f aca="false">IF($A275="N/A"," ",(IF(MONTH(A275)&gt;=4,IF(MONTH(A275)&lt;=10,Inputs!$F$13,Inputs!$F$14),Inputs!$F$14))*$BW275)</f>
        <v> </v>
      </c>
      <c r="BN275" s="294" t="str">
        <f aca="false">IF(A275="N/A"," ",(VLOOKUP(A275,PowerVolTable,(IF('Pricing Inputs'!$AT$3=2,7,IF('Pricing Inputs'!$AT$3=1,6,8))),FALSE())))</f>
        <v> </v>
      </c>
      <c r="BO275" s="294" t="str">
        <f aca="false">IF(A275="N/A"," ",(VLOOKUP(A275,IntraPowerVol,(IF('Pricing Inputs'!$AT$3=2,3,IF('Pricing Inputs'!$AT$3=1,2,4))),FALSE())*VLOOKUP(MONTH($A275),Inputs!$A$28:$B$39,2)))</f>
        <v> </v>
      </c>
      <c r="BP275" s="295" t="str">
        <f aca="false">IF($A275="N/A"," ",(IF(DateToday&gt;$A275,$BO275,((($BN275^2)*((($A275-1)-DateToday)/((EOMONTH($A275,0)+1)-DateToday-15)))+((($BO275)^2)*((15)/((EOMONTH($A275,0)+1)-DateToday-15))))^0.5)))</f>
        <v> </v>
      </c>
      <c r="BQ275" s="294" t="str">
        <f aca="false">IF($A275="N/A"," ",(VLOOKUP($A275,GasVolTable,(IF('Pricing Inputs'!$AT$3=2,6,IF('Pricing Inputs'!$AT$3=1,7,5))),FALSE())))</f>
        <v> </v>
      </c>
      <c r="BR275" s="294" t="str">
        <f aca="false">IF($A275="N/A"," ",(VLOOKUP($A275,OmicronVol,(IF('Pricing Inputs'!$AT$3=2,3,IF('Pricing Inputs'!$AT$3=1,4,2))),FALSE())))</f>
        <v> </v>
      </c>
      <c r="BS275" s="295" t="str">
        <f aca="false">IF($A275="N/A"," ",IF('Pricing Inputs'!$AN$3=1,(IF(DateToday&gt;$A275,$BR275,((($BQ275^2)*((($A275-1)-DateToday)/((EOMONTH($A275,0)+1)-DateToday-15)))+((($BR275)^2)*((15)/((EOMONTH($A275,0)+1)-DateToday-15))))^0.5)),0.0001))</f>
        <v> </v>
      </c>
      <c r="BT275" s="294" t="str">
        <f aca="false">IF($A275="N/A"," ",IF('Pricing Inputs'!$AN$3=1,(VLOOKUP($A275,CorrelationTable,2,FALSE())),0))</f>
        <v> </v>
      </c>
      <c r="BU275" s="296" t="str">
        <f aca="false">IF($A275="N/A"," ",F275+G275+(D275*(VLOOKUP($A275,'Gas Curves'!$B$17:$P$310,14,FALSE()))))</f>
        <v> </v>
      </c>
      <c r="BV275" s="294" t="str">
        <f aca="false">IF($A275="N/A"," ",IF('Pricing Inputs'!$AW$3=1,0,(VLOOKUP($A275,InterestRatesTable,2))))</f>
        <v> </v>
      </c>
      <c r="BW275" s="297" t="str">
        <f aca="false">IF($A275="N/A"," ",(1+BV275/2)^(-2*((EOMONTH(A275,0)+20)-DateToday)/365.25))</f>
        <v> </v>
      </c>
    </row>
    <row r="276" customFormat="false" ht="12.75" hidden="false" customHeight="false" outlineLevel="0" collapsed="false">
      <c r="A276" s="272" t="str">
        <f aca="false">IF(A275="N/A","N/A",IF(EDATE(A275,1)&gt;Inputs!$K$3,"N/A",EDATE(A275,1)))</f>
        <v>N/A</v>
      </c>
      <c r="B276" s="273" t="str">
        <f aca="false">IF(A276="N/A"," ",YEAR(A276))</f>
        <v> </v>
      </c>
      <c r="C276" s="274" t="str">
        <f aca="false">IF(A276="N/A"," ",VLOOKUP(A276,ScaledPrice,10))</f>
        <v> </v>
      </c>
      <c r="D276" s="275" t="str">
        <f aca="false">IF(A276="N/A"," ",(VLOOKUP(MONTH($A276),Inputs!$A$14:$B$25,2))/1000)</f>
        <v> </v>
      </c>
      <c r="E276" s="276" t="str">
        <f aca="false">IF($A276="N/A"," ",C276*D276)</f>
        <v> </v>
      </c>
      <c r="F276" s="277" t="str">
        <f aca="false">IF(A276="N/A"," ",Inputs!$F$6)</f>
        <v> </v>
      </c>
      <c r="G276" s="277" t="str">
        <f aca="false">IF(A276="N/A"," ",Inputs!$F$9/IF(AND('Pricing Inputs'!$AQ$3&gt;=4,'Pricing Inputs'!$AQ$3&lt;=6),16,IF(AND('Pricing Inputs'!$AQ$3&gt;=7,'Pricing Inputs'!$AQ$3&lt;=9),8,24))/(BA276/BW276))</f>
        <v> </v>
      </c>
      <c r="H276" s="278" t="str">
        <f aca="false">IF(A276="N/A"," ",(C276*D276)+F276+G276)</f>
        <v> </v>
      </c>
      <c r="I276" s="279" t="str">
        <f aca="false">VLOOKUP(A276,ScaledPrice,(IF(AND('Pricing Inputs'!$AQ$3&gt;=1,'Pricing Inputs'!$AQ$3&lt;=6),2,4)))</f>
        <v> </v>
      </c>
      <c r="J276" s="279" t="str">
        <f aca="false">IF(A276="N/A"," ",IF(AND('Pricing Inputs'!$AQ$3&gt;=1,'Pricing Inputs'!$AQ$3&lt;=6),I276,(VLOOKUP(A276,ScaledPrice,2))*(2-(VLOOKUP(A276,ScaledPrice,3)))))</f>
        <v> </v>
      </c>
      <c r="K276" s="279" t="str">
        <f aca="false">IF(A276="N/A"," ",IF(OR('Pricing Inputs'!$AQ$3=2,'Pricing Inputs'!$AQ$3=3,'Pricing Inputs'!$AQ$3=5,'Pricing Inputs'!$AQ$3=6,'Pricing Inputs'!$AQ$3=8,'Pricing Inputs'!$AQ$3=9),VLOOKUP(A276,ScaledPrice,IF(AND('Pricing Inputs'!$AQ$3&gt;=2,'Pricing Inputs'!$AQ$3&lt;=6),5,6)),0))</f>
        <v> </v>
      </c>
      <c r="L276" s="279" t="str">
        <f aca="false">IF(A276="N/A"," ",IF(OR('Pricing Inputs'!$AQ$3=2,'Pricing Inputs'!$AQ$3=3,'Pricing Inputs'!$AQ$3=5,'Pricing Inputs'!$AQ$3=6,'Pricing Inputs'!$AQ$3=8,'Pricing Inputs'!$AQ$3=9),IF(AND('Pricing Inputs'!$AQ$3&gt;=2,'Pricing Inputs'!$AQ$3&lt;=6),K276,(VLOOKUP(A276,ScaledPrice,5))*(2-(VLOOKUP(A276,ScaledPrice,3)))),0))</f>
        <v> </v>
      </c>
      <c r="M276" s="279" t="str">
        <f aca="false">IF(A276="N/A"," ",IF(OR('Pricing Inputs'!$AQ$3=3,'Pricing Inputs'!$AQ$3=6,'Pricing Inputs'!$AQ$3=9),(VLOOKUP(A276,ScaledPrice,IF(AND('Pricing Inputs'!$AQ$3&gt;=3,'Pricing Inputs'!$AQ$3&lt;=6),7,8))),0))</f>
        <v> </v>
      </c>
      <c r="N276" s="279" t="str">
        <f aca="false">IF(A276="N/A"," ",IF(OR('Pricing Inputs'!$AQ$3=3,'Pricing Inputs'!$AQ$3=6,'Pricing Inputs'!$AQ$3=9),IF(AND('Pricing Inputs'!$AQ$3&gt;=3,'Pricing Inputs'!$AQ$3&lt;=6),M276,(VLOOKUP(A276,ScaledPrice,7))*(2-(VLOOKUP(A276,ScaledPrice,3)))),0))</f>
        <v> </v>
      </c>
      <c r="O276" s="279" t="str">
        <f aca="false">IF(A276="N/A"," ",IF(AND('Pricing Inputs'!$AQ$3&gt;=1,'Pricing Inputs'!$AQ$3&lt;=3),VLOOKUP(A276,ScaledPrice,9),0))</f>
        <v> </v>
      </c>
      <c r="P276" s="280" t="str">
        <f aca="false">IF($A276="N/A"," ",IF('Pricing Inputs'!$AN$8=2,(I276-H276),IF('Pricing Inputs'!$AN$3=2,IF((I276-$H276)&gt;0,I276-$H276,0),(xSPRDOPT(I276,$E276,$BU276,0,$BP276,$BS276,$BT276,($A276-Inputs!$D$1)+15,1,0)))))</f>
        <v> </v>
      </c>
      <c r="Q276" s="280" t="str">
        <f aca="false">IF($A276="N/A"," ",IF('Pricing Inputs'!$AN$8=2,(J276-$H276),IF('Pricing Inputs'!$AN$3=2,IF((J276-$H276)&gt;0,J276-$H276,0),(xSPRDOPT(J276,$E276,$BU276,0,$BP276,$BS276,$BT276,($A276-Inputs!$D$1)+15,1,0)))))</f>
        <v> </v>
      </c>
      <c r="R276" s="280" t="str">
        <f aca="false">IF($A276="N/A"," ",IF('Pricing Inputs'!$AN$8=2,(K276-$H276),IF('Pricing Inputs'!$AN$3=2,IF((K276-$H276)&gt;0,K276-$H276,0),(xSPRDOPT(K276,$E276,$BU276,0,$BP276,$BS276,$BT276,($A276-Inputs!$D$1)+15,1,0)))))</f>
        <v> </v>
      </c>
      <c r="S276" s="280" t="str">
        <f aca="false">IF($A276="N/A"," ",IF('Pricing Inputs'!$AN$8=2,(L276-$H276),IF('Pricing Inputs'!$AN$3=2,IF((L276-$H276)&gt;0,L276-$H276,0),(xSPRDOPT(L276,$E276,$BU276,0,$BP276,$BS276,$BT276,($A276-Inputs!$D$1)+15,1,0)))))</f>
        <v> </v>
      </c>
      <c r="T276" s="280" t="str">
        <f aca="false">IF($A276="N/A"," ",IF('Pricing Inputs'!$AN$8=2,(M276-$H276),IF('Pricing Inputs'!$AN$3=2,IF((M276-$H276)&gt;0,M276-$H276,0),(xSPRDOPT(M276,$E276,$BU276,0,$BP276,$BS276,$BT276,($A276-Inputs!$D$1)+15,1,0)))))</f>
        <v> </v>
      </c>
      <c r="U276" s="280" t="str">
        <f aca="false">IF($A276="N/A"," ",IF('Pricing Inputs'!$AN$8=2,(N276-$H276),IF('Pricing Inputs'!$AN$3=2,IF((N276-$H276)&gt;0,N276-$H276,0),(xSPRDOPT(N276,$E276,$BU276,0,$BP276,$BS276,$BT276,($A276-Inputs!$D$1)+15,1,0)))))</f>
        <v> </v>
      </c>
      <c r="V276" s="281" t="str">
        <f aca="false">IF($A276="N/A"," ",(IF('Pricing Inputs'!$AN$8=2,(O276-$H276),IF((O276-$H276)&lt;=0,0,(O276-$H276)))))</f>
        <v> </v>
      </c>
      <c r="AK276" s="31"/>
      <c r="AL276" s="31"/>
      <c r="AM276" s="31"/>
      <c r="AN276" s="31"/>
      <c r="AO276" s="31"/>
      <c r="AP276" s="31"/>
      <c r="AQ276" s="31"/>
      <c r="AR276" s="31"/>
      <c r="BA276" s="291" t="str">
        <f aca="false">IF($A276="N/A"," ",(IF(MONTH(A276)&gt;=4,IF(MONTH(A276)&lt;=10,Inputs!$F$13,Inputs!$F$14),Inputs!$F$14))*$BW276)</f>
        <v> </v>
      </c>
      <c r="BN276" s="294" t="str">
        <f aca="false">IF(A276="N/A"," ",(VLOOKUP(A276,PowerVolTable,(IF('Pricing Inputs'!$AT$3=2,7,IF('Pricing Inputs'!$AT$3=1,6,8))),FALSE())))</f>
        <v> </v>
      </c>
      <c r="BO276" s="294" t="str">
        <f aca="false">IF(A276="N/A"," ",(VLOOKUP(A276,IntraPowerVol,(IF('Pricing Inputs'!$AT$3=2,3,IF('Pricing Inputs'!$AT$3=1,2,4))),FALSE())*VLOOKUP(MONTH($A276),Inputs!$A$28:$B$39,2)))</f>
        <v> </v>
      </c>
      <c r="BP276" s="295" t="str">
        <f aca="false">IF($A276="N/A"," ",(IF(DateToday&gt;$A276,$BO276,((($BN276^2)*((($A276-1)-DateToday)/((EOMONTH($A276,0)+1)-DateToday-15)))+((($BO276)^2)*((15)/((EOMONTH($A276,0)+1)-DateToday-15))))^0.5)))</f>
        <v> </v>
      </c>
      <c r="BQ276" s="294" t="str">
        <f aca="false">IF($A276="N/A"," ",(VLOOKUP($A276,GasVolTable,(IF('Pricing Inputs'!$AT$3=2,6,IF('Pricing Inputs'!$AT$3=1,7,5))),FALSE())))</f>
        <v> </v>
      </c>
      <c r="BR276" s="294" t="str">
        <f aca="false">IF($A276="N/A"," ",(VLOOKUP($A276,OmicronVol,(IF('Pricing Inputs'!$AT$3=2,3,IF('Pricing Inputs'!$AT$3=1,4,2))),FALSE())))</f>
        <v> </v>
      </c>
      <c r="BS276" s="295" t="str">
        <f aca="false">IF($A276="N/A"," ",IF('Pricing Inputs'!$AN$3=1,(IF(DateToday&gt;$A276,$BR276,((($BQ276^2)*((($A276-1)-DateToday)/((EOMONTH($A276,0)+1)-DateToday-15)))+((($BR276)^2)*((15)/((EOMONTH($A276,0)+1)-DateToday-15))))^0.5)),0.0001))</f>
        <v> </v>
      </c>
      <c r="BT276" s="294" t="str">
        <f aca="false">IF($A276="N/A"," ",IF('Pricing Inputs'!$AN$3=1,(VLOOKUP($A276,CorrelationTable,2,FALSE())),0))</f>
        <v> </v>
      </c>
      <c r="BU276" s="296" t="str">
        <f aca="false">IF($A276="N/A"," ",F276+G276+(D276*(VLOOKUP($A276,'Gas Curves'!$B$17:$P$310,14,FALSE()))))</f>
        <v> </v>
      </c>
      <c r="BV276" s="294" t="str">
        <f aca="false">IF($A276="N/A"," ",IF('Pricing Inputs'!$AW$3=1,0,(VLOOKUP($A276,InterestRatesTable,2))))</f>
        <v> </v>
      </c>
      <c r="BW276" s="297" t="str">
        <f aca="false">IF($A276="N/A"," ",(1+BV276/2)^(-2*((EOMONTH(A276,0)+20)-DateToday)/365.25))</f>
        <v> </v>
      </c>
    </row>
    <row r="277" customFormat="false" ht="12.75" hidden="false" customHeight="false" outlineLevel="0" collapsed="false">
      <c r="A277" s="272" t="str">
        <f aca="false">IF(A276="N/A","N/A",IF(EDATE(A276,1)&gt;Inputs!$K$3,"N/A",EDATE(A276,1)))</f>
        <v>N/A</v>
      </c>
      <c r="B277" s="273" t="str">
        <f aca="false">IF(A277="N/A"," ",YEAR(A277))</f>
        <v> </v>
      </c>
      <c r="C277" s="274" t="str">
        <f aca="false">IF(A277="N/A"," ",VLOOKUP(A277,ScaledPrice,10))</f>
        <v> </v>
      </c>
      <c r="D277" s="275" t="str">
        <f aca="false">IF(A277="N/A"," ",(VLOOKUP(MONTH($A277),Inputs!$A$14:$B$25,2))/1000)</f>
        <v> </v>
      </c>
      <c r="E277" s="276" t="str">
        <f aca="false">IF($A277="N/A"," ",C277*D277)</f>
        <v> </v>
      </c>
      <c r="F277" s="277" t="str">
        <f aca="false">IF(A277="N/A"," ",Inputs!$F$6)</f>
        <v> </v>
      </c>
      <c r="G277" s="277" t="str">
        <f aca="false">IF(A277="N/A"," ",Inputs!$F$9/IF(AND('Pricing Inputs'!$AQ$3&gt;=4,'Pricing Inputs'!$AQ$3&lt;=6),16,IF(AND('Pricing Inputs'!$AQ$3&gt;=7,'Pricing Inputs'!$AQ$3&lt;=9),8,24))/(BA277/BW277))</f>
        <v> </v>
      </c>
      <c r="H277" s="278" t="str">
        <f aca="false">IF(A277="N/A"," ",(C277*D277)+F277+G277)</f>
        <v> </v>
      </c>
      <c r="I277" s="279" t="str">
        <f aca="false">VLOOKUP(A277,ScaledPrice,(IF(AND('Pricing Inputs'!$AQ$3&gt;=1,'Pricing Inputs'!$AQ$3&lt;=6),2,4)))</f>
        <v> </v>
      </c>
      <c r="J277" s="279" t="str">
        <f aca="false">IF(A277="N/A"," ",IF(AND('Pricing Inputs'!$AQ$3&gt;=1,'Pricing Inputs'!$AQ$3&lt;=6),I277,(VLOOKUP(A277,ScaledPrice,2))*(2-(VLOOKUP(A277,ScaledPrice,3)))))</f>
        <v> </v>
      </c>
      <c r="K277" s="279" t="str">
        <f aca="false">IF(A277="N/A"," ",IF(OR('Pricing Inputs'!$AQ$3=2,'Pricing Inputs'!$AQ$3=3,'Pricing Inputs'!$AQ$3=5,'Pricing Inputs'!$AQ$3=6,'Pricing Inputs'!$AQ$3=8,'Pricing Inputs'!$AQ$3=9),VLOOKUP(A277,ScaledPrice,IF(AND('Pricing Inputs'!$AQ$3&gt;=2,'Pricing Inputs'!$AQ$3&lt;=6),5,6)),0))</f>
        <v> </v>
      </c>
      <c r="L277" s="279" t="str">
        <f aca="false">IF(A277="N/A"," ",IF(OR('Pricing Inputs'!$AQ$3=2,'Pricing Inputs'!$AQ$3=3,'Pricing Inputs'!$AQ$3=5,'Pricing Inputs'!$AQ$3=6,'Pricing Inputs'!$AQ$3=8,'Pricing Inputs'!$AQ$3=9),IF(AND('Pricing Inputs'!$AQ$3&gt;=2,'Pricing Inputs'!$AQ$3&lt;=6),K277,(VLOOKUP(A277,ScaledPrice,5))*(2-(VLOOKUP(A277,ScaledPrice,3)))),0))</f>
        <v> </v>
      </c>
      <c r="M277" s="279" t="str">
        <f aca="false">IF(A277="N/A"," ",IF(OR('Pricing Inputs'!$AQ$3=3,'Pricing Inputs'!$AQ$3=6,'Pricing Inputs'!$AQ$3=9),(VLOOKUP(A277,ScaledPrice,IF(AND('Pricing Inputs'!$AQ$3&gt;=3,'Pricing Inputs'!$AQ$3&lt;=6),7,8))),0))</f>
        <v> </v>
      </c>
      <c r="N277" s="279" t="str">
        <f aca="false">IF(A277="N/A"," ",IF(OR('Pricing Inputs'!$AQ$3=3,'Pricing Inputs'!$AQ$3=6,'Pricing Inputs'!$AQ$3=9),IF(AND('Pricing Inputs'!$AQ$3&gt;=3,'Pricing Inputs'!$AQ$3&lt;=6),M277,(VLOOKUP(A277,ScaledPrice,7))*(2-(VLOOKUP(A277,ScaledPrice,3)))),0))</f>
        <v> </v>
      </c>
      <c r="O277" s="279" t="str">
        <f aca="false">IF(A277="N/A"," ",IF(AND('Pricing Inputs'!$AQ$3&gt;=1,'Pricing Inputs'!$AQ$3&lt;=3),VLOOKUP(A277,ScaledPrice,9),0))</f>
        <v> </v>
      </c>
      <c r="P277" s="280" t="str">
        <f aca="false">IF($A277="N/A"," ",IF('Pricing Inputs'!$AN$8=2,(I277-H277),IF('Pricing Inputs'!$AN$3=2,IF((I277-$H277)&gt;0,I277-$H277,0),(xSPRDOPT(I277,$E277,$BU277,0,$BP277,$BS277,$BT277,($A277-Inputs!$D$1)+15,1,0)))))</f>
        <v> </v>
      </c>
      <c r="Q277" s="280" t="str">
        <f aca="false">IF($A277="N/A"," ",IF('Pricing Inputs'!$AN$8=2,(J277-$H277),IF('Pricing Inputs'!$AN$3=2,IF((J277-$H277)&gt;0,J277-$H277,0),(xSPRDOPT(J277,$E277,$BU277,0,$BP277,$BS277,$BT277,($A277-Inputs!$D$1)+15,1,0)))))</f>
        <v> </v>
      </c>
      <c r="R277" s="280" t="str">
        <f aca="false">IF($A277="N/A"," ",IF('Pricing Inputs'!$AN$8=2,(K277-$H277),IF('Pricing Inputs'!$AN$3=2,IF((K277-$H277)&gt;0,K277-$H277,0),(xSPRDOPT(K277,$E277,$BU277,0,$BP277,$BS277,$BT277,($A277-Inputs!$D$1)+15,1,0)))))</f>
        <v> </v>
      </c>
      <c r="S277" s="280" t="str">
        <f aca="false">IF($A277="N/A"," ",IF('Pricing Inputs'!$AN$8=2,(L277-$H277),IF('Pricing Inputs'!$AN$3=2,IF((L277-$H277)&gt;0,L277-$H277,0),(xSPRDOPT(L277,$E277,$BU277,0,$BP277,$BS277,$BT277,($A277-Inputs!$D$1)+15,1,0)))))</f>
        <v> </v>
      </c>
      <c r="T277" s="280" t="str">
        <f aca="false">IF($A277="N/A"," ",IF('Pricing Inputs'!$AN$8=2,(M277-$H277),IF('Pricing Inputs'!$AN$3=2,IF((M277-$H277)&gt;0,M277-$H277,0),(xSPRDOPT(M277,$E277,$BU277,0,$BP277,$BS277,$BT277,($A277-Inputs!$D$1)+15,1,0)))))</f>
        <v> </v>
      </c>
      <c r="U277" s="280" t="str">
        <f aca="false">IF($A277="N/A"," ",IF('Pricing Inputs'!$AN$8=2,(N277-$H277),IF('Pricing Inputs'!$AN$3=2,IF((N277-$H277)&gt;0,N277-$H277,0),(xSPRDOPT(N277,$E277,$BU277,0,$BP277,$BS277,$BT277,($A277-Inputs!$D$1)+15,1,0)))))</f>
        <v> </v>
      </c>
      <c r="V277" s="281" t="str">
        <f aca="false">IF($A277="N/A"," ",(IF('Pricing Inputs'!$AN$8=2,(O277-$H277),IF((O277-$H277)&lt;=0,0,(O277-$H277)))))</f>
        <v> </v>
      </c>
      <c r="AK277" s="31"/>
      <c r="AL277" s="31"/>
      <c r="AM277" s="31"/>
      <c r="AN277" s="31"/>
      <c r="AO277" s="31"/>
      <c r="AP277" s="31"/>
      <c r="AQ277" s="31"/>
      <c r="AR277" s="31"/>
      <c r="BA277" s="291" t="str">
        <f aca="false">IF($A277="N/A"," ",(IF(MONTH(A277)&gt;=4,IF(MONTH(A277)&lt;=10,Inputs!$F$13,Inputs!$F$14),Inputs!$F$14))*$BW277)</f>
        <v> </v>
      </c>
      <c r="BN277" s="294" t="str">
        <f aca="false">IF(A277="N/A"," ",(VLOOKUP(A277,PowerVolTable,(IF('Pricing Inputs'!$AT$3=2,7,IF('Pricing Inputs'!$AT$3=1,6,8))),FALSE())))</f>
        <v> </v>
      </c>
      <c r="BO277" s="294" t="str">
        <f aca="false">IF(A277="N/A"," ",(VLOOKUP(A277,IntraPowerVol,(IF('Pricing Inputs'!$AT$3=2,3,IF('Pricing Inputs'!$AT$3=1,2,4))),FALSE())*VLOOKUP(MONTH($A277),Inputs!$A$28:$B$39,2)))</f>
        <v> </v>
      </c>
      <c r="BP277" s="295" t="str">
        <f aca="false">IF($A277="N/A"," ",(IF(DateToday&gt;$A277,$BO277,((($BN277^2)*((($A277-1)-DateToday)/((EOMONTH($A277,0)+1)-DateToday-15)))+((($BO277)^2)*((15)/((EOMONTH($A277,0)+1)-DateToday-15))))^0.5)))</f>
        <v> </v>
      </c>
      <c r="BQ277" s="294" t="str">
        <f aca="false">IF($A277="N/A"," ",(VLOOKUP($A277,GasVolTable,(IF('Pricing Inputs'!$AT$3=2,6,IF('Pricing Inputs'!$AT$3=1,7,5))),FALSE())))</f>
        <v> </v>
      </c>
      <c r="BR277" s="294" t="str">
        <f aca="false">IF($A277="N/A"," ",(VLOOKUP($A277,OmicronVol,(IF('Pricing Inputs'!$AT$3=2,3,IF('Pricing Inputs'!$AT$3=1,4,2))),FALSE())))</f>
        <v> </v>
      </c>
      <c r="BS277" s="295" t="str">
        <f aca="false">IF($A277="N/A"," ",IF('Pricing Inputs'!$AN$3=1,(IF(DateToday&gt;$A277,$BR277,((($BQ277^2)*((($A277-1)-DateToday)/((EOMONTH($A277,0)+1)-DateToday-15)))+((($BR277)^2)*((15)/((EOMONTH($A277,0)+1)-DateToday-15))))^0.5)),0.0001))</f>
        <v> </v>
      </c>
      <c r="BT277" s="294" t="str">
        <f aca="false">IF($A277="N/A"," ",IF('Pricing Inputs'!$AN$3=1,(VLOOKUP($A277,CorrelationTable,2,FALSE())),0))</f>
        <v> </v>
      </c>
      <c r="BU277" s="296" t="str">
        <f aca="false">IF($A277="N/A"," ",F277+G277+(D277*(VLOOKUP($A277,'Gas Curves'!$B$17:$P$310,14,FALSE()))))</f>
        <v> </v>
      </c>
      <c r="BV277" s="294" t="str">
        <f aca="false">IF($A277="N/A"," ",IF('Pricing Inputs'!$AW$3=1,0,(VLOOKUP($A277,InterestRatesTable,2))))</f>
        <v> </v>
      </c>
      <c r="BW277" s="297" t="str">
        <f aca="false">IF($A277="N/A"," ",(1+BV277/2)^(-2*((EOMONTH(A277,0)+20)-DateToday)/365.25))</f>
        <v> </v>
      </c>
    </row>
    <row r="278" customFormat="false" ht="12.75" hidden="false" customHeight="false" outlineLevel="0" collapsed="false">
      <c r="A278" s="272" t="str">
        <f aca="false">IF(A277="N/A","N/A",IF(EDATE(A277,1)&gt;Inputs!$K$3,"N/A",EDATE(A277,1)))</f>
        <v>N/A</v>
      </c>
      <c r="B278" s="273" t="str">
        <f aca="false">IF(A278="N/A"," ",YEAR(A278))</f>
        <v> </v>
      </c>
      <c r="C278" s="274" t="str">
        <f aca="false">IF(A278="N/A"," ",VLOOKUP(A278,ScaledPrice,10))</f>
        <v> </v>
      </c>
      <c r="D278" s="275" t="str">
        <f aca="false">IF(A278="N/A"," ",(VLOOKUP(MONTH($A278),Inputs!$A$14:$B$25,2))/1000)</f>
        <v> </v>
      </c>
      <c r="E278" s="276" t="str">
        <f aca="false">IF($A278="N/A"," ",C278*D278)</f>
        <v> </v>
      </c>
      <c r="F278" s="277" t="str">
        <f aca="false">IF(A278="N/A"," ",Inputs!$F$6)</f>
        <v> </v>
      </c>
      <c r="G278" s="277" t="str">
        <f aca="false">IF(A278="N/A"," ",Inputs!$F$9/IF(AND('Pricing Inputs'!$AQ$3&gt;=4,'Pricing Inputs'!$AQ$3&lt;=6),16,IF(AND('Pricing Inputs'!$AQ$3&gt;=7,'Pricing Inputs'!$AQ$3&lt;=9),8,24))/(BA278/BW278))</f>
        <v> </v>
      </c>
      <c r="H278" s="278" t="str">
        <f aca="false">IF(A278="N/A"," ",(C278*D278)+F278+G278)</f>
        <v> </v>
      </c>
      <c r="I278" s="279" t="str">
        <f aca="false">VLOOKUP(A278,ScaledPrice,(IF(AND('Pricing Inputs'!$AQ$3&gt;=1,'Pricing Inputs'!$AQ$3&lt;=6),2,4)))</f>
        <v> </v>
      </c>
      <c r="J278" s="279" t="str">
        <f aca="false">IF(A278="N/A"," ",IF(AND('Pricing Inputs'!$AQ$3&gt;=1,'Pricing Inputs'!$AQ$3&lt;=6),I278,(VLOOKUP(A278,ScaledPrice,2))*(2-(VLOOKUP(A278,ScaledPrice,3)))))</f>
        <v> </v>
      </c>
      <c r="K278" s="279" t="str">
        <f aca="false">IF(A278="N/A"," ",IF(OR('Pricing Inputs'!$AQ$3=2,'Pricing Inputs'!$AQ$3=3,'Pricing Inputs'!$AQ$3=5,'Pricing Inputs'!$AQ$3=6,'Pricing Inputs'!$AQ$3=8,'Pricing Inputs'!$AQ$3=9),VLOOKUP(A278,ScaledPrice,IF(AND('Pricing Inputs'!$AQ$3&gt;=2,'Pricing Inputs'!$AQ$3&lt;=6),5,6)),0))</f>
        <v> </v>
      </c>
      <c r="L278" s="279" t="str">
        <f aca="false">IF(A278="N/A"," ",IF(OR('Pricing Inputs'!$AQ$3=2,'Pricing Inputs'!$AQ$3=3,'Pricing Inputs'!$AQ$3=5,'Pricing Inputs'!$AQ$3=6,'Pricing Inputs'!$AQ$3=8,'Pricing Inputs'!$AQ$3=9),IF(AND('Pricing Inputs'!$AQ$3&gt;=2,'Pricing Inputs'!$AQ$3&lt;=6),K278,(VLOOKUP(A278,ScaledPrice,5))*(2-(VLOOKUP(A278,ScaledPrice,3)))),0))</f>
        <v> </v>
      </c>
      <c r="M278" s="279" t="str">
        <f aca="false">IF(A278="N/A"," ",IF(OR('Pricing Inputs'!$AQ$3=3,'Pricing Inputs'!$AQ$3=6,'Pricing Inputs'!$AQ$3=9),(VLOOKUP(A278,ScaledPrice,IF(AND('Pricing Inputs'!$AQ$3&gt;=3,'Pricing Inputs'!$AQ$3&lt;=6),7,8))),0))</f>
        <v> </v>
      </c>
      <c r="N278" s="279" t="str">
        <f aca="false">IF(A278="N/A"," ",IF(OR('Pricing Inputs'!$AQ$3=3,'Pricing Inputs'!$AQ$3=6,'Pricing Inputs'!$AQ$3=9),IF(AND('Pricing Inputs'!$AQ$3&gt;=3,'Pricing Inputs'!$AQ$3&lt;=6),M278,(VLOOKUP(A278,ScaledPrice,7))*(2-(VLOOKUP(A278,ScaledPrice,3)))),0))</f>
        <v> </v>
      </c>
      <c r="O278" s="279" t="str">
        <f aca="false">IF(A278="N/A"," ",IF(AND('Pricing Inputs'!$AQ$3&gt;=1,'Pricing Inputs'!$AQ$3&lt;=3),VLOOKUP(A278,ScaledPrice,9),0))</f>
        <v> </v>
      </c>
      <c r="P278" s="280" t="str">
        <f aca="false">IF($A278="N/A"," ",IF('Pricing Inputs'!$AN$8=2,(I278-H278),IF('Pricing Inputs'!$AN$3=2,IF((I278-$H278)&gt;0,I278-$H278,0),(xSPRDOPT(I278,$E278,$BU278,0,$BP278,$BS278,$BT278,($A278-Inputs!$D$1)+15,1,0)))))</f>
        <v> </v>
      </c>
      <c r="Q278" s="280" t="str">
        <f aca="false">IF($A278="N/A"," ",IF('Pricing Inputs'!$AN$8=2,(J278-$H278),IF('Pricing Inputs'!$AN$3=2,IF((J278-$H278)&gt;0,J278-$H278,0),(xSPRDOPT(J278,$E278,$BU278,0,$BP278,$BS278,$BT278,($A278-Inputs!$D$1)+15,1,0)))))</f>
        <v> </v>
      </c>
      <c r="R278" s="280" t="str">
        <f aca="false">IF($A278="N/A"," ",IF('Pricing Inputs'!$AN$8=2,(K278-$H278),IF('Pricing Inputs'!$AN$3=2,IF((K278-$H278)&gt;0,K278-$H278,0),(xSPRDOPT(K278,$E278,$BU278,0,$BP278,$BS278,$BT278,($A278-Inputs!$D$1)+15,1,0)))))</f>
        <v> </v>
      </c>
      <c r="S278" s="280" t="str">
        <f aca="false">IF($A278="N/A"," ",IF('Pricing Inputs'!$AN$8=2,(L278-$H278),IF('Pricing Inputs'!$AN$3=2,IF((L278-$H278)&gt;0,L278-$H278,0),(xSPRDOPT(L278,$E278,$BU278,0,$BP278,$BS278,$BT278,($A278-Inputs!$D$1)+15,1,0)))))</f>
        <v> </v>
      </c>
      <c r="T278" s="280" t="str">
        <f aca="false">IF($A278="N/A"," ",IF('Pricing Inputs'!$AN$8=2,(M278-$H278),IF('Pricing Inputs'!$AN$3=2,IF((M278-$H278)&gt;0,M278-$H278,0),(xSPRDOPT(M278,$E278,$BU278,0,$BP278,$BS278,$BT278,($A278-Inputs!$D$1)+15,1,0)))))</f>
        <v> </v>
      </c>
      <c r="U278" s="280" t="str">
        <f aca="false">IF($A278="N/A"," ",IF('Pricing Inputs'!$AN$8=2,(N278-$H278),IF('Pricing Inputs'!$AN$3=2,IF((N278-$H278)&gt;0,N278-$H278,0),(xSPRDOPT(N278,$E278,$BU278,0,$BP278,$BS278,$BT278,($A278-Inputs!$D$1)+15,1,0)))))</f>
        <v> </v>
      </c>
      <c r="V278" s="281" t="str">
        <f aca="false">IF($A278="N/A"," ",(IF('Pricing Inputs'!$AN$8=2,(O278-$H278),IF((O278-$H278)&lt;=0,0,(O278-$H278)))))</f>
        <v> </v>
      </c>
      <c r="AK278" s="31"/>
      <c r="AL278" s="31"/>
      <c r="AM278" s="31"/>
      <c r="AN278" s="31"/>
      <c r="AO278" s="31"/>
      <c r="AP278" s="31"/>
      <c r="AQ278" s="31"/>
      <c r="AR278" s="31"/>
      <c r="BA278" s="291" t="str">
        <f aca="false">IF($A278="N/A"," ",(IF(MONTH(A278)&gt;=4,IF(MONTH(A278)&lt;=10,Inputs!$F$13,Inputs!$F$14),Inputs!$F$14))*$BW278)</f>
        <v> </v>
      </c>
      <c r="BN278" s="294" t="str">
        <f aca="false">IF(A278="N/A"," ",(VLOOKUP(A278,PowerVolTable,(IF('Pricing Inputs'!$AT$3=2,7,IF('Pricing Inputs'!$AT$3=1,6,8))),FALSE())))</f>
        <v> </v>
      </c>
      <c r="BO278" s="294" t="str">
        <f aca="false">IF(A278="N/A"," ",(VLOOKUP(A278,IntraPowerVol,(IF('Pricing Inputs'!$AT$3=2,3,IF('Pricing Inputs'!$AT$3=1,2,4))),FALSE())*VLOOKUP(MONTH($A278),Inputs!$A$28:$B$39,2)))</f>
        <v> </v>
      </c>
      <c r="BP278" s="295" t="str">
        <f aca="false">IF($A278="N/A"," ",(IF(DateToday&gt;$A278,$BO278,((($BN278^2)*((($A278-1)-DateToday)/((EOMONTH($A278,0)+1)-DateToday-15)))+((($BO278)^2)*((15)/((EOMONTH($A278,0)+1)-DateToday-15))))^0.5)))</f>
        <v> </v>
      </c>
      <c r="BQ278" s="294" t="str">
        <f aca="false">IF($A278="N/A"," ",(VLOOKUP($A278,GasVolTable,(IF('Pricing Inputs'!$AT$3=2,6,IF('Pricing Inputs'!$AT$3=1,7,5))),FALSE())))</f>
        <v> </v>
      </c>
      <c r="BR278" s="294" t="str">
        <f aca="false">IF($A278="N/A"," ",(VLOOKUP($A278,OmicronVol,(IF('Pricing Inputs'!$AT$3=2,3,IF('Pricing Inputs'!$AT$3=1,4,2))),FALSE())))</f>
        <v> </v>
      </c>
      <c r="BS278" s="295" t="str">
        <f aca="false">IF($A278="N/A"," ",IF('Pricing Inputs'!$AN$3=1,(IF(DateToday&gt;$A278,$BR278,((($BQ278^2)*((($A278-1)-DateToday)/((EOMONTH($A278,0)+1)-DateToday-15)))+((($BR278)^2)*((15)/((EOMONTH($A278,0)+1)-DateToday-15))))^0.5)),0.0001))</f>
        <v> </v>
      </c>
      <c r="BT278" s="294" t="str">
        <f aca="false">IF($A278="N/A"," ",IF('Pricing Inputs'!$AN$3=1,(VLOOKUP($A278,CorrelationTable,2,FALSE())),0))</f>
        <v> </v>
      </c>
      <c r="BU278" s="296" t="str">
        <f aca="false">IF($A278="N/A"," ",F278+G278+(D278*(VLOOKUP($A278,'Gas Curves'!$B$17:$P$310,14,FALSE()))))</f>
        <v> </v>
      </c>
      <c r="BV278" s="294" t="str">
        <f aca="false">IF($A278="N/A"," ",IF('Pricing Inputs'!$AW$3=1,0,(VLOOKUP($A278,InterestRatesTable,2))))</f>
        <v> </v>
      </c>
      <c r="BW278" s="297" t="str">
        <f aca="false">IF($A278="N/A"," ",(1+BV278/2)^(-2*((EOMONTH(A278,0)+20)-DateToday)/365.25))</f>
        <v> </v>
      </c>
    </row>
    <row r="279" customFormat="false" ht="12.75" hidden="false" customHeight="false" outlineLevel="0" collapsed="false">
      <c r="A279" s="272" t="str">
        <f aca="false">IF(A278="N/A","N/A",IF(EDATE(A278,1)&gt;Inputs!$K$3,"N/A",EDATE(A278,1)))</f>
        <v>N/A</v>
      </c>
      <c r="B279" s="273" t="str">
        <f aca="false">IF(A279="N/A"," ",YEAR(A279))</f>
        <v> </v>
      </c>
      <c r="C279" s="274" t="str">
        <f aca="false">IF(A279="N/A"," ",VLOOKUP(A279,ScaledPrice,10))</f>
        <v> </v>
      </c>
      <c r="D279" s="275" t="str">
        <f aca="false">IF(A279="N/A"," ",(VLOOKUP(MONTH($A279),Inputs!$A$14:$B$25,2))/1000)</f>
        <v> </v>
      </c>
      <c r="E279" s="276" t="str">
        <f aca="false">IF($A279="N/A"," ",C279*D279)</f>
        <v> </v>
      </c>
      <c r="F279" s="277" t="str">
        <f aca="false">IF(A279="N/A"," ",Inputs!$F$6)</f>
        <v> </v>
      </c>
      <c r="G279" s="277" t="str">
        <f aca="false">IF(A279="N/A"," ",Inputs!$F$9/IF(AND('Pricing Inputs'!$AQ$3&gt;=4,'Pricing Inputs'!$AQ$3&lt;=6),16,IF(AND('Pricing Inputs'!$AQ$3&gt;=7,'Pricing Inputs'!$AQ$3&lt;=9),8,24))/(BA279/BW279))</f>
        <v> </v>
      </c>
      <c r="H279" s="278" t="str">
        <f aca="false">IF(A279="N/A"," ",(C279*D279)+F279+G279)</f>
        <v> </v>
      </c>
      <c r="I279" s="279" t="str">
        <f aca="false">VLOOKUP(A279,ScaledPrice,(IF(AND('Pricing Inputs'!$AQ$3&gt;=1,'Pricing Inputs'!$AQ$3&lt;=6),2,4)))</f>
        <v> </v>
      </c>
      <c r="J279" s="279" t="str">
        <f aca="false">IF(A279="N/A"," ",IF(AND('Pricing Inputs'!$AQ$3&gt;=1,'Pricing Inputs'!$AQ$3&lt;=6),I279,(VLOOKUP(A279,ScaledPrice,2))*(2-(VLOOKUP(A279,ScaledPrice,3)))))</f>
        <v> </v>
      </c>
      <c r="K279" s="279" t="str">
        <f aca="false">IF(A279="N/A"," ",IF(OR('Pricing Inputs'!$AQ$3=2,'Pricing Inputs'!$AQ$3=3,'Pricing Inputs'!$AQ$3=5,'Pricing Inputs'!$AQ$3=6,'Pricing Inputs'!$AQ$3=8,'Pricing Inputs'!$AQ$3=9),VLOOKUP(A279,ScaledPrice,IF(AND('Pricing Inputs'!$AQ$3&gt;=2,'Pricing Inputs'!$AQ$3&lt;=6),5,6)),0))</f>
        <v> </v>
      </c>
      <c r="L279" s="279" t="str">
        <f aca="false">IF(A279="N/A"," ",IF(OR('Pricing Inputs'!$AQ$3=2,'Pricing Inputs'!$AQ$3=3,'Pricing Inputs'!$AQ$3=5,'Pricing Inputs'!$AQ$3=6,'Pricing Inputs'!$AQ$3=8,'Pricing Inputs'!$AQ$3=9),IF(AND('Pricing Inputs'!$AQ$3&gt;=2,'Pricing Inputs'!$AQ$3&lt;=6),K279,(VLOOKUP(A279,ScaledPrice,5))*(2-(VLOOKUP(A279,ScaledPrice,3)))),0))</f>
        <v> </v>
      </c>
      <c r="M279" s="279" t="str">
        <f aca="false">IF(A279="N/A"," ",IF(OR('Pricing Inputs'!$AQ$3=3,'Pricing Inputs'!$AQ$3=6,'Pricing Inputs'!$AQ$3=9),(VLOOKUP(A279,ScaledPrice,IF(AND('Pricing Inputs'!$AQ$3&gt;=3,'Pricing Inputs'!$AQ$3&lt;=6),7,8))),0))</f>
        <v> </v>
      </c>
      <c r="N279" s="279" t="str">
        <f aca="false">IF(A279="N/A"," ",IF(OR('Pricing Inputs'!$AQ$3=3,'Pricing Inputs'!$AQ$3=6,'Pricing Inputs'!$AQ$3=9),IF(AND('Pricing Inputs'!$AQ$3&gt;=3,'Pricing Inputs'!$AQ$3&lt;=6),M279,(VLOOKUP(A279,ScaledPrice,7))*(2-(VLOOKUP(A279,ScaledPrice,3)))),0))</f>
        <v> </v>
      </c>
      <c r="O279" s="279" t="str">
        <f aca="false">IF(A279="N/A"," ",IF(AND('Pricing Inputs'!$AQ$3&gt;=1,'Pricing Inputs'!$AQ$3&lt;=3),VLOOKUP(A279,ScaledPrice,9),0))</f>
        <v> </v>
      </c>
      <c r="P279" s="280" t="str">
        <f aca="false">IF($A279="N/A"," ",IF('Pricing Inputs'!$AN$8=2,(I279-H279),IF('Pricing Inputs'!$AN$3=2,IF((I279-$H279)&gt;0,I279-$H279,0),(xSPRDOPT(I279,$E279,$BU279,0,$BP279,$BS279,$BT279,($A279-Inputs!$D$1)+15,1,0)))))</f>
        <v> </v>
      </c>
      <c r="Q279" s="280" t="str">
        <f aca="false">IF($A279="N/A"," ",IF('Pricing Inputs'!$AN$8=2,(J279-$H279),IF('Pricing Inputs'!$AN$3=2,IF((J279-$H279)&gt;0,J279-$H279,0),(xSPRDOPT(J279,$E279,$BU279,0,$BP279,$BS279,$BT279,($A279-Inputs!$D$1)+15,1,0)))))</f>
        <v> </v>
      </c>
      <c r="R279" s="280" t="str">
        <f aca="false">IF($A279="N/A"," ",IF('Pricing Inputs'!$AN$8=2,(K279-$H279),IF('Pricing Inputs'!$AN$3=2,IF((K279-$H279)&gt;0,K279-$H279,0),(xSPRDOPT(K279,$E279,$BU279,0,$BP279,$BS279,$BT279,($A279-Inputs!$D$1)+15,1,0)))))</f>
        <v> </v>
      </c>
      <c r="S279" s="280" t="str">
        <f aca="false">IF($A279="N/A"," ",IF('Pricing Inputs'!$AN$8=2,(L279-$H279),IF('Pricing Inputs'!$AN$3=2,IF((L279-$H279)&gt;0,L279-$H279,0),(xSPRDOPT(L279,$E279,$BU279,0,$BP279,$BS279,$BT279,($A279-Inputs!$D$1)+15,1,0)))))</f>
        <v> </v>
      </c>
      <c r="T279" s="280" t="str">
        <f aca="false">IF($A279="N/A"," ",IF('Pricing Inputs'!$AN$8=2,(M279-$H279),IF('Pricing Inputs'!$AN$3=2,IF((M279-$H279)&gt;0,M279-$H279,0),(xSPRDOPT(M279,$E279,$BU279,0,$BP279,$BS279,$BT279,($A279-Inputs!$D$1)+15,1,0)))))</f>
        <v> </v>
      </c>
      <c r="U279" s="280" t="str">
        <f aca="false">IF($A279="N/A"," ",IF('Pricing Inputs'!$AN$8=2,(N279-$H279),IF('Pricing Inputs'!$AN$3=2,IF((N279-$H279)&gt;0,N279-$H279,0),(xSPRDOPT(N279,$E279,$BU279,0,$BP279,$BS279,$BT279,($A279-Inputs!$D$1)+15,1,0)))))</f>
        <v> </v>
      </c>
      <c r="V279" s="281" t="str">
        <f aca="false">IF($A279="N/A"," ",(IF('Pricing Inputs'!$AN$8=2,(O279-$H279),IF((O279-$H279)&lt;=0,0,(O279-$H279)))))</f>
        <v> </v>
      </c>
      <c r="AK279" s="31"/>
      <c r="AL279" s="31"/>
      <c r="AM279" s="31"/>
      <c r="AN279" s="31"/>
      <c r="AO279" s="31"/>
      <c r="AP279" s="31"/>
      <c r="AQ279" s="31"/>
      <c r="AR279" s="31"/>
      <c r="BA279" s="291" t="str">
        <f aca="false">IF($A279="N/A"," ",(IF(MONTH(A279)&gt;=4,IF(MONTH(A279)&lt;=10,Inputs!$F$13,Inputs!$F$14),Inputs!$F$14))*$BW279)</f>
        <v> </v>
      </c>
      <c r="BN279" s="294" t="str">
        <f aca="false">IF(A279="N/A"," ",(VLOOKUP(A279,PowerVolTable,(IF('Pricing Inputs'!$AT$3=2,7,IF('Pricing Inputs'!$AT$3=1,6,8))),FALSE())))</f>
        <v> </v>
      </c>
      <c r="BO279" s="294" t="str">
        <f aca="false">IF(A279="N/A"," ",(VLOOKUP(A279,IntraPowerVol,(IF('Pricing Inputs'!$AT$3=2,3,IF('Pricing Inputs'!$AT$3=1,2,4))),FALSE())*VLOOKUP(MONTH($A279),Inputs!$A$28:$B$39,2)))</f>
        <v> </v>
      </c>
      <c r="BP279" s="295" t="str">
        <f aca="false">IF($A279="N/A"," ",(IF(DateToday&gt;$A279,$BO279,((($BN279^2)*((($A279-1)-DateToday)/((EOMONTH($A279,0)+1)-DateToday-15)))+((($BO279)^2)*((15)/((EOMONTH($A279,0)+1)-DateToday-15))))^0.5)))</f>
        <v> </v>
      </c>
      <c r="BQ279" s="294" t="str">
        <f aca="false">IF($A279="N/A"," ",(VLOOKUP($A279,GasVolTable,(IF('Pricing Inputs'!$AT$3=2,6,IF('Pricing Inputs'!$AT$3=1,7,5))),FALSE())))</f>
        <v> </v>
      </c>
      <c r="BR279" s="294" t="str">
        <f aca="false">IF($A279="N/A"," ",(VLOOKUP($A279,OmicronVol,(IF('Pricing Inputs'!$AT$3=2,3,IF('Pricing Inputs'!$AT$3=1,4,2))),FALSE())))</f>
        <v> </v>
      </c>
      <c r="BS279" s="295" t="str">
        <f aca="false">IF($A279="N/A"," ",IF('Pricing Inputs'!$AN$3=1,(IF(DateToday&gt;$A279,$BR279,((($BQ279^2)*((($A279-1)-DateToday)/((EOMONTH($A279,0)+1)-DateToday-15)))+((($BR279)^2)*((15)/((EOMONTH($A279,0)+1)-DateToday-15))))^0.5)),0.0001))</f>
        <v> </v>
      </c>
      <c r="BT279" s="294" t="str">
        <f aca="false">IF($A279="N/A"," ",IF('Pricing Inputs'!$AN$3=1,(VLOOKUP($A279,CorrelationTable,2,FALSE())),0))</f>
        <v> </v>
      </c>
      <c r="BU279" s="296" t="str">
        <f aca="false">IF($A279="N/A"," ",F279+G279+(D279*(VLOOKUP($A279,'Gas Curves'!$B$17:$P$310,14,FALSE()))))</f>
        <v> </v>
      </c>
      <c r="BV279" s="294" t="str">
        <f aca="false">IF($A279="N/A"," ",IF('Pricing Inputs'!$AW$3=1,0,(VLOOKUP($A279,InterestRatesTable,2))))</f>
        <v> </v>
      </c>
      <c r="BW279" s="297" t="str">
        <f aca="false">IF($A279="N/A"," ",(1+BV279/2)^(-2*((EOMONTH(A279,0)+20)-DateToday)/365.25))</f>
        <v> </v>
      </c>
    </row>
    <row r="280" customFormat="false" ht="12.75" hidden="false" customHeight="false" outlineLevel="0" collapsed="false">
      <c r="A280" s="272" t="str">
        <f aca="false">IF(A279="N/A","N/A",IF(EDATE(A279,1)&gt;Inputs!$K$3,"N/A",EDATE(A279,1)))</f>
        <v>N/A</v>
      </c>
      <c r="B280" s="273" t="str">
        <f aca="false">IF(A280="N/A"," ",YEAR(A280))</f>
        <v> </v>
      </c>
      <c r="C280" s="274" t="str">
        <f aca="false">IF(A280="N/A"," ",VLOOKUP(A280,ScaledPrice,10))</f>
        <v> </v>
      </c>
      <c r="D280" s="275" t="str">
        <f aca="false">IF(A280="N/A"," ",(VLOOKUP(MONTH($A280),Inputs!$A$14:$B$25,2))/1000)</f>
        <v> </v>
      </c>
      <c r="E280" s="276" t="str">
        <f aca="false">IF($A280="N/A"," ",C280*D280)</f>
        <v> </v>
      </c>
      <c r="F280" s="277" t="str">
        <f aca="false">IF(A280="N/A"," ",Inputs!$F$6)</f>
        <v> </v>
      </c>
      <c r="G280" s="277" t="str">
        <f aca="false">IF(A280="N/A"," ",Inputs!$F$9/IF(AND('Pricing Inputs'!$AQ$3&gt;=4,'Pricing Inputs'!$AQ$3&lt;=6),16,IF(AND('Pricing Inputs'!$AQ$3&gt;=7,'Pricing Inputs'!$AQ$3&lt;=9),8,24))/(BA280/BW280))</f>
        <v> </v>
      </c>
      <c r="H280" s="278" t="str">
        <f aca="false">IF(A280="N/A"," ",(C280*D280)+F280+G280)</f>
        <v> </v>
      </c>
      <c r="I280" s="279" t="str">
        <f aca="false">VLOOKUP(A280,ScaledPrice,(IF(AND('Pricing Inputs'!$AQ$3&gt;=1,'Pricing Inputs'!$AQ$3&lt;=6),2,4)))</f>
        <v> </v>
      </c>
      <c r="J280" s="279" t="str">
        <f aca="false">IF(A280="N/A"," ",IF(AND('Pricing Inputs'!$AQ$3&gt;=1,'Pricing Inputs'!$AQ$3&lt;=6),I280,(VLOOKUP(A280,ScaledPrice,2))*(2-(VLOOKUP(A280,ScaledPrice,3)))))</f>
        <v> </v>
      </c>
      <c r="K280" s="279" t="str">
        <f aca="false">IF(A280="N/A"," ",IF(OR('Pricing Inputs'!$AQ$3=2,'Pricing Inputs'!$AQ$3=3,'Pricing Inputs'!$AQ$3=5,'Pricing Inputs'!$AQ$3=6,'Pricing Inputs'!$AQ$3=8,'Pricing Inputs'!$AQ$3=9),VLOOKUP(A280,ScaledPrice,IF(AND('Pricing Inputs'!$AQ$3&gt;=2,'Pricing Inputs'!$AQ$3&lt;=6),5,6)),0))</f>
        <v> </v>
      </c>
      <c r="L280" s="279" t="str">
        <f aca="false">IF(A280="N/A"," ",IF(OR('Pricing Inputs'!$AQ$3=2,'Pricing Inputs'!$AQ$3=3,'Pricing Inputs'!$AQ$3=5,'Pricing Inputs'!$AQ$3=6,'Pricing Inputs'!$AQ$3=8,'Pricing Inputs'!$AQ$3=9),IF(AND('Pricing Inputs'!$AQ$3&gt;=2,'Pricing Inputs'!$AQ$3&lt;=6),K280,(VLOOKUP(A280,ScaledPrice,5))*(2-(VLOOKUP(A280,ScaledPrice,3)))),0))</f>
        <v> </v>
      </c>
      <c r="M280" s="279" t="str">
        <f aca="false">IF(A280="N/A"," ",IF(OR('Pricing Inputs'!$AQ$3=3,'Pricing Inputs'!$AQ$3=6,'Pricing Inputs'!$AQ$3=9),(VLOOKUP(A280,ScaledPrice,IF(AND('Pricing Inputs'!$AQ$3&gt;=3,'Pricing Inputs'!$AQ$3&lt;=6),7,8))),0))</f>
        <v> </v>
      </c>
      <c r="N280" s="279" t="str">
        <f aca="false">IF(A280="N/A"," ",IF(OR('Pricing Inputs'!$AQ$3=3,'Pricing Inputs'!$AQ$3=6,'Pricing Inputs'!$AQ$3=9),IF(AND('Pricing Inputs'!$AQ$3&gt;=3,'Pricing Inputs'!$AQ$3&lt;=6),M280,(VLOOKUP(A280,ScaledPrice,7))*(2-(VLOOKUP(A280,ScaledPrice,3)))),0))</f>
        <v> </v>
      </c>
      <c r="O280" s="279" t="str">
        <f aca="false">IF(A280="N/A"," ",IF(AND('Pricing Inputs'!$AQ$3&gt;=1,'Pricing Inputs'!$AQ$3&lt;=3),VLOOKUP(A280,ScaledPrice,9),0))</f>
        <v> </v>
      </c>
      <c r="P280" s="280" t="str">
        <f aca="false">IF($A280="N/A"," ",IF('Pricing Inputs'!$AN$8=2,(I280-H280),IF('Pricing Inputs'!$AN$3=2,IF((I280-$H280)&gt;0,I280-$H280,0),(xSPRDOPT(I280,$E280,$BU280,0,$BP280,$BS280,$BT280,($A280-Inputs!$D$1)+15,1,0)))))</f>
        <v> </v>
      </c>
      <c r="Q280" s="280" t="str">
        <f aca="false">IF($A280="N/A"," ",IF('Pricing Inputs'!$AN$8=2,(J280-$H280),IF('Pricing Inputs'!$AN$3=2,IF((J280-$H280)&gt;0,J280-$H280,0),(xSPRDOPT(J280,$E280,$BU280,0,$BP280,$BS280,$BT280,($A280-Inputs!$D$1)+15,1,0)))))</f>
        <v> </v>
      </c>
      <c r="R280" s="280" t="str">
        <f aca="false">IF($A280="N/A"," ",IF('Pricing Inputs'!$AN$8=2,(K280-$H280),IF('Pricing Inputs'!$AN$3=2,IF((K280-$H280)&gt;0,K280-$H280,0),(xSPRDOPT(K280,$E280,$BU280,0,$BP280,$BS280,$BT280,($A280-Inputs!$D$1)+15,1,0)))))</f>
        <v> </v>
      </c>
      <c r="S280" s="280" t="str">
        <f aca="false">IF($A280="N/A"," ",IF('Pricing Inputs'!$AN$8=2,(L280-$H280),IF('Pricing Inputs'!$AN$3=2,IF((L280-$H280)&gt;0,L280-$H280,0),(xSPRDOPT(L280,$E280,$BU280,0,$BP280,$BS280,$BT280,($A280-Inputs!$D$1)+15,1,0)))))</f>
        <v> </v>
      </c>
      <c r="T280" s="280" t="str">
        <f aca="false">IF($A280="N/A"," ",IF('Pricing Inputs'!$AN$8=2,(M280-$H280),IF('Pricing Inputs'!$AN$3=2,IF((M280-$H280)&gt;0,M280-$H280,0),(xSPRDOPT(M280,$E280,$BU280,0,$BP280,$BS280,$BT280,($A280-Inputs!$D$1)+15,1,0)))))</f>
        <v> </v>
      </c>
      <c r="U280" s="280" t="str">
        <f aca="false">IF($A280="N/A"," ",IF('Pricing Inputs'!$AN$8=2,(N280-$H280),IF('Pricing Inputs'!$AN$3=2,IF((N280-$H280)&gt;0,N280-$H280,0),(xSPRDOPT(N280,$E280,$BU280,0,$BP280,$BS280,$BT280,($A280-Inputs!$D$1)+15,1,0)))))</f>
        <v> </v>
      </c>
      <c r="V280" s="281" t="str">
        <f aca="false">IF($A280="N/A"," ",(IF('Pricing Inputs'!$AN$8=2,(O280-$H280),IF((O280-$H280)&lt;=0,0,(O280-$H280)))))</f>
        <v> </v>
      </c>
      <c r="AK280" s="31"/>
      <c r="AL280" s="31"/>
      <c r="AM280" s="31"/>
      <c r="AN280" s="31"/>
      <c r="AO280" s="31"/>
      <c r="AP280" s="31"/>
      <c r="AQ280" s="31"/>
      <c r="AR280" s="31"/>
      <c r="BA280" s="291" t="str">
        <f aca="false">IF($A280="N/A"," ",(IF(MONTH(A280)&gt;=4,IF(MONTH(A280)&lt;=10,Inputs!$F$13,Inputs!$F$14),Inputs!$F$14))*$BW280)</f>
        <v> </v>
      </c>
      <c r="BN280" s="294" t="str">
        <f aca="false">IF(A280="N/A"," ",(VLOOKUP(A280,PowerVolTable,(IF('Pricing Inputs'!$AT$3=2,7,IF('Pricing Inputs'!$AT$3=1,6,8))),FALSE())))</f>
        <v> </v>
      </c>
      <c r="BO280" s="294" t="str">
        <f aca="false">IF(A280="N/A"," ",(VLOOKUP(A280,IntraPowerVol,(IF('Pricing Inputs'!$AT$3=2,3,IF('Pricing Inputs'!$AT$3=1,2,4))),FALSE())*VLOOKUP(MONTH($A280),Inputs!$A$28:$B$39,2)))</f>
        <v> </v>
      </c>
      <c r="BP280" s="295" t="str">
        <f aca="false">IF($A280="N/A"," ",(IF(DateToday&gt;$A280,$BO280,((($BN280^2)*((($A280-1)-DateToday)/((EOMONTH($A280,0)+1)-DateToday-15)))+((($BO280)^2)*((15)/((EOMONTH($A280,0)+1)-DateToday-15))))^0.5)))</f>
        <v> </v>
      </c>
      <c r="BQ280" s="294" t="str">
        <f aca="false">IF($A280="N/A"," ",(VLOOKUP($A280,GasVolTable,(IF('Pricing Inputs'!$AT$3=2,6,IF('Pricing Inputs'!$AT$3=1,7,5))),FALSE())))</f>
        <v> </v>
      </c>
      <c r="BR280" s="294" t="str">
        <f aca="false">IF($A280="N/A"," ",(VLOOKUP($A280,OmicronVol,(IF('Pricing Inputs'!$AT$3=2,3,IF('Pricing Inputs'!$AT$3=1,4,2))),FALSE())))</f>
        <v> </v>
      </c>
      <c r="BS280" s="295" t="str">
        <f aca="false">IF($A280="N/A"," ",IF('Pricing Inputs'!$AN$3=1,(IF(DateToday&gt;$A280,$BR280,((($BQ280^2)*((($A280-1)-DateToday)/((EOMONTH($A280,0)+1)-DateToday-15)))+((($BR280)^2)*((15)/((EOMONTH($A280,0)+1)-DateToday-15))))^0.5)),0.0001))</f>
        <v> </v>
      </c>
      <c r="BT280" s="294" t="str">
        <f aca="false">IF($A280="N/A"," ",IF('Pricing Inputs'!$AN$3=1,(VLOOKUP($A280,CorrelationTable,2,FALSE())),0))</f>
        <v> </v>
      </c>
      <c r="BU280" s="296" t="str">
        <f aca="false">IF($A280="N/A"," ",F280+G280+(D280*(VLOOKUP($A280,'Gas Curves'!$B$17:$P$310,14,FALSE()))))</f>
        <v> </v>
      </c>
      <c r="BV280" s="294" t="str">
        <f aca="false">IF($A280="N/A"," ",IF('Pricing Inputs'!$AW$3=1,0,(VLOOKUP($A280,InterestRatesTable,2))))</f>
        <v> </v>
      </c>
      <c r="BW280" s="297" t="str">
        <f aca="false">IF($A280="N/A"," ",(1+BV280/2)^(-2*((EOMONTH(A280,0)+20)-DateToday)/365.25))</f>
        <v> </v>
      </c>
    </row>
    <row r="281" customFormat="false" ht="12.75" hidden="false" customHeight="false" outlineLevel="0" collapsed="false">
      <c r="A281" s="272" t="str">
        <f aca="false">IF(A280="N/A","N/A",IF(EDATE(A280,1)&gt;Inputs!$K$3,"N/A",EDATE(A280,1)))</f>
        <v>N/A</v>
      </c>
      <c r="B281" s="273" t="str">
        <f aca="false">IF(A281="N/A"," ",YEAR(A281))</f>
        <v> </v>
      </c>
      <c r="C281" s="274" t="str">
        <f aca="false">IF(A281="N/A"," ",VLOOKUP(A281,ScaledPrice,10))</f>
        <v> </v>
      </c>
      <c r="D281" s="275" t="str">
        <f aca="false">IF(A281="N/A"," ",(VLOOKUP(MONTH($A281),Inputs!$A$14:$B$25,2))/1000)</f>
        <v> </v>
      </c>
      <c r="E281" s="276" t="str">
        <f aca="false">IF($A281="N/A"," ",C281*D281)</f>
        <v> </v>
      </c>
      <c r="F281" s="277" t="str">
        <f aca="false">IF(A281="N/A"," ",Inputs!$F$6)</f>
        <v> </v>
      </c>
      <c r="G281" s="277" t="str">
        <f aca="false">IF(A281="N/A"," ",Inputs!$F$9/IF(AND('Pricing Inputs'!$AQ$3&gt;=4,'Pricing Inputs'!$AQ$3&lt;=6),16,IF(AND('Pricing Inputs'!$AQ$3&gt;=7,'Pricing Inputs'!$AQ$3&lt;=9),8,24))/(BA281/BW281))</f>
        <v> </v>
      </c>
      <c r="H281" s="278" t="str">
        <f aca="false">IF(A281="N/A"," ",(C281*D281)+F281+G281)</f>
        <v> </v>
      </c>
      <c r="I281" s="279" t="str">
        <f aca="false">VLOOKUP(A281,ScaledPrice,(IF(AND('Pricing Inputs'!$AQ$3&gt;=1,'Pricing Inputs'!$AQ$3&lt;=6),2,4)))</f>
        <v> </v>
      </c>
      <c r="J281" s="279" t="str">
        <f aca="false">IF(A281="N/A"," ",IF(AND('Pricing Inputs'!$AQ$3&gt;=1,'Pricing Inputs'!$AQ$3&lt;=6),I281,(VLOOKUP(A281,ScaledPrice,2))*(2-(VLOOKUP(A281,ScaledPrice,3)))))</f>
        <v> </v>
      </c>
      <c r="K281" s="279" t="str">
        <f aca="false">IF(A281="N/A"," ",IF(OR('Pricing Inputs'!$AQ$3=2,'Pricing Inputs'!$AQ$3=3,'Pricing Inputs'!$AQ$3=5,'Pricing Inputs'!$AQ$3=6,'Pricing Inputs'!$AQ$3=8,'Pricing Inputs'!$AQ$3=9),VLOOKUP(A281,ScaledPrice,IF(AND('Pricing Inputs'!$AQ$3&gt;=2,'Pricing Inputs'!$AQ$3&lt;=6),5,6)),0))</f>
        <v> </v>
      </c>
      <c r="L281" s="279" t="str">
        <f aca="false">IF(A281="N/A"," ",IF(OR('Pricing Inputs'!$AQ$3=2,'Pricing Inputs'!$AQ$3=3,'Pricing Inputs'!$AQ$3=5,'Pricing Inputs'!$AQ$3=6,'Pricing Inputs'!$AQ$3=8,'Pricing Inputs'!$AQ$3=9),IF(AND('Pricing Inputs'!$AQ$3&gt;=2,'Pricing Inputs'!$AQ$3&lt;=6),K281,(VLOOKUP(A281,ScaledPrice,5))*(2-(VLOOKUP(A281,ScaledPrice,3)))),0))</f>
        <v> </v>
      </c>
      <c r="M281" s="279" t="str">
        <f aca="false">IF(A281="N/A"," ",IF(OR('Pricing Inputs'!$AQ$3=3,'Pricing Inputs'!$AQ$3=6,'Pricing Inputs'!$AQ$3=9),(VLOOKUP(A281,ScaledPrice,IF(AND('Pricing Inputs'!$AQ$3&gt;=3,'Pricing Inputs'!$AQ$3&lt;=6),7,8))),0))</f>
        <v> </v>
      </c>
      <c r="N281" s="279" t="str">
        <f aca="false">IF(A281="N/A"," ",IF(OR('Pricing Inputs'!$AQ$3=3,'Pricing Inputs'!$AQ$3=6,'Pricing Inputs'!$AQ$3=9),IF(AND('Pricing Inputs'!$AQ$3&gt;=3,'Pricing Inputs'!$AQ$3&lt;=6),M281,(VLOOKUP(A281,ScaledPrice,7))*(2-(VLOOKUP(A281,ScaledPrice,3)))),0))</f>
        <v> </v>
      </c>
      <c r="O281" s="279" t="str">
        <f aca="false">IF(A281="N/A"," ",IF(AND('Pricing Inputs'!$AQ$3&gt;=1,'Pricing Inputs'!$AQ$3&lt;=3),VLOOKUP(A281,ScaledPrice,9),0))</f>
        <v> </v>
      </c>
      <c r="P281" s="280" t="str">
        <f aca="false">IF($A281="N/A"," ",IF('Pricing Inputs'!$AN$8=2,(I281-H281),IF('Pricing Inputs'!$AN$3=2,IF((I281-$H281)&gt;0,I281-$H281,0),(xSPRDOPT(I281,$E281,$BU281,0,$BP281,$BS281,$BT281,($A281-Inputs!$D$1)+15,1,0)))))</f>
        <v> </v>
      </c>
      <c r="Q281" s="280" t="str">
        <f aca="false">IF($A281="N/A"," ",IF('Pricing Inputs'!$AN$8=2,(J281-$H281),IF('Pricing Inputs'!$AN$3=2,IF((J281-$H281)&gt;0,J281-$H281,0),(xSPRDOPT(J281,$E281,$BU281,0,$BP281,$BS281,$BT281,($A281-Inputs!$D$1)+15,1,0)))))</f>
        <v> </v>
      </c>
      <c r="R281" s="280" t="str">
        <f aca="false">IF($A281="N/A"," ",IF('Pricing Inputs'!$AN$8=2,(K281-$H281),IF('Pricing Inputs'!$AN$3=2,IF((K281-$H281)&gt;0,K281-$H281,0),(xSPRDOPT(K281,$E281,$BU281,0,$BP281,$BS281,$BT281,($A281-Inputs!$D$1)+15,1,0)))))</f>
        <v> </v>
      </c>
      <c r="S281" s="280" t="str">
        <f aca="false">IF($A281="N/A"," ",IF('Pricing Inputs'!$AN$8=2,(L281-$H281),IF('Pricing Inputs'!$AN$3=2,IF((L281-$H281)&gt;0,L281-$H281,0),(xSPRDOPT(L281,$E281,$BU281,0,$BP281,$BS281,$BT281,($A281-Inputs!$D$1)+15,1,0)))))</f>
        <v> </v>
      </c>
      <c r="T281" s="280" t="str">
        <f aca="false">IF($A281="N/A"," ",IF('Pricing Inputs'!$AN$8=2,(M281-$H281),IF('Pricing Inputs'!$AN$3=2,IF((M281-$H281)&gt;0,M281-$H281,0),(xSPRDOPT(M281,$E281,$BU281,0,$BP281,$BS281,$BT281,($A281-Inputs!$D$1)+15,1,0)))))</f>
        <v> </v>
      </c>
      <c r="U281" s="280" t="str">
        <f aca="false">IF($A281="N/A"," ",IF('Pricing Inputs'!$AN$8=2,(N281-$H281),IF('Pricing Inputs'!$AN$3=2,IF((N281-$H281)&gt;0,N281-$H281,0),(xSPRDOPT(N281,$E281,$BU281,0,$BP281,$BS281,$BT281,($A281-Inputs!$D$1)+15,1,0)))))</f>
        <v> </v>
      </c>
      <c r="V281" s="281" t="str">
        <f aca="false">IF($A281="N/A"," ",(IF('Pricing Inputs'!$AN$8=2,(O281-$H281),IF((O281-$H281)&lt;=0,0,(O281-$H281)))))</f>
        <v> </v>
      </c>
      <c r="AK281" s="31"/>
      <c r="AL281" s="31"/>
      <c r="AM281" s="31"/>
      <c r="AN281" s="31"/>
      <c r="AO281" s="31"/>
      <c r="AP281" s="31"/>
      <c r="AQ281" s="31"/>
      <c r="AR281" s="31"/>
      <c r="BA281" s="291" t="str">
        <f aca="false">IF($A281="N/A"," ",(IF(MONTH(A281)&gt;=4,IF(MONTH(A281)&lt;=10,Inputs!$F$13,Inputs!$F$14),Inputs!$F$14))*$BW281)</f>
        <v> </v>
      </c>
      <c r="BN281" s="294" t="str">
        <f aca="false">IF(A281="N/A"," ",(VLOOKUP(A281,PowerVolTable,(IF('Pricing Inputs'!$AT$3=2,7,IF('Pricing Inputs'!$AT$3=1,6,8))),FALSE())))</f>
        <v> </v>
      </c>
      <c r="BO281" s="294" t="str">
        <f aca="false">IF(A281="N/A"," ",(VLOOKUP(A281,IntraPowerVol,(IF('Pricing Inputs'!$AT$3=2,3,IF('Pricing Inputs'!$AT$3=1,2,4))),FALSE())*VLOOKUP(MONTH($A281),Inputs!$A$28:$B$39,2)))</f>
        <v> </v>
      </c>
      <c r="BP281" s="295" t="str">
        <f aca="false">IF($A281="N/A"," ",(IF(DateToday&gt;$A281,$BO281,((($BN281^2)*((($A281-1)-DateToday)/((EOMONTH($A281,0)+1)-DateToday-15)))+((($BO281)^2)*((15)/((EOMONTH($A281,0)+1)-DateToday-15))))^0.5)))</f>
        <v> </v>
      </c>
      <c r="BQ281" s="294" t="str">
        <f aca="false">IF($A281="N/A"," ",(VLOOKUP($A281,GasVolTable,(IF('Pricing Inputs'!$AT$3=2,6,IF('Pricing Inputs'!$AT$3=1,7,5))),FALSE())))</f>
        <v> </v>
      </c>
      <c r="BR281" s="294" t="str">
        <f aca="false">IF($A281="N/A"," ",(VLOOKUP($A281,OmicronVol,(IF('Pricing Inputs'!$AT$3=2,3,IF('Pricing Inputs'!$AT$3=1,4,2))),FALSE())))</f>
        <v> </v>
      </c>
      <c r="BS281" s="295" t="str">
        <f aca="false">IF($A281="N/A"," ",IF('Pricing Inputs'!$AN$3=1,(IF(DateToday&gt;$A281,$BR281,((($BQ281^2)*((($A281-1)-DateToday)/((EOMONTH($A281,0)+1)-DateToday-15)))+((($BR281)^2)*((15)/((EOMONTH($A281,0)+1)-DateToday-15))))^0.5)),0.0001))</f>
        <v> </v>
      </c>
      <c r="BT281" s="294" t="str">
        <f aca="false">IF($A281="N/A"," ",IF('Pricing Inputs'!$AN$3=1,(VLOOKUP($A281,CorrelationTable,2,FALSE())),0))</f>
        <v> </v>
      </c>
      <c r="BU281" s="296" t="str">
        <f aca="false">IF($A281="N/A"," ",F281+G281+(D281*(VLOOKUP($A281,'Gas Curves'!$B$17:$P$310,14,FALSE()))))</f>
        <v> </v>
      </c>
      <c r="BV281" s="294" t="str">
        <f aca="false">IF($A281="N/A"," ",IF('Pricing Inputs'!$AW$3=1,0,(VLOOKUP($A281,InterestRatesTable,2))))</f>
        <v> </v>
      </c>
      <c r="BW281" s="297" t="str">
        <f aca="false">IF($A281="N/A"," ",(1+BV281/2)^(-2*((EOMONTH(A281,0)+20)-DateToday)/365.25))</f>
        <v> </v>
      </c>
    </row>
    <row r="282" customFormat="false" ht="12.75" hidden="false" customHeight="false" outlineLevel="0" collapsed="false">
      <c r="A282" s="272" t="str">
        <f aca="false">IF(A281="N/A","N/A",IF(EDATE(A281,1)&gt;Inputs!$K$3,"N/A",EDATE(A281,1)))</f>
        <v>N/A</v>
      </c>
      <c r="B282" s="273" t="str">
        <f aca="false">IF(A282="N/A"," ",YEAR(A282))</f>
        <v> </v>
      </c>
      <c r="C282" s="274" t="str">
        <f aca="false">IF(A282="N/A"," ",VLOOKUP(A282,ScaledPrice,10))</f>
        <v> </v>
      </c>
      <c r="D282" s="275" t="str">
        <f aca="false">IF(A282="N/A"," ",(VLOOKUP(MONTH($A282),Inputs!$A$14:$B$25,2))/1000)</f>
        <v> </v>
      </c>
      <c r="E282" s="276" t="str">
        <f aca="false">IF($A282="N/A"," ",C282*D282)</f>
        <v> </v>
      </c>
      <c r="F282" s="277" t="str">
        <f aca="false">IF(A282="N/A"," ",Inputs!$F$6)</f>
        <v> </v>
      </c>
      <c r="G282" s="277" t="str">
        <f aca="false">IF(A282="N/A"," ",Inputs!$F$9/IF(AND('Pricing Inputs'!$AQ$3&gt;=4,'Pricing Inputs'!$AQ$3&lt;=6),16,IF(AND('Pricing Inputs'!$AQ$3&gt;=7,'Pricing Inputs'!$AQ$3&lt;=9),8,24))/(BA282/BW282))</f>
        <v> </v>
      </c>
      <c r="H282" s="278" t="str">
        <f aca="false">IF(A282="N/A"," ",(C282*D282)+F282+G282)</f>
        <v> </v>
      </c>
      <c r="I282" s="279" t="str">
        <f aca="false">VLOOKUP(A282,ScaledPrice,(IF(AND('Pricing Inputs'!$AQ$3&gt;=1,'Pricing Inputs'!$AQ$3&lt;=6),2,4)))</f>
        <v> </v>
      </c>
      <c r="J282" s="279" t="str">
        <f aca="false">IF(A282="N/A"," ",IF(AND('Pricing Inputs'!$AQ$3&gt;=1,'Pricing Inputs'!$AQ$3&lt;=6),I282,(VLOOKUP(A282,ScaledPrice,2))*(2-(VLOOKUP(A282,ScaledPrice,3)))))</f>
        <v> </v>
      </c>
      <c r="K282" s="279" t="str">
        <f aca="false">IF(A282="N/A"," ",IF(OR('Pricing Inputs'!$AQ$3=2,'Pricing Inputs'!$AQ$3=3,'Pricing Inputs'!$AQ$3=5,'Pricing Inputs'!$AQ$3=6,'Pricing Inputs'!$AQ$3=8,'Pricing Inputs'!$AQ$3=9),VLOOKUP(A282,ScaledPrice,IF(AND('Pricing Inputs'!$AQ$3&gt;=2,'Pricing Inputs'!$AQ$3&lt;=6),5,6)),0))</f>
        <v> </v>
      </c>
      <c r="L282" s="279" t="str">
        <f aca="false">IF(A282="N/A"," ",IF(OR('Pricing Inputs'!$AQ$3=2,'Pricing Inputs'!$AQ$3=3,'Pricing Inputs'!$AQ$3=5,'Pricing Inputs'!$AQ$3=6,'Pricing Inputs'!$AQ$3=8,'Pricing Inputs'!$AQ$3=9),IF(AND('Pricing Inputs'!$AQ$3&gt;=2,'Pricing Inputs'!$AQ$3&lt;=6),K282,(VLOOKUP(A282,ScaledPrice,5))*(2-(VLOOKUP(A282,ScaledPrice,3)))),0))</f>
        <v> </v>
      </c>
      <c r="M282" s="279" t="str">
        <f aca="false">IF(A282="N/A"," ",IF(OR('Pricing Inputs'!$AQ$3=3,'Pricing Inputs'!$AQ$3=6,'Pricing Inputs'!$AQ$3=9),(VLOOKUP(A282,ScaledPrice,IF(AND('Pricing Inputs'!$AQ$3&gt;=3,'Pricing Inputs'!$AQ$3&lt;=6),7,8))),0))</f>
        <v> </v>
      </c>
      <c r="N282" s="279" t="str">
        <f aca="false">IF(A282="N/A"," ",IF(OR('Pricing Inputs'!$AQ$3=3,'Pricing Inputs'!$AQ$3=6,'Pricing Inputs'!$AQ$3=9),IF(AND('Pricing Inputs'!$AQ$3&gt;=3,'Pricing Inputs'!$AQ$3&lt;=6),M282,(VLOOKUP(A282,ScaledPrice,7))*(2-(VLOOKUP(A282,ScaledPrice,3)))),0))</f>
        <v> </v>
      </c>
      <c r="O282" s="279" t="str">
        <f aca="false">IF(A282="N/A"," ",IF(AND('Pricing Inputs'!$AQ$3&gt;=1,'Pricing Inputs'!$AQ$3&lt;=3),VLOOKUP(A282,ScaledPrice,9),0))</f>
        <v> </v>
      </c>
      <c r="P282" s="280" t="str">
        <f aca="false">IF($A282="N/A"," ",IF('Pricing Inputs'!$AN$8=2,(I282-H282),IF('Pricing Inputs'!$AN$3=2,IF((I282-$H282)&gt;0,I282-$H282,0),(xSPRDOPT(I282,$E282,$BU282,0,$BP282,$BS282,$BT282,($A282-Inputs!$D$1)+15,1,0)))))</f>
        <v> </v>
      </c>
      <c r="Q282" s="280" t="str">
        <f aca="false">IF($A282="N/A"," ",IF('Pricing Inputs'!$AN$8=2,(J282-$H282),IF('Pricing Inputs'!$AN$3=2,IF((J282-$H282)&gt;0,J282-$H282,0),(xSPRDOPT(J282,$E282,$BU282,0,$BP282,$BS282,$BT282,($A282-Inputs!$D$1)+15,1,0)))))</f>
        <v> </v>
      </c>
      <c r="R282" s="280" t="str">
        <f aca="false">IF($A282="N/A"," ",IF('Pricing Inputs'!$AN$8=2,(K282-$H282),IF('Pricing Inputs'!$AN$3=2,IF((K282-$H282)&gt;0,K282-$H282,0),(xSPRDOPT(K282,$E282,$BU282,0,$BP282,$BS282,$BT282,($A282-Inputs!$D$1)+15,1,0)))))</f>
        <v> </v>
      </c>
      <c r="S282" s="280" t="str">
        <f aca="false">IF($A282="N/A"," ",IF('Pricing Inputs'!$AN$8=2,(L282-$H282),IF('Pricing Inputs'!$AN$3=2,IF((L282-$H282)&gt;0,L282-$H282,0),(xSPRDOPT(L282,$E282,$BU282,0,$BP282,$BS282,$BT282,($A282-Inputs!$D$1)+15,1,0)))))</f>
        <v> </v>
      </c>
      <c r="T282" s="280" t="str">
        <f aca="false">IF($A282="N/A"," ",IF('Pricing Inputs'!$AN$8=2,(M282-$H282),IF('Pricing Inputs'!$AN$3=2,IF((M282-$H282)&gt;0,M282-$H282,0),(xSPRDOPT(M282,$E282,$BU282,0,$BP282,$BS282,$BT282,($A282-Inputs!$D$1)+15,1,0)))))</f>
        <v> </v>
      </c>
      <c r="U282" s="280" t="str">
        <f aca="false">IF($A282="N/A"," ",IF('Pricing Inputs'!$AN$8=2,(N282-$H282),IF('Pricing Inputs'!$AN$3=2,IF((N282-$H282)&gt;0,N282-$H282,0),(xSPRDOPT(N282,$E282,$BU282,0,$BP282,$BS282,$BT282,($A282-Inputs!$D$1)+15,1,0)))))</f>
        <v> </v>
      </c>
      <c r="V282" s="281" t="str">
        <f aca="false">IF($A282="N/A"," ",(IF('Pricing Inputs'!$AN$8=2,(O282-$H282),IF((O282-$H282)&lt;=0,0,(O282-$H282)))))</f>
        <v> </v>
      </c>
      <c r="AK282" s="31"/>
      <c r="AL282" s="31"/>
      <c r="AM282" s="31"/>
      <c r="AN282" s="31"/>
      <c r="AO282" s="31"/>
      <c r="AP282" s="31"/>
      <c r="AQ282" s="31"/>
      <c r="AR282" s="31"/>
      <c r="BA282" s="291" t="str">
        <f aca="false">IF($A282="N/A"," ",(IF(MONTH(A282)&gt;=4,IF(MONTH(A282)&lt;=10,Inputs!$F$13,Inputs!$F$14),Inputs!$F$14))*$BW282)</f>
        <v> </v>
      </c>
      <c r="BN282" s="294" t="str">
        <f aca="false">IF(A282="N/A"," ",(VLOOKUP(A282,PowerVolTable,(IF('Pricing Inputs'!$AT$3=2,7,IF('Pricing Inputs'!$AT$3=1,6,8))),FALSE())))</f>
        <v> </v>
      </c>
      <c r="BO282" s="294" t="str">
        <f aca="false">IF(A282="N/A"," ",(VLOOKUP(A282,IntraPowerVol,(IF('Pricing Inputs'!$AT$3=2,3,IF('Pricing Inputs'!$AT$3=1,2,4))),FALSE())*VLOOKUP(MONTH($A282),Inputs!$A$28:$B$39,2)))</f>
        <v> </v>
      </c>
      <c r="BP282" s="295" t="str">
        <f aca="false">IF($A282="N/A"," ",(IF(DateToday&gt;$A282,$BO282,((($BN282^2)*((($A282-1)-DateToday)/((EOMONTH($A282,0)+1)-DateToday-15)))+((($BO282)^2)*((15)/((EOMONTH($A282,0)+1)-DateToday-15))))^0.5)))</f>
        <v> </v>
      </c>
      <c r="BQ282" s="294" t="str">
        <f aca="false">IF($A282="N/A"," ",(VLOOKUP($A282,GasVolTable,(IF('Pricing Inputs'!$AT$3=2,6,IF('Pricing Inputs'!$AT$3=1,7,5))),FALSE())))</f>
        <v> </v>
      </c>
      <c r="BR282" s="294" t="str">
        <f aca="false">IF($A282="N/A"," ",(VLOOKUP($A282,OmicronVol,(IF('Pricing Inputs'!$AT$3=2,3,IF('Pricing Inputs'!$AT$3=1,4,2))),FALSE())))</f>
        <v> </v>
      </c>
      <c r="BS282" s="295" t="str">
        <f aca="false">IF($A282="N/A"," ",IF('Pricing Inputs'!$AN$3=1,(IF(DateToday&gt;$A282,$BR282,((($BQ282^2)*((($A282-1)-DateToday)/((EOMONTH($A282,0)+1)-DateToday-15)))+((($BR282)^2)*((15)/((EOMONTH($A282,0)+1)-DateToday-15))))^0.5)),0.0001))</f>
        <v> </v>
      </c>
      <c r="BT282" s="294" t="str">
        <f aca="false">IF($A282="N/A"," ",IF('Pricing Inputs'!$AN$3=1,(VLOOKUP($A282,CorrelationTable,2,FALSE())),0))</f>
        <v> </v>
      </c>
      <c r="BU282" s="296" t="str">
        <f aca="false">IF($A282="N/A"," ",F282+G282+(D282*(VLOOKUP($A282,'Gas Curves'!$B$17:$P$310,14,FALSE()))))</f>
        <v> </v>
      </c>
      <c r="BV282" s="294" t="str">
        <f aca="false">IF($A282="N/A"," ",IF('Pricing Inputs'!$AW$3=1,0,(VLOOKUP($A282,InterestRatesTable,2))))</f>
        <v> </v>
      </c>
      <c r="BW282" s="297" t="str">
        <f aca="false">IF($A282="N/A"," ",(1+BV282/2)^(-2*((EOMONTH(A282,0)+20)-DateToday)/365.25))</f>
        <v> </v>
      </c>
    </row>
    <row r="283" customFormat="false" ht="12.75" hidden="false" customHeight="false" outlineLevel="0" collapsed="false">
      <c r="A283" s="272" t="str">
        <f aca="false">IF(A282="N/A","N/A",IF(EDATE(A282,1)&gt;Inputs!$K$3,"N/A",EDATE(A282,1)))</f>
        <v>N/A</v>
      </c>
      <c r="B283" s="273" t="str">
        <f aca="false">IF(A283="N/A"," ",YEAR(A283))</f>
        <v> </v>
      </c>
      <c r="C283" s="274" t="str">
        <f aca="false">IF(A283="N/A"," ",VLOOKUP(A283,ScaledPrice,10))</f>
        <v> </v>
      </c>
      <c r="D283" s="275" t="str">
        <f aca="false">IF(A283="N/A"," ",(VLOOKUP(MONTH($A283),Inputs!$A$14:$B$25,2))/1000)</f>
        <v> </v>
      </c>
      <c r="E283" s="276" t="str">
        <f aca="false">IF($A283="N/A"," ",C283*D283)</f>
        <v> </v>
      </c>
      <c r="F283" s="277" t="str">
        <f aca="false">IF(A283="N/A"," ",Inputs!$F$6)</f>
        <v> </v>
      </c>
      <c r="G283" s="277" t="str">
        <f aca="false">IF(A283="N/A"," ",Inputs!$F$9/IF(AND('Pricing Inputs'!$AQ$3&gt;=4,'Pricing Inputs'!$AQ$3&lt;=6),16,IF(AND('Pricing Inputs'!$AQ$3&gt;=7,'Pricing Inputs'!$AQ$3&lt;=9),8,24))/(BA283/BW283))</f>
        <v> </v>
      </c>
      <c r="H283" s="278" t="str">
        <f aca="false">IF(A283="N/A"," ",(C283*D283)+F283+G283)</f>
        <v> </v>
      </c>
      <c r="I283" s="279" t="str">
        <f aca="false">VLOOKUP(A283,ScaledPrice,(IF(AND('Pricing Inputs'!$AQ$3&gt;=1,'Pricing Inputs'!$AQ$3&lt;=6),2,4)))</f>
        <v> </v>
      </c>
      <c r="J283" s="279" t="str">
        <f aca="false">IF(A283="N/A"," ",IF(AND('Pricing Inputs'!$AQ$3&gt;=1,'Pricing Inputs'!$AQ$3&lt;=6),I283,(VLOOKUP(A283,ScaledPrice,2))*(2-(VLOOKUP(A283,ScaledPrice,3)))))</f>
        <v> </v>
      </c>
      <c r="K283" s="279" t="str">
        <f aca="false">IF(A283="N/A"," ",IF(OR('Pricing Inputs'!$AQ$3=2,'Pricing Inputs'!$AQ$3=3,'Pricing Inputs'!$AQ$3=5,'Pricing Inputs'!$AQ$3=6,'Pricing Inputs'!$AQ$3=8,'Pricing Inputs'!$AQ$3=9),VLOOKUP(A283,ScaledPrice,IF(AND('Pricing Inputs'!$AQ$3&gt;=2,'Pricing Inputs'!$AQ$3&lt;=6),5,6)),0))</f>
        <v> </v>
      </c>
      <c r="L283" s="279" t="str">
        <f aca="false">IF(A283="N/A"," ",IF(OR('Pricing Inputs'!$AQ$3=2,'Pricing Inputs'!$AQ$3=3,'Pricing Inputs'!$AQ$3=5,'Pricing Inputs'!$AQ$3=6,'Pricing Inputs'!$AQ$3=8,'Pricing Inputs'!$AQ$3=9),IF(AND('Pricing Inputs'!$AQ$3&gt;=2,'Pricing Inputs'!$AQ$3&lt;=6),K283,(VLOOKUP(A283,ScaledPrice,5))*(2-(VLOOKUP(A283,ScaledPrice,3)))),0))</f>
        <v> </v>
      </c>
      <c r="M283" s="279" t="str">
        <f aca="false">IF(A283="N/A"," ",IF(OR('Pricing Inputs'!$AQ$3=3,'Pricing Inputs'!$AQ$3=6,'Pricing Inputs'!$AQ$3=9),(VLOOKUP(A283,ScaledPrice,IF(AND('Pricing Inputs'!$AQ$3&gt;=3,'Pricing Inputs'!$AQ$3&lt;=6),7,8))),0))</f>
        <v> </v>
      </c>
      <c r="N283" s="279" t="str">
        <f aca="false">IF(A283="N/A"," ",IF(OR('Pricing Inputs'!$AQ$3=3,'Pricing Inputs'!$AQ$3=6,'Pricing Inputs'!$AQ$3=9),IF(AND('Pricing Inputs'!$AQ$3&gt;=3,'Pricing Inputs'!$AQ$3&lt;=6),M283,(VLOOKUP(A283,ScaledPrice,7))*(2-(VLOOKUP(A283,ScaledPrice,3)))),0))</f>
        <v> </v>
      </c>
      <c r="O283" s="279" t="str">
        <f aca="false">IF(A283="N/A"," ",IF(AND('Pricing Inputs'!$AQ$3&gt;=1,'Pricing Inputs'!$AQ$3&lt;=3),VLOOKUP(A283,ScaledPrice,9),0))</f>
        <v> </v>
      </c>
      <c r="P283" s="280" t="str">
        <f aca="false">IF($A283="N/A"," ",IF('Pricing Inputs'!$AN$8=2,(I283-H283),IF('Pricing Inputs'!$AN$3=2,IF((I283-$H283)&gt;0,I283-$H283,0),(xSPRDOPT(I283,$E283,$BU283,0,$BP283,$BS283,$BT283,($A283-Inputs!$D$1)+15,1,0)))))</f>
        <v> </v>
      </c>
      <c r="Q283" s="280" t="str">
        <f aca="false">IF($A283="N/A"," ",IF('Pricing Inputs'!$AN$8=2,(J283-$H283),IF('Pricing Inputs'!$AN$3=2,IF((J283-$H283)&gt;0,J283-$H283,0),(xSPRDOPT(J283,$E283,$BU283,0,$BP283,$BS283,$BT283,($A283-Inputs!$D$1)+15,1,0)))))</f>
        <v> </v>
      </c>
      <c r="R283" s="280" t="str">
        <f aca="false">IF($A283="N/A"," ",IF('Pricing Inputs'!$AN$8=2,(K283-$H283),IF('Pricing Inputs'!$AN$3=2,IF((K283-$H283)&gt;0,K283-$H283,0),(xSPRDOPT(K283,$E283,$BU283,0,$BP283,$BS283,$BT283,($A283-Inputs!$D$1)+15,1,0)))))</f>
        <v> </v>
      </c>
      <c r="S283" s="280" t="str">
        <f aca="false">IF($A283="N/A"," ",IF('Pricing Inputs'!$AN$8=2,(L283-$H283),IF('Pricing Inputs'!$AN$3=2,IF((L283-$H283)&gt;0,L283-$H283,0),(xSPRDOPT(L283,$E283,$BU283,0,$BP283,$BS283,$BT283,($A283-Inputs!$D$1)+15,1,0)))))</f>
        <v> </v>
      </c>
      <c r="T283" s="280" t="str">
        <f aca="false">IF($A283="N/A"," ",IF('Pricing Inputs'!$AN$8=2,(M283-$H283),IF('Pricing Inputs'!$AN$3=2,IF((M283-$H283)&gt;0,M283-$H283,0),(xSPRDOPT(M283,$E283,$BU283,0,$BP283,$BS283,$BT283,($A283-Inputs!$D$1)+15,1,0)))))</f>
        <v> </v>
      </c>
      <c r="U283" s="280" t="str">
        <f aca="false">IF($A283="N/A"," ",IF('Pricing Inputs'!$AN$8=2,(N283-$H283),IF('Pricing Inputs'!$AN$3=2,IF((N283-$H283)&gt;0,N283-$H283,0),(xSPRDOPT(N283,$E283,$BU283,0,$BP283,$BS283,$BT283,($A283-Inputs!$D$1)+15,1,0)))))</f>
        <v> </v>
      </c>
      <c r="V283" s="281" t="str">
        <f aca="false">IF($A283="N/A"," ",(IF('Pricing Inputs'!$AN$8=2,(O283-$H283),IF((O283-$H283)&lt;=0,0,(O283-$H283)))))</f>
        <v> </v>
      </c>
      <c r="AK283" s="31"/>
      <c r="AL283" s="31"/>
      <c r="AM283" s="31"/>
      <c r="AN283" s="31"/>
      <c r="AO283" s="31"/>
      <c r="AP283" s="31"/>
      <c r="AQ283" s="31"/>
      <c r="AR283" s="31"/>
      <c r="BA283" s="291" t="str">
        <f aca="false">IF($A283="N/A"," ",(IF(MONTH(A283)&gt;=4,IF(MONTH(A283)&lt;=10,Inputs!$F$13,Inputs!$F$14),Inputs!$F$14))*$BW283)</f>
        <v> </v>
      </c>
      <c r="BN283" s="294" t="str">
        <f aca="false">IF(A283="N/A"," ",(VLOOKUP(A283,PowerVolTable,(IF('Pricing Inputs'!$AT$3=2,7,IF('Pricing Inputs'!$AT$3=1,6,8))),FALSE())))</f>
        <v> </v>
      </c>
      <c r="BO283" s="294" t="str">
        <f aca="false">IF(A283="N/A"," ",(VLOOKUP(A283,IntraPowerVol,(IF('Pricing Inputs'!$AT$3=2,3,IF('Pricing Inputs'!$AT$3=1,2,4))),FALSE())*VLOOKUP(MONTH($A283),Inputs!$A$28:$B$39,2)))</f>
        <v> </v>
      </c>
      <c r="BP283" s="295" t="str">
        <f aca="false">IF($A283="N/A"," ",(IF(DateToday&gt;$A283,$BO283,((($BN283^2)*((($A283-1)-DateToday)/((EOMONTH($A283,0)+1)-DateToday-15)))+((($BO283)^2)*((15)/((EOMONTH($A283,0)+1)-DateToday-15))))^0.5)))</f>
        <v> </v>
      </c>
      <c r="BQ283" s="294" t="str">
        <f aca="false">IF($A283="N/A"," ",(VLOOKUP($A283,GasVolTable,(IF('Pricing Inputs'!$AT$3=2,6,IF('Pricing Inputs'!$AT$3=1,7,5))),FALSE())))</f>
        <v> </v>
      </c>
      <c r="BR283" s="294" t="str">
        <f aca="false">IF($A283="N/A"," ",(VLOOKUP($A283,OmicronVol,(IF('Pricing Inputs'!$AT$3=2,3,IF('Pricing Inputs'!$AT$3=1,4,2))),FALSE())))</f>
        <v> </v>
      </c>
      <c r="BS283" s="295" t="str">
        <f aca="false">IF($A283="N/A"," ",IF('Pricing Inputs'!$AN$3=1,(IF(DateToday&gt;$A283,$BR283,((($BQ283^2)*((($A283-1)-DateToday)/((EOMONTH($A283,0)+1)-DateToday-15)))+((($BR283)^2)*((15)/((EOMONTH($A283,0)+1)-DateToday-15))))^0.5)),0.0001))</f>
        <v> </v>
      </c>
      <c r="BT283" s="294" t="str">
        <f aca="false">IF($A283="N/A"," ",IF('Pricing Inputs'!$AN$3=1,(VLOOKUP($A283,CorrelationTable,2,FALSE())),0))</f>
        <v> </v>
      </c>
      <c r="BU283" s="296" t="str">
        <f aca="false">IF($A283="N/A"," ",F283+G283+(D283*(VLOOKUP($A283,'Gas Curves'!$B$17:$P$310,14,FALSE()))))</f>
        <v> </v>
      </c>
      <c r="BV283" s="294" t="str">
        <f aca="false">IF($A283="N/A"," ",IF('Pricing Inputs'!$AW$3=1,0,(VLOOKUP($A283,InterestRatesTable,2))))</f>
        <v> </v>
      </c>
      <c r="BW283" s="297" t="str">
        <f aca="false">IF($A283="N/A"," ",(1+BV283/2)^(-2*((EOMONTH(A283,0)+20)-DateToday)/365.25))</f>
        <v> </v>
      </c>
    </row>
    <row r="284" customFormat="false" ht="12.75" hidden="false" customHeight="false" outlineLevel="0" collapsed="false">
      <c r="A284" s="272" t="str">
        <f aca="false">IF(A283="N/A","N/A",IF(EDATE(A283,1)&gt;Inputs!$K$3,"N/A",EDATE(A283,1)))</f>
        <v>N/A</v>
      </c>
      <c r="B284" s="273" t="str">
        <f aca="false">IF(A284="N/A"," ",YEAR(A284))</f>
        <v> </v>
      </c>
      <c r="C284" s="274" t="str">
        <f aca="false">IF(A284="N/A"," ",VLOOKUP(A284,ScaledPrice,10))</f>
        <v> </v>
      </c>
      <c r="D284" s="275" t="str">
        <f aca="false">IF(A284="N/A"," ",(VLOOKUP(MONTH($A284),Inputs!$A$14:$B$25,2))/1000)</f>
        <v> </v>
      </c>
      <c r="E284" s="276" t="str">
        <f aca="false">IF($A284="N/A"," ",C284*D284)</f>
        <v> </v>
      </c>
      <c r="F284" s="277" t="str">
        <f aca="false">IF(A284="N/A"," ",Inputs!$F$6)</f>
        <v> </v>
      </c>
      <c r="G284" s="277" t="str">
        <f aca="false">IF(A284="N/A"," ",Inputs!$F$9/IF(AND('Pricing Inputs'!$AQ$3&gt;=4,'Pricing Inputs'!$AQ$3&lt;=6),16,IF(AND('Pricing Inputs'!$AQ$3&gt;=7,'Pricing Inputs'!$AQ$3&lt;=9),8,24))/(BA284/BW284))</f>
        <v> </v>
      </c>
      <c r="H284" s="278" t="str">
        <f aca="false">IF(A284="N/A"," ",(C284*D284)+F284+G284)</f>
        <v> </v>
      </c>
      <c r="I284" s="279" t="str">
        <f aca="false">VLOOKUP(A284,ScaledPrice,(IF(AND('Pricing Inputs'!$AQ$3&gt;=1,'Pricing Inputs'!$AQ$3&lt;=6),2,4)))</f>
        <v> </v>
      </c>
      <c r="J284" s="279" t="str">
        <f aca="false">IF(A284="N/A"," ",IF(AND('Pricing Inputs'!$AQ$3&gt;=1,'Pricing Inputs'!$AQ$3&lt;=6),I284,(VLOOKUP(A284,ScaledPrice,2))*(2-(VLOOKUP(A284,ScaledPrice,3)))))</f>
        <v> </v>
      </c>
      <c r="K284" s="279" t="str">
        <f aca="false">IF(A284="N/A"," ",IF(OR('Pricing Inputs'!$AQ$3=2,'Pricing Inputs'!$AQ$3=3,'Pricing Inputs'!$AQ$3=5,'Pricing Inputs'!$AQ$3=6,'Pricing Inputs'!$AQ$3=8,'Pricing Inputs'!$AQ$3=9),VLOOKUP(A284,ScaledPrice,IF(AND('Pricing Inputs'!$AQ$3&gt;=2,'Pricing Inputs'!$AQ$3&lt;=6),5,6)),0))</f>
        <v> </v>
      </c>
      <c r="L284" s="279" t="str">
        <f aca="false">IF(A284="N/A"," ",IF(OR('Pricing Inputs'!$AQ$3=2,'Pricing Inputs'!$AQ$3=3,'Pricing Inputs'!$AQ$3=5,'Pricing Inputs'!$AQ$3=6,'Pricing Inputs'!$AQ$3=8,'Pricing Inputs'!$AQ$3=9),IF(AND('Pricing Inputs'!$AQ$3&gt;=2,'Pricing Inputs'!$AQ$3&lt;=6),K284,(VLOOKUP(A284,ScaledPrice,5))*(2-(VLOOKUP(A284,ScaledPrice,3)))),0))</f>
        <v> </v>
      </c>
      <c r="M284" s="279" t="str">
        <f aca="false">IF(A284="N/A"," ",IF(OR('Pricing Inputs'!$AQ$3=3,'Pricing Inputs'!$AQ$3=6,'Pricing Inputs'!$AQ$3=9),(VLOOKUP(A284,ScaledPrice,IF(AND('Pricing Inputs'!$AQ$3&gt;=3,'Pricing Inputs'!$AQ$3&lt;=6),7,8))),0))</f>
        <v> </v>
      </c>
      <c r="N284" s="279" t="str">
        <f aca="false">IF(A284="N/A"," ",IF(OR('Pricing Inputs'!$AQ$3=3,'Pricing Inputs'!$AQ$3=6,'Pricing Inputs'!$AQ$3=9),IF(AND('Pricing Inputs'!$AQ$3&gt;=3,'Pricing Inputs'!$AQ$3&lt;=6),M284,(VLOOKUP(A284,ScaledPrice,7))*(2-(VLOOKUP(A284,ScaledPrice,3)))),0))</f>
        <v> </v>
      </c>
      <c r="O284" s="279" t="str">
        <f aca="false">IF(A284="N/A"," ",IF(AND('Pricing Inputs'!$AQ$3&gt;=1,'Pricing Inputs'!$AQ$3&lt;=3),VLOOKUP(A284,ScaledPrice,9),0))</f>
        <v> </v>
      </c>
      <c r="P284" s="280" t="str">
        <f aca="false">IF($A284="N/A"," ",IF('Pricing Inputs'!$AN$8=2,(I284-H284),IF('Pricing Inputs'!$AN$3=2,IF((I284-$H284)&gt;0,I284-$H284,0),(xSPRDOPT(I284,$E284,$BU284,0,$BP284,$BS284,$BT284,($A284-Inputs!$D$1)+15,1,0)))))</f>
        <v> </v>
      </c>
      <c r="Q284" s="280" t="str">
        <f aca="false">IF($A284="N/A"," ",IF('Pricing Inputs'!$AN$8=2,(J284-$H284),IF('Pricing Inputs'!$AN$3=2,IF((J284-$H284)&gt;0,J284-$H284,0),(xSPRDOPT(J284,$E284,$BU284,0,$BP284,$BS284,$BT284,($A284-Inputs!$D$1)+15,1,0)))))</f>
        <v> </v>
      </c>
      <c r="R284" s="280" t="str">
        <f aca="false">IF($A284="N/A"," ",IF('Pricing Inputs'!$AN$8=2,(K284-$H284),IF('Pricing Inputs'!$AN$3=2,IF((K284-$H284)&gt;0,K284-$H284,0),(xSPRDOPT(K284,$E284,$BU284,0,$BP284,$BS284,$BT284,($A284-Inputs!$D$1)+15,1,0)))))</f>
        <v> </v>
      </c>
      <c r="S284" s="280" t="str">
        <f aca="false">IF($A284="N/A"," ",IF('Pricing Inputs'!$AN$8=2,(L284-$H284),IF('Pricing Inputs'!$AN$3=2,IF((L284-$H284)&gt;0,L284-$H284,0),(xSPRDOPT(L284,$E284,$BU284,0,$BP284,$BS284,$BT284,($A284-Inputs!$D$1)+15,1,0)))))</f>
        <v> </v>
      </c>
      <c r="T284" s="280" t="str">
        <f aca="false">IF($A284="N/A"," ",IF('Pricing Inputs'!$AN$8=2,(M284-$H284),IF('Pricing Inputs'!$AN$3=2,IF((M284-$H284)&gt;0,M284-$H284,0),(xSPRDOPT(M284,$E284,$BU284,0,$BP284,$BS284,$BT284,($A284-Inputs!$D$1)+15,1,0)))))</f>
        <v> </v>
      </c>
      <c r="U284" s="280" t="str">
        <f aca="false">IF($A284="N/A"," ",IF('Pricing Inputs'!$AN$8=2,(N284-$H284),IF('Pricing Inputs'!$AN$3=2,IF((N284-$H284)&gt;0,N284-$H284,0),(xSPRDOPT(N284,$E284,$BU284,0,$BP284,$BS284,$BT284,($A284-Inputs!$D$1)+15,1,0)))))</f>
        <v> </v>
      </c>
      <c r="V284" s="281" t="str">
        <f aca="false">IF($A284="N/A"," ",(IF('Pricing Inputs'!$AN$8=2,(O284-$H284),IF((O284-$H284)&lt;=0,0,(O284-$H284)))))</f>
        <v> </v>
      </c>
      <c r="AK284" s="31"/>
      <c r="AL284" s="31"/>
      <c r="AM284" s="31"/>
      <c r="AN284" s="31"/>
      <c r="AO284" s="31"/>
      <c r="AP284" s="31"/>
      <c r="AQ284" s="31"/>
      <c r="AR284" s="31"/>
      <c r="BA284" s="291" t="str">
        <f aca="false">IF($A284="N/A"," ",(IF(MONTH(A284)&gt;=4,IF(MONTH(A284)&lt;=10,Inputs!$F$13,Inputs!$F$14),Inputs!$F$14))*$BW284)</f>
        <v> </v>
      </c>
      <c r="BN284" s="294" t="str">
        <f aca="false">IF(A284="N/A"," ",(VLOOKUP(A284,PowerVolTable,(IF('Pricing Inputs'!$AT$3=2,7,IF('Pricing Inputs'!$AT$3=1,6,8))),FALSE())))</f>
        <v> </v>
      </c>
      <c r="BO284" s="294" t="str">
        <f aca="false">IF(A284="N/A"," ",(VLOOKUP(A284,IntraPowerVol,(IF('Pricing Inputs'!$AT$3=2,3,IF('Pricing Inputs'!$AT$3=1,2,4))),FALSE())*VLOOKUP(MONTH($A284),Inputs!$A$28:$B$39,2)))</f>
        <v> </v>
      </c>
      <c r="BP284" s="295" t="str">
        <f aca="false">IF($A284="N/A"," ",(IF(DateToday&gt;$A284,$BO284,((($BN284^2)*((($A284-1)-DateToday)/((EOMONTH($A284,0)+1)-DateToday-15)))+((($BO284)^2)*((15)/((EOMONTH($A284,0)+1)-DateToday-15))))^0.5)))</f>
        <v> </v>
      </c>
      <c r="BQ284" s="294" t="str">
        <f aca="false">IF($A284="N/A"," ",(VLOOKUP($A284,GasVolTable,(IF('Pricing Inputs'!$AT$3=2,6,IF('Pricing Inputs'!$AT$3=1,7,5))),FALSE())))</f>
        <v> </v>
      </c>
      <c r="BR284" s="294" t="str">
        <f aca="false">IF($A284="N/A"," ",(VLOOKUP($A284,OmicronVol,(IF('Pricing Inputs'!$AT$3=2,3,IF('Pricing Inputs'!$AT$3=1,4,2))),FALSE())))</f>
        <v> </v>
      </c>
      <c r="BS284" s="295" t="str">
        <f aca="false">IF($A284="N/A"," ",IF('Pricing Inputs'!$AN$3=1,(IF(DateToday&gt;$A284,$BR284,((($BQ284^2)*((($A284-1)-DateToday)/((EOMONTH($A284,0)+1)-DateToday-15)))+((($BR284)^2)*((15)/((EOMONTH($A284,0)+1)-DateToday-15))))^0.5)),0.0001))</f>
        <v> </v>
      </c>
      <c r="BT284" s="294" t="str">
        <f aca="false">IF($A284="N/A"," ",IF('Pricing Inputs'!$AN$3=1,(VLOOKUP($A284,CorrelationTable,2,FALSE())),0))</f>
        <v> </v>
      </c>
      <c r="BU284" s="296" t="str">
        <f aca="false">IF($A284="N/A"," ",F284+G284+(D284*(VLOOKUP($A284,'Gas Curves'!$B$17:$P$310,14,FALSE()))))</f>
        <v> </v>
      </c>
      <c r="BV284" s="294" t="str">
        <f aca="false">IF($A284="N/A"," ",IF('Pricing Inputs'!$AW$3=1,0,(VLOOKUP($A284,InterestRatesTable,2))))</f>
        <v> </v>
      </c>
      <c r="BW284" s="297" t="str">
        <f aca="false">IF($A284="N/A"," ",(1+BV284/2)^(-2*((EOMONTH(A284,0)+20)-DateToday)/365.25))</f>
        <v> </v>
      </c>
    </row>
    <row r="285" customFormat="false" ht="12.75" hidden="false" customHeight="false" outlineLevel="0" collapsed="false">
      <c r="A285" s="272" t="str">
        <f aca="false">IF(A284="N/A","N/A",IF(EDATE(A284,1)&gt;Inputs!$K$3,"N/A",EDATE(A284,1)))</f>
        <v>N/A</v>
      </c>
      <c r="B285" s="273" t="str">
        <f aca="false">IF(A285="N/A"," ",YEAR(A285))</f>
        <v> </v>
      </c>
      <c r="C285" s="274" t="str">
        <f aca="false">IF(A285="N/A"," ",VLOOKUP(A285,ScaledPrice,10))</f>
        <v> </v>
      </c>
      <c r="D285" s="275" t="str">
        <f aca="false">IF(A285="N/A"," ",(VLOOKUP(MONTH($A285),Inputs!$A$14:$B$25,2))/1000)</f>
        <v> </v>
      </c>
      <c r="E285" s="276" t="str">
        <f aca="false">IF($A285="N/A"," ",C285*D285)</f>
        <v> </v>
      </c>
      <c r="F285" s="277" t="str">
        <f aca="false">IF(A285="N/A"," ",Inputs!$F$6)</f>
        <v> </v>
      </c>
      <c r="G285" s="277" t="str">
        <f aca="false">IF(A285="N/A"," ",Inputs!$F$9/IF(AND('Pricing Inputs'!$AQ$3&gt;=4,'Pricing Inputs'!$AQ$3&lt;=6),16,IF(AND('Pricing Inputs'!$AQ$3&gt;=7,'Pricing Inputs'!$AQ$3&lt;=9),8,24))/(BA285/BW285))</f>
        <v> </v>
      </c>
      <c r="H285" s="278" t="str">
        <f aca="false">IF(A285="N/A"," ",(C285*D285)+F285+G285)</f>
        <v> </v>
      </c>
      <c r="I285" s="279" t="str">
        <f aca="false">VLOOKUP(A285,ScaledPrice,(IF(AND('Pricing Inputs'!$AQ$3&gt;=1,'Pricing Inputs'!$AQ$3&lt;=6),2,4)))</f>
        <v> </v>
      </c>
      <c r="J285" s="279" t="str">
        <f aca="false">IF(A285="N/A"," ",IF(AND('Pricing Inputs'!$AQ$3&gt;=1,'Pricing Inputs'!$AQ$3&lt;=6),I285,(VLOOKUP(A285,ScaledPrice,2))*(2-(VLOOKUP(A285,ScaledPrice,3)))))</f>
        <v> </v>
      </c>
      <c r="K285" s="279" t="str">
        <f aca="false">IF(A285="N/A"," ",IF(OR('Pricing Inputs'!$AQ$3=2,'Pricing Inputs'!$AQ$3=3,'Pricing Inputs'!$AQ$3=5,'Pricing Inputs'!$AQ$3=6,'Pricing Inputs'!$AQ$3=8,'Pricing Inputs'!$AQ$3=9),VLOOKUP(A285,ScaledPrice,IF(AND('Pricing Inputs'!$AQ$3&gt;=2,'Pricing Inputs'!$AQ$3&lt;=6),5,6)),0))</f>
        <v> </v>
      </c>
      <c r="L285" s="279" t="str">
        <f aca="false">IF(A285="N/A"," ",IF(OR('Pricing Inputs'!$AQ$3=2,'Pricing Inputs'!$AQ$3=3,'Pricing Inputs'!$AQ$3=5,'Pricing Inputs'!$AQ$3=6,'Pricing Inputs'!$AQ$3=8,'Pricing Inputs'!$AQ$3=9),IF(AND('Pricing Inputs'!$AQ$3&gt;=2,'Pricing Inputs'!$AQ$3&lt;=6),K285,(VLOOKUP(A285,ScaledPrice,5))*(2-(VLOOKUP(A285,ScaledPrice,3)))),0))</f>
        <v> </v>
      </c>
      <c r="M285" s="279" t="str">
        <f aca="false">IF(A285="N/A"," ",IF(OR('Pricing Inputs'!$AQ$3=3,'Pricing Inputs'!$AQ$3=6,'Pricing Inputs'!$AQ$3=9),(VLOOKUP(A285,ScaledPrice,IF(AND('Pricing Inputs'!$AQ$3&gt;=3,'Pricing Inputs'!$AQ$3&lt;=6),7,8))),0))</f>
        <v> </v>
      </c>
      <c r="N285" s="279" t="str">
        <f aca="false">IF(A285="N/A"," ",IF(OR('Pricing Inputs'!$AQ$3=3,'Pricing Inputs'!$AQ$3=6,'Pricing Inputs'!$AQ$3=9),IF(AND('Pricing Inputs'!$AQ$3&gt;=3,'Pricing Inputs'!$AQ$3&lt;=6),M285,(VLOOKUP(A285,ScaledPrice,7))*(2-(VLOOKUP(A285,ScaledPrice,3)))),0))</f>
        <v> </v>
      </c>
      <c r="O285" s="279" t="str">
        <f aca="false">IF(A285="N/A"," ",IF(AND('Pricing Inputs'!$AQ$3&gt;=1,'Pricing Inputs'!$AQ$3&lt;=3),VLOOKUP(A285,ScaledPrice,9),0))</f>
        <v> </v>
      </c>
      <c r="P285" s="280" t="str">
        <f aca="false">IF($A285="N/A"," ",IF('Pricing Inputs'!$AN$8=2,(I285-H285),IF('Pricing Inputs'!$AN$3=2,IF((I285-$H285)&gt;0,I285-$H285,0),(xSPRDOPT(I285,$E285,$BU285,0,$BP285,$BS285,$BT285,($A285-Inputs!$D$1)+15,1,0)))))</f>
        <v> </v>
      </c>
      <c r="Q285" s="280" t="str">
        <f aca="false">IF($A285="N/A"," ",IF('Pricing Inputs'!$AN$8=2,(J285-$H285),IF('Pricing Inputs'!$AN$3=2,IF((J285-$H285)&gt;0,J285-$H285,0),(xSPRDOPT(J285,$E285,$BU285,0,$BP285,$BS285,$BT285,($A285-Inputs!$D$1)+15,1,0)))))</f>
        <v> </v>
      </c>
      <c r="R285" s="280" t="str">
        <f aca="false">IF($A285="N/A"," ",IF('Pricing Inputs'!$AN$8=2,(K285-$H285),IF('Pricing Inputs'!$AN$3=2,IF((K285-$H285)&gt;0,K285-$H285,0),(xSPRDOPT(K285,$E285,$BU285,0,$BP285,$BS285,$BT285,($A285-Inputs!$D$1)+15,1,0)))))</f>
        <v> </v>
      </c>
      <c r="S285" s="280" t="str">
        <f aca="false">IF($A285="N/A"," ",IF('Pricing Inputs'!$AN$8=2,(L285-$H285),IF('Pricing Inputs'!$AN$3=2,IF((L285-$H285)&gt;0,L285-$H285,0),(xSPRDOPT(L285,$E285,$BU285,0,$BP285,$BS285,$BT285,($A285-Inputs!$D$1)+15,1,0)))))</f>
        <v> </v>
      </c>
      <c r="T285" s="280" t="str">
        <f aca="false">IF($A285="N/A"," ",IF('Pricing Inputs'!$AN$8=2,(M285-$H285),IF('Pricing Inputs'!$AN$3=2,IF((M285-$H285)&gt;0,M285-$H285,0),(xSPRDOPT(M285,$E285,$BU285,0,$BP285,$BS285,$BT285,($A285-Inputs!$D$1)+15,1,0)))))</f>
        <v> </v>
      </c>
      <c r="U285" s="280" t="str">
        <f aca="false">IF($A285="N/A"," ",IF('Pricing Inputs'!$AN$8=2,(N285-$H285),IF('Pricing Inputs'!$AN$3=2,IF((N285-$H285)&gt;0,N285-$H285,0),(xSPRDOPT(N285,$E285,$BU285,0,$BP285,$BS285,$BT285,($A285-Inputs!$D$1)+15,1,0)))))</f>
        <v> </v>
      </c>
      <c r="V285" s="281" t="str">
        <f aca="false">IF($A285="N/A"," ",(IF('Pricing Inputs'!$AN$8=2,(O285-$H285),IF((O285-$H285)&lt;=0,0,(O285-$H285)))))</f>
        <v> </v>
      </c>
      <c r="AK285" s="31"/>
      <c r="AL285" s="31"/>
      <c r="AM285" s="31"/>
      <c r="AN285" s="31"/>
      <c r="AO285" s="31"/>
      <c r="AP285" s="31"/>
      <c r="AQ285" s="31"/>
      <c r="AR285" s="31"/>
      <c r="BA285" s="291" t="str">
        <f aca="false">IF($A285="N/A"," ",(IF(MONTH(A285)&gt;=4,IF(MONTH(A285)&lt;=10,Inputs!$F$13,Inputs!$F$14),Inputs!$F$14))*$BW285)</f>
        <v> </v>
      </c>
      <c r="BN285" s="294" t="str">
        <f aca="false">IF(A285="N/A"," ",(VLOOKUP(A285,PowerVolTable,(IF('Pricing Inputs'!$AT$3=2,7,IF('Pricing Inputs'!$AT$3=1,6,8))),FALSE())))</f>
        <v> </v>
      </c>
      <c r="BO285" s="294" t="str">
        <f aca="false">IF(A285="N/A"," ",(VLOOKUP(A285,IntraPowerVol,(IF('Pricing Inputs'!$AT$3=2,3,IF('Pricing Inputs'!$AT$3=1,2,4))),FALSE())*VLOOKUP(MONTH($A285),Inputs!$A$28:$B$39,2)))</f>
        <v> </v>
      </c>
      <c r="BP285" s="295" t="str">
        <f aca="false">IF($A285="N/A"," ",(IF(DateToday&gt;$A285,$BO285,((($BN285^2)*((($A285-1)-DateToday)/((EOMONTH($A285,0)+1)-DateToday-15)))+((($BO285)^2)*((15)/((EOMONTH($A285,0)+1)-DateToday-15))))^0.5)))</f>
        <v> </v>
      </c>
      <c r="BQ285" s="294" t="str">
        <f aca="false">IF($A285="N/A"," ",(VLOOKUP($A285,GasVolTable,(IF('Pricing Inputs'!$AT$3=2,6,IF('Pricing Inputs'!$AT$3=1,7,5))),FALSE())))</f>
        <v> </v>
      </c>
      <c r="BR285" s="294" t="str">
        <f aca="false">IF($A285="N/A"," ",(VLOOKUP($A285,OmicronVol,(IF('Pricing Inputs'!$AT$3=2,3,IF('Pricing Inputs'!$AT$3=1,4,2))),FALSE())))</f>
        <v> </v>
      </c>
      <c r="BS285" s="295" t="str">
        <f aca="false">IF($A285="N/A"," ",IF('Pricing Inputs'!$AN$3=1,(IF(DateToday&gt;$A285,$BR285,((($BQ285^2)*((($A285-1)-DateToday)/((EOMONTH($A285,0)+1)-DateToday-15)))+((($BR285)^2)*((15)/((EOMONTH($A285,0)+1)-DateToday-15))))^0.5)),0.0001))</f>
        <v> </v>
      </c>
      <c r="BT285" s="294" t="str">
        <f aca="false">IF($A285="N/A"," ",IF('Pricing Inputs'!$AN$3=1,(VLOOKUP($A285,CorrelationTable,2,FALSE())),0))</f>
        <v> </v>
      </c>
      <c r="BU285" s="296" t="str">
        <f aca="false">IF($A285="N/A"," ",F285+G285+(D285*(VLOOKUP($A285,'Gas Curves'!$B$17:$P$310,14,FALSE()))))</f>
        <v> </v>
      </c>
      <c r="BV285" s="294" t="str">
        <f aca="false">IF($A285="N/A"," ",IF('Pricing Inputs'!$AW$3=1,0,(VLOOKUP($A285,InterestRatesTable,2))))</f>
        <v> </v>
      </c>
      <c r="BW285" s="297" t="str">
        <f aca="false">IF($A285="N/A"," ",(1+BV285/2)^(-2*((EOMONTH(A285,0)+20)-DateToday)/365.25))</f>
        <v> </v>
      </c>
    </row>
    <row r="286" customFormat="false" ht="12.75" hidden="false" customHeight="false" outlineLevel="0" collapsed="false">
      <c r="A286" s="272" t="str">
        <f aca="false">IF(A285="N/A","N/A",IF(EDATE(A285,1)&gt;Inputs!$K$3,"N/A",EDATE(A285,1)))</f>
        <v>N/A</v>
      </c>
      <c r="B286" s="273" t="str">
        <f aca="false">IF(A286="N/A"," ",YEAR(A286))</f>
        <v> </v>
      </c>
      <c r="C286" s="274" t="str">
        <f aca="false">IF(A286="N/A"," ",VLOOKUP(A286,ScaledPrice,10))</f>
        <v> </v>
      </c>
      <c r="D286" s="275" t="str">
        <f aca="false">IF(A286="N/A"," ",(VLOOKUP(MONTH($A286),Inputs!$A$14:$B$25,2))/1000)</f>
        <v> </v>
      </c>
      <c r="E286" s="276" t="str">
        <f aca="false">IF($A286="N/A"," ",C286*D286)</f>
        <v> </v>
      </c>
      <c r="F286" s="277" t="str">
        <f aca="false">IF(A286="N/A"," ",Inputs!$F$6)</f>
        <v> </v>
      </c>
      <c r="G286" s="277" t="str">
        <f aca="false">IF(A286="N/A"," ",Inputs!$F$9/IF(AND('Pricing Inputs'!$AQ$3&gt;=4,'Pricing Inputs'!$AQ$3&lt;=6),16,IF(AND('Pricing Inputs'!$AQ$3&gt;=7,'Pricing Inputs'!$AQ$3&lt;=9),8,24))/(BA286/BW286))</f>
        <v> </v>
      </c>
      <c r="H286" s="278" t="str">
        <f aca="false">IF(A286="N/A"," ",(C286*D286)+F286+G286)</f>
        <v> </v>
      </c>
      <c r="I286" s="279" t="str">
        <f aca="false">VLOOKUP(A286,ScaledPrice,(IF(AND('Pricing Inputs'!$AQ$3&gt;=1,'Pricing Inputs'!$AQ$3&lt;=6),2,4)))</f>
        <v> </v>
      </c>
      <c r="J286" s="279" t="str">
        <f aca="false">IF(A286="N/A"," ",IF(AND('Pricing Inputs'!$AQ$3&gt;=1,'Pricing Inputs'!$AQ$3&lt;=6),I286,(VLOOKUP(A286,ScaledPrice,2))*(2-(VLOOKUP(A286,ScaledPrice,3)))))</f>
        <v> </v>
      </c>
      <c r="K286" s="279" t="str">
        <f aca="false">IF(A286="N/A"," ",IF(OR('Pricing Inputs'!$AQ$3=2,'Pricing Inputs'!$AQ$3=3,'Pricing Inputs'!$AQ$3=5,'Pricing Inputs'!$AQ$3=6,'Pricing Inputs'!$AQ$3=8,'Pricing Inputs'!$AQ$3=9),VLOOKUP(A286,ScaledPrice,IF(AND('Pricing Inputs'!$AQ$3&gt;=2,'Pricing Inputs'!$AQ$3&lt;=6),5,6)),0))</f>
        <v> </v>
      </c>
      <c r="L286" s="279" t="str">
        <f aca="false">IF(A286="N/A"," ",IF(OR('Pricing Inputs'!$AQ$3=2,'Pricing Inputs'!$AQ$3=3,'Pricing Inputs'!$AQ$3=5,'Pricing Inputs'!$AQ$3=6,'Pricing Inputs'!$AQ$3=8,'Pricing Inputs'!$AQ$3=9),IF(AND('Pricing Inputs'!$AQ$3&gt;=2,'Pricing Inputs'!$AQ$3&lt;=6),K286,(VLOOKUP(A286,ScaledPrice,5))*(2-(VLOOKUP(A286,ScaledPrice,3)))),0))</f>
        <v> </v>
      </c>
      <c r="M286" s="279" t="str">
        <f aca="false">IF(A286="N/A"," ",IF(OR('Pricing Inputs'!$AQ$3=3,'Pricing Inputs'!$AQ$3=6,'Pricing Inputs'!$AQ$3=9),(VLOOKUP(A286,ScaledPrice,IF(AND('Pricing Inputs'!$AQ$3&gt;=3,'Pricing Inputs'!$AQ$3&lt;=6),7,8))),0))</f>
        <v> </v>
      </c>
      <c r="N286" s="279" t="str">
        <f aca="false">IF(A286="N/A"," ",IF(OR('Pricing Inputs'!$AQ$3=3,'Pricing Inputs'!$AQ$3=6,'Pricing Inputs'!$AQ$3=9),IF(AND('Pricing Inputs'!$AQ$3&gt;=3,'Pricing Inputs'!$AQ$3&lt;=6),M286,(VLOOKUP(A286,ScaledPrice,7))*(2-(VLOOKUP(A286,ScaledPrice,3)))),0))</f>
        <v> </v>
      </c>
      <c r="O286" s="279" t="str">
        <f aca="false">IF(A286="N/A"," ",IF(AND('Pricing Inputs'!$AQ$3&gt;=1,'Pricing Inputs'!$AQ$3&lt;=3),VLOOKUP(A286,ScaledPrice,9),0))</f>
        <v> </v>
      </c>
      <c r="P286" s="280" t="str">
        <f aca="false">IF($A286="N/A"," ",IF('Pricing Inputs'!$AN$8=2,(I286-H286),IF('Pricing Inputs'!$AN$3=2,IF((I286-$H286)&gt;0,I286-$H286,0),(xSPRDOPT(I286,$E286,$BU286,0,$BP286,$BS286,$BT286,($A286-Inputs!$D$1)+15,1,0)))))</f>
        <v> </v>
      </c>
      <c r="Q286" s="280" t="str">
        <f aca="false">IF($A286="N/A"," ",IF('Pricing Inputs'!$AN$8=2,(J286-$H286),IF('Pricing Inputs'!$AN$3=2,IF((J286-$H286)&gt;0,J286-$H286,0),(xSPRDOPT(J286,$E286,$BU286,0,$BP286,$BS286,$BT286,($A286-Inputs!$D$1)+15,1,0)))))</f>
        <v> </v>
      </c>
      <c r="R286" s="280" t="str">
        <f aca="false">IF($A286="N/A"," ",IF('Pricing Inputs'!$AN$8=2,(K286-$H286),IF('Pricing Inputs'!$AN$3=2,IF((K286-$H286)&gt;0,K286-$H286,0),(xSPRDOPT(K286,$E286,$BU286,0,$BP286,$BS286,$BT286,($A286-Inputs!$D$1)+15,1,0)))))</f>
        <v> </v>
      </c>
      <c r="S286" s="280" t="str">
        <f aca="false">IF($A286="N/A"," ",IF('Pricing Inputs'!$AN$8=2,(L286-$H286),IF('Pricing Inputs'!$AN$3=2,IF((L286-$H286)&gt;0,L286-$H286,0),(xSPRDOPT(L286,$E286,$BU286,0,$BP286,$BS286,$BT286,($A286-Inputs!$D$1)+15,1,0)))))</f>
        <v> </v>
      </c>
      <c r="T286" s="280" t="str">
        <f aca="false">IF($A286="N/A"," ",IF('Pricing Inputs'!$AN$8=2,(M286-$H286),IF('Pricing Inputs'!$AN$3=2,IF((M286-$H286)&gt;0,M286-$H286,0),(xSPRDOPT(M286,$E286,$BU286,0,$BP286,$BS286,$BT286,($A286-Inputs!$D$1)+15,1,0)))))</f>
        <v> </v>
      </c>
      <c r="U286" s="280" t="str">
        <f aca="false">IF($A286="N/A"," ",IF('Pricing Inputs'!$AN$8=2,(N286-$H286),IF('Pricing Inputs'!$AN$3=2,IF((N286-$H286)&gt;0,N286-$H286,0),(xSPRDOPT(N286,$E286,$BU286,0,$BP286,$BS286,$BT286,($A286-Inputs!$D$1)+15,1,0)))))</f>
        <v> </v>
      </c>
      <c r="V286" s="281" t="str">
        <f aca="false">IF($A286="N/A"," ",(IF('Pricing Inputs'!$AN$8=2,(O286-$H286),IF((O286-$H286)&lt;=0,0,(O286-$H286)))))</f>
        <v> </v>
      </c>
      <c r="AK286" s="31"/>
      <c r="AL286" s="31"/>
      <c r="AM286" s="31"/>
      <c r="AN286" s="31"/>
      <c r="AO286" s="31"/>
      <c r="AP286" s="31"/>
      <c r="AQ286" s="31"/>
      <c r="AR286" s="31"/>
      <c r="BA286" s="291" t="str">
        <f aca="false">IF($A286="N/A"," ",(IF(MONTH(A286)&gt;=4,IF(MONTH(A286)&lt;=10,Inputs!$F$13,Inputs!$F$14),Inputs!$F$14))*$BW286)</f>
        <v> </v>
      </c>
      <c r="BN286" s="294" t="str">
        <f aca="false">IF(A286="N/A"," ",(VLOOKUP(A286,PowerVolTable,(IF('Pricing Inputs'!$AT$3=2,7,IF('Pricing Inputs'!$AT$3=1,6,8))),FALSE())))</f>
        <v> </v>
      </c>
      <c r="BO286" s="294" t="str">
        <f aca="false">IF(A286="N/A"," ",(VLOOKUP(A286,IntraPowerVol,(IF('Pricing Inputs'!$AT$3=2,3,IF('Pricing Inputs'!$AT$3=1,2,4))),FALSE())*VLOOKUP(MONTH($A286),Inputs!$A$28:$B$39,2)))</f>
        <v> </v>
      </c>
      <c r="BP286" s="295" t="str">
        <f aca="false">IF($A286="N/A"," ",(IF(DateToday&gt;$A286,$BO286,((($BN286^2)*((($A286-1)-DateToday)/((EOMONTH($A286,0)+1)-DateToday-15)))+((($BO286)^2)*((15)/((EOMONTH($A286,0)+1)-DateToday-15))))^0.5)))</f>
        <v> </v>
      </c>
      <c r="BQ286" s="294" t="str">
        <f aca="false">IF($A286="N/A"," ",(VLOOKUP($A286,GasVolTable,(IF('Pricing Inputs'!$AT$3=2,6,IF('Pricing Inputs'!$AT$3=1,7,5))),FALSE())))</f>
        <v> </v>
      </c>
      <c r="BR286" s="294" t="str">
        <f aca="false">IF($A286="N/A"," ",(VLOOKUP($A286,OmicronVol,(IF('Pricing Inputs'!$AT$3=2,3,IF('Pricing Inputs'!$AT$3=1,4,2))),FALSE())))</f>
        <v> </v>
      </c>
      <c r="BS286" s="295" t="str">
        <f aca="false">IF($A286="N/A"," ",IF('Pricing Inputs'!$AN$3=1,(IF(DateToday&gt;$A286,$BR286,((($BQ286^2)*((($A286-1)-DateToday)/((EOMONTH($A286,0)+1)-DateToday-15)))+((($BR286)^2)*((15)/((EOMONTH($A286,0)+1)-DateToday-15))))^0.5)),0.0001))</f>
        <v> </v>
      </c>
      <c r="BT286" s="294" t="str">
        <f aca="false">IF($A286="N/A"," ",IF('Pricing Inputs'!$AN$3=1,(VLOOKUP($A286,CorrelationTable,2,FALSE())),0))</f>
        <v> </v>
      </c>
      <c r="BU286" s="296" t="str">
        <f aca="false">IF($A286="N/A"," ",F286+G286+(D286*(VLOOKUP($A286,'Gas Curves'!$B$17:$P$310,14,FALSE()))))</f>
        <v> </v>
      </c>
      <c r="BV286" s="294" t="str">
        <f aca="false">IF($A286="N/A"," ",IF('Pricing Inputs'!$AW$3=1,0,(VLOOKUP($A286,InterestRatesTable,2))))</f>
        <v> </v>
      </c>
      <c r="BW286" s="297" t="str">
        <f aca="false">IF($A286="N/A"," ",(1+BV286/2)^(-2*((EOMONTH(A286,0)+20)-DateToday)/365.25))</f>
        <v> </v>
      </c>
    </row>
    <row r="287" customFormat="false" ht="12.75" hidden="false" customHeight="false" outlineLevel="0" collapsed="false">
      <c r="A287" s="272" t="str">
        <f aca="false">IF(A286="N/A","N/A",IF(EDATE(A286,1)&gt;Inputs!$K$3,"N/A",EDATE(A286,1)))</f>
        <v>N/A</v>
      </c>
      <c r="B287" s="273" t="str">
        <f aca="false">IF(A287="N/A"," ",YEAR(A287))</f>
        <v> </v>
      </c>
      <c r="C287" s="274" t="str">
        <f aca="false">IF(A287="N/A"," ",VLOOKUP(A287,ScaledPrice,10))</f>
        <v> </v>
      </c>
      <c r="D287" s="275" t="str">
        <f aca="false">IF(A287="N/A"," ",(VLOOKUP(MONTH($A287),Inputs!$A$14:$B$25,2))/1000)</f>
        <v> </v>
      </c>
      <c r="E287" s="276" t="str">
        <f aca="false">IF($A287="N/A"," ",C287*D287)</f>
        <v> </v>
      </c>
      <c r="F287" s="277" t="str">
        <f aca="false">IF(A287="N/A"," ",Inputs!$F$6)</f>
        <v> </v>
      </c>
      <c r="G287" s="277" t="str">
        <f aca="false">IF(A287="N/A"," ",Inputs!$F$9/IF(AND('Pricing Inputs'!$AQ$3&gt;=4,'Pricing Inputs'!$AQ$3&lt;=6),16,IF(AND('Pricing Inputs'!$AQ$3&gt;=7,'Pricing Inputs'!$AQ$3&lt;=9),8,24))/(BA287/BW287))</f>
        <v> </v>
      </c>
      <c r="H287" s="278" t="str">
        <f aca="false">IF(A287="N/A"," ",(C287*D287)+F287+G287)</f>
        <v> </v>
      </c>
      <c r="I287" s="279" t="str">
        <f aca="false">VLOOKUP(A287,ScaledPrice,(IF(AND('Pricing Inputs'!$AQ$3&gt;=1,'Pricing Inputs'!$AQ$3&lt;=6),2,4)))</f>
        <v> </v>
      </c>
      <c r="J287" s="279" t="str">
        <f aca="false">IF(A287="N/A"," ",IF(AND('Pricing Inputs'!$AQ$3&gt;=1,'Pricing Inputs'!$AQ$3&lt;=6),I287,(VLOOKUP(A287,ScaledPrice,2))*(2-(VLOOKUP(A287,ScaledPrice,3)))))</f>
        <v> </v>
      </c>
      <c r="K287" s="279" t="str">
        <f aca="false">IF(A287="N/A"," ",IF(OR('Pricing Inputs'!$AQ$3=2,'Pricing Inputs'!$AQ$3=3,'Pricing Inputs'!$AQ$3=5,'Pricing Inputs'!$AQ$3=6,'Pricing Inputs'!$AQ$3=8,'Pricing Inputs'!$AQ$3=9),VLOOKUP(A287,ScaledPrice,IF(AND('Pricing Inputs'!$AQ$3&gt;=2,'Pricing Inputs'!$AQ$3&lt;=6),5,6)),0))</f>
        <v> </v>
      </c>
      <c r="L287" s="279" t="str">
        <f aca="false">IF(A287="N/A"," ",IF(OR('Pricing Inputs'!$AQ$3=2,'Pricing Inputs'!$AQ$3=3,'Pricing Inputs'!$AQ$3=5,'Pricing Inputs'!$AQ$3=6,'Pricing Inputs'!$AQ$3=8,'Pricing Inputs'!$AQ$3=9),IF(AND('Pricing Inputs'!$AQ$3&gt;=2,'Pricing Inputs'!$AQ$3&lt;=6),K287,(VLOOKUP(A287,ScaledPrice,5))*(2-(VLOOKUP(A287,ScaledPrice,3)))),0))</f>
        <v> </v>
      </c>
      <c r="M287" s="279" t="str">
        <f aca="false">IF(A287="N/A"," ",IF(OR('Pricing Inputs'!$AQ$3=3,'Pricing Inputs'!$AQ$3=6,'Pricing Inputs'!$AQ$3=9),(VLOOKUP(A287,ScaledPrice,IF(AND('Pricing Inputs'!$AQ$3&gt;=3,'Pricing Inputs'!$AQ$3&lt;=6),7,8))),0))</f>
        <v> </v>
      </c>
      <c r="N287" s="279" t="str">
        <f aca="false">IF(A287="N/A"," ",IF(OR('Pricing Inputs'!$AQ$3=3,'Pricing Inputs'!$AQ$3=6,'Pricing Inputs'!$AQ$3=9),IF(AND('Pricing Inputs'!$AQ$3&gt;=3,'Pricing Inputs'!$AQ$3&lt;=6),M287,(VLOOKUP(A287,ScaledPrice,7))*(2-(VLOOKUP(A287,ScaledPrice,3)))),0))</f>
        <v> </v>
      </c>
      <c r="O287" s="279" t="str">
        <f aca="false">IF(A287="N/A"," ",IF(AND('Pricing Inputs'!$AQ$3&gt;=1,'Pricing Inputs'!$AQ$3&lt;=3),VLOOKUP(A287,ScaledPrice,9),0))</f>
        <v> </v>
      </c>
      <c r="P287" s="280" t="str">
        <f aca="false">IF($A287="N/A"," ",IF('Pricing Inputs'!$AN$8=2,(I287-H287),IF('Pricing Inputs'!$AN$3=2,IF((I287-$H287)&gt;0,I287-$H287,0),(xSPRDOPT(I287,$E287,$BU287,0,$BP287,$BS287,$BT287,($A287-Inputs!$D$1)+15,1,0)))))</f>
        <v> </v>
      </c>
      <c r="Q287" s="280" t="str">
        <f aca="false">IF($A287="N/A"," ",IF('Pricing Inputs'!$AN$8=2,(J287-$H287),IF('Pricing Inputs'!$AN$3=2,IF((J287-$H287)&gt;0,J287-$H287,0),(xSPRDOPT(J287,$E287,$BU287,0,$BP287,$BS287,$BT287,($A287-Inputs!$D$1)+15,1,0)))))</f>
        <v> </v>
      </c>
      <c r="R287" s="280" t="str">
        <f aca="false">IF($A287="N/A"," ",IF('Pricing Inputs'!$AN$8=2,(K287-$H287),IF('Pricing Inputs'!$AN$3=2,IF((K287-$H287)&gt;0,K287-$H287,0),(xSPRDOPT(K287,$E287,$BU287,0,$BP287,$BS287,$BT287,($A287-Inputs!$D$1)+15,1,0)))))</f>
        <v> </v>
      </c>
      <c r="S287" s="280" t="str">
        <f aca="false">IF($A287="N/A"," ",IF('Pricing Inputs'!$AN$8=2,(L287-$H287),IF('Pricing Inputs'!$AN$3=2,IF((L287-$H287)&gt;0,L287-$H287,0),(xSPRDOPT(L287,$E287,$BU287,0,$BP287,$BS287,$BT287,($A287-Inputs!$D$1)+15,1,0)))))</f>
        <v> </v>
      </c>
      <c r="T287" s="280" t="str">
        <f aca="false">IF($A287="N/A"," ",IF('Pricing Inputs'!$AN$8=2,(M287-$H287),IF('Pricing Inputs'!$AN$3=2,IF((M287-$H287)&gt;0,M287-$H287,0),(xSPRDOPT(M287,$E287,$BU287,0,$BP287,$BS287,$BT287,($A287-Inputs!$D$1)+15,1,0)))))</f>
        <v> </v>
      </c>
      <c r="U287" s="280" t="str">
        <f aca="false">IF($A287="N/A"," ",IF('Pricing Inputs'!$AN$8=2,(N287-$H287),IF('Pricing Inputs'!$AN$3=2,IF((N287-$H287)&gt;0,N287-$H287,0),(xSPRDOPT(N287,$E287,$BU287,0,$BP287,$BS287,$BT287,($A287-Inputs!$D$1)+15,1,0)))))</f>
        <v> </v>
      </c>
      <c r="V287" s="281" t="str">
        <f aca="false">IF($A287="N/A"," ",(IF('Pricing Inputs'!$AN$8=2,(O287-$H287),IF((O287-$H287)&lt;=0,0,(O287-$H287)))))</f>
        <v> </v>
      </c>
      <c r="AK287" s="31"/>
      <c r="AL287" s="31"/>
      <c r="AM287" s="31"/>
      <c r="AN287" s="31"/>
      <c r="AO287" s="31"/>
      <c r="AP287" s="31"/>
      <c r="AQ287" s="31"/>
      <c r="AR287" s="31"/>
      <c r="BA287" s="291" t="str">
        <f aca="false">IF($A287="N/A"," ",(IF(MONTH(A287)&gt;=4,IF(MONTH(A287)&lt;=10,Inputs!$F$13,Inputs!$F$14),Inputs!$F$14))*$BW287)</f>
        <v> </v>
      </c>
      <c r="BN287" s="294" t="str">
        <f aca="false">IF(A287="N/A"," ",(VLOOKUP(A287,PowerVolTable,(IF('Pricing Inputs'!$AT$3=2,7,IF('Pricing Inputs'!$AT$3=1,6,8))),FALSE())))</f>
        <v> </v>
      </c>
      <c r="BO287" s="294" t="str">
        <f aca="false">IF(A287="N/A"," ",(VLOOKUP(A287,IntraPowerVol,(IF('Pricing Inputs'!$AT$3=2,3,IF('Pricing Inputs'!$AT$3=1,2,4))),FALSE())*VLOOKUP(MONTH($A287),Inputs!$A$28:$B$39,2)))</f>
        <v> </v>
      </c>
      <c r="BP287" s="295" t="str">
        <f aca="false">IF($A287="N/A"," ",(IF(DateToday&gt;$A287,$BO287,((($BN287^2)*((($A287-1)-DateToday)/((EOMONTH($A287,0)+1)-DateToday-15)))+((($BO287)^2)*((15)/((EOMONTH($A287,0)+1)-DateToday-15))))^0.5)))</f>
        <v> </v>
      </c>
      <c r="BQ287" s="294" t="str">
        <f aca="false">IF($A287="N/A"," ",(VLOOKUP($A287,GasVolTable,(IF('Pricing Inputs'!$AT$3=2,6,IF('Pricing Inputs'!$AT$3=1,7,5))),FALSE())))</f>
        <v> </v>
      </c>
      <c r="BR287" s="294" t="str">
        <f aca="false">IF($A287="N/A"," ",(VLOOKUP($A287,OmicronVol,(IF('Pricing Inputs'!$AT$3=2,3,IF('Pricing Inputs'!$AT$3=1,4,2))),FALSE())))</f>
        <v> </v>
      </c>
      <c r="BS287" s="295" t="str">
        <f aca="false">IF($A287="N/A"," ",IF('Pricing Inputs'!$AN$3=1,(IF(DateToday&gt;$A287,$BR287,((($BQ287^2)*((($A287-1)-DateToday)/((EOMONTH($A287,0)+1)-DateToday-15)))+((($BR287)^2)*((15)/((EOMONTH($A287,0)+1)-DateToday-15))))^0.5)),0.0001))</f>
        <v> </v>
      </c>
      <c r="BT287" s="294" t="str">
        <f aca="false">IF($A287="N/A"," ",IF('Pricing Inputs'!$AN$3=1,(VLOOKUP($A287,CorrelationTable,2,FALSE())),0))</f>
        <v> </v>
      </c>
      <c r="BU287" s="296" t="str">
        <f aca="false">IF($A287="N/A"," ",F287+G287+(D287*(VLOOKUP($A287,'Gas Curves'!$B$17:$P$310,14,FALSE()))))</f>
        <v> </v>
      </c>
      <c r="BV287" s="294" t="str">
        <f aca="false">IF($A287="N/A"," ",IF('Pricing Inputs'!$AW$3=1,0,(VLOOKUP($A287,InterestRatesTable,2))))</f>
        <v> </v>
      </c>
      <c r="BW287" s="297" t="str">
        <f aca="false">IF($A287="N/A"," ",(1+BV287/2)^(-2*((EOMONTH(A287,0)+20)-DateToday)/365.25))</f>
        <v> </v>
      </c>
    </row>
    <row r="288" customFormat="false" ht="12.75" hidden="false" customHeight="false" outlineLevel="0" collapsed="false">
      <c r="A288" s="272" t="str">
        <f aca="false">IF(A287="N/A","N/A",IF(EDATE(A287,1)&gt;Inputs!$K$3,"N/A",EDATE(A287,1)))</f>
        <v>N/A</v>
      </c>
      <c r="B288" s="273" t="str">
        <f aca="false">IF(A288="N/A"," ",YEAR(A288))</f>
        <v> </v>
      </c>
      <c r="C288" s="274" t="str">
        <f aca="false">IF(A288="N/A"," ",VLOOKUP(A288,ScaledPrice,10))</f>
        <v> </v>
      </c>
      <c r="D288" s="275" t="str">
        <f aca="false">IF(A288="N/A"," ",(VLOOKUP(MONTH($A288),Inputs!$A$14:$B$25,2))/1000)</f>
        <v> </v>
      </c>
      <c r="E288" s="276" t="str">
        <f aca="false">IF($A288="N/A"," ",C288*D288)</f>
        <v> </v>
      </c>
      <c r="F288" s="277" t="str">
        <f aca="false">IF(A288="N/A"," ",Inputs!$F$6)</f>
        <v> </v>
      </c>
      <c r="G288" s="277" t="str">
        <f aca="false">IF(A288="N/A"," ",Inputs!$F$9/IF(AND('Pricing Inputs'!$AQ$3&gt;=4,'Pricing Inputs'!$AQ$3&lt;=6),16,IF(AND('Pricing Inputs'!$AQ$3&gt;=7,'Pricing Inputs'!$AQ$3&lt;=9),8,24))/(BA288/BW288))</f>
        <v> </v>
      </c>
      <c r="H288" s="278" t="str">
        <f aca="false">IF(A288="N/A"," ",(C288*D288)+F288+G288)</f>
        <v> </v>
      </c>
      <c r="I288" s="279" t="str">
        <f aca="false">VLOOKUP(A288,ScaledPrice,(IF(AND('Pricing Inputs'!$AQ$3&gt;=1,'Pricing Inputs'!$AQ$3&lt;=6),2,4)))</f>
        <v> </v>
      </c>
      <c r="J288" s="279" t="str">
        <f aca="false">IF(A288="N/A"," ",IF(AND('Pricing Inputs'!$AQ$3&gt;=1,'Pricing Inputs'!$AQ$3&lt;=6),I288,(VLOOKUP(A288,ScaledPrice,2))*(2-(VLOOKUP(A288,ScaledPrice,3)))))</f>
        <v> </v>
      </c>
      <c r="K288" s="279" t="str">
        <f aca="false">IF(A288="N/A"," ",IF(OR('Pricing Inputs'!$AQ$3=2,'Pricing Inputs'!$AQ$3=3,'Pricing Inputs'!$AQ$3=5,'Pricing Inputs'!$AQ$3=6,'Pricing Inputs'!$AQ$3=8,'Pricing Inputs'!$AQ$3=9),VLOOKUP(A288,ScaledPrice,IF(AND('Pricing Inputs'!$AQ$3&gt;=2,'Pricing Inputs'!$AQ$3&lt;=6),5,6)),0))</f>
        <v> </v>
      </c>
      <c r="L288" s="279" t="str">
        <f aca="false">IF(A288="N/A"," ",IF(OR('Pricing Inputs'!$AQ$3=2,'Pricing Inputs'!$AQ$3=3,'Pricing Inputs'!$AQ$3=5,'Pricing Inputs'!$AQ$3=6,'Pricing Inputs'!$AQ$3=8,'Pricing Inputs'!$AQ$3=9),IF(AND('Pricing Inputs'!$AQ$3&gt;=2,'Pricing Inputs'!$AQ$3&lt;=6),K288,(VLOOKUP(A288,ScaledPrice,5))*(2-(VLOOKUP(A288,ScaledPrice,3)))),0))</f>
        <v> </v>
      </c>
      <c r="M288" s="279" t="str">
        <f aca="false">IF(A288="N/A"," ",IF(OR('Pricing Inputs'!$AQ$3=3,'Pricing Inputs'!$AQ$3=6,'Pricing Inputs'!$AQ$3=9),(VLOOKUP(A288,ScaledPrice,IF(AND('Pricing Inputs'!$AQ$3&gt;=3,'Pricing Inputs'!$AQ$3&lt;=6),7,8))),0))</f>
        <v> </v>
      </c>
      <c r="N288" s="279" t="str">
        <f aca="false">IF(A288="N/A"," ",IF(OR('Pricing Inputs'!$AQ$3=3,'Pricing Inputs'!$AQ$3=6,'Pricing Inputs'!$AQ$3=9),IF(AND('Pricing Inputs'!$AQ$3&gt;=3,'Pricing Inputs'!$AQ$3&lt;=6),M288,(VLOOKUP(A288,ScaledPrice,7))*(2-(VLOOKUP(A288,ScaledPrice,3)))),0))</f>
        <v> </v>
      </c>
      <c r="O288" s="279" t="str">
        <f aca="false">IF(A288="N/A"," ",IF(AND('Pricing Inputs'!$AQ$3&gt;=1,'Pricing Inputs'!$AQ$3&lt;=3),VLOOKUP(A288,ScaledPrice,9),0))</f>
        <v> </v>
      </c>
      <c r="P288" s="280" t="str">
        <f aca="false">IF($A288="N/A"," ",IF('Pricing Inputs'!$AN$8=2,(I288-H288),IF('Pricing Inputs'!$AN$3=2,IF((I288-$H288)&gt;0,I288-$H288,0),(xSPRDOPT(I288,$E288,$BU288,0,$BP288,$BS288,$BT288,($A288-Inputs!$D$1)+15,1,0)))))</f>
        <v> </v>
      </c>
      <c r="Q288" s="280" t="str">
        <f aca="false">IF($A288="N/A"," ",IF('Pricing Inputs'!$AN$8=2,(J288-$H288),IF('Pricing Inputs'!$AN$3=2,IF((J288-$H288)&gt;0,J288-$H288,0),(xSPRDOPT(J288,$E288,$BU288,0,$BP288,$BS288,$BT288,($A288-Inputs!$D$1)+15,1,0)))))</f>
        <v> </v>
      </c>
      <c r="R288" s="280" t="str">
        <f aca="false">IF($A288="N/A"," ",IF('Pricing Inputs'!$AN$8=2,(K288-$H288),IF('Pricing Inputs'!$AN$3=2,IF((K288-$H288)&gt;0,K288-$H288,0),(xSPRDOPT(K288,$E288,$BU288,0,$BP288,$BS288,$BT288,($A288-Inputs!$D$1)+15,1,0)))))</f>
        <v> </v>
      </c>
      <c r="S288" s="280" t="str">
        <f aca="false">IF($A288="N/A"," ",IF('Pricing Inputs'!$AN$8=2,(L288-$H288),IF('Pricing Inputs'!$AN$3=2,IF((L288-$H288)&gt;0,L288-$H288,0),(xSPRDOPT(L288,$E288,$BU288,0,$BP288,$BS288,$BT288,($A288-Inputs!$D$1)+15,1,0)))))</f>
        <v> </v>
      </c>
      <c r="T288" s="280" t="str">
        <f aca="false">IF($A288="N/A"," ",IF('Pricing Inputs'!$AN$8=2,(M288-$H288),IF('Pricing Inputs'!$AN$3=2,IF((M288-$H288)&gt;0,M288-$H288,0),(xSPRDOPT(M288,$E288,$BU288,0,$BP288,$BS288,$BT288,($A288-Inputs!$D$1)+15,1,0)))))</f>
        <v> </v>
      </c>
      <c r="U288" s="280" t="str">
        <f aca="false">IF($A288="N/A"," ",IF('Pricing Inputs'!$AN$8=2,(N288-$H288),IF('Pricing Inputs'!$AN$3=2,IF((N288-$H288)&gt;0,N288-$H288,0),(xSPRDOPT(N288,$E288,$BU288,0,$BP288,$BS288,$BT288,($A288-Inputs!$D$1)+15,1,0)))))</f>
        <v> </v>
      </c>
      <c r="V288" s="281" t="str">
        <f aca="false">IF($A288="N/A"," ",(IF('Pricing Inputs'!$AN$8=2,(O288-$H288),IF((O288-$H288)&lt;=0,0,(O288-$H288)))))</f>
        <v> </v>
      </c>
      <c r="AK288" s="31"/>
      <c r="AL288" s="31"/>
      <c r="AM288" s="31"/>
      <c r="AN288" s="31"/>
      <c r="AO288" s="31"/>
      <c r="AP288" s="31"/>
      <c r="AQ288" s="31"/>
      <c r="AR288" s="31"/>
      <c r="BA288" s="291" t="str">
        <f aca="false">IF($A288="N/A"," ",(IF(MONTH(A288)&gt;=4,IF(MONTH(A288)&lt;=10,Inputs!$F$13,Inputs!$F$14),Inputs!$F$14))*$BW288)</f>
        <v> </v>
      </c>
      <c r="BN288" s="294" t="str">
        <f aca="false">IF(A288="N/A"," ",(VLOOKUP(A288,PowerVolTable,(IF('Pricing Inputs'!$AT$3=2,7,IF('Pricing Inputs'!$AT$3=1,6,8))),FALSE())))</f>
        <v> </v>
      </c>
      <c r="BO288" s="294" t="str">
        <f aca="false">IF(A288="N/A"," ",(VLOOKUP(A288,IntraPowerVol,(IF('Pricing Inputs'!$AT$3=2,3,IF('Pricing Inputs'!$AT$3=1,2,4))),FALSE())*VLOOKUP(MONTH($A288),Inputs!$A$28:$B$39,2)))</f>
        <v> </v>
      </c>
      <c r="BP288" s="295" t="str">
        <f aca="false">IF($A288="N/A"," ",(IF(DateToday&gt;$A288,$BO288,((($BN288^2)*((($A288-1)-DateToday)/((EOMONTH($A288,0)+1)-DateToday-15)))+((($BO288)^2)*((15)/((EOMONTH($A288,0)+1)-DateToday-15))))^0.5)))</f>
        <v> </v>
      </c>
      <c r="BQ288" s="294" t="str">
        <f aca="false">IF($A288="N/A"," ",(VLOOKUP($A288,GasVolTable,(IF('Pricing Inputs'!$AT$3=2,6,IF('Pricing Inputs'!$AT$3=1,7,5))),FALSE())))</f>
        <v> </v>
      </c>
      <c r="BR288" s="294" t="str">
        <f aca="false">IF($A288="N/A"," ",(VLOOKUP($A288,OmicronVol,(IF('Pricing Inputs'!$AT$3=2,3,IF('Pricing Inputs'!$AT$3=1,4,2))),FALSE())))</f>
        <v> </v>
      </c>
      <c r="BS288" s="295" t="str">
        <f aca="false">IF($A288="N/A"," ",IF('Pricing Inputs'!$AN$3=1,(IF(DateToday&gt;$A288,$BR288,((($BQ288^2)*((($A288-1)-DateToday)/((EOMONTH($A288,0)+1)-DateToday-15)))+((($BR288)^2)*((15)/((EOMONTH($A288,0)+1)-DateToday-15))))^0.5)),0.0001))</f>
        <v> </v>
      </c>
      <c r="BT288" s="294" t="str">
        <f aca="false">IF($A288="N/A"," ",IF('Pricing Inputs'!$AN$3=1,(VLOOKUP($A288,CorrelationTable,2,FALSE())),0))</f>
        <v> </v>
      </c>
      <c r="BU288" s="296" t="str">
        <f aca="false">IF($A288="N/A"," ",F288+G288+(D288*(VLOOKUP($A288,'Gas Curves'!$B$17:$P$310,14,FALSE()))))</f>
        <v> </v>
      </c>
      <c r="BV288" s="294" t="str">
        <f aca="false">IF($A288="N/A"," ",IF('Pricing Inputs'!$AW$3=1,0,(VLOOKUP($A288,InterestRatesTable,2))))</f>
        <v> </v>
      </c>
      <c r="BW288" s="297" t="str">
        <f aca="false">IF($A288="N/A"," ",(1+BV288/2)^(-2*((EOMONTH(A288,0)+20)-DateToday)/365.25))</f>
        <v> </v>
      </c>
    </row>
    <row r="289" customFormat="false" ht="12.75" hidden="false" customHeight="false" outlineLevel="0" collapsed="false">
      <c r="A289" s="272" t="str">
        <f aca="false">IF(A288="N/A","N/A",IF(EDATE(A288,1)&gt;Inputs!$K$3,"N/A",EDATE(A288,1)))</f>
        <v>N/A</v>
      </c>
      <c r="B289" s="273" t="str">
        <f aca="false">IF(A289="N/A"," ",YEAR(A289))</f>
        <v> </v>
      </c>
      <c r="C289" s="274" t="str">
        <f aca="false">IF(A289="N/A"," ",VLOOKUP(A289,ScaledPrice,10))</f>
        <v> </v>
      </c>
      <c r="D289" s="275" t="str">
        <f aca="false">IF(A289="N/A"," ",(VLOOKUP(MONTH($A289),Inputs!$A$14:$B$25,2))/1000)</f>
        <v> </v>
      </c>
      <c r="E289" s="276" t="str">
        <f aca="false">IF($A289="N/A"," ",C289*D289)</f>
        <v> </v>
      </c>
      <c r="F289" s="277" t="str">
        <f aca="false">IF(A289="N/A"," ",Inputs!$F$6)</f>
        <v> </v>
      </c>
      <c r="G289" s="277" t="str">
        <f aca="false">IF(A289="N/A"," ",Inputs!$F$9/IF(AND('Pricing Inputs'!$AQ$3&gt;=4,'Pricing Inputs'!$AQ$3&lt;=6),16,IF(AND('Pricing Inputs'!$AQ$3&gt;=7,'Pricing Inputs'!$AQ$3&lt;=9),8,24))/(BA289/BW289))</f>
        <v> </v>
      </c>
      <c r="H289" s="278" t="str">
        <f aca="false">IF(A289="N/A"," ",(C289*D289)+F289+G289)</f>
        <v> </v>
      </c>
      <c r="I289" s="279" t="str">
        <f aca="false">VLOOKUP(A289,ScaledPrice,(IF(AND('Pricing Inputs'!$AQ$3&gt;=1,'Pricing Inputs'!$AQ$3&lt;=6),2,4)))</f>
        <v> </v>
      </c>
      <c r="J289" s="279" t="str">
        <f aca="false">IF(A289="N/A"," ",IF(AND('Pricing Inputs'!$AQ$3&gt;=1,'Pricing Inputs'!$AQ$3&lt;=6),I289,(VLOOKUP(A289,ScaledPrice,2))*(2-(VLOOKUP(A289,ScaledPrice,3)))))</f>
        <v> </v>
      </c>
      <c r="K289" s="279" t="str">
        <f aca="false">IF(A289="N/A"," ",IF(OR('Pricing Inputs'!$AQ$3=2,'Pricing Inputs'!$AQ$3=3,'Pricing Inputs'!$AQ$3=5,'Pricing Inputs'!$AQ$3=6,'Pricing Inputs'!$AQ$3=8,'Pricing Inputs'!$AQ$3=9),VLOOKUP(A289,ScaledPrice,IF(AND('Pricing Inputs'!$AQ$3&gt;=2,'Pricing Inputs'!$AQ$3&lt;=6),5,6)),0))</f>
        <v> </v>
      </c>
      <c r="L289" s="279" t="str">
        <f aca="false">IF(A289="N/A"," ",IF(OR('Pricing Inputs'!$AQ$3=2,'Pricing Inputs'!$AQ$3=3,'Pricing Inputs'!$AQ$3=5,'Pricing Inputs'!$AQ$3=6,'Pricing Inputs'!$AQ$3=8,'Pricing Inputs'!$AQ$3=9),IF(AND('Pricing Inputs'!$AQ$3&gt;=2,'Pricing Inputs'!$AQ$3&lt;=6),K289,(VLOOKUP(A289,ScaledPrice,5))*(2-(VLOOKUP(A289,ScaledPrice,3)))),0))</f>
        <v> </v>
      </c>
      <c r="M289" s="279" t="str">
        <f aca="false">IF(A289="N/A"," ",IF(OR('Pricing Inputs'!$AQ$3=3,'Pricing Inputs'!$AQ$3=6,'Pricing Inputs'!$AQ$3=9),(VLOOKUP(A289,ScaledPrice,IF(AND('Pricing Inputs'!$AQ$3&gt;=3,'Pricing Inputs'!$AQ$3&lt;=6),7,8))),0))</f>
        <v> </v>
      </c>
      <c r="N289" s="279" t="str">
        <f aca="false">IF(A289="N/A"," ",IF(OR('Pricing Inputs'!$AQ$3=3,'Pricing Inputs'!$AQ$3=6,'Pricing Inputs'!$AQ$3=9),IF(AND('Pricing Inputs'!$AQ$3&gt;=3,'Pricing Inputs'!$AQ$3&lt;=6),M289,(VLOOKUP(A289,ScaledPrice,7))*(2-(VLOOKUP(A289,ScaledPrice,3)))),0))</f>
        <v> </v>
      </c>
      <c r="O289" s="279" t="str">
        <f aca="false">IF(A289="N/A"," ",IF(AND('Pricing Inputs'!$AQ$3&gt;=1,'Pricing Inputs'!$AQ$3&lt;=3),VLOOKUP(A289,ScaledPrice,9),0))</f>
        <v> </v>
      </c>
      <c r="P289" s="280" t="str">
        <f aca="false">IF($A289="N/A"," ",IF('Pricing Inputs'!$AN$8=2,(I289-H289),IF('Pricing Inputs'!$AN$3=2,IF((I289-$H289)&gt;0,I289-$H289,0),(xSPRDOPT(I289,$E289,$BU289,0,$BP289,$BS289,$BT289,($A289-Inputs!$D$1)+15,1,0)))))</f>
        <v> </v>
      </c>
      <c r="Q289" s="280" t="str">
        <f aca="false">IF($A289="N/A"," ",IF('Pricing Inputs'!$AN$8=2,(J289-$H289),IF('Pricing Inputs'!$AN$3=2,IF((J289-$H289)&gt;0,J289-$H289,0),(xSPRDOPT(J289,$E289,$BU289,0,$BP289,$BS289,$BT289,($A289-Inputs!$D$1)+15,1,0)))))</f>
        <v> </v>
      </c>
      <c r="R289" s="280" t="str">
        <f aca="false">IF($A289="N/A"," ",IF('Pricing Inputs'!$AN$8=2,(K289-$H289),IF('Pricing Inputs'!$AN$3=2,IF((K289-$H289)&gt;0,K289-$H289,0),(xSPRDOPT(K289,$E289,$BU289,0,$BP289,$BS289,$BT289,($A289-Inputs!$D$1)+15,1,0)))))</f>
        <v> </v>
      </c>
      <c r="S289" s="280" t="str">
        <f aca="false">IF($A289="N/A"," ",IF('Pricing Inputs'!$AN$8=2,(L289-$H289),IF('Pricing Inputs'!$AN$3=2,IF((L289-$H289)&gt;0,L289-$H289,0),(xSPRDOPT(L289,$E289,$BU289,0,$BP289,$BS289,$BT289,($A289-Inputs!$D$1)+15,1,0)))))</f>
        <v> </v>
      </c>
      <c r="T289" s="280" t="str">
        <f aca="false">IF($A289="N/A"," ",IF('Pricing Inputs'!$AN$8=2,(M289-$H289),IF('Pricing Inputs'!$AN$3=2,IF((M289-$H289)&gt;0,M289-$H289,0),(xSPRDOPT(M289,$E289,$BU289,0,$BP289,$BS289,$BT289,($A289-Inputs!$D$1)+15,1,0)))))</f>
        <v> </v>
      </c>
      <c r="U289" s="280" t="str">
        <f aca="false">IF($A289="N/A"," ",IF('Pricing Inputs'!$AN$8=2,(N289-$H289),IF('Pricing Inputs'!$AN$3=2,IF((N289-$H289)&gt;0,N289-$H289,0),(xSPRDOPT(N289,$E289,$BU289,0,$BP289,$BS289,$BT289,($A289-Inputs!$D$1)+15,1,0)))))</f>
        <v> </v>
      </c>
      <c r="V289" s="281" t="str">
        <f aca="false">IF($A289="N/A"," ",(IF('Pricing Inputs'!$AN$8=2,(O289-$H289),IF((O289-$H289)&lt;=0,0,(O289-$H289)))))</f>
        <v> </v>
      </c>
      <c r="AK289" s="31"/>
      <c r="AL289" s="31"/>
      <c r="AM289" s="31"/>
      <c r="AN289" s="31"/>
      <c r="AO289" s="31"/>
      <c r="AP289" s="31"/>
      <c r="AQ289" s="31"/>
      <c r="AR289" s="31"/>
      <c r="BA289" s="291" t="str">
        <f aca="false">IF($A289="N/A"," ",(IF(MONTH(A289)&gt;=4,IF(MONTH(A289)&lt;=10,Inputs!$F$13,Inputs!$F$14),Inputs!$F$14))*$BW289)</f>
        <v> </v>
      </c>
      <c r="BN289" s="294" t="str">
        <f aca="false">IF(A289="N/A"," ",(VLOOKUP(A289,PowerVolTable,(IF('Pricing Inputs'!$AT$3=2,7,IF('Pricing Inputs'!$AT$3=1,6,8))),FALSE())))</f>
        <v> </v>
      </c>
      <c r="BO289" s="294" t="str">
        <f aca="false">IF(A289="N/A"," ",(VLOOKUP(A289,IntraPowerVol,(IF('Pricing Inputs'!$AT$3=2,3,IF('Pricing Inputs'!$AT$3=1,2,4))),FALSE())*VLOOKUP(MONTH($A289),Inputs!$A$28:$B$39,2)))</f>
        <v> </v>
      </c>
      <c r="BP289" s="295" t="str">
        <f aca="false">IF($A289="N/A"," ",(IF(DateToday&gt;$A289,$BO289,((($BN289^2)*((($A289-1)-DateToday)/((EOMONTH($A289,0)+1)-DateToday-15)))+((($BO289)^2)*((15)/((EOMONTH($A289,0)+1)-DateToday-15))))^0.5)))</f>
        <v> </v>
      </c>
      <c r="BQ289" s="294" t="str">
        <f aca="false">IF($A289="N/A"," ",(VLOOKUP($A289,GasVolTable,(IF('Pricing Inputs'!$AT$3=2,6,IF('Pricing Inputs'!$AT$3=1,7,5))),FALSE())))</f>
        <v> </v>
      </c>
      <c r="BR289" s="294" t="str">
        <f aca="false">IF($A289="N/A"," ",(VLOOKUP($A289,OmicronVol,(IF('Pricing Inputs'!$AT$3=2,3,IF('Pricing Inputs'!$AT$3=1,4,2))),FALSE())))</f>
        <v> </v>
      </c>
      <c r="BS289" s="295" t="str">
        <f aca="false">IF($A289="N/A"," ",IF('Pricing Inputs'!$AN$3=1,(IF(DateToday&gt;$A289,$BR289,((($BQ289^2)*((($A289-1)-DateToday)/((EOMONTH($A289,0)+1)-DateToday-15)))+((($BR289)^2)*((15)/((EOMONTH($A289,0)+1)-DateToday-15))))^0.5)),0.0001))</f>
        <v> </v>
      </c>
      <c r="BT289" s="294" t="str">
        <f aca="false">IF($A289="N/A"," ",IF('Pricing Inputs'!$AN$3=1,(VLOOKUP($A289,CorrelationTable,2,FALSE())),0))</f>
        <v> </v>
      </c>
      <c r="BU289" s="296" t="str">
        <f aca="false">IF($A289="N/A"," ",F289+G289+(D289*(VLOOKUP($A289,'Gas Curves'!$B$17:$P$310,14,FALSE()))))</f>
        <v> </v>
      </c>
      <c r="BV289" s="294" t="str">
        <f aca="false">IF($A289="N/A"," ",IF('Pricing Inputs'!$AW$3=1,0,(VLOOKUP($A289,InterestRatesTable,2))))</f>
        <v> </v>
      </c>
      <c r="BW289" s="297" t="str">
        <f aca="false">IF($A289="N/A"," ",(1+BV289/2)^(-2*((EOMONTH(A289,0)+20)-DateToday)/365.25))</f>
        <v> </v>
      </c>
    </row>
    <row r="290" customFormat="false" ht="12.75" hidden="false" customHeight="false" outlineLevel="0" collapsed="false">
      <c r="A290" s="272" t="str">
        <f aca="false">IF(A289="N/A","N/A",IF(EDATE(A289,1)&gt;Inputs!$K$3,"N/A",EDATE(A289,1)))</f>
        <v>N/A</v>
      </c>
      <c r="B290" s="273" t="str">
        <f aca="false">IF(A290="N/A"," ",YEAR(A290))</f>
        <v> </v>
      </c>
      <c r="C290" s="274" t="str">
        <f aca="false">IF(A290="N/A"," ",VLOOKUP(A290,ScaledPrice,10))</f>
        <v> </v>
      </c>
      <c r="D290" s="275" t="str">
        <f aca="false">IF(A290="N/A"," ",(VLOOKUP(MONTH($A290),Inputs!$A$14:$B$25,2))/1000)</f>
        <v> </v>
      </c>
      <c r="E290" s="276" t="str">
        <f aca="false">IF($A290="N/A"," ",C290*D290)</f>
        <v> </v>
      </c>
      <c r="F290" s="277" t="str">
        <f aca="false">IF(A290="N/A"," ",Inputs!$F$6)</f>
        <v> </v>
      </c>
      <c r="G290" s="277" t="str">
        <f aca="false">IF(A290="N/A"," ",Inputs!$F$9/IF(AND('Pricing Inputs'!$AQ$3&gt;=4,'Pricing Inputs'!$AQ$3&lt;=6),16,IF(AND('Pricing Inputs'!$AQ$3&gt;=7,'Pricing Inputs'!$AQ$3&lt;=9),8,24))/(BA290/BW290))</f>
        <v> </v>
      </c>
      <c r="H290" s="278" t="str">
        <f aca="false">IF(A290="N/A"," ",(C290*D290)+F290+G290)</f>
        <v> </v>
      </c>
      <c r="I290" s="279" t="str">
        <f aca="false">VLOOKUP(A290,ScaledPrice,(IF(AND('Pricing Inputs'!$AQ$3&gt;=1,'Pricing Inputs'!$AQ$3&lt;=6),2,4)))</f>
        <v> </v>
      </c>
      <c r="J290" s="279" t="str">
        <f aca="false">IF(A290="N/A"," ",IF(AND('Pricing Inputs'!$AQ$3&gt;=1,'Pricing Inputs'!$AQ$3&lt;=6),I290,(VLOOKUP(A290,ScaledPrice,2))*(2-(VLOOKUP(A290,ScaledPrice,3)))))</f>
        <v> </v>
      </c>
      <c r="K290" s="279" t="str">
        <f aca="false">IF(A290="N/A"," ",IF(OR('Pricing Inputs'!$AQ$3=2,'Pricing Inputs'!$AQ$3=3,'Pricing Inputs'!$AQ$3=5,'Pricing Inputs'!$AQ$3=6,'Pricing Inputs'!$AQ$3=8,'Pricing Inputs'!$AQ$3=9),VLOOKUP(A290,ScaledPrice,IF(AND('Pricing Inputs'!$AQ$3&gt;=2,'Pricing Inputs'!$AQ$3&lt;=6),5,6)),0))</f>
        <v> </v>
      </c>
      <c r="L290" s="279" t="str">
        <f aca="false">IF(A290="N/A"," ",IF(OR('Pricing Inputs'!$AQ$3=2,'Pricing Inputs'!$AQ$3=3,'Pricing Inputs'!$AQ$3=5,'Pricing Inputs'!$AQ$3=6,'Pricing Inputs'!$AQ$3=8,'Pricing Inputs'!$AQ$3=9),IF(AND('Pricing Inputs'!$AQ$3&gt;=2,'Pricing Inputs'!$AQ$3&lt;=6),K290,(VLOOKUP(A290,ScaledPrice,5))*(2-(VLOOKUP(A290,ScaledPrice,3)))),0))</f>
        <v> </v>
      </c>
      <c r="M290" s="279" t="str">
        <f aca="false">IF(A290="N/A"," ",IF(OR('Pricing Inputs'!$AQ$3=3,'Pricing Inputs'!$AQ$3=6,'Pricing Inputs'!$AQ$3=9),(VLOOKUP(A290,ScaledPrice,IF(AND('Pricing Inputs'!$AQ$3&gt;=3,'Pricing Inputs'!$AQ$3&lt;=6),7,8))),0))</f>
        <v> </v>
      </c>
      <c r="N290" s="279" t="str">
        <f aca="false">IF(A290="N/A"," ",IF(OR('Pricing Inputs'!$AQ$3=3,'Pricing Inputs'!$AQ$3=6,'Pricing Inputs'!$AQ$3=9),IF(AND('Pricing Inputs'!$AQ$3&gt;=3,'Pricing Inputs'!$AQ$3&lt;=6),M290,(VLOOKUP(A290,ScaledPrice,7))*(2-(VLOOKUP(A290,ScaledPrice,3)))),0))</f>
        <v> </v>
      </c>
      <c r="O290" s="279" t="str">
        <f aca="false">IF(A290="N/A"," ",IF(AND('Pricing Inputs'!$AQ$3&gt;=1,'Pricing Inputs'!$AQ$3&lt;=3),VLOOKUP(A290,ScaledPrice,9),0))</f>
        <v> </v>
      </c>
      <c r="P290" s="280" t="str">
        <f aca="false">IF($A290="N/A"," ",IF('Pricing Inputs'!$AN$8=2,(I290-H290),IF('Pricing Inputs'!$AN$3=2,IF((I290-$H290)&gt;0,I290-$H290,0),(xSPRDOPT(I290,$E290,$BU290,0,$BP290,$BS290,$BT290,($A290-Inputs!$D$1)+15,1,0)))))</f>
        <v> </v>
      </c>
      <c r="Q290" s="280" t="str">
        <f aca="false">IF($A290="N/A"," ",IF('Pricing Inputs'!$AN$8=2,(J290-$H290),IF('Pricing Inputs'!$AN$3=2,IF((J290-$H290)&gt;0,J290-$H290,0),(xSPRDOPT(J290,$E290,$BU290,0,$BP290,$BS290,$BT290,($A290-Inputs!$D$1)+15,1,0)))))</f>
        <v> </v>
      </c>
      <c r="R290" s="280" t="str">
        <f aca="false">IF($A290="N/A"," ",IF('Pricing Inputs'!$AN$8=2,(K290-$H290),IF('Pricing Inputs'!$AN$3=2,IF((K290-$H290)&gt;0,K290-$H290,0),(xSPRDOPT(K290,$E290,$BU290,0,$BP290,$BS290,$BT290,($A290-Inputs!$D$1)+15,1,0)))))</f>
        <v> </v>
      </c>
      <c r="S290" s="280" t="str">
        <f aca="false">IF($A290="N/A"," ",IF('Pricing Inputs'!$AN$8=2,(L290-$H290),IF('Pricing Inputs'!$AN$3=2,IF((L290-$H290)&gt;0,L290-$H290,0),(xSPRDOPT(L290,$E290,$BU290,0,$BP290,$BS290,$BT290,($A290-Inputs!$D$1)+15,1,0)))))</f>
        <v> </v>
      </c>
      <c r="T290" s="280" t="str">
        <f aca="false">IF($A290="N/A"," ",IF('Pricing Inputs'!$AN$8=2,(M290-$H290),IF('Pricing Inputs'!$AN$3=2,IF((M290-$H290)&gt;0,M290-$H290,0),(xSPRDOPT(M290,$E290,$BU290,0,$BP290,$BS290,$BT290,($A290-Inputs!$D$1)+15,1,0)))))</f>
        <v> </v>
      </c>
      <c r="U290" s="280" t="str">
        <f aca="false">IF($A290="N/A"," ",IF('Pricing Inputs'!$AN$8=2,(N290-$H290),IF('Pricing Inputs'!$AN$3=2,IF((N290-$H290)&gt;0,N290-$H290,0),(xSPRDOPT(N290,$E290,$BU290,0,$BP290,$BS290,$BT290,($A290-Inputs!$D$1)+15,1,0)))))</f>
        <v> </v>
      </c>
      <c r="V290" s="281" t="str">
        <f aca="false">IF($A290="N/A"," ",(IF('Pricing Inputs'!$AN$8=2,(O290-$H290),IF((O290-$H290)&lt;=0,0,(O290-$H290)))))</f>
        <v> </v>
      </c>
      <c r="AK290" s="31"/>
      <c r="AL290" s="31"/>
      <c r="AM290" s="31"/>
      <c r="AN290" s="31"/>
      <c r="AO290" s="31"/>
      <c r="AP290" s="31"/>
      <c r="AQ290" s="31"/>
      <c r="AR290" s="31"/>
      <c r="BA290" s="291" t="str">
        <f aca="false">IF($A290="N/A"," ",(IF(MONTH(A290)&gt;=4,IF(MONTH(A290)&lt;=10,Inputs!$F$13,Inputs!$F$14),Inputs!$F$14))*$BW290)</f>
        <v> </v>
      </c>
      <c r="BN290" s="294" t="str">
        <f aca="false">IF(A290="N/A"," ",(VLOOKUP(A290,PowerVolTable,(IF('Pricing Inputs'!$AT$3=2,7,IF('Pricing Inputs'!$AT$3=1,6,8))),FALSE())))</f>
        <v> </v>
      </c>
      <c r="BO290" s="294" t="str">
        <f aca="false">IF(A290="N/A"," ",(VLOOKUP(A290,IntraPowerVol,(IF('Pricing Inputs'!$AT$3=2,3,IF('Pricing Inputs'!$AT$3=1,2,4))),FALSE())*VLOOKUP(MONTH($A290),Inputs!$A$28:$B$39,2)))</f>
        <v> </v>
      </c>
      <c r="BP290" s="295" t="str">
        <f aca="false">IF($A290="N/A"," ",(IF(DateToday&gt;$A290,$BO290,((($BN290^2)*((($A290-1)-DateToday)/((EOMONTH($A290,0)+1)-DateToday-15)))+((($BO290)^2)*((15)/((EOMONTH($A290,0)+1)-DateToday-15))))^0.5)))</f>
        <v> </v>
      </c>
      <c r="BQ290" s="294" t="str">
        <f aca="false">IF($A290="N/A"," ",(VLOOKUP($A290,GasVolTable,(IF('Pricing Inputs'!$AT$3=2,6,IF('Pricing Inputs'!$AT$3=1,7,5))),FALSE())))</f>
        <v> </v>
      </c>
      <c r="BR290" s="294" t="str">
        <f aca="false">IF($A290="N/A"," ",(VLOOKUP($A290,OmicronVol,(IF('Pricing Inputs'!$AT$3=2,3,IF('Pricing Inputs'!$AT$3=1,4,2))),FALSE())))</f>
        <v> </v>
      </c>
      <c r="BS290" s="295" t="str">
        <f aca="false">IF($A290="N/A"," ",IF('Pricing Inputs'!$AN$3=1,(IF(DateToday&gt;$A290,$BR290,((($BQ290^2)*((($A290-1)-DateToday)/((EOMONTH($A290,0)+1)-DateToday-15)))+((($BR290)^2)*((15)/((EOMONTH($A290,0)+1)-DateToday-15))))^0.5)),0.0001))</f>
        <v> </v>
      </c>
      <c r="BT290" s="294" t="str">
        <f aca="false">IF($A290="N/A"," ",IF('Pricing Inputs'!$AN$3=1,(VLOOKUP($A290,CorrelationTable,2,FALSE())),0))</f>
        <v> </v>
      </c>
      <c r="BU290" s="296" t="str">
        <f aca="false">IF($A290="N/A"," ",F290+G290+(D290*(VLOOKUP($A290,'Gas Curves'!$B$17:$P$310,14,FALSE()))))</f>
        <v> </v>
      </c>
      <c r="BV290" s="294" t="str">
        <f aca="false">IF($A290="N/A"," ",IF('Pricing Inputs'!$AW$3=1,0,(VLOOKUP($A290,InterestRatesTable,2))))</f>
        <v> </v>
      </c>
      <c r="BW290" s="297" t="str">
        <f aca="false">IF($A290="N/A"," ",(1+BV290/2)^(-2*((EOMONTH(A290,0)+20)-DateToday)/365.25))</f>
        <v> </v>
      </c>
    </row>
    <row r="291" customFormat="false" ht="12.75" hidden="false" customHeight="false" outlineLevel="0" collapsed="false">
      <c r="A291" s="272" t="str">
        <f aca="false">IF(A290="N/A","N/A",IF(EDATE(A290,1)&gt;Inputs!$K$3,"N/A",EDATE(A290,1)))</f>
        <v>N/A</v>
      </c>
      <c r="B291" s="273" t="str">
        <f aca="false">IF(A291="N/A"," ",YEAR(A291))</f>
        <v> </v>
      </c>
      <c r="C291" s="274" t="str">
        <f aca="false">IF(A291="N/A"," ",VLOOKUP(A291,ScaledPrice,10))</f>
        <v> </v>
      </c>
      <c r="D291" s="275" t="str">
        <f aca="false">IF(A291="N/A"," ",(VLOOKUP(MONTH($A291),Inputs!$A$14:$B$25,2))/1000)</f>
        <v> </v>
      </c>
      <c r="E291" s="276" t="str">
        <f aca="false">IF($A291="N/A"," ",C291*D291)</f>
        <v> </v>
      </c>
      <c r="F291" s="277" t="str">
        <f aca="false">IF(A291="N/A"," ",Inputs!$F$6)</f>
        <v> </v>
      </c>
      <c r="G291" s="277" t="str">
        <f aca="false">IF(A291="N/A"," ",Inputs!$F$9/IF(AND('Pricing Inputs'!$AQ$3&gt;=4,'Pricing Inputs'!$AQ$3&lt;=6),16,IF(AND('Pricing Inputs'!$AQ$3&gt;=7,'Pricing Inputs'!$AQ$3&lt;=9),8,24))/(BA291/BW291))</f>
        <v> </v>
      </c>
      <c r="H291" s="278" t="str">
        <f aca="false">IF(A291="N/A"," ",(C291*D291)+F291+G291)</f>
        <v> </v>
      </c>
      <c r="I291" s="279" t="str">
        <f aca="false">VLOOKUP(A291,ScaledPrice,(IF(AND('Pricing Inputs'!$AQ$3&gt;=1,'Pricing Inputs'!$AQ$3&lt;=6),2,4)))</f>
        <v> </v>
      </c>
      <c r="J291" s="279" t="str">
        <f aca="false">IF(A291="N/A"," ",IF(AND('Pricing Inputs'!$AQ$3&gt;=1,'Pricing Inputs'!$AQ$3&lt;=6),I291,(VLOOKUP(A291,ScaledPrice,2))*(2-(VLOOKUP(A291,ScaledPrice,3)))))</f>
        <v> </v>
      </c>
      <c r="K291" s="279" t="str">
        <f aca="false">IF(A291="N/A"," ",IF(OR('Pricing Inputs'!$AQ$3=2,'Pricing Inputs'!$AQ$3=3,'Pricing Inputs'!$AQ$3=5,'Pricing Inputs'!$AQ$3=6,'Pricing Inputs'!$AQ$3=8,'Pricing Inputs'!$AQ$3=9),VLOOKUP(A291,ScaledPrice,IF(AND('Pricing Inputs'!$AQ$3&gt;=2,'Pricing Inputs'!$AQ$3&lt;=6),5,6)),0))</f>
        <v> </v>
      </c>
      <c r="L291" s="279" t="str">
        <f aca="false">IF(A291="N/A"," ",IF(OR('Pricing Inputs'!$AQ$3=2,'Pricing Inputs'!$AQ$3=3,'Pricing Inputs'!$AQ$3=5,'Pricing Inputs'!$AQ$3=6,'Pricing Inputs'!$AQ$3=8,'Pricing Inputs'!$AQ$3=9),IF(AND('Pricing Inputs'!$AQ$3&gt;=2,'Pricing Inputs'!$AQ$3&lt;=6),K291,(VLOOKUP(A291,ScaledPrice,5))*(2-(VLOOKUP(A291,ScaledPrice,3)))),0))</f>
        <v> </v>
      </c>
      <c r="M291" s="279" t="str">
        <f aca="false">IF(A291="N/A"," ",IF(OR('Pricing Inputs'!$AQ$3=3,'Pricing Inputs'!$AQ$3=6,'Pricing Inputs'!$AQ$3=9),(VLOOKUP(A291,ScaledPrice,IF(AND('Pricing Inputs'!$AQ$3&gt;=3,'Pricing Inputs'!$AQ$3&lt;=6),7,8))),0))</f>
        <v> </v>
      </c>
      <c r="N291" s="279" t="str">
        <f aca="false">IF(A291="N/A"," ",IF(OR('Pricing Inputs'!$AQ$3=3,'Pricing Inputs'!$AQ$3=6,'Pricing Inputs'!$AQ$3=9),IF(AND('Pricing Inputs'!$AQ$3&gt;=3,'Pricing Inputs'!$AQ$3&lt;=6),M291,(VLOOKUP(A291,ScaledPrice,7))*(2-(VLOOKUP(A291,ScaledPrice,3)))),0))</f>
        <v> </v>
      </c>
      <c r="O291" s="279" t="str">
        <f aca="false">IF(A291="N/A"," ",IF(AND('Pricing Inputs'!$AQ$3&gt;=1,'Pricing Inputs'!$AQ$3&lt;=3),VLOOKUP(A291,ScaledPrice,9),0))</f>
        <v> </v>
      </c>
      <c r="P291" s="280" t="str">
        <f aca="false">IF($A291="N/A"," ",IF('Pricing Inputs'!$AN$8=2,(I291-H291),IF('Pricing Inputs'!$AN$3=2,IF((I291-$H291)&gt;0,I291-$H291,0),(xSPRDOPT(I291,$E291,$BU291,0,$BP291,$BS291,$BT291,($A291-Inputs!$D$1)+15,1,0)))))</f>
        <v> </v>
      </c>
      <c r="Q291" s="280" t="str">
        <f aca="false">IF($A291="N/A"," ",IF('Pricing Inputs'!$AN$8=2,(J291-$H291),IF('Pricing Inputs'!$AN$3=2,IF((J291-$H291)&gt;0,J291-$H291,0),(xSPRDOPT(J291,$E291,$BU291,0,$BP291,$BS291,$BT291,($A291-Inputs!$D$1)+15,1,0)))))</f>
        <v> </v>
      </c>
      <c r="R291" s="280" t="str">
        <f aca="false">IF($A291="N/A"," ",IF('Pricing Inputs'!$AN$8=2,(K291-$H291),IF('Pricing Inputs'!$AN$3=2,IF((K291-$H291)&gt;0,K291-$H291,0),(xSPRDOPT(K291,$E291,$BU291,0,$BP291,$BS291,$BT291,($A291-Inputs!$D$1)+15,1,0)))))</f>
        <v> </v>
      </c>
      <c r="S291" s="280" t="str">
        <f aca="false">IF($A291="N/A"," ",IF('Pricing Inputs'!$AN$8=2,(L291-$H291),IF('Pricing Inputs'!$AN$3=2,IF((L291-$H291)&gt;0,L291-$H291,0),(xSPRDOPT(L291,$E291,$BU291,0,$BP291,$BS291,$BT291,($A291-Inputs!$D$1)+15,1,0)))))</f>
        <v> </v>
      </c>
      <c r="T291" s="280" t="str">
        <f aca="false">IF($A291="N/A"," ",IF('Pricing Inputs'!$AN$8=2,(M291-$H291),IF('Pricing Inputs'!$AN$3=2,IF((M291-$H291)&gt;0,M291-$H291,0),(xSPRDOPT(M291,$E291,$BU291,0,$BP291,$BS291,$BT291,($A291-Inputs!$D$1)+15,1,0)))))</f>
        <v> </v>
      </c>
      <c r="U291" s="280" t="str">
        <f aca="false">IF($A291="N/A"," ",IF('Pricing Inputs'!$AN$8=2,(N291-$H291),IF('Pricing Inputs'!$AN$3=2,IF((N291-$H291)&gt;0,N291-$H291,0),(xSPRDOPT(N291,$E291,$BU291,0,$BP291,$BS291,$BT291,($A291-Inputs!$D$1)+15,1,0)))))</f>
        <v> </v>
      </c>
      <c r="V291" s="281" t="str">
        <f aca="false">IF($A291="N/A"," ",(IF('Pricing Inputs'!$AN$8=2,(O291-$H291),IF((O291-$H291)&lt;=0,0,(O291-$H291)))))</f>
        <v> </v>
      </c>
      <c r="AK291" s="31"/>
      <c r="AL291" s="31"/>
      <c r="AM291" s="31"/>
      <c r="AN291" s="31"/>
      <c r="AO291" s="31"/>
      <c r="AP291" s="31"/>
      <c r="AQ291" s="31"/>
      <c r="AR291" s="31"/>
      <c r="BA291" s="291" t="str">
        <f aca="false">IF($A291="N/A"," ",(IF(MONTH(A291)&gt;=4,IF(MONTH(A291)&lt;=10,Inputs!$F$13,Inputs!$F$14),Inputs!$F$14))*$BW291)</f>
        <v> </v>
      </c>
      <c r="BN291" s="294" t="str">
        <f aca="false">IF(A291="N/A"," ",(VLOOKUP(A291,PowerVolTable,(IF('Pricing Inputs'!$AT$3=2,7,IF('Pricing Inputs'!$AT$3=1,6,8))),FALSE())))</f>
        <v> </v>
      </c>
      <c r="BO291" s="294" t="str">
        <f aca="false">IF(A291="N/A"," ",(VLOOKUP(A291,IntraPowerVol,(IF('Pricing Inputs'!$AT$3=2,3,IF('Pricing Inputs'!$AT$3=1,2,4))),FALSE())*VLOOKUP(MONTH($A291),Inputs!$A$28:$B$39,2)))</f>
        <v> </v>
      </c>
      <c r="BP291" s="295" t="str">
        <f aca="false">IF($A291="N/A"," ",(IF(DateToday&gt;$A291,$BO291,((($BN291^2)*((($A291-1)-DateToday)/((EOMONTH($A291,0)+1)-DateToday-15)))+((($BO291)^2)*((15)/((EOMONTH($A291,0)+1)-DateToday-15))))^0.5)))</f>
        <v> </v>
      </c>
      <c r="BQ291" s="294" t="str">
        <f aca="false">IF($A291="N/A"," ",(VLOOKUP($A291,GasVolTable,(IF('Pricing Inputs'!$AT$3=2,6,IF('Pricing Inputs'!$AT$3=1,7,5))),FALSE())))</f>
        <v> </v>
      </c>
      <c r="BR291" s="294" t="str">
        <f aca="false">IF($A291="N/A"," ",(VLOOKUP($A291,OmicronVol,(IF('Pricing Inputs'!$AT$3=2,3,IF('Pricing Inputs'!$AT$3=1,4,2))),FALSE())))</f>
        <v> </v>
      </c>
      <c r="BS291" s="295" t="str">
        <f aca="false">IF($A291="N/A"," ",IF('Pricing Inputs'!$AN$3=1,(IF(DateToday&gt;$A291,$BR291,((($BQ291^2)*((($A291-1)-DateToday)/((EOMONTH($A291,0)+1)-DateToday-15)))+((($BR291)^2)*((15)/((EOMONTH($A291,0)+1)-DateToday-15))))^0.5)),0.0001))</f>
        <v> </v>
      </c>
      <c r="BT291" s="294" t="str">
        <f aca="false">IF($A291="N/A"," ",IF('Pricing Inputs'!$AN$3=1,(VLOOKUP($A291,CorrelationTable,2,FALSE())),0))</f>
        <v> </v>
      </c>
      <c r="BU291" s="296" t="str">
        <f aca="false">IF($A291="N/A"," ",F291+G291+(D291*(VLOOKUP($A291,'Gas Curves'!$B$17:$P$310,14,FALSE()))))</f>
        <v> </v>
      </c>
      <c r="BV291" s="294" t="str">
        <f aca="false">IF($A291="N/A"," ",IF('Pricing Inputs'!$AW$3=1,0,(VLOOKUP($A291,InterestRatesTable,2))))</f>
        <v> </v>
      </c>
      <c r="BW291" s="297" t="str">
        <f aca="false">IF($A291="N/A"," ",(1+BV291/2)^(-2*((EOMONTH(A291,0)+20)-DateToday)/365.25))</f>
        <v> </v>
      </c>
    </row>
    <row r="292" customFormat="false" ht="12.75" hidden="false" customHeight="false" outlineLevel="0" collapsed="false">
      <c r="A292" s="272" t="str">
        <f aca="false">IF(A291="N/A","N/A",IF(EDATE(A291,1)&gt;Inputs!$K$3,"N/A",EDATE(A291,1)))</f>
        <v>N/A</v>
      </c>
      <c r="B292" s="273" t="str">
        <f aca="false">IF(A292="N/A"," ",YEAR(A292))</f>
        <v> </v>
      </c>
      <c r="C292" s="274" t="str">
        <f aca="false">IF(A292="N/A"," ",VLOOKUP(A292,ScaledPrice,10))</f>
        <v> </v>
      </c>
      <c r="D292" s="275" t="str">
        <f aca="false">IF(A292="N/A"," ",(VLOOKUP(MONTH($A292),Inputs!$A$14:$B$25,2))/1000)</f>
        <v> </v>
      </c>
      <c r="E292" s="276" t="str">
        <f aca="false">IF($A292="N/A"," ",C292*D292)</f>
        <v> </v>
      </c>
      <c r="F292" s="277" t="str">
        <f aca="false">IF(A292="N/A"," ",Inputs!$F$6)</f>
        <v> </v>
      </c>
      <c r="G292" s="277" t="str">
        <f aca="false">IF(A292="N/A"," ",Inputs!$F$9/IF(AND('Pricing Inputs'!$AQ$3&gt;=4,'Pricing Inputs'!$AQ$3&lt;=6),16,IF(AND('Pricing Inputs'!$AQ$3&gt;=7,'Pricing Inputs'!$AQ$3&lt;=9),8,24))/(BA292/BW292))</f>
        <v> </v>
      </c>
      <c r="H292" s="278" t="str">
        <f aca="false">IF(A292="N/A"," ",(C292*D292)+F292+G292)</f>
        <v> </v>
      </c>
      <c r="I292" s="279" t="str">
        <f aca="false">VLOOKUP(A292,ScaledPrice,(IF(AND('Pricing Inputs'!$AQ$3&gt;=1,'Pricing Inputs'!$AQ$3&lt;=6),2,4)))</f>
        <v> </v>
      </c>
      <c r="J292" s="279" t="str">
        <f aca="false">IF(A292="N/A"," ",IF(AND('Pricing Inputs'!$AQ$3&gt;=1,'Pricing Inputs'!$AQ$3&lt;=6),I292,(VLOOKUP(A292,ScaledPrice,2))*(2-(VLOOKUP(A292,ScaledPrice,3)))))</f>
        <v> </v>
      </c>
      <c r="K292" s="279" t="str">
        <f aca="false">IF(A292="N/A"," ",IF(OR('Pricing Inputs'!$AQ$3=2,'Pricing Inputs'!$AQ$3=3,'Pricing Inputs'!$AQ$3=5,'Pricing Inputs'!$AQ$3=6,'Pricing Inputs'!$AQ$3=8,'Pricing Inputs'!$AQ$3=9),VLOOKUP(A292,ScaledPrice,IF(AND('Pricing Inputs'!$AQ$3&gt;=2,'Pricing Inputs'!$AQ$3&lt;=6),5,6)),0))</f>
        <v> </v>
      </c>
      <c r="L292" s="279" t="str">
        <f aca="false">IF(A292="N/A"," ",IF(OR('Pricing Inputs'!$AQ$3=2,'Pricing Inputs'!$AQ$3=3,'Pricing Inputs'!$AQ$3=5,'Pricing Inputs'!$AQ$3=6,'Pricing Inputs'!$AQ$3=8,'Pricing Inputs'!$AQ$3=9),IF(AND('Pricing Inputs'!$AQ$3&gt;=2,'Pricing Inputs'!$AQ$3&lt;=6),K292,(VLOOKUP(A292,ScaledPrice,5))*(2-(VLOOKUP(A292,ScaledPrice,3)))),0))</f>
        <v> </v>
      </c>
      <c r="M292" s="279" t="str">
        <f aca="false">IF(A292="N/A"," ",IF(OR('Pricing Inputs'!$AQ$3=3,'Pricing Inputs'!$AQ$3=6,'Pricing Inputs'!$AQ$3=9),(VLOOKUP(A292,ScaledPrice,IF(AND('Pricing Inputs'!$AQ$3&gt;=3,'Pricing Inputs'!$AQ$3&lt;=6),7,8))),0))</f>
        <v> </v>
      </c>
      <c r="N292" s="279" t="str">
        <f aca="false">IF(A292="N/A"," ",IF(OR('Pricing Inputs'!$AQ$3=3,'Pricing Inputs'!$AQ$3=6,'Pricing Inputs'!$AQ$3=9),IF(AND('Pricing Inputs'!$AQ$3&gt;=3,'Pricing Inputs'!$AQ$3&lt;=6),M292,(VLOOKUP(A292,ScaledPrice,7))*(2-(VLOOKUP(A292,ScaledPrice,3)))),0))</f>
        <v> </v>
      </c>
      <c r="O292" s="279" t="str">
        <f aca="false">IF(A292="N/A"," ",IF(AND('Pricing Inputs'!$AQ$3&gt;=1,'Pricing Inputs'!$AQ$3&lt;=3),VLOOKUP(A292,ScaledPrice,9),0))</f>
        <v> </v>
      </c>
      <c r="P292" s="280" t="str">
        <f aca="false">IF($A292="N/A"," ",IF('Pricing Inputs'!$AN$8=2,(I292-H292),IF('Pricing Inputs'!$AN$3=2,IF((I292-$H292)&gt;0,I292-$H292,0),(xSPRDOPT(I292,$E292,$BU292,0,$BP292,$BS292,$BT292,($A292-Inputs!$D$1)+15,1,0)))))</f>
        <v> </v>
      </c>
      <c r="Q292" s="280" t="str">
        <f aca="false">IF($A292="N/A"," ",IF('Pricing Inputs'!$AN$8=2,(J292-$H292),IF('Pricing Inputs'!$AN$3=2,IF((J292-$H292)&gt;0,J292-$H292,0),(xSPRDOPT(J292,$E292,$BU292,0,$BP292,$BS292,$BT292,($A292-Inputs!$D$1)+15,1,0)))))</f>
        <v> </v>
      </c>
      <c r="R292" s="280" t="str">
        <f aca="false">IF($A292="N/A"," ",IF('Pricing Inputs'!$AN$8=2,(K292-$H292),IF('Pricing Inputs'!$AN$3=2,IF((K292-$H292)&gt;0,K292-$H292,0),(xSPRDOPT(K292,$E292,$BU292,0,$BP292,$BS292,$BT292,($A292-Inputs!$D$1)+15,1,0)))))</f>
        <v> </v>
      </c>
      <c r="S292" s="280" t="str">
        <f aca="false">IF($A292="N/A"," ",IF('Pricing Inputs'!$AN$8=2,(L292-$H292),IF('Pricing Inputs'!$AN$3=2,IF((L292-$H292)&gt;0,L292-$H292,0),(xSPRDOPT(L292,$E292,$BU292,0,$BP292,$BS292,$BT292,($A292-Inputs!$D$1)+15,1,0)))))</f>
        <v> </v>
      </c>
      <c r="T292" s="280" t="str">
        <f aca="false">IF($A292="N/A"," ",IF('Pricing Inputs'!$AN$8=2,(M292-$H292),IF('Pricing Inputs'!$AN$3=2,IF((M292-$H292)&gt;0,M292-$H292,0),(xSPRDOPT(M292,$E292,$BU292,0,$BP292,$BS292,$BT292,($A292-Inputs!$D$1)+15,1,0)))))</f>
        <v> </v>
      </c>
      <c r="U292" s="280" t="str">
        <f aca="false">IF($A292="N/A"," ",IF('Pricing Inputs'!$AN$8=2,(N292-$H292),IF('Pricing Inputs'!$AN$3=2,IF((N292-$H292)&gt;0,N292-$H292,0),(xSPRDOPT(N292,$E292,$BU292,0,$BP292,$BS292,$BT292,($A292-Inputs!$D$1)+15,1,0)))))</f>
        <v> </v>
      </c>
      <c r="V292" s="281" t="str">
        <f aca="false">IF($A292="N/A"," ",(IF('Pricing Inputs'!$AN$8=2,(O292-$H292),IF((O292-$H292)&lt;=0,0,(O292-$H292)))))</f>
        <v> </v>
      </c>
      <c r="AK292" s="31"/>
      <c r="AL292" s="31"/>
      <c r="AM292" s="31"/>
      <c r="AN292" s="31"/>
      <c r="AO292" s="31"/>
      <c r="AP292" s="31"/>
      <c r="AQ292" s="31"/>
      <c r="AR292" s="31"/>
      <c r="BA292" s="291" t="str">
        <f aca="false">IF($A292="N/A"," ",(IF(MONTH(A292)&gt;=4,IF(MONTH(A292)&lt;=10,Inputs!$F$13,Inputs!$F$14),Inputs!$F$14))*$BW292)</f>
        <v> </v>
      </c>
      <c r="BN292" s="294" t="str">
        <f aca="false">IF(A292="N/A"," ",(VLOOKUP(A292,PowerVolTable,(IF('Pricing Inputs'!$AT$3=2,7,IF('Pricing Inputs'!$AT$3=1,6,8))),FALSE())))</f>
        <v> </v>
      </c>
      <c r="BO292" s="294" t="str">
        <f aca="false">IF(A292="N/A"," ",(VLOOKUP(A292,IntraPowerVol,(IF('Pricing Inputs'!$AT$3=2,3,IF('Pricing Inputs'!$AT$3=1,2,4))),FALSE())*VLOOKUP(MONTH($A292),Inputs!$A$28:$B$39,2)))</f>
        <v> </v>
      </c>
      <c r="BP292" s="295" t="str">
        <f aca="false">IF($A292="N/A"," ",(IF(DateToday&gt;$A292,$BO292,((($BN292^2)*((($A292-1)-DateToday)/((EOMONTH($A292,0)+1)-DateToday-15)))+((($BO292)^2)*((15)/((EOMONTH($A292,0)+1)-DateToday-15))))^0.5)))</f>
        <v> </v>
      </c>
      <c r="BQ292" s="294" t="str">
        <f aca="false">IF($A292="N/A"," ",(VLOOKUP($A292,GasVolTable,(IF('Pricing Inputs'!$AT$3=2,6,IF('Pricing Inputs'!$AT$3=1,7,5))),FALSE())))</f>
        <v> </v>
      </c>
      <c r="BR292" s="294" t="str">
        <f aca="false">IF($A292="N/A"," ",(VLOOKUP($A292,OmicronVol,(IF('Pricing Inputs'!$AT$3=2,3,IF('Pricing Inputs'!$AT$3=1,4,2))),FALSE())))</f>
        <v> </v>
      </c>
      <c r="BS292" s="295" t="str">
        <f aca="false">IF($A292="N/A"," ",IF('Pricing Inputs'!$AN$3=1,(IF(DateToday&gt;$A292,$BR292,((($BQ292^2)*((($A292-1)-DateToday)/((EOMONTH($A292,0)+1)-DateToday-15)))+((($BR292)^2)*((15)/((EOMONTH($A292,0)+1)-DateToday-15))))^0.5)),0.0001))</f>
        <v> </v>
      </c>
      <c r="BT292" s="294" t="str">
        <f aca="false">IF($A292="N/A"," ",IF('Pricing Inputs'!$AN$3=1,(VLOOKUP($A292,CorrelationTable,2,FALSE())),0))</f>
        <v> </v>
      </c>
      <c r="BU292" s="296" t="str">
        <f aca="false">IF($A292="N/A"," ",F292+G292+(D292*(VLOOKUP($A292,'Gas Curves'!$B$17:$P$310,14,FALSE()))))</f>
        <v> </v>
      </c>
      <c r="BV292" s="294" t="str">
        <f aca="false">IF($A292="N/A"," ",IF('Pricing Inputs'!$AW$3=1,0,(VLOOKUP($A292,InterestRatesTable,2))))</f>
        <v> </v>
      </c>
      <c r="BW292" s="297" t="str">
        <f aca="false">IF($A292="N/A"," ",(1+BV292/2)^(-2*((EOMONTH(A292,0)+20)-DateToday)/365.25))</f>
        <v> </v>
      </c>
    </row>
    <row r="293" customFormat="false" ht="12.75" hidden="false" customHeight="false" outlineLevel="0" collapsed="false">
      <c r="A293" s="272" t="str">
        <f aca="false">IF(A292="N/A","N/A",IF(EDATE(A292,1)&gt;Inputs!$K$3,"N/A",EDATE(A292,1)))</f>
        <v>N/A</v>
      </c>
      <c r="B293" s="273" t="str">
        <f aca="false">IF(A293="N/A"," ",YEAR(A293))</f>
        <v> </v>
      </c>
      <c r="C293" s="274" t="str">
        <f aca="false">IF(A293="N/A"," ",VLOOKUP(A293,ScaledPrice,10))</f>
        <v> </v>
      </c>
      <c r="D293" s="275" t="str">
        <f aca="false">IF(A293="N/A"," ",(VLOOKUP(MONTH($A293),Inputs!$A$14:$B$25,2))/1000)</f>
        <v> </v>
      </c>
      <c r="E293" s="276" t="str">
        <f aca="false">IF($A293="N/A"," ",C293*D293)</f>
        <v> </v>
      </c>
      <c r="F293" s="277" t="str">
        <f aca="false">IF(A293="N/A"," ",Inputs!$F$6)</f>
        <v> </v>
      </c>
      <c r="G293" s="277" t="str">
        <f aca="false">IF(A293="N/A"," ",Inputs!$F$9/IF(AND('Pricing Inputs'!$AQ$3&gt;=4,'Pricing Inputs'!$AQ$3&lt;=6),16,IF(AND('Pricing Inputs'!$AQ$3&gt;=7,'Pricing Inputs'!$AQ$3&lt;=9),8,24))/(BA293/BW293))</f>
        <v> </v>
      </c>
      <c r="H293" s="278" t="str">
        <f aca="false">IF(A293="N/A"," ",(C293*D293)+F293+G293)</f>
        <v> </v>
      </c>
      <c r="I293" s="279" t="str">
        <f aca="false">VLOOKUP(A293,ScaledPrice,(IF(AND('Pricing Inputs'!$AQ$3&gt;=1,'Pricing Inputs'!$AQ$3&lt;=6),2,4)))</f>
        <v> </v>
      </c>
      <c r="J293" s="279" t="str">
        <f aca="false">IF(A293="N/A"," ",IF(AND('Pricing Inputs'!$AQ$3&gt;=1,'Pricing Inputs'!$AQ$3&lt;=6),I293,(VLOOKUP(A293,ScaledPrice,2))*(2-(VLOOKUP(A293,ScaledPrice,3)))))</f>
        <v> </v>
      </c>
      <c r="K293" s="279" t="str">
        <f aca="false">IF(A293="N/A"," ",IF(OR('Pricing Inputs'!$AQ$3=2,'Pricing Inputs'!$AQ$3=3,'Pricing Inputs'!$AQ$3=5,'Pricing Inputs'!$AQ$3=6,'Pricing Inputs'!$AQ$3=8,'Pricing Inputs'!$AQ$3=9),VLOOKUP(A293,ScaledPrice,IF(AND('Pricing Inputs'!$AQ$3&gt;=2,'Pricing Inputs'!$AQ$3&lt;=6),5,6)),0))</f>
        <v> </v>
      </c>
      <c r="L293" s="279" t="str">
        <f aca="false">IF(A293="N/A"," ",IF(OR('Pricing Inputs'!$AQ$3=2,'Pricing Inputs'!$AQ$3=3,'Pricing Inputs'!$AQ$3=5,'Pricing Inputs'!$AQ$3=6,'Pricing Inputs'!$AQ$3=8,'Pricing Inputs'!$AQ$3=9),IF(AND('Pricing Inputs'!$AQ$3&gt;=2,'Pricing Inputs'!$AQ$3&lt;=6),K293,(VLOOKUP(A293,ScaledPrice,5))*(2-(VLOOKUP(A293,ScaledPrice,3)))),0))</f>
        <v> </v>
      </c>
      <c r="M293" s="279" t="str">
        <f aca="false">IF(A293="N/A"," ",IF(OR('Pricing Inputs'!$AQ$3=3,'Pricing Inputs'!$AQ$3=6,'Pricing Inputs'!$AQ$3=9),(VLOOKUP(A293,ScaledPrice,IF(AND('Pricing Inputs'!$AQ$3&gt;=3,'Pricing Inputs'!$AQ$3&lt;=6),7,8))),0))</f>
        <v> </v>
      </c>
      <c r="N293" s="279" t="str">
        <f aca="false">IF(A293="N/A"," ",IF(OR('Pricing Inputs'!$AQ$3=3,'Pricing Inputs'!$AQ$3=6,'Pricing Inputs'!$AQ$3=9),IF(AND('Pricing Inputs'!$AQ$3&gt;=3,'Pricing Inputs'!$AQ$3&lt;=6),M293,(VLOOKUP(A293,ScaledPrice,7))*(2-(VLOOKUP(A293,ScaledPrice,3)))),0))</f>
        <v> </v>
      </c>
      <c r="O293" s="279" t="str">
        <f aca="false">IF(A293="N/A"," ",IF(AND('Pricing Inputs'!$AQ$3&gt;=1,'Pricing Inputs'!$AQ$3&lt;=3),VLOOKUP(A293,ScaledPrice,9),0))</f>
        <v> </v>
      </c>
      <c r="P293" s="280" t="str">
        <f aca="false">IF($A293="N/A"," ",IF('Pricing Inputs'!$AN$8=2,(I293-H293),IF('Pricing Inputs'!$AN$3=2,IF((I293-$H293)&gt;0,I293-$H293,0),(xSPRDOPT(I293,$E293,$BU293,0,$BP293,$BS293,$BT293,($A293-Inputs!$D$1)+15,1,0)))))</f>
        <v> </v>
      </c>
      <c r="Q293" s="280" t="str">
        <f aca="false">IF($A293="N/A"," ",IF('Pricing Inputs'!$AN$8=2,(J293-$H293),IF('Pricing Inputs'!$AN$3=2,IF((J293-$H293)&gt;0,J293-$H293,0),(xSPRDOPT(J293,$E293,$BU293,0,$BP293,$BS293,$BT293,($A293-Inputs!$D$1)+15,1,0)))))</f>
        <v> </v>
      </c>
      <c r="R293" s="280" t="str">
        <f aca="false">IF($A293="N/A"," ",IF('Pricing Inputs'!$AN$8=2,(K293-$H293),IF('Pricing Inputs'!$AN$3=2,IF((K293-$H293)&gt;0,K293-$H293,0),(xSPRDOPT(K293,$E293,$BU293,0,$BP293,$BS293,$BT293,($A293-Inputs!$D$1)+15,1,0)))))</f>
        <v> </v>
      </c>
      <c r="S293" s="280" t="str">
        <f aca="false">IF($A293="N/A"," ",IF('Pricing Inputs'!$AN$8=2,(L293-$H293),IF('Pricing Inputs'!$AN$3=2,IF((L293-$H293)&gt;0,L293-$H293,0),(xSPRDOPT(L293,$E293,$BU293,0,$BP293,$BS293,$BT293,($A293-Inputs!$D$1)+15,1,0)))))</f>
        <v> </v>
      </c>
      <c r="T293" s="280" t="str">
        <f aca="false">IF($A293="N/A"," ",IF('Pricing Inputs'!$AN$8=2,(M293-$H293),IF('Pricing Inputs'!$AN$3=2,IF((M293-$H293)&gt;0,M293-$H293,0),(xSPRDOPT(M293,$E293,$BU293,0,$BP293,$BS293,$BT293,($A293-Inputs!$D$1)+15,1,0)))))</f>
        <v> </v>
      </c>
      <c r="U293" s="280" t="str">
        <f aca="false">IF($A293="N/A"," ",IF('Pricing Inputs'!$AN$8=2,(N293-$H293),IF('Pricing Inputs'!$AN$3=2,IF((N293-$H293)&gt;0,N293-$H293,0),(xSPRDOPT(N293,$E293,$BU293,0,$BP293,$BS293,$BT293,($A293-Inputs!$D$1)+15,1,0)))))</f>
        <v> </v>
      </c>
      <c r="V293" s="281" t="str">
        <f aca="false">IF($A293="N/A"," ",(IF('Pricing Inputs'!$AN$8=2,(O293-$H293),IF((O293-$H293)&lt;=0,0,(O293-$H293)))))</f>
        <v> </v>
      </c>
      <c r="AK293" s="31"/>
      <c r="AL293" s="31"/>
      <c r="AM293" s="31"/>
      <c r="AN293" s="31"/>
      <c r="AO293" s="31"/>
      <c r="AP293" s="31"/>
      <c r="AQ293" s="31"/>
      <c r="AR293" s="31"/>
      <c r="BA293" s="291" t="str">
        <f aca="false">IF($A293="N/A"," ",(IF(MONTH(A293)&gt;=4,IF(MONTH(A293)&lt;=10,Inputs!$F$13,Inputs!$F$14),Inputs!$F$14))*$BW293)</f>
        <v> </v>
      </c>
      <c r="BN293" s="294" t="str">
        <f aca="false">IF(A293="N/A"," ",(VLOOKUP(A293,PowerVolTable,(IF('Pricing Inputs'!$AT$3=2,7,IF('Pricing Inputs'!$AT$3=1,6,8))),FALSE())))</f>
        <v> </v>
      </c>
      <c r="BO293" s="294" t="str">
        <f aca="false">IF(A293="N/A"," ",(VLOOKUP(A293,IntraPowerVol,(IF('Pricing Inputs'!$AT$3=2,3,IF('Pricing Inputs'!$AT$3=1,2,4))),FALSE())*VLOOKUP(MONTH($A293),Inputs!$A$28:$B$39,2)))</f>
        <v> </v>
      </c>
      <c r="BP293" s="295" t="str">
        <f aca="false">IF($A293="N/A"," ",(IF(DateToday&gt;$A293,$BO293,((($BN293^2)*((($A293-1)-DateToday)/((EOMONTH($A293,0)+1)-DateToday-15)))+((($BO293)^2)*((15)/((EOMONTH($A293,0)+1)-DateToday-15))))^0.5)))</f>
        <v> </v>
      </c>
      <c r="BQ293" s="294" t="str">
        <f aca="false">IF($A293="N/A"," ",(VLOOKUP($A293,GasVolTable,(IF('Pricing Inputs'!$AT$3=2,6,IF('Pricing Inputs'!$AT$3=1,7,5))),FALSE())))</f>
        <v> </v>
      </c>
      <c r="BR293" s="294" t="str">
        <f aca="false">IF($A293="N/A"," ",(VLOOKUP($A293,OmicronVol,(IF('Pricing Inputs'!$AT$3=2,3,IF('Pricing Inputs'!$AT$3=1,4,2))),FALSE())))</f>
        <v> </v>
      </c>
      <c r="BS293" s="295" t="str">
        <f aca="false">IF($A293="N/A"," ",IF('Pricing Inputs'!$AN$3=1,(IF(DateToday&gt;$A293,$BR293,((($BQ293^2)*((($A293-1)-DateToday)/((EOMONTH($A293,0)+1)-DateToday-15)))+((($BR293)^2)*((15)/((EOMONTH($A293,0)+1)-DateToday-15))))^0.5)),0.0001))</f>
        <v> </v>
      </c>
      <c r="BT293" s="294" t="str">
        <f aca="false">IF($A293="N/A"," ",IF('Pricing Inputs'!$AN$3=1,(VLOOKUP($A293,CorrelationTable,2,FALSE())),0))</f>
        <v> </v>
      </c>
      <c r="BU293" s="296" t="str">
        <f aca="false">IF($A293="N/A"," ",F293+G293+(D293*(VLOOKUP($A293,'Gas Curves'!$B$17:$P$310,14,FALSE()))))</f>
        <v> </v>
      </c>
      <c r="BV293" s="294" t="str">
        <f aca="false">IF($A293="N/A"," ",IF('Pricing Inputs'!$AW$3=1,0,(VLOOKUP($A293,InterestRatesTable,2))))</f>
        <v> </v>
      </c>
      <c r="BW293" s="297" t="str">
        <f aca="false">IF($A293="N/A"," ",(1+BV293/2)^(-2*((EOMONTH(A293,0)+20)-DateToday)/365.25))</f>
        <v> </v>
      </c>
    </row>
    <row r="294" customFormat="false" ht="12.75" hidden="false" customHeight="false" outlineLevel="0" collapsed="false">
      <c r="A294" s="272" t="str">
        <f aca="false">IF(A293="N/A","N/A",IF(EDATE(A293,1)&gt;Inputs!$K$3,"N/A",EDATE(A293,1)))</f>
        <v>N/A</v>
      </c>
      <c r="B294" s="273" t="str">
        <f aca="false">IF(A294="N/A"," ",YEAR(A294))</f>
        <v> </v>
      </c>
      <c r="C294" s="274" t="str">
        <f aca="false">IF(A294="N/A"," ",VLOOKUP(A294,ScaledPrice,10))</f>
        <v> </v>
      </c>
      <c r="D294" s="275" t="str">
        <f aca="false">IF(A294="N/A"," ",(VLOOKUP(MONTH($A294),Inputs!$A$14:$B$25,2))/1000)</f>
        <v> </v>
      </c>
      <c r="E294" s="276" t="str">
        <f aca="false">IF($A294="N/A"," ",C294*D294)</f>
        <v> </v>
      </c>
      <c r="F294" s="277" t="str">
        <f aca="false">IF(A294="N/A"," ",Inputs!$F$6)</f>
        <v> </v>
      </c>
      <c r="G294" s="277" t="str">
        <f aca="false">IF(A294="N/A"," ",Inputs!$F$9/IF(AND('Pricing Inputs'!$AQ$3&gt;=4,'Pricing Inputs'!$AQ$3&lt;=6),16,IF(AND('Pricing Inputs'!$AQ$3&gt;=7,'Pricing Inputs'!$AQ$3&lt;=9),8,24))/(BA294/BW294))</f>
        <v> </v>
      </c>
      <c r="H294" s="278" t="str">
        <f aca="false">IF(A294="N/A"," ",(C294*D294)+F294+G294)</f>
        <v> </v>
      </c>
      <c r="I294" s="279" t="str">
        <f aca="false">VLOOKUP(A294,ScaledPrice,(IF(AND('Pricing Inputs'!$AQ$3&gt;=1,'Pricing Inputs'!$AQ$3&lt;=6),2,4)))</f>
        <v> </v>
      </c>
      <c r="J294" s="279" t="str">
        <f aca="false">IF(A294="N/A"," ",IF(AND('Pricing Inputs'!$AQ$3&gt;=1,'Pricing Inputs'!$AQ$3&lt;=6),I294,(VLOOKUP(A294,ScaledPrice,2))*(2-(VLOOKUP(A294,ScaledPrice,3)))))</f>
        <v> </v>
      </c>
      <c r="K294" s="279" t="str">
        <f aca="false">IF(A294="N/A"," ",IF(OR('Pricing Inputs'!$AQ$3=2,'Pricing Inputs'!$AQ$3=3,'Pricing Inputs'!$AQ$3=5,'Pricing Inputs'!$AQ$3=6,'Pricing Inputs'!$AQ$3=8,'Pricing Inputs'!$AQ$3=9),VLOOKUP(A294,ScaledPrice,IF(AND('Pricing Inputs'!$AQ$3&gt;=2,'Pricing Inputs'!$AQ$3&lt;=6),5,6)),0))</f>
        <v> </v>
      </c>
      <c r="L294" s="279" t="str">
        <f aca="false">IF(A294="N/A"," ",IF(OR('Pricing Inputs'!$AQ$3=2,'Pricing Inputs'!$AQ$3=3,'Pricing Inputs'!$AQ$3=5,'Pricing Inputs'!$AQ$3=6,'Pricing Inputs'!$AQ$3=8,'Pricing Inputs'!$AQ$3=9),IF(AND('Pricing Inputs'!$AQ$3&gt;=2,'Pricing Inputs'!$AQ$3&lt;=6),K294,(VLOOKUP(A294,ScaledPrice,5))*(2-(VLOOKUP(A294,ScaledPrice,3)))),0))</f>
        <v> </v>
      </c>
      <c r="M294" s="279" t="str">
        <f aca="false">IF(A294="N/A"," ",IF(OR('Pricing Inputs'!$AQ$3=3,'Pricing Inputs'!$AQ$3=6,'Pricing Inputs'!$AQ$3=9),(VLOOKUP(A294,ScaledPrice,IF(AND('Pricing Inputs'!$AQ$3&gt;=3,'Pricing Inputs'!$AQ$3&lt;=6),7,8))),0))</f>
        <v> </v>
      </c>
      <c r="N294" s="279" t="str">
        <f aca="false">IF(A294="N/A"," ",IF(OR('Pricing Inputs'!$AQ$3=3,'Pricing Inputs'!$AQ$3=6,'Pricing Inputs'!$AQ$3=9),IF(AND('Pricing Inputs'!$AQ$3&gt;=3,'Pricing Inputs'!$AQ$3&lt;=6),M294,(VLOOKUP(A294,ScaledPrice,7))*(2-(VLOOKUP(A294,ScaledPrice,3)))),0))</f>
        <v> </v>
      </c>
      <c r="O294" s="279" t="str">
        <f aca="false">IF(A294="N/A"," ",IF(AND('Pricing Inputs'!$AQ$3&gt;=1,'Pricing Inputs'!$AQ$3&lt;=3),VLOOKUP(A294,ScaledPrice,9),0))</f>
        <v> </v>
      </c>
      <c r="P294" s="280" t="str">
        <f aca="false">IF($A294="N/A"," ",IF('Pricing Inputs'!$AN$8=2,(I294-H294),IF('Pricing Inputs'!$AN$3=2,IF((I294-$H294)&gt;0,I294-$H294,0),(xSPRDOPT(I294,$E294,$BU294,0,$BP294,$BS294,$BT294,($A294-Inputs!$D$1)+15,1,0)))))</f>
        <v> </v>
      </c>
      <c r="Q294" s="280" t="str">
        <f aca="false">IF($A294="N/A"," ",IF('Pricing Inputs'!$AN$8=2,(J294-$H294),IF('Pricing Inputs'!$AN$3=2,IF((J294-$H294)&gt;0,J294-$H294,0),(xSPRDOPT(J294,$E294,$BU294,0,$BP294,$BS294,$BT294,($A294-Inputs!$D$1)+15,1,0)))))</f>
        <v> </v>
      </c>
      <c r="R294" s="280" t="str">
        <f aca="false">IF($A294="N/A"," ",IF('Pricing Inputs'!$AN$8=2,(K294-$H294),IF('Pricing Inputs'!$AN$3=2,IF((K294-$H294)&gt;0,K294-$H294,0),(xSPRDOPT(K294,$E294,$BU294,0,$BP294,$BS294,$BT294,($A294-Inputs!$D$1)+15,1,0)))))</f>
        <v> </v>
      </c>
      <c r="S294" s="280" t="str">
        <f aca="false">IF($A294="N/A"," ",IF('Pricing Inputs'!$AN$8=2,(L294-$H294),IF('Pricing Inputs'!$AN$3=2,IF((L294-$H294)&gt;0,L294-$H294,0),(xSPRDOPT(L294,$E294,$BU294,0,$BP294,$BS294,$BT294,($A294-Inputs!$D$1)+15,1,0)))))</f>
        <v> </v>
      </c>
      <c r="T294" s="280" t="str">
        <f aca="false">IF($A294="N/A"," ",IF('Pricing Inputs'!$AN$8=2,(M294-$H294),IF('Pricing Inputs'!$AN$3=2,IF((M294-$H294)&gt;0,M294-$H294,0),(xSPRDOPT(M294,$E294,$BU294,0,$BP294,$BS294,$BT294,($A294-Inputs!$D$1)+15,1,0)))))</f>
        <v> </v>
      </c>
      <c r="U294" s="280" t="str">
        <f aca="false">IF($A294="N/A"," ",IF('Pricing Inputs'!$AN$8=2,(N294-$H294),IF('Pricing Inputs'!$AN$3=2,IF((N294-$H294)&gt;0,N294-$H294,0),(xSPRDOPT(N294,$E294,$BU294,0,$BP294,$BS294,$BT294,($A294-Inputs!$D$1)+15,1,0)))))</f>
        <v> </v>
      </c>
      <c r="V294" s="281" t="str">
        <f aca="false">IF($A294="N/A"," ",(IF('Pricing Inputs'!$AN$8=2,(O294-$H294),IF((O294-$H294)&lt;=0,0,(O294-$H294)))))</f>
        <v> </v>
      </c>
      <c r="AK294" s="31"/>
      <c r="AL294" s="31"/>
      <c r="AM294" s="31"/>
      <c r="AN294" s="31"/>
      <c r="AO294" s="31"/>
      <c r="AP294" s="31"/>
      <c r="AQ294" s="31"/>
      <c r="AR294" s="31"/>
      <c r="BA294" s="291" t="str">
        <f aca="false">IF($A294="N/A"," ",(IF(MONTH(A294)&gt;=4,IF(MONTH(A294)&lt;=10,Inputs!$F$13,Inputs!$F$14),Inputs!$F$14))*$BW294)</f>
        <v> </v>
      </c>
      <c r="BN294" s="294" t="str">
        <f aca="false">IF(A294="N/A"," ",(VLOOKUP(A294,PowerVolTable,(IF('Pricing Inputs'!$AT$3=2,7,IF('Pricing Inputs'!$AT$3=1,6,8))),FALSE())))</f>
        <v> </v>
      </c>
      <c r="BO294" s="294" t="str">
        <f aca="false">IF(A294="N/A"," ",(VLOOKUP(A294,IntraPowerVol,(IF('Pricing Inputs'!$AT$3=2,3,IF('Pricing Inputs'!$AT$3=1,2,4))),FALSE())*VLOOKUP(MONTH($A294),Inputs!$A$28:$B$39,2)))</f>
        <v> </v>
      </c>
      <c r="BP294" s="295" t="str">
        <f aca="false">IF($A294="N/A"," ",(IF(DateToday&gt;$A294,$BO294,((($BN294^2)*((($A294-1)-DateToday)/((EOMONTH($A294,0)+1)-DateToday-15)))+((($BO294)^2)*((15)/((EOMONTH($A294,0)+1)-DateToday-15))))^0.5)))</f>
        <v> </v>
      </c>
      <c r="BQ294" s="294" t="str">
        <f aca="false">IF($A294="N/A"," ",(VLOOKUP($A294,GasVolTable,(IF('Pricing Inputs'!$AT$3=2,6,IF('Pricing Inputs'!$AT$3=1,7,5))),FALSE())))</f>
        <v> </v>
      </c>
      <c r="BR294" s="294" t="str">
        <f aca="false">IF($A294="N/A"," ",(VLOOKUP($A294,OmicronVol,(IF('Pricing Inputs'!$AT$3=2,3,IF('Pricing Inputs'!$AT$3=1,4,2))),FALSE())))</f>
        <v> </v>
      </c>
      <c r="BS294" s="295" t="str">
        <f aca="false">IF($A294="N/A"," ",IF('Pricing Inputs'!$AN$3=1,(IF(DateToday&gt;$A294,$BR294,((($BQ294^2)*((($A294-1)-DateToday)/((EOMONTH($A294,0)+1)-DateToday-15)))+((($BR294)^2)*((15)/((EOMONTH($A294,0)+1)-DateToday-15))))^0.5)),0.0001))</f>
        <v> </v>
      </c>
      <c r="BT294" s="294" t="str">
        <f aca="false">IF($A294="N/A"," ",IF('Pricing Inputs'!$AN$3=1,(VLOOKUP($A294,CorrelationTable,2,FALSE())),0))</f>
        <v> </v>
      </c>
      <c r="BU294" s="296" t="str">
        <f aca="false">IF($A294="N/A"," ",F294+G294+(D294*(VLOOKUP($A294,'Gas Curves'!$B$17:$P$310,14,FALSE()))))</f>
        <v> </v>
      </c>
      <c r="BV294" s="294" t="str">
        <f aca="false">IF($A294="N/A"," ",IF('Pricing Inputs'!$AW$3=1,0,(VLOOKUP($A294,InterestRatesTable,2))))</f>
        <v> </v>
      </c>
      <c r="BW294" s="297" t="str">
        <f aca="false">IF($A294="N/A"," ",(1+BV294/2)^(-2*((EOMONTH(A294,0)+20)-DateToday)/365.25))</f>
        <v> </v>
      </c>
    </row>
    <row r="295" customFormat="false" ht="12.75" hidden="false" customHeight="false" outlineLevel="0" collapsed="false">
      <c r="A295" s="272" t="str">
        <f aca="false">IF(A294="N/A","N/A",IF(EDATE(A294,1)&gt;Inputs!$K$3,"N/A",EDATE(A294,1)))</f>
        <v>N/A</v>
      </c>
      <c r="B295" s="273" t="str">
        <f aca="false">IF(A295="N/A"," ",YEAR(A295))</f>
        <v> </v>
      </c>
      <c r="C295" s="274" t="str">
        <f aca="false">IF(A295="N/A"," ",VLOOKUP(A295,ScaledPrice,10))</f>
        <v> </v>
      </c>
      <c r="D295" s="275" t="str">
        <f aca="false">IF(A295="N/A"," ",(VLOOKUP(MONTH($A295),Inputs!$A$14:$B$25,2))/1000)</f>
        <v> </v>
      </c>
      <c r="E295" s="276" t="str">
        <f aca="false">IF($A295="N/A"," ",C295*D295)</f>
        <v> </v>
      </c>
      <c r="F295" s="277" t="str">
        <f aca="false">IF(A295="N/A"," ",Inputs!$F$6)</f>
        <v> </v>
      </c>
      <c r="G295" s="277" t="str">
        <f aca="false">IF(A295="N/A"," ",Inputs!$F$9/IF(AND('Pricing Inputs'!$AQ$3&gt;=4,'Pricing Inputs'!$AQ$3&lt;=6),16,IF(AND('Pricing Inputs'!$AQ$3&gt;=7,'Pricing Inputs'!$AQ$3&lt;=9),8,24))/(BA295/BW295))</f>
        <v> </v>
      </c>
      <c r="H295" s="278" t="str">
        <f aca="false">IF(A295="N/A"," ",(C295*D295)+F295+G295)</f>
        <v> </v>
      </c>
      <c r="I295" s="279" t="str">
        <f aca="false">VLOOKUP(A295,ScaledPrice,(IF(AND('Pricing Inputs'!$AQ$3&gt;=1,'Pricing Inputs'!$AQ$3&lt;=6),2,4)))</f>
        <v> </v>
      </c>
      <c r="J295" s="279" t="str">
        <f aca="false">IF(A295="N/A"," ",IF(AND('Pricing Inputs'!$AQ$3&gt;=1,'Pricing Inputs'!$AQ$3&lt;=6),I295,(VLOOKUP(A295,ScaledPrice,2))*(2-(VLOOKUP(A295,ScaledPrice,3)))))</f>
        <v> </v>
      </c>
      <c r="K295" s="279" t="str">
        <f aca="false">IF(A295="N/A"," ",IF(OR('Pricing Inputs'!$AQ$3=2,'Pricing Inputs'!$AQ$3=3,'Pricing Inputs'!$AQ$3=5,'Pricing Inputs'!$AQ$3=6,'Pricing Inputs'!$AQ$3=8,'Pricing Inputs'!$AQ$3=9),VLOOKUP(A295,ScaledPrice,IF(AND('Pricing Inputs'!$AQ$3&gt;=2,'Pricing Inputs'!$AQ$3&lt;=6),5,6)),0))</f>
        <v> </v>
      </c>
      <c r="L295" s="279" t="str">
        <f aca="false">IF(A295="N/A"," ",IF(OR('Pricing Inputs'!$AQ$3=2,'Pricing Inputs'!$AQ$3=3,'Pricing Inputs'!$AQ$3=5,'Pricing Inputs'!$AQ$3=6,'Pricing Inputs'!$AQ$3=8,'Pricing Inputs'!$AQ$3=9),IF(AND('Pricing Inputs'!$AQ$3&gt;=2,'Pricing Inputs'!$AQ$3&lt;=6),K295,(VLOOKUP(A295,ScaledPrice,5))*(2-(VLOOKUP(A295,ScaledPrice,3)))),0))</f>
        <v> </v>
      </c>
      <c r="M295" s="279" t="str">
        <f aca="false">IF(A295="N/A"," ",IF(OR('Pricing Inputs'!$AQ$3=3,'Pricing Inputs'!$AQ$3=6,'Pricing Inputs'!$AQ$3=9),(VLOOKUP(A295,ScaledPrice,IF(AND('Pricing Inputs'!$AQ$3&gt;=3,'Pricing Inputs'!$AQ$3&lt;=6),7,8))),0))</f>
        <v> </v>
      </c>
      <c r="N295" s="279" t="str">
        <f aca="false">IF(A295="N/A"," ",IF(OR('Pricing Inputs'!$AQ$3=3,'Pricing Inputs'!$AQ$3=6,'Pricing Inputs'!$AQ$3=9),IF(AND('Pricing Inputs'!$AQ$3&gt;=3,'Pricing Inputs'!$AQ$3&lt;=6),M295,(VLOOKUP(A295,ScaledPrice,7))*(2-(VLOOKUP(A295,ScaledPrice,3)))),0))</f>
        <v> </v>
      </c>
      <c r="O295" s="279" t="str">
        <f aca="false">IF(A295="N/A"," ",IF(AND('Pricing Inputs'!$AQ$3&gt;=1,'Pricing Inputs'!$AQ$3&lt;=3),VLOOKUP(A295,ScaledPrice,9),0))</f>
        <v> </v>
      </c>
      <c r="P295" s="280" t="str">
        <f aca="false">IF($A295="N/A"," ",IF('Pricing Inputs'!$AN$8=2,(I295-H295),IF('Pricing Inputs'!$AN$3=2,IF((I295-$H295)&gt;0,I295-$H295,0),(xSPRDOPT(I295,$E295,$BU295,0,$BP295,$BS295,$BT295,($A295-Inputs!$D$1)+15,1,0)))))</f>
        <v> </v>
      </c>
      <c r="Q295" s="280" t="str">
        <f aca="false">IF($A295="N/A"," ",IF('Pricing Inputs'!$AN$8=2,(J295-$H295),IF('Pricing Inputs'!$AN$3=2,IF((J295-$H295)&gt;0,J295-$H295,0),(xSPRDOPT(J295,$E295,$BU295,0,$BP295,$BS295,$BT295,($A295-Inputs!$D$1)+15,1,0)))))</f>
        <v> </v>
      </c>
      <c r="R295" s="280" t="str">
        <f aca="false">IF($A295="N/A"," ",IF('Pricing Inputs'!$AN$8=2,(K295-$H295),IF('Pricing Inputs'!$AN$3=2,IF((K295-$H295)&gt;0,K295-$H295,0),(xSPRDOPT(K295,$E295,$BU295,0,$BP295,$BS295,$BT295,($A295-Inputs!$D$1)+15,1,0)))))</f>
        <v> </v>
      </c>
      <c r="S295" s="280" t="str">
        <f aca="false">IF($A295="N/A"," ",IF('Pricing Inputs'!$AN$8=2,(L295-$H295),IF('Pricing Inputs'!$AN$3=2,IF((L295-$H295)&gt;0,L295-$H295,0),(xSPRDOPT(L295,$E295,$BU295,0,$BP295,$BS295,$BT295,($A295-Inputs!$D$1)+15,1,0)))))</f>
        <v> </v>
      </c>
      <c r="T295" s="280" t="str">
        <f aca="false">IF($A295="N/A"," ",IF('Pricing Inputs'!$AN$8=2,(M295-$H295),IF('Pricing Inputs'!$AN$3=2,IF((M295-$H295)&gt;0,M295-$H295,0),(xSPRDOPT(M295,$E295,$BU295,0,$BP295,$BS295,$BT295,($A295-Inputs!$D$1)+15,1,0)))))</f>
        <v> </v>
      </c>
      <c r="U295" s="280" t="str">
        <f aca="false">IF($A295="N/A"," ",IF('Pricing Inputs'!$AN$8=2,(N295-$H295),IF('Pricing Inputs'!$AN$3=2,IF((N295-$H295)&gt;0,N295-$H295,0),(xSPRDOPT(N295,$E295,$BU295,0,$BP295,$BS295,$BT295,($A295-Inputs!$D$1)+15,1,0)))))</f>
        <v> </v>
      </c>
      <c r="V295" s="281" t="str">
        <f aca="false">IF($A295="N/A"," ",(IF('Pricing Inputs'!$AN$8=2,(O295-$H295),IF((O295-$H295)&lt;=0,0,(O295-$H295)))))</f>
        <v> </v>
      </c>
      <c r="AK295" s="31"/>
      <c r="AL295" s="31"/>
      <c r="AM295" s="31"/>
      <c r="AN295" s="31"/>
      <c r="AO295" s="31"/>
      <c r="AP295" s="31"/>
      <c r="AQ295" s="31"/>
      <c r="AR295" s="31"/>
      <c r="BA295" s="291" t="str">
        <f aca="false">IF($A295="N/A"," ",(IF(MONTH(A295)&gt;=4,IF(MONTH(A295)&lt;=10,Inputs!$F$13,Inputs!$F$14),Inputs!$F$14))*$BW295)</f>
        <v> </v>
      </c>
      <c r="BN295" s="294" t="str">
        <f aca="false">IF(A295="N/A"," ",(VLOOKUP(A295,PowerVolTable,(IF('Pricing Inputs'!$AT$3=2,7,IF('Pricing Inputs'!$AT$3=1,6,8))),FALSE())))</f>
        <v> </v>
      </c>
      <c r="BO295" s="294" t="str">
        <f aca="false">IF(A295="N/A"," ",(VLOOKUP(A295,IntraPowerVol,(IF('Pricing Inputs'!$AT$3=2,3,IF('Pricing Inputs'!$AT$3=1,2,4))),FALSE())*VLOOKUP(MONTH($A295),Inputs!$A$28:$B$39,2)))</f>
        <v> </v>
      </c>
      <c r="BP295" s="295" t="str">
        <f aca="false">IF($A295="N/A"," ",(IF(DateToday&gt;$A295,$BO295,((($BN295^2)*((($A295-1)-DateToday)/((EOMONTH($A295,0)+1)-DateToday-15)))+((($BO295)^2)*((15)/((EOMONTH($A295,0)+1)-DateToday-15))))^0.5)))</f>
        <v> </v>
      </c>
      <c r="BQ295" s="294" t="str">
        <f aca="false">IF($A295="N/A"," ",(VLOOKUP($A295,GasVolTable,(IF('Pricing Inputs'!$AT$3=2,6,IF('Pricing Inputs'!$AT$3=1,7,5))),FALSE())))</f>
        <v> </v>
      </c>
      <c r="BR295" s="294" t="str">
        <f aca="false">IF($A295="N/A"," ",(VLOOKUP($A295,OmicronVol,(IF('Pricing Inputs'!$AT$3=2,3,IF('Pricing Inputs'!$AT$3=1,4,2))),FALSE())))</f>
        <v> </v>
      </c>
      <c r="BS295" s="295" t="str">
        <f aca="false">IF($A295="N/A"," ",IF('Pricing Inputs'!$AN$3=1,(IF(DateToday&gt;$A295,$BR295,((($BQ295^2)*((($A295-1)-DateToday)/((EOMONTH($A295,0)+1)-DateToday-15)))+((($BR295)^2)*((15)/((EOMONTH($A295,0)+1)-DateToday-15))))^0.5)),0.0001))</f>
        <v> </v>
      </c>
      <c r="BT295" s="294" t="str">
        <f aca="false">IF($A295="N/A"," ",IF('Pricing Inputs'!$AN$3=1,(VLOOKUP($A295,CorrelationTable,2,FALSE())),0))</f>
        <v> </v>
      </c>
      <c r="BU295" s="296" t="str">
        <f aca="false">IF($A295="N/A"," ",F295+G295+(D295*(VLOOKUP($A295,'Gas Curves'!$B$17:$P$310,14,FALSE()))))</f>
        <v> </v>
      </c>
      <c r="BV295" s="294" t="str">
        <f aca="false">IF($A295="N/A"," ",IF('Pricing Inputs'!$AW$3=1,0,(VLOOKUP($A295,InterestRatesTable,2))))</f>
        <v> </v>
      </c>
      <c r="BW295" s="297" t="str">
        <f aca="false">IF($A295="N/A"," ",(1+BV295/2)^(-2*((EOMONTH(A295,0)+20)-DateToday)/365.25))</f>
        <v> </v>
      </c>
    </row>
    <row r="296" customFormat="false" ht="12.75" hidden="false" customHeight="false" outlineLevel="0" collapsed="false">
      <c r="A296" s="272" t="str">
        <f aca="false">IF(A295="N/A","N/A",IF(EDATE(A295,1)&gt;Inputs!$K$3,"N/A",EDATE(A295,1)))</f>
        <v>N/A</v>
      </c>
      <c r="B296" s="273" t="str">
        <f aca="false">IF(A296="N/A"," ",YEAR(A296))</f>
        <v> </v>
      </c>
      <c r="C296" s="274" t="str">
        <f aca="false">IF(A296="N/A"," ",VLOOKUP(A296,ScaledPrice,10))</f>
        <v> </v>
      </c>
      <c r="D296" s="275" t="str">
        <f aca="false">IF(A296="N/A"," ",(VLOOKUP(MONTH($A296),Inputs!$A$14:$B$25,2))/1000)</f>
        <v> </v>
      </c>
      <c r="E296" s="276" t="str">
        <f aca="false">IF($A296="N/A"," ",C296*D296)</f>
        <v> </v>
      </c>
      <c r="F296" s="277" t="str">
        <f aca="false">IF(A296="N/A"," ",Inputs!$F$6)</f>
        <v> </v>
      </c>
      <c r="G296" s="277" t="str">
        <f aca="false">IF(A296="N/A"," ",Inputs!$F$9/IF(AND('Pricing Inputs'!$AQ$3&gt;=4,'Pricing Inputs'!$AQ$3&lt;=6),16,IF(AND('Pricing Inputs'!$AQ$3&gt;=7,'Pricing Inputs'!$AQ$3&lt;=9),8,24))/(BA296/BW296))</f>
        <v> </v>
      </c>
      <c r="H296" s="278" t="str">
        <f aca="false">IF(A296="N/A"," ",(C296*D296)+F296+G296)</f>
        <v> </v>
      </c>
      <c r="I296" s="279" t="str">
        <f aca="false">VLOOKUP(A296,ScaledPrice,(IF(AND('Pricing Inputs'!$AQ$3&gt;=1,'Pricing Inputs'!$AQ$3&lt;=6),2,4)))</f>
        <v> </v>
      </c>
      <c r="J296" s="279" t="str">
        <f aca="false">IF(A296="N/A"," ",IF(AND('Pricing Inputs'!$AQ$3&gt;=1,'Pricing Inputs'!$AQ$3&lt;=6),I296,(VLOOKUP(A296,ScaledPrice,2))*(2-(VLOOKUP(A296,ScaledPrice,3)))))</f>
        <v> </v>
      </c>
      <c r="K296" s="279" t="str">
        <f aca="false">IF(A296="N/A"," ",IF(OR('Pricing Inputs'!$AQ$3=2,'Pricing Inputs'!$AQ$3=3,'Pricing Inputs'!$AQ$3=5,'Pricing Inputs'!$AQ$3=6,'Pricing Inputs'!$AQ$3=8,'Pricing Inputs'!$AQ$3=9),VLOOKUP(A296,ScaledPrice,IF(AND('Pricing Inputs'!$AQ$3&gt;=2,'Pricing Inputs'!$AQ$3&lt;=6),5,6)),0))</f>
        <v> </v>
      </c>
      <c r="L296" s="279" t="str">
        <f aca="false">IF(A296="N/A"," ",IF(OR('Pricing Inputs'!$AQ$3=2,'Pricing Inputs'!$AQ$3=3,'Pricing Inputs'!$AQ$3=5,'Pricing Inputs'!$AQ$3=6,'Pricing Inputs'!$AQ$3=8,'Pricing Inputs'!$AQ$3=9),IF(AND('Pricing Inputs'!$AQ$3&gt;=2,'Pricing Inputs'!$AQ$3&lt;=6),K296,(VLOOKUP(A296,ScaledPrice,5))*(2-(VLOOKUP(A296,ScaledPrice,3)))),0))</f>
        <v> </v>
      </c>
      <c r="M296" s="279" t="str">
        <f aca="false">IF(A296="N/A"," ",IF(OR('Pricing Inputs'!$AQ$3=3,'Pricing Inputs'!$AQ$3=6,'Pricing Inputs'!$AQ$3=9),(VLOOKUP(A296,ScaledPrice,IF(AND('Pricing Inputs'!$AQ$3&gt;=3,'Pricing Inputs'!$AQ$3&lt;=6),7,8))),0))</f>
        <v> </v>
      </c>
      <c r="N296" s="279" t="str">
        <f aca="false">IF(A296="N/A"," ",IF(OR('Pricing Inputs'!$AQ$3=3,'Pricing Inputs'!$AQ$3=6,'Pricing Inputs'!$AQ$3=9),IF(AND('Pricing Inputs'!$AQ$3&gt;=3,'Pricing Inputs'!$AQ$3&lt;=6),M296,(VLOOKUP(A296,ScaledPrice,7))*(2-(VLOOKUP(A296,ScaledPrice,3)))),0))</f>
        <v> </v>
      </c>
      <c r="O296" s="279" t="str">
        <f aca="false">IF(A296="N/A"," ",IF(AND('Pricing Inputs'!$AQ$3&gt;=1,'Pricing Inputs'!$AQ$3&lt;=3),VLOOKUP(A296,ScaledPrice,9),0))</f>
        <v> </v>
      </c>
      <c r="P296" s="280" t="str">
        <f aca="false">IF($A296="N/A"," ",IF('Pricing Inputs'!$AN$8=2,(I296-H296),IF('Pricing Inputs'!$AN$3=2,IF((I296-$H296)&gt;0,I296-$H296,0),(xSPRDOPT(I296,$E296,$BU296,0,$BP296,$BS296,$BT296,($A296-Inputs!$D$1)+15,1,0)))))</f>
        <v> </v>
      </c>
      <c r="Q296" s="280" t="str">
        <f aca="false">IF($A296="N/A"," ",IF('Pricing Inputs'!$AN$8=2,(J296-$H296),IF('Pricing Inputs'!$AN$3=2,IF((J296-$H296)&gt;0,J296-$H296,0),(xSPRDOPT(J296,$E296,$BU296,0,$BP296,$BS296,$BT296,($A296-Inputs!$D$1)+15,1,0)))))</f>
        <v> </v>
      </c>
      <c r="R296" s="280" t="str">
        <f aca="false">IF($A296="N/A"," ",IF('Pricing Inputs'!$AN$8=2,(K296-$H296),IF('Pricing Inputs'!$AN$3=2,IF((K296-$H296)&gt;0,K296-$H296,0),(xSPRDOPT(K296,$E296,$BU296,0,$BP296,$BS296,$BT296,($A296-Inputs!$D$1)+15,1,0)))))</f>
        <v> </v>
      </c>
      <c r="S296" s="280" t="str">
        <f aca="false">IF($A296="N/A"," ",IF('Pricing Inputs'!$AN$8=2,(L296-$H296),IF('Pricing Inputs'!$AN$3=2,IF((L296-$H296)&gt;0,L296-$H296,0),(xSPRDOPT(L296,$E296,$BU296,0,$BP296,$BS296,$BT296,($A296-Inputs!$D$1)+15,1,0)))))</f>
        <v> </v>
      </c>
      <c r="T296" s="280" t="str">
        <f aca="false">IF($A296="N/A"," ",IF('Pricing Inputs'!$AN$8=2,(M296-$H296),IF('Pricing Inputs'!$AN$3=2,IF((M296-$H296)&gt;0,M296-$H296,0),(xSPRDOPT(M296,$E296,$BU296,0,$BP296,$BS296,$BT296,($A296-Inputs!$D$1)+15,1,0)))))</f>
        <v> </v>
      </c>
      <c r="U296" s="280" t="str">
        <f aca="false">IF($A296="N/A"," ",IF('Pricing Inputs'!$AN$8=2,(N296-$H296),IF('Pricing Inputs'!$AN$3=2,IF((N296-$H296)&gt;0,N296-$H296,0),(xSPRDOPT(N296,$E296,$BU296,0,$BP296,$BS296,$BT296,($A296-Inputs!$D$1)+15,1,0)))))</f>
        <v> </v>
      </c>
      <c r="V296" s="281" t="str">
        <f aca="false">IF($A296="N/A"," ",(IF('Pricing Inputs'!$AN$8=2,(O296-$H296),IF((O296-$H296)&lt;=0,0,(O296-$H296)))))</f>
        <v> </v>
      </c>
      <c r="AK296" s="31"/>
      <c r="AL296" s="31"/>
      <c r="AM296" s="31"/>
      <c r="AN296" s="31"/>
      <c r="AO296" s="31"/>
      <c r="AP296" s="31"/>
      <c r="AQ296" s="31"/>
      <c r="AR296" s="31"/>
      <c r="BA296" s="291" t="str">
        <f aca="false">IF($A296="N/A"," ",(IF(MONTH(A296)&gt;=4,IF(MONTH(A296)&lt;=10,Inputs!$F$13,Inputs!$F$14),Inputs!$F$14))*$BW296)</f>
        <v> </v>
      </c>
      <c r="BN296" s="294" t="str">
        <f aca="false">IF(A296="N/A"," ",(VLOOKUP(A296,PowerVolTable,(IF('Pricing Inputs'!$AT$3=2,7,IF('Pricing Inputs'!$AT$3=1,6,8))),FALSE())))</f>
        <v> </v>
      </c>
      <c r="BO296" s="294" t="str">
        <f aca="false">IF(A296="N/A"," ",(VLOOKUP(A296,IntraPowerVol,(IF('Pricing Inputs'!$AT$3=2,3,IF('Pricing Inputs'!$AT$3=1,2,4))),FALSE())*VLOOKUP(MONTH($A296),Inputs!$A$28:$B$39,2)))</f>
        <v> </v>
      </c>
      <c r="BP296" s="295" t="str">
        <f aca="false">IF($A296="N/A"," ",(IF(DateToday&gt;$A296,$BO296,((($BN296^2)*((($A296-1)-DateToday)/((EOMONTH($A296,0)+1)-DateToday-15)))+((($BO296)^2)*((15)/((EOMONTH($A296,0)+1)-DateToday-15))))^0.5)))</f>
        <v> </v>
      </c>
      <c r="BQ296" s="294" t="str">
        <f aca="false">IF($A296="N/A"," ",(VLOOKUP($A296,GasVolTable,(IF('Pricing Inputs'!$AT$3=2,6,IF('Pricing Inputs'!$AT$3=1,7,5))),FALSE())))</f>
        <v> </v>
      </c>
      <c r="BR296" s="294" t="str">
        <f aca="false">IF($A296="N/A"," ",(VLOOKUP($A296,OmicronVol,(IF('Pricing Inputs'!$AT$3=2,3,IF('Pricing Inputs'!$AT$3=1,4,2))),FALSE())))</f>
        <v> </v>
      </c>
      <c r="BS296" s="295" t="str">
        <f aca="false">IF($A296="N/A"," ",IF('Pricing Inputs'!$AN$3=1,(IF(DateToday&gt;$A296,$BR296,((($BQ296^2)*((($A296-1)-DateToday)/((EOMONTH($A296,0)+1)-DateToday-15)))+((($BR296)^2)*((15)/((EOMONTH($A296,0)+1)-DateToday-15))))^0.5)),0.0001))</f>
        <v> </v>
      </c>
      <c r="BT296" s="294" t="str">
        <f aca="false">IF($A296="N/A"," ",IF('Pricing Inputs'!$AN$3=1,(VLOOKUP($A296,CorrelationTable,2,FALSE())),0))</f>
        <v> </v>
      </c>
      <c r="BU296" s="296" t="str">
        <f aca="false">IF($A296="N/A"," ",F296+G296+(D296*(VLOOKUP($A296,'Gas Curves'!$B$17:$P$310,14,FALSE()))))</f>
        <v> </v>
      </c>
      <c r="BV296" s="294" t="str">
        <f aca="false">IF($A296="N/A"," ",IF('Pricing Inputs'!$AW$3=1,0,(VLOOKUP($A296,InterestRatesTable,2))))</f>
        <v> </v>
      </c>
      <c r="BW296" s="297" t="str">
        <f aca="false">IF($A296="N/A"," ",(1+BV296/2)^(-2*((EOMONTH(A296,0)+20)-DateToday)/365.25))</f>
        <v> </v>
      </c>
    </row>
    <row r="297" customFormat="false" ht="12.75" hidden="false" customHeight="false" outlineLevel="0" collapsed="false">
      <c r="A297" s="272" t="str">
        <f aca="false">IF(A296="N/A","N/A",IF(EDATE(A296,1)&gt;Inputs!$K$3,"N/A",EDATE(A296,1)))</f>
        <v>N/A</v>
      </c>
      <c r="B297" s="273" t="str">
        <f aca="false">IF(A297="N/A"," ",YEAR(A297))</f>
        <v> </v>
      </c>
      <c r="C297" s="274" t="str">
        <f aca="false">IF(A297="N/A"," ",VLOOKUP(A297,ScaledPrice,10))</f>
        <v> </v>
      </c>
      <c r="D297" s="275" t="str">
        <f aca="false">IF(A297="N/A"," ",(VLOOKUP(MONTH($A297),Inputs!$A$14:$B$25,2))/1000)</f>
        <v> </v>
      </c>
      <c r="E297" s="276" t="str">
        <f aca="false">IF($A297="N/A"," ",C297*D297)</f>
        <v> </v>
      </c>
      <c r="F297" s="277" t="str">
        <f aca="false">IF(A297="N/A"," ",Inputs!$F$6)</f>
        <v> </v>
      </c>
      <c r="G297" s="277" t="str">
        <f aca="false">IF(A297="N/A"," ",Inputs!$F$9/IF(AND('Pricing Inputs'!$AQ$3&gt;=4,'Pricing Inputs'!$AQ$3&lt;=6),16,IF(AND('Pricing Inputs'!$AQ$3&gt;=7,'Pricing Inputs'!$AQ$3&lt;=9),8,24))/(BA297/BW297))</f>
        <v> </v>
      </c>
      <c r="H297" s="278" t="str">
        <f aca="false">IF(A297="N/A"," ",(C297*D297)+F297+G297)</f>
        <v> </v>
      </c>
      <c r="I297" s="279" t="str">
        <f aca="false">VLOOKUP(A297,ScaledPrice,(IF(AND('Pricing Inputs'!$AQ$3&gt;=1,'Pricing Inputs'!$AQ$3&lt;=6),2,4)))</f>
        <v> </v>
      </c>
      <c r="J297" s="279" t="str">
        <f aca="false">IF(A297="N/A"," ",IF(AND('Pricing Inputs'!$AQ$3&gt;=1,'Pricing Inputs'!$AQ$3&lt;=6),I297,(VLOOKUP(A297,ScaledPrice,2))*(2-(VLOOKUP(A297,ScaledPrice,3)))))</f>
        <v> </v>
      </c>
      <c r="K297" s="279" t="str">
        <f aca="false">IF(A297="N/A"," ",IF(OR('Pricing Inputs'!$AQ$3=2,'Pricing Inputs'!$AQ$3=3,'Pricing Inputs'!$AQ$3=5,'Pricing Inputs'!$AQ$3=6,'Pricing Inputs'!$AQ$3=8,'Pricing Inputs'!$AQ$3=9),VLOOKUP(A297,ScaledPrice,IF(AND('Pricing Inputs'!$AQ$3&gt;=2,'Pricing Inputs'!$AQ$3&lt;=6),5,6)),0))</f>
        <v> </v>
      </c>
      <c r="L297" s="279" t="str">
        <f aca="false">IF(A297="N/A"," ",IF(OR('Pricing Inputs'!$AQ$3=2,'Pricing Inputs'!$AQ$3=3,'Pricing Inputs'!$AQ$3=5,'Pricing Inputs'!$AQ$3=6,'Pricing Inputs'!$AQ$3=8,'Pricing Inputs'!$AQ$3=9),IF(AND('Pricing Inputs'!$AQ$3&gt;=2,'Pricing Inputs'!$AQ$3&lt;=6),K297,(VLOOKUP(A297,ScaledPrice,5))*(2-(VLOOKUP(A297,ScaledPrice,3)))),0))</f>
        <v> </v>
      </c>
      <c r="M297" s="279" t="str">
        <f aca="false">IF(A297="N/A"," ",IF(OR('Pricing Inputs'!$AQ$3=3,'Pricing Inputs'!$AQ$3=6,'Pricing Inputs'!$AQ$3=9),(VLOOKUP(A297,ScaledPrice,IF(AND('Pricing Inputs'!$AQ$3&gt;=3,'Pricing Inputs'!$AQ$3&lt;=6),7,8))),0))</f>
        <v> </v>
      </c>
      <c r="N297" s="279" t="str">
        <f aca="false">IF(A297="N/A"," ",IF(OR('Pricing Inputs'!$AQ$3=3,'Pricing Inputs'!$AQ$3=6,'Pricing Inputs'!$AQ$3=9),IF(AND('Pricing Inputs'!$AQ$3&gt;=3,'Pricing Inputs'!$AQ$3&lt;=6),M297,(VLOOKUP(A297,ScaledPrice,7))*(2-(VLOOKUP(A297,ScaledPrice,3)))),0))</f>
        <v> </v>
      </c>
      <c r="O297" s="279" t="str">
        <f aca="false">IF(A297="N/A"," ",IF(AND('Pricing Inputs'!$AQ$3&gt;=1,'Pricing Inputs'!$AQ$3&lt;=3),VLOOKUP(A297,ScaledPrice,9),0))</f>
        <v> </v>
      </c>
      <c r="P297" s="280" t="str">
        <f aca="false">IF($A297="N/A"," ",IF('Pricing Inputs'!$AN$8=2,(I297-H297),IF('Pricing Inputs'!$AN$3=2,IF((I297-$H297)&gt;0,I297-$H297,0),(xSPRDOPT(I297,$E297,$BU297,0,$BP297,$BS297,$BT297,($A297-Inputs!$D$1)+15,1,0)))))</f>
        <v> </v>
      </c>
      <c r="Q297" s="280" t="str">
        <f aca="false">IF($A297="N/A"," ",IF('Pricing Inputs'!$AN$8=2,(J297-$H297),IF('Pricing Inputs'!$AN$3=2,IF((J297-$H297)&gt;0,J297-$H297,0),(xSPRDOPT(J297,$E297,$BU297,0,$BP297,$BS297,$BT297,($A297-Inputs!$D$1)+15,1,0)))))</f>
        <v> </v>
      </c>
      <c r="R297" s="280" t="str">
        <f aca="false">IF($A297="N/A"," ",IF('Pricing Inputs'!$AN$8=2,(K297-$H297),IF('Pricing Inputs'!$AN$3=2,IF((K297-$H297)&gt;0,K297-$H297,0),(xSPRDOPT(K297,$E297,$BU297,0,$BP297,$BS297,$BT297,($A297-Inputs!$D$1)+15,1,0)))))</f>
        <v> </v>
      </c>
      <c r="S297" s="280" t="str">
        <f aca="false">IF($A297="N/A"," ",IF('Pricing Inputs'!$AN$8=2,(L297-$H297),IF('Pricing Inputs'!$AN$3=2,IF((L297-$H297)&gt;0,L297-$H297,0),(xSPRDOPT(L297,$E297,$BU297,0,$BP297,$BS297,$BT297,($A297-Inputs!$D$1)+15,1,0)))))</f>
        <v> </v>
      </c>
      <c r="T297" s="280" t="str">
        <f aca="false">IF($A297="N/A"," ",IF('Pricing Inputs'!$AN$8=2,(M297-$H297),IF('Pricing Inputs'!$AN$3=2,IF((M297-$H297)&gt;0,M297-$H297,0),(xSPRDOPT(M297,$E297,$BU297,0,$BP297,$BS297,$BT297,($A297-Inputs!$D$1)+15,1,0)))))</f>
        <v> </v>
      </c>
      <c r="U297" s="280" t="str">
        <f aca="false">IF($A297="N/A"," ",IF('Pricing Inputs'!$AN$8=2,(N297-$H297),IF('Pricing Inputs'!$AN$3=2,IF((N297-$H297)&gt;0,N297-$H297,0),(xSPRDOPT(N297,$E297,$BU297,0,$BP297,$BS297,$BT297,($A297-Inputs!$D$1)+15,1,0)))))</f>
        <v> </v>
      </c>
      <c r="V297" s="281" t="str">
        <f aca="false">IF($A297="N/A"," ",(IF('Pricing Inputs'!$AN$8=2,(O297-$H297),IF((O297-$H297)&lt;=0,0,(O297-$H297)))))</f>
        <v> </v>
      </c>
      <c r="AK297" s="31"/>
      <c r="AL297" s="31"/>
      <c r="AM297" s="31"/>
      <c r="AN297" s="31"/>
      <c r="AO297" s="31"/>
      <c r="AP297" s="31"/>
      <c r="AQ297" s="31"/>
      <c r="AR297" s="31"/>
      <c r="BA297" s="291" t="str">
        <f aca="false">IF($A297="N/A"," ",(IF(MONTH(A297)&gt;=4,IF(MONTH(A297)&lt;=10,Inputs!$F$13,Inputs!$F$14),Inputs!$F$14))*$BW297)</f>
        <v> </v>
      </c>
      <c r="BN297" s="294" t="str">
        <f aca="false">IF(A297="N/A"," ",(VLOOKUP(A297,PowerVolTable,(IF('Pricing Inputs'!$AT$3=2,7,IF('Pricing Inputs'!$AT$3=1,6,8))),FALSE())))</f>
        <v> </v>
      </c>
      <c r="BO297" s="294" t="str">
        <f aca="false">IF(A297="N/A"," ",(VLOOKUP(A297,IntraPowerVol,(IF('Pricing Inputs'!$AT$3=2,3,IF('Pricing Inputs'!$AT$3=1,2,4))),FALSE())*VLOOKUP(MONTH($A297),Inputs!$A$28:$B$39,2)))</f>
        <v> </v>
      </c>
      <c r="BP297" s="295" t="str">
        <f aca="false">IF($A297="N/A"," ",(IF(DateToday&gt;$A297,$BO297,((($BN297^2)*((($A297-1)-DateToday)/((EOMONTH($A297,0)+1)-DateToday-15)))+((($BO297)^2)*((15)/((EOMONTH($A297,0)+1)-DateToday-15))))^0.5)))</f>
        <v> </v>
      </c>
      <c r="BQ297" s="294" t="str">
        <f aca="false">IF($A297="N/A"," ",(VLOOKUP($A297,GasVolTable,(IF('Pricing Inputs'!$AT$3=2,6,IF('Pricing Inputs'!$AT$3=1,7,5))),FALSE())))</f>
        <v> </v>
      </c>
      <c r="BR297" s="294" t="str">
        <f aca="false">IF($A297="N/A"," ",(VLOOKUP($A297,OmicronVol,(IF('Pricing Inputs'!$AT$3=2,3,IF('Pricing Inputs'!$AT$3=1,4,2))),FALSE())))</f>
        <v> </v>
      </c>
      <c r="BS297" s="295" t="str">
        <f aca="false">IF($A297="N/A"," ",IF('Pricing Inputs'!$AN$3=1,(IF(DateToday&gt;$A297,$BR297,((($BQ297^2)*((($A297-1)-DateToday)/((EOMONTH($A297,0)+1)-DateToday-15)))+((($BR297)^2)*((15)/((EOMONTH($A297,0)+1)-DateToday-15))))^0.5)),0.0001))</f>
        <v> </v>
      </c>
      <c r="BT297" s="294" t="str">
        <f aca="false">IF($A297="N/A"," ",IF('Pricing Inputs'!$AN$3=1,(VLOOKUP($A297,CorrelationTable,2,FALSE())),0))</f>
        <v> </v>
      </c>
      <c r="BU297" s="296" t="str">
        <f aca="false">IF($A297="N/A"," ",F297+G297+(D297*(VLOOKUP($A297,'Gas Curves'!$B$17:$P$310,14,FALSE()))))</f>
        <v> </v>
      </c>
      <c r="BV297" s="294" t="str">
        <f aca="false">IF($A297="N/A"," ",IF('Pricing Inputs'!$AW$3=1,0,(VLOOKUP($A297,InterestRatesTable,2))))</f>
        <v> </v>
      </c>
      <c r="BW297" s="297" t="str">
        <f aca="false">IF($A297="N/A"," ",(1+BV297/2)^(-2*((EOMONTH(A297,0)+20)-DateToday)/365.25))</f>
        <v> </v>
      </c>
    </row>
    <row r="298" customFormat="false" ht="12.75" hidden="false" customHeight="false" outlineLevel="0" collapsed="false">
      <c r="A298" s="272" t="str">
        <f aca="false">IF(A297="N/A","N/A",IF(EDATE(A297,1)&gt;Inputs!$K$3,"N/A",EDATE(A297,1)))</f>
        <v>N/A</v>
      </c>
      <c r="B298" s="273" t="str">
        <f aca="false">IF(A298="N/A"," ",YEAR(A298))</f>
        <v> </v>
      </c>
      <c r="C298" s="274" t="str">
        <f aca="false">IF(A298="N/A"," ",VLOOKUP(A298,ScaledPrice,10))</f>
        <v> </v>
      </c>
      <c r="D298" s="275" t="str">
        <f aca="false">IF(A298="N/A"," ",(VLOOKUP(MONTH($A298),Inputs!$A$14:$B$25,2))/1000)</f>
        <v> </v>
      </c>
      <c r="E298" s="276" t="str">
        <f aca="false">IF($A298="N/A"," ",C298*D298)</f>
        <v> </v>
      </c>
      <c r="F298" s="277" t="str">
        <f aca="false">IF(A298="N/A"," ",Inputs!$F$6)</f>
        <v> </v>
      </c>
      <c r="G298" s="277" t="str">
        <f aca="false">IF(A298="N/A"," ",Inputs!$F$9/IF(AND('Pricing Inputs'!$AQ$3&gt;=4,'Pricing Inputs'!$AQ$3&lt;=6),16,IF(AND('Pricing Inputs'!$AQ$3&gt;=7,'Pricing Inputs'!$AQ$3&lt;=9),8,24))/(BA298/BW298))</f>
        <v> </v>
      </c>
      <c r="H298" s="278" t="str">
        <f aca="false">IF(A298="N/A"," ",(C298*D298)+F298+G298)</f>
        <v> </v>
      </c>
      <c r="I298" s="279" t="str">
        <f aca="false">VLOOKUP(A298,ScaledPrice,(IF(AND('Pricing Inputs'!$AQ$3&gt;=1,'Pricing Inputs'!$AQ$3&lt;=6),2,4)))</f>
        <v> </v>
      </c>
      <c r="J298" s="279" t="str">
        <f aca="false">IF(A298="N/A"," ",IF(AND('Pricing Inputs'!$AQ$3&gt;=1,'Pricing Inputs'!$AQ$3&lt;=6),I298,(VLOOKUP(A298,ScaledPrice,2))*(2-(VLOOKUP(A298,ScaledPrice,3)))))</f>
        <v> </v>
      </c>
      <c r="K298" s="279" t="str">
        <f aca="false">IF(A298="N/A"," ",IF(OR('Pricing Inputs'!$AQ$3=2,'Pricing Inputs'!$AQ$3=3,'Pricing Inputs'!$AQ$3=5,'Pricing Inputs'!$AQ$3=6,'Pricing Inputs'!$AQ$3=8,'Pricing Inputs'!$AQ$3=9),VLOOKUP(A298,ScaledPrice,IF(AND('Pricing Inputs'!$AQ$3&gt;=2,'Pricing Inputs'!$AQ$3&lt;=6),5,6)),0))</f>
        <v> </v>
      </c>
      <c r="L298" s="279" t="str">
        <f aca="false">IF(A298="N/A"," ",IF(OR('Pricing Inputs'!$AQ$3=2,'Pricing Inputs'!$AQ$3=3,'Pricing Inputs'!$AQ$3=5,'Pricing Inputs'!$AQ$3=6,'Pricing Inputs'!$AQ$3=8,'Pricing Inputs'!$AQ$3=9),IF(AND('Pricing Inputs'!$AQ$3&gt;=2,'Pricing Inputs'!$AQ$3&lt;=6),K298,(VLOOKUP(A298,ScaledPrice,5))*(2-(VLOOKUP(A298,ScaledPrice,3)))),0))</f>
        <v> </v>
      </c>
      <c r="M298" s="279" t="str">
        <f aca="false">IF(A298="N/A"," ",IF(OR('Pricing Inputs'!$AQ$3=3,'Pricing Inputs'!$AQ$3=6,'Pricing Inputs'!$AQ$3=9),(VLOOKUP(A298,ScaledPrice,IF(AND('Pricing Inputs'!$AQ$3&gt;=3,'Pricing Inputs'!$AQ$3&lt;=6),7,8))),0))</f>
        <v> </v>
      </c>
      <c r="N298" s="279" t="str">
        <f aca="false">IF(A298="N/A"," ",IF(OR('Pricing Inputs'!$AQ$3=3,'Pricing Inputs'!$AQ$3=6,'Pricing Inputs'!$AQ$3=9),IF(AND('Pricing Inputs'!$AQ$3&gt;=3,'Pricing Inputs'!$AQ$3&lt;=6),M298,(VLOOKUP(A298,ScaledPrice,7))*(2-(VLOOKUP(A298,ScaledPrice,3)))),0))</f>
        <v> </v>
      </c>
      <c r="O298" s="279" t="str">
        <f aca="false">IF(A298="N/A"," ",IF(AND('Pricing Inputs'!$AQ$3&gt;=1,'Pricing Inputs'!$AQ$3&lt;=3),VLOOKUP(A298,ScaledPrice,9),0))</f>
        <v> </v>
      </c>
      <c r="P298" s="280" t="str">
        <f aca="false">IF($A298="N/A"," ",IF('Pricing Inputs'!$AN$8=2,(I298-H298),IF('Pricing Inputs'!$AN$3=2,IF((I298-$H298)&gt;0,I298-$H298,0),(xSPRDOPT(I298,$E298,$BU298,0,$BP298,$BS298,$BT298,($A298-Inputs!$D$1)+15,1,0)))))</f>
        <v> </v>
      </c>
      <c r="Q298" s="280" t="str">
        <f aca="false">IF($A298="N/A"," ",IF('Pricing Inputs'!$AN$8=2,(J298-$H298),IF('Pricing Inputs'!$AN$3=2,IF((J298-$H298)&gt;0,J298-$H298,0),(xSPRDOPT(J298,$E298,$BU298,0,$BP298,$BS298,$BT298,($A298-Inputs!$D$1)+15,1,0)))))</f>
        <v> </v>
      </c>
      <c r="R298" s="280" t="str">
        <f aca="false">IF($A298="N/A"," ",IF('Pricing Inputs'!$AN$8=2,(K298-$H298),IF('Pricing Inputs'!$AN$3=2,IF((K298-$H298)&gt;0,K298-$H298,0),(xSPRDOPT(K298,$E298,$BU298,0,$BP298,$BS298,$BT298,($A298-Inputs!$D$1)+15,1,0)))))</f>
        <v> </v>
      </c>
      <c r="S298" s="280" t="str">
        <f aca="false">IF($A298="N/A"," ",IF('Pricing Inputs'!$AN$8=2,(L298-$H298),IF('Pricing Inputs'!$AN$3=2,IF((L298-$H298)&gt;0,L298-$H298,0),(xSPRDOPT(L298,$E298,$BU298,0,$BP298,$BS298,$BT298,($A298-Inputs!$D$1)+15,1,0)))))</f>
        <v> </v>
      </c>
      <c r="T298" s="280" t="str">
        <f aca="false">IF($A298="N/A"," ",IF('Pricing Inputs'!$AN$8=2,(M298-$H298),IF('Pricing Inputs'!$AN$3=2,IF((M298-$H298)&gt;0,M298-$H298,0),(xSPRDOPT(M298,$E298,$BU298,0,$BP298,$BS298,$BT298,($A298-Inputs!$D$1)+15,1,0)))))</f>
        <v> </v>
      </c>
      <c r="U298" s="280" t="str">
        <f aca="false">IF($A298="N/A"," ",IF('Pricing Inputs'!$AN$8=2,(N298-$H298),IF('Pricing Inputs'!$AN$3=2,IF((N298-$H298)&gt;0,N298-$H298,0),(xSPRDOPT(N298,$E298,$BU298,0,$BP298,$BS298,$BT298,($A298-Inputs!$D$1)+15,1,0)))))</f>
        <v> </v>
      </c>
      <c r="V298" s="281" t="str">
        <f aca="false">IF($A298="N/A"," ",(IF('Pricing Inputs'!$AN$8=2,(O298-$H298),IF((O298-$H298)&lt;=0,0,(O298-$H298)))))</f>
        <v> </v>
      </c>
      <c r="AK298" s="31"/>
      <c r="AL298" s="31"/>
      <c r="AM298" s="31"/>
      <c r="AN298" s="31"/>
      <c r="AO298" s="31"/>
      <c r="AP298" s="31"/>
      <c r="AQ298" s="31"/>
      <c r="AR298" s="31"/>
      <c r="BA298" s="291" t="str">
        <f aca="false">IF($A298="N/A"," ",(IF(MONTH(A298)&gt;=4,IF(MONTH(A298)&lt;=10,Inputs!$F$13,Inputs!$F$14),Inputs!$F$14))*$BW298)</f>
        <v> </v>
      </c>
      <c r="BN298" s="294" t="str">
        <f aca="false">IF(A298="N/A"," ",(VLOOKUP(A298,PowerVolTable,(IF('Pricing Inputs'!$AT$3=2,7,IF('Pricing Inputs'!$AT$3=1,6,8))),FALSE())))</f>
        <v> </v>
      </c>
      <c r="BO298" s="294" t="str">
        <f aca="false">IF(A298="N/A"," ",(VLOOKUP(A298,IntraPowerVol,(IF('Pricing Inputs'!$AT$3=2,3,IF('Pricing Inputs'!$AT$3=1,2,4))),FALSE())*VLOOKUP(MONTH($A298),Inputs!$A$28:$B$39,2)))</f>
        <v> </v>
      </c>
      <c r="BP298" s="295" t="str">
        <f aca="false">IF($A298="N/A"," ",(IF(DateToday&gt;$A298,$BO298,((($BN298^2)*((($A298-1)-DateToday)/((EOMONTH($A298,0)+1)-DateToday-15)))+((($BO298)^2)*((15)/((EOMONTH($A298,0)+1)-DateToday-15))))^0.5)))</f>
        <v> </v>
      </c>
      <c r="BQ298" s="294" t="str">
        <f aca="false">IF($A298="N/A"," ",(VLOOKUP($A298,GasVolTable,(IF('Pricing Inputs'!$AT$3=2,6,IF('Pricing Inputs'!$AT$3=1,7,5))),FALSE())))</f>
        <v> </v>
      </c>
      <c r="BR298" s="294" t="str">
        <f aca="false">IF($A298="N/A"," ",(VLOOKUP($A298,OmicronVol,(IF('Pricing Inputs'!$AT$3=2,3,IF('Pricing Inputs'!$AT$3=1,4,2))),FALSE())))</f>
        <v> </v>
      </c>
      <c r="BS298" s="295" t="str">
        <f aca="false">IF($A298="N/A"," ",IF('Pricing Inputs'!$AN$3=1,(IF(DateToday&gt;$A298,$BR298,((($BQ298^2)*((($A298-1)-DateToday)/((EOMONTH($A298,0)+1)-DateToday-15)))+((($BR298)^2)*((15)/((EOMONTH($A298,0)+1)-DateToday-15))))^0.5)),0.0001))</f>
        <v> </v>
      </c>
      <c r="BT298" s="294" t="str">
        <f aca="false">IF($A298="N/A"," ",IF('Pricing Inputs'!$AN$3=1,(VLOOKUP($A298,CorrelationTable,2,FALSE())),0))</f>
        <v> </v>
      </c>
      <c r="BU298" s="296" t="str">
        <f aca="false">IF($A298="N/A"," ",F298+G298+(D298*(VLOOKUP($A298,'Gas Curves'!$B$17:$P$310,14,FALSE()))))</f>
        <v> </v>
      </c>
      <c r="BV298" s="294" t="str">
        <f aca="false">IF($A298="N/A"," ",IF('Pricing Inputs'!$AW$3=1,0,(VLOOKUP($A298,InterestRatesTable,2))))</f>
        <v> </v>
      </c>
      <c r="BW298" s="297" t="str">
        <f aca="false">IF($A298="N/A"," ",(1+BV298/2)^(-2*((EOMONTH(A298,0)+20)-DateToday)/365.25))</f>
        <v> </v>
      </c>
    </row>
    <row r="299" customFormat="false" ht="12.75" hidden="false" customHeight="false" outlineLevel="0" collapsed="false">
      <c r="A299" s="272" t="str">
        <f aca="false">IF(A298="N/A","N/A",IF(EDATE(A298,1)&gt;Inputs!$K$3,"N/A",EDATE(A298,1)))</f>
        <v>N/A</v>
      </c>
      <c r="B299" s="273" t="str">
        <f aca="false">IF(A299="N/A"," ",YEAR(A299))</f>
        <v> </v>
      </c>
      <c r="C299" s="274" t="str">
        <f aca="false">IF(A299="N/A"," ",VLOOKUP(A299,ScaledPrice,10))</f>
        <v> </v>
      </c>
      <c r="D299" s="275" t="str">
        <f aca="false">IF(A299="N/A"," ",(VLOOKUP(MONTH($A299),Inputs!$A$14:$B$25,2))/1000)</f>
        <v> </v>
      </c>
      <c r="E299" s="276" t="str">
        <f aca="false">IF($A299="N/A"," ",C299*D299)</f>
        <v> </v>
      </c>
      <c r="F299" s="277" t="str">
        <f aca="false">IF(A299="N/A"," ",Inputs!$F$6)</f>
        <v> </v>
      </c>
      <c r="G299" s="277" t="str">
        <f aca="false">IF(A299="N/A"," ",Inputs!$F$9/IF(AND('Pricing Inputs'!$AQ$3&gt;=4,'Pricing Inputs'!$AQ$3&lt;=6),16,IF(AND('Pricing Inputs'!$AQ$3&gt;=7,'Pricing Inputs'!$AQ$3&lt;=9),8,24))/(BA299/BW299))</f>
        <v> </v>
      </c>
      <c r="H299" s="278" t="str">
        <f aca="false">IF(A299="N/A"," ",(C299*D299)+F299+G299)</f>
        <v> </v>
      </c>
      <c r="I299" s="279" t="str">
        <f aca="false">VLOOKUP(A299,ScaledPrice,(IF(AND('Pricing Inputs'!$AQ$3&gt;=1,'Pricing Inputs'!$AQ$3&lt;=6),2,4)))</f>
        <v> </v>
      </c>
      <c r="J299" s="279" t="str">
        <f aca="false">IF(A299="N/A"," ",IF(AND('Pricing Inputs'!$AQ$3&gt;=1,'Pricing Inputs'!$AQ$3&lt;=6),I299,(VLOOKUP(A299,ScaledPrice,2))*(2-(VLOOKUP(A299,ScaledPrice,3)))))</f>
        <v> </v>
      </c>
      <c r="K299" s="279" t="str">
        <f aca="false">IF(A299="N/A"," ",IF(OR('Pricing Inputs'!$AQ$3=2,'Pricing Inputs'!$AQ$3=3,'Pricing Inputs'!$AQ$3=5,'Pricing Inputs'!$AQ$3=6,'Pricing Inputs'!$AQ$3=8,'Pricing Inputs'!$AQ$3=9),VLOOKUP(A299,ScaledPrice,IF(AND('Pricing Inputs'!$AQ$3&gt;=2,'Pricing Inputs'!$AQ$3&lt;=6),5,6)),0))</f>
        <v> </v>
      </c>
      <c r="L299" s="279" t="str">
        <f aca="false">IF(A299="N/A"," ",IF(OR('Pricing Inputs'!$AQ$3=2,'Pricing Inputs'!$AQ$3=3,'Pricing Inputs'!$AQ$3=5,'Pricing Inputs'!$AQ$3=6,'Pricing Inputs'!$AQ$3=8,'Pricing Inputs'!$AQ$3=9),IF(AND('Pricing Inputs'!$AQ$3&gt;=2,'Pricing Inputs'!$AQ$3&lt;=6),K299,(VLOOKUP(A299,ScaledPrice,5))*(2-(VLOOKUP(A299,ScaledPrice,3)))),0))</f>
        <v> </v>
      </c>
      <c r="M299" s="279" t="str">
        <f aca="false">IF(A299="N/A"," ",IF(OR('Pricing Inputs'!$AQ$3=3,'Pricing Inputs'!$AQ$3=6,'Pricing Inputs'!$AQ$3=9),(VLOOKUP(A299,ScaledPrice,IF(AND('Pricing Inputs'!$AQ$3&gt;=3,'Pricing Inputs'!$AQ$3&lt;=6),7,8))),0))</f>
        <v> </v>
      </c>
      <c r="N299" s="279" t="str">
        <f aca="false">IF(A299="N/A"," ",IF(OR('Pricing Inputs'!$AQ$3=3,'Pricing Inputs'!$AQ$3=6,'Pricing Inputs'!$AQ$3=9),IF(AND('Pricing Inputs'!$AQ$3&gt;=3,'Pricing Inputs'!$AQ$3&lt;=6),M299,(VLOOKUP(A299,ScaledPrice,7))*(2-(VLOOKUP(A299,ScaledPrice,3)))),0))</f>
        <v> </v>
      </c>
      <c r="O299" s="279" t="str">
        <f aca="false">IF(A299="N/A"," ",IF(AND('Pricing Inputs'!$AQ$3&gt;=1,'Pricing Inputs'!$AQ$3&lt;=3),VLOOKUP(A299,ScaledPrice,9),0))</f>
        <v> </v>
      </c>
      <c r="P299" s="280" t="str">
        <f aca="false">IF($A299="N/A"," ",IF('Pricing Inputs'!$AN$8=2,(I299-H299),IF('Pricing Inputs'!$AN$3=2,IF((I299-$H299)&gt;0,I299-$H299,0),(xSPRDOPT(I299,$E299,$BU299,0,$BP299,$BS299,$BT299,($A299-Inputs!$D$1)+15,1,0)))))</f>
        <v> </v>
      </c>
      <c r="Q299" s="280" t="str">
        <f aca="false">IF($A299="N/A"," ",IF('Pricing Inputs'!$AN$8=2,(J299-$H299),IF('Pricing Inputs'!$AN$3=2,IF((J299-$H299)&gt;0,J299-$H299,0),(xSPRDOPT(J299,$E299,$BU299,0,$BP299,$BS299,$BT299,($A299-Inputs!$D$1)+15,1,0)))))</f>
        <v> </v>
      </c>
      <c r="R299" s="280" t="str">
        <f aca="false">IF($A299="N/A"," ",IF('Pricing Inputs'!$AN$8=2,(K299-$H299),IF('Pricing Inputs'!$AN$3=2,IF((K299-$H299)&gt;0,K299-$H299,0),(xSPRDOPT(K299,$E299,$BU299,0,$BP299,$BS299,$BT299,($A299-Inputs!$D$1)+15,1,0)))))</f>
        <v> </v>
      </c>
      <c r="S299" s="280" t="str">
        <f aca="false">IF($A299="N/A"," ",IF('Pricing Inputs'!$AN$8=2,(L299-$H299),IF('Pricing Inputs'!$AN$3=2,IF((L299-$H299)&gt;0,L299-$H299,0),(xSPRDOPT(L299,$E299,$BU299,0,$BP299,$BS299,$BT299,($A299-Inputs!$D$1)+15,1,0)))))</f>
        <v> </v>
      </c>
      <c r="T299" s="280" t="str">
        <f aca="false">IF($A299="N/A"," ",IF('Pricing Inputs'!$AN$8=2,(M299-$H299),IF('Pricing Inputs'!$AN$3=2,IF((M299-$H299)&gt;0,M299-$H299,0),(xSPRDOPT(M299,$E299,$BU299,0,$BP299,$BS299,$BT299,($A299-Inputs!$D$1)+15,1,0)))))</f>
        <v> </v>
      </c>
      <c r="U299" s="280" t="str">
        <f aca="false">IF($A299="N/A"," ",IF('Pricing Inputs'!$AN$8=2,(N299-$H299),IF('Pricing Inputs'!$AN$3=2,IF((N299-$H299)&gt;0,N299-$H299,0),(xSPRDOPT(N299,$E299,$BU299,0,$BP299,$BS299,$BT299,($A299-Inputs!$D$1)+15,1,0)))))</f>
        <v> </v>
      </c>
      <c r="V299" s="281" t="str">
        <f aca="false">IF($A299="N/A"," ",(IF('Pricing Inputs'!$AN$8=2,(O299-$H299),IF((O299-$H299)&lt;=0,0,(O299-$H299)))))</f>
        <v> </v>
      </c>
      <c r="AK299" s="31"/>
      <c r="AL299" s="31"/>
      <c r="AM299" s="31"/>
      <c r="AN299" s="31"/>
      <c r="AO299" s="31"/>
      <c r="AP299" s="31"/>
      <c r="AQ299" s="31"/>
      <c r="AR299" s="31"/>
      <c r="BA299" s="291" t="str">
        <f aca="false">IF($A299="N/A"," ",(IF(MONTH(A299)&gt;=4,IF(MONTH(A299)&lt;=10,Inputs!$F$13,Inputs!$F$14),Inputs!$F$14))*$BW299)</f>
        <v> </v>
      </c>
      <c r="BN299" s="294" t="str">
        <f aca="false">IF(A299="N/A"," ",(VLOOKUP(A299,PowerVolTable,(IF('Pricing Inputs'!$AT$3=2,7,IF('Pricing Inputs'!$AT$3=1,6,8))),FALSE())))</f>
        <v> </v>
      </c>
      <c r="BO299" s="294" t="str">
        <f aca="false">IF(A299="N/A"," ",(VLOOKUP(A299,IntraPowerVol,(IF('Pricing Inputs'!$AT$3=2,3,IF('Pricing Inputs'!$AT$3=1,2,4))),FALSE())*VLOOKUP(MONTH($A299),Inputs!$A$28:$B$39,2)))</f>
        <v> </v>
      </c>
      <c r="BP299" s="295" t="str">
        <f aca="false">IF($A299="N/A"," ",(IF(DateToday&gt;$A299,$BO299,((($BN299^2)*((($A299-1)-DateToday)/((EOMONTH($A299,0)+1)-DateToday-15)))+((($BO299)^2)*((15)/((EOMONTH($A299,0)+1)-DateToday-15))))^0.5)))</f>
        <v> </v>
      </c>
      <c r="BQ299" s="294" t="str">
        <f aca="false">IF($A299="N/A"," ",(VLOOKUP($A299,GasVolTable,(IF('Pricing Inputs'!$AT$3=2,6,IF('Pricing Inputs'!$AT$3=1,7,5))),FALSE())))</f>
        <v> </v>
      </c>
      <c r="BR299" s="294" t="str">
        <f aca="false">IF($A299="N/A"," ",(VLOOKUP($A299,OmicronVol,(IF('Pricing Inputs'!$AT$3=2,3,IF('Pricing Inputs'!$AT$3=1,4,2))),FALSE())))</f>
        <v> </v>
      </c>
      <c r="BS299" s="295" t="str">
        <f aca="false">IF($A299="N/A"," ",IF('Pricing Inputs'!$AN$3=1,(IF(DateToday&gt;$A299,$BR299,((($BQ299^2)*((($A299-1)-DateToday)/((EOMONTH($A299,0)+1)-DateToday-15)))+((($BR299)^2)*((15)/((EOMONTH($A299,0)+1)-DateToday-15))))^0.5)),0.0001))</f>
        <v> </v>
      </c>
      <c r="BT299" s="294" t="str">
        <f aca="false">IF($A299="N/A"," ",IF('Pricing Inputs'!$AN$3=1,(VLOOKUP($A299,CorrelationTable,2,FALSE())),0))</f>
        <v> </v>
      </c>
      <c r="BU299" s="296" t="str">
        <f aca="false">IF($A299="N/A"," ",F299+G299+(D299*(VLOOKUP($A299,'Gas Curves'!$B$17:$P$310,14,FALSE()))))</f>
        <v> </v>
      </c>
      <c r="BV299" s="294" t="str">
        <f aca="false">IF($A299="N/A"," ",IF('Pricing Inputs'!$AW$3=1,0,(VLOOKUP($A299,InterestRatesTable,2))))</f>
        <v> </v>
      </c>
      <c r="BW299" s="297" t="str">
        <f aca="false">IF($A299="N/A"," ",(1+BV299/2)^(-2*((EOMONTH(A299,0)+20)-DateToday)/365.25))</f>
        <v> </v>
      </c>
    </row>
    <row r="300" customFormat="false" ht="12.75" hidden="false" customHeight="false" outlineLevel="0" collapsed="false">
      <c r="A300" s="272" t="str">
        <f aca="false">IF(A299="N/A","N/A",IF(EDATE(A299,1)&gt;Inputs!$K$3,"N/A",EDATE(A299,1)))</f>
        <v>N/A</v>
      </c>
      <c r="B300" s="273" t="str">
        <f aca="false">IF(A300="N/A"," ",YEAR(A300))</f>
        <v> </v>
      </c>
      <c r="C300" s="274" t="str">
        <f aca="false">IF(A300="N/A"," ",VLOOKUP(A300,ScaledPrice,10))</f>
        <v> </v>
      </c>
      <c r="D300" s="275" t="str">
        <f aca="false">IF(A300="N/A"," ",(VLOOKUP(MONTH($A300),Inputs!$A$14:$B$25,2))/1000)</f>
        <v> </v>
      </c>
      <c r="E300" s="276" t="str">
        <f aca="false">IF($A300="N/A"," ",C300*D300)</f>
        <v> </v>
      </c>
      <c r="F300" s="277" t="str">
        <f aca="false">IF(A300="N/A"," ",Inputs!$F$6)</f>
        <v> </v>
      </c>
      <c r="G300" s="277" t="str">
        <f aca="false">IF(A300="N/A"," ",Inputs!$F$9/IF(AND('Pricing Inputs'!$AQ$3&gt;=4,'Pricing Inputs'!$AQ$3&lt;=6),16,IF(AND('Pricing Inputs'!$AQ$3&gt;=7,'Pricing Inputs'!$AQ$3&lt;=9),8,24))/(BA300/BW300))</f>
        <v> </v>
      </c>
      <c r="H300" s="278" t="str">
        <f aca="false">IF(A300="N/A"," ",(C300*D300)+F300+G300)</f>
        <v> </v>
      </c>
      <c r="I300" s="279" t="str">
        <f aca="false">VLOOKUP(A300,ScaledPrice,(IF(AND('Pricing Inputs'!$AQ$3&gt;=1,'Pricing Inputs'!$AQ$3&lt;=6),2,4)))</f>
        <v> </v>
      </c>
      <c r="J300" s="279" t="str">
        <f aca="false">IF(A300="N/A"," ",IF(AND('Pricing Inputs'!$AQ$3&gt;=1,'Pricing Inputs'!$AQ$3&lt;=6),I300,(VLOOKUP(A300,ScaledPrice,2))*(2-(VLOOKUP(A300,ScaledPrice,3)))))</f>
        <v> </v>
      </c>
      <c r="K300" s="279" t="str">
        <f aca="false">IF(A300="N/A"," ",IF(OR('Pricing Inputs'!$AQ$3=2,'Pricing Inputs'!$AQ$3=3,'Pricing Inputs'!$AQ$3=5,'Pricing Inputs'!$AQ$3=6,'Pricing Inputs'!$AQ$3=8,'Pricing Inputs'!$AQ$3=9),VLOOKUP(A300,ScaledPrice,IF(AND('Pricing Inputs'!$AQ$3&gt;=2,'Pricing Inputs'!$AQ$3&lt;=6),5,6)),0))</f>
        <v> </v>
      </c>
      <c r="L300" s="279" t="str">
        <f aca="false">IF(A300="N/A"," ",IF(OR('Pricing Inputs'!$AQ$3=2,'Pricing Inputs'!$AQ$3=3,'Pricing Inputs'!$AQ$3=5,'Pricing Inputs'!$AQ$3=6,'Pricing Inputs'!$AQ$3=8,'Pricing Inputs'!$AQ$3=9),IF(AND('Pricing Inputs'!$AQ$3&gt;=2,'Pricing Inputs'!$AQ$3&lt;=6),K300,(VLOOKUP(A300,ScaledPrice,5))*(2-(VLOOKUP(A300,ScaledPrice,3)))),0))</f>
        <v> </v>
      </c>
      <c r="M300" s="279" t="str">
        <f aca="false">IF(A300="N/A"," ",IF(OR('Pricing Inputs'!$AQ$3=3,'Pricing Inputs'!$AQ$3=6,'Pricing Inputs'!$AQ$3=9),(VLOOKUP(A300,ScaledPrice,IF(AND('Pricing Inputs'!$AQ$3&gt;=3,'Pricing Inputs'!$AQ$3&lt;=6),7,8))),0))</f>
        <v> </v>
      </c>
      <c r="N300" s="279" t="str">
        <f aca="false">IF(A300="N/A"," ",IF(OR('Pricing Inputs'!$AQ$3=3,'Pricing Inputs'!$AQ$3=6,'Pricing Inputs'!$AQ$3=9),IF(AND('Pricing Inputs'!$AQ$3&gt;=3,'Pricing Inputs'!$AQ$3&lt;=6),M300,(VLOOKUP(A300,ScaledPrice,7))*(2-(VLOOKUP(A300,ScaledPrice,3)))),0))</f>
        <v> </v>
      </c>
      <c r="O300" s="279" t="str">
        <f aca="false">IF(A300="N/A"," ",IF(AND('Pricing Inputs'!$AQ$3&gt;=1,'Pricing Inputs'!$AQ$3&lt;=3),VLOOKUP(A300,ScaledPrice,9),0))</f>
        <v> </v>
      </c>
      <c r="P300" s="280" t="str">
        <f aca="false">IF($A300="N/A"," ",IF('Pricing Inputs'!$AN$8=2,(I300-H300),IF('Pricing Inputs'!$AN$3=2,IF((I300-$H300)&gt;0,I300-$H300,0),(xSPRDOPT(I300,$E300,$BU300,0,$BP300,$BS300,$BT300,($A300-Inputs!$D$1)+15,1,0)))))</f>
        <v> </v>
      </c>
      <c r="Q300" s="280" t="str">
        <f aca="false">IF($A300="N/A"," ",IF('Pricing Inputs'!$AN$8=2,(J300-$H300),IF('Pricing Inputs'!$AN$3=2,IF((J300-$H300)&gt;0,J300-$H300,0),(xSPRDOPT(J300,$E300,$BU300,0,$BP300,$BS300,$BT300,($A300-Inputs!$D$1)+15,1,0)))))</f>
        <v> </v>
      </c>
      <c r="R300" s="280" t="str">
        <f aca="false">IF($A300="N/A"," ",IF('Pricing Inputs'!$AN$8=2,(K300-$H300),IF('Pricing Inputs'!$AN$3=2,IF((K300-$H300)&gt;0,K300-$H300,0),(xSPRDOPT(K300,$E300,$BU300,0,$BP300,$BS300,$BT300,($A300-Inputs!$D$1)+15,1,0)))))</f>
        <v> </v>
      </c>
      <c r="S300" s="280" t="str">
        <f aca="false">IF($A300="N/A"," ",IF('Pricing Inputs'!$AN$8=2,(L300-$H300),IF('Pricing Inputs'!$AN$3=2,IF((L300-$H300)&gt;0,L300-$H300,0),(xSPRDOPT(L300,$E300,$BU300,0,$BP300,$BS300,$BT300,($A300-Inputs!$D$1)+15,1,0)))))</f>
        <v> </v>
      </c>
      <c r="T300" s="280" t="str">
        <f aca="false">IF($A300="N/A"," ",IF('Pricing Inputs'!$AN$8=2,(M300-$H300),IF('Pricing Inputs'!$AN$3=2,IF((M300-$H300)&gt;0,M300-$H300,0),(xSPRDOPT(M300,$E300,$BU300,0,$BP300,$BS300,$BT300,($A300-Inputs!$D$1)+15,1,0)))))</f>
        <v> </v>
      </c>
      <c r="U300" s="280" t="str">
        <f aca="false">IF($A300="N/A"," ",IF('Pricing Inputs'!$AN$8=2,(N300-$H300),IF('Pricing Inputs'!$AN$3=2,IF((N300-$H300)&gt;0,N300-$H300,0),(xSPRDOPT(N300,$E300,$BU300,0,$BP300,$BS300,$BT300,($A300-Inputs!$D$1)+15,1,0)))))</f>
        <v> </v>
      </c>
      <c r="V300" s="281" t="str">
        <f aca="false">IF($A300="N/A"," ",(IF('Pricing Inputs'!$AN$8=2,(O300-$H300),IF((O300-$H300)&lt;=0,0,(O300-$H300)))))</f>
        <v> </v>
      </c>
      <c r="AK300" s="31"/>
      <c r="AL300" s="31"/>
      <c r="AM300" s="31"/>
      <c r="AN300" s="31"/>
      <c r="AO300" s="31"/>
      <c r="AP300" s="31"/>
      <c r="AQ300" s="31"/>
      <c r="AR300" s="31"/>
      <c r="BA300" s="291" t="str">
        <f aca="false">IF($A300="N/A"," ",(IF(MONTH(A300)&gt;=4,IF(MONTH(A300)&lt;=10,Inputs!$F$13,Inputs!$F$14),Inputs!$F$14))*$BW300)</f>
        <v> </v>
      </c>
      <c r="BN300" s="294" t="str">
        <f aca="false">IF(A300="N/A"," ",(VLOOKUP(A300,PowerVolTable,(IF('Pricing Inputs'!$AT$3=2,7,IF('Pricing Inputs'!$AT$3=1,6,8))),FALSE())))</f>
        <v> </v>
      </c>
      <c r="BO300" s="294" t="str">
        <f aca="false">IF(A300="N/A"," ",(VLOOKUP(A300,IntraPowerVol,(IF('Pricing Inputs'!$AT$3=2,3,IF('Pricing Inputs'!$AT$3=1,2,4))),FALSE())*VLOOKUP(MONTH($A300),Inputs!$A$28:$B$39,2)))</f>
        <v> </v>
      </c>
      <c r="BP300" s="295" t="str">
        <f aca="false">IF($A300="N/A"," ",(IF(DateToday&gt;$A300,$BO300,((($BN300^2)*((($A300-1)-DateToday)/((EOMONTH($A300,0)+1)-DateToday-15)))+((($BO300)^2)*((15)/((EOMONTH($A300,0)+1)-DateToday-15))))^0.5)))</f>
        <v> </v>
      </c>
      <c r="BQ300" s="294" t="str">
        <f aca="false">IF($A300="N/A"," ",(VLOOKUP($A300,GasVolTable,(IF('Pricing Inputs'!$AT$3=2,6,IF('Pricing Inputs'!$AT$3=1,7,5))),FALSE())))</f>
        <v> </v>
      </c>
      <c r="BR300" s="294" t="str">
        <f aca="false">IF($A300="N/A"," ",(VLOOKUP($A300,OmicronVol,(IF('Pricing Inputs'!$AT$3=2,3,IF('Pricing Inputs'!$AT$3=1,4,2))),FALSE())))</f>
        <v> </v>
      </c>
      <c r="BS300" s="295" t="str">
        <f aca="false">IF($A300="N/A"," ",IF('Pricing Inputs'!$AN$3=1,(IF(DateToday&gt;$A300,$BR300,((($BQ300^2)*((($A300-1)-DateToday)/((EOMONTH($A300,0)+1)-DateToday-15)))+((($BR300)^2)*((15)/((EOMONTH($A300,0)+1)-DateToday-15))))^0.5)),0.0001))</f>
        <v> </v>
      </c>
      <c r="BT300" s="294" t="str">
        <f aca="false">IF($A300="N/A"," ",IF('Pricing Inputs'!$AN$3=1,(VLOOKUP($A300,CorrelationTable,2,FALSE())),0))</f>
        <v> </v>
      </c>
      <c r="BU300" s="296" t="str">
        <f aca="false">IF($A300="N/A"," ",F300+G300+(D300*(VLOOKUP($A300,'Gas Curves'!$B$17:$P$310,14,FALSE()))))</f>
        <v> </v>
      </c>
      <c r="BV300" s="294" t="str">
        <f aca="false">IF($A300="N/A"," ",IF('Pricing Inputs'!$AW$3=1,0,(VLOOKUP($A300,InterestRatesTable,2))))</f>
        <v> </v>
      </c>
      <c r="BW300" s="297" t="str">
        <f aca="false">IF($A300="N/A"," ",(1+BV300/2)^(-2*((EOMONTH(A300,0)+20)-DateToday)/365.25))</f>
        <v> </v>
      </c>
    </row>
    <row r="301" customFormat="false" ht="12.75" hidden="false" customHeight="false" outlineLevel="0" collapsed="false">
      <c r="A301" s="272" t="str">
        <f aca="false">IF(A300="N/A","N/A",IF(EDATE(A300,1)&gt;Inputs!$K$3,"N/A",EDATE(A300,1)))</f>
        <v>N/A</v>
      </c>
      <c r="B301" s="273" t="str">
        <f aca="false">IF(A301="N/A"," ",YEAR(A301))</f>
        <v> </v>
      </c>
      <c r="C301" s="274" t="str">
        <f aca="false">IF(A301="N/A"," ",VLOOKUP(A301,ScaledPrice,10))</f>
        <v> </v>
      </c>
      <c r="D301" s="275" t="str">
        <f aca="false">IF(A301="N/A"," ",(VLOOKUP(MONTH($A301),Inputs!$A$14:$B$25,2))/1000)</f>
        <v> </v>
      </c>
      <c r="E301" s="276" t="str">
        <f aca="false">IF($A301="N/A"," ",C301*D301)</f>
        <v> </v>
      </c>
      <c r="F301" s="277" t="str">
        <f aca="false">IF(A301="N/A"," ",Inputs!$F$6)</f>
        <v> </v>
      </c>
      <c r="G301" s="277" t="str">
        <f aca="false">IF(A301="N/A"," ",Inputs!$F$9/IF(AND('Pricing Inputs'!$AQ$3&gt;=4,'Pricing Inputs'!$AQ$3&lt;=6),16,IF(AND('Pricing Inputs'!$AQ$3&gt;=7,'Pricing Inputs'!$AQ$3&lt;=9),8,24))/(BA301/BW301))</f>
        <v> </v>
      </c>
      <c r="H301" s="278" t="str">
        <f aca="false">IF(A301="N/A"," ",(C301*D301)+F301+G301)</f>
        <v> </v>
      </c>
      <c r="I301" s="279" t="str">
        <f aca="false">VLOOKUP(A301,ScaledPrice,(IF(AND('Pricing Inputs'!$AQ$3&gt;=1,'Pricing Inputs'!$AQ$3&lt;=6),2,4)))</f>
        <v> </v>
      </c>
      <c r="J301" s="279" t="str">
        <f aca="false">IF(A301="N/A"," ",IF(AND('Pricing Inputs'!$AQ$3&gt;=1,'Pricing Inputs'!$AQ$3&lt;=6),I301,(VLOOKUP(A301,ScaledPrice,2))*(2-(VLOOKUP(A301,ScaledPrice,3)))))</f>
        <v> </v>
      </c>
      <c r="K301" s="279" t="str">
        <f aca="false">IF(A301="N/A"," ",IF(OR('Pricing Inputs'!$AQ$3=2,'Pricing Inputs'!$AQ$3=3,'Pricing Inputs'!$AQ$3=5,'Pricing Inputs'!$AQ$3=6,'Pricing Inputs'!$AQ$3=8,'Pricing Inputs'!$AQ$3=9),VLOOKUP(A301,ScaledPrice,IF(AND('Pricing Inputs'!$AQ$3&gt;=2,'Pricing Inputs'!$AQ$3&lt;=6),5,6)),0))</f>
        <v> </v>
      </c>
      <c r="L301" s="279" t="str">
        <f aca="false">IF(A301="N/A"," ",IF(OR('Pricing Inputs'!$AQ$3=2,'Pricing Inputs'!$AQ$3=3,'Pricing Inputs'!$AQ$3=5,'Pricing Inputs'!$AQ$3=6,'Pricing Inputs'!$AQ$3=8,'Pricing Inputs'!$AQ$3=9),IF(AND('Pricing Inputs'!$AQ$3&gt;=2,'Pricing Inputs'!$AQ$3&lt;=6),K301,(VLOOKUP(A301,ScaledPrice,5))*(2-(VLOOKUP(A301,ScaledPrice,3)))),0))</f>
        <v> </v>
      </c>
      <c r="M301" s="279" t="str">
        <f aca="false">IF(A301="N/A"," ",IF(OR('Pricing Inputs'!$AQ$3=3,'Pricing Inputs'!$AQ$3=6,'Pricing Inputs'!$AQ$3=9),(VLOOKUP(A301,ScaledPrice,IF(AND('Pricing Inputs'!$AQ$3&gt;=3,'Pricing Inputs'!$AQ$3&lt;=6),7,8))),0))</f>
        <v> </v>
      </c>
      <c r="N301" s="279" t="str">
        <f aca="false">IF(A301="N/A"," ",IF(OR('Pricing Inputs'!$AQ$3=3,'Pricing Inputs'!$AQ$3=6,'Pricing Inputs'!$AQ$3=9),IF(AND('Pricing Inputs'!$AQ$3&gt;=3,'Pricing Inputs'!$AQ$3&lt;=6),M301,(VLOOKUP(A301,ScaledPrice,7))*(2-(VLOOKUP(A301,ScaledPrice,3)))),0))</f>
        <v> </v>
      </c>
      <c r="O301" s="279" t="str">
        <f aca="false">IF(A301="N/A"," ",IF(AND('Pricing Inputs'!$AQ$3&gt;=1,'Pricing Inputs'!$AQ$3&lt;=3),VLOOKUP(A301,ScaledPrice,9),0))</f>
        <v> </v>
      </c>
      <c r="P301" s="280" t="str">
        <f aca="false">IF($A301="N/A"," ",IF('Pricing Inputs'!$AN$8=2,(I301-H301),IF('Pricing Inputs'!$AN$3=2,IF((I301-$H301)&gt;0,I301-$H301,0),(xSPRDOPT(I301,$E301,$BU301,0,$BP301,$BS301,$BT301,($A301-Inputs!$D$1)+15,1,0)))))</f>
        <v> </v>
      </c>
      <c r="Q301" s="280" t="str">
        <f aca="false">IF($A301="N/A"," ",IF('Pricing Inputs'!$AN$8=2,(J301-$H301),IF('Pricing Inputs'!$AN$3=2,IF((J301-$H301)&gt;0,J301-$H301,0),(xSPRDOPT(J301,$E301,$BU301,0,$BP301,$BS301,$BT301,($A301-Inputs!$D$1)+15,1,0)))))</f>
        <v> </v>
      </c>
      <c r="R301" s="280" t="str">
        <f aca="false">IF($A301="N/A"," ",IF('Pricing Inputs'!$AN$8=2,(K301-$H301),IF('Pricing Inputs'!$AN$3=2,IF((K301-$H301)&gt;0,K301-$H301,0),(xSPRDOPT(K301,$E301,$BU301,0,$BP301,$BS301,$BT301,($A301-Inputs!$D$1)+15,1,0)))))</f>
        <v> </v>
      </c>
      <c r="S301" s="280" t="str">
        <f aca="false">IF($A301="N/A"," ",IF('Pricing Inputs'!$AN$8=2,(L301-$H301),IF('Pricing Inputs'!$AN$3=2,IF((L301-$H301)&gt;0,L301-$H301,0),(xSPRDOPT(L301,$E301,$BU301,0,$BP301,$BS301,$BT301,($A301-Inputs!$D$1)+15,1,0)))))</f>
        <v> </v>
      </c>
      <c r="T301" s="280" t="str">
        <f aca="false">IF($A301="N/A"," ",IF('Pricing Inputs'!$AN$8=2,(M301-$H301),IF('Pricing Inputs'!$AN$3=2,IF((M301-$H301)&gt;0,M301-$H301,0),(xSPRDOPT(M301,$E301,$BU301,0,$BP301,$BS301,$BT301,($A301-Inputs!$D$1)+15,1,0)))))</f>
        <v> </v>
      </c>
      <c r="U301" s="280" t="str">
        <f aca="false">IF($A301="N/A"," ",IF('Pricing Inputs'!$AN$8=2,(N301-$H301),IF('Pricing Inputs'!$AN$3=2,IF((N301-$H301)&gt;0,N301-$H301,0),(xSPRDOPT(N301,$E301,$BU301,0,$BP301,$BS301,$BT301,($A301-Inputs!$D$1)+15,1,0)))))</f>
        <v> </v>
      </c>
      <c r="V301" s="281" t="str">
        <f aca="false">IF($A301="N/A"," ",(IF('Pricing Inputs'!$AN$8=2,(O301-$H301),IF((O301-$H301)&lt;=0,0,(O301-$H301)))))</f>
        <v> </v>
      </c>
      <c r="AK301" s="31"/>
      <c r="AL301" s="31"/>
      <c r="AM301" s="31"/>
      <c r="AN301" s="31"/>
      <c r="AO301" s="31"/>
      <c r="AP301" s="31"/>
      <c r="AQ301" s="31"/>
      <c r="AR301" s="31"/>
      <c r="BA301" s="291" t="str">
        <f aca="false">IF($A301="N/A"," ",(IF(MONTH(A301)&gt;=4,IF(MONTH(A301)&lt;=10,Inputs!$F$13,Inputs!$F$14),Inputs!$F$14))*$BW301)</f>
        <v> </v>
      </c>
      <c r="BN301" s="294" t="str">
        <f aca="false">IF(A301="N/A"," ",(VLOOKUP(A301,PowerVolTable,(IF('Pricing Inputs'!$AT$3=2,7,IF('Pricing Inputs'!$AT$3=1,6,8))),FALSE())))</f>
        <v> </v>
      </c>
      <c r="BO301" s="294" t="str">
        <f aca="false">IF(A301="N/A"," ",(VLOOKUP(A301,IntraPowerVol,(IF('Pricing Inputs'!$AT$3=2,3,IF('Pricing Inputs'!$AT$3=1,2,4))),FALSE())*VLOOKUP(MONTH($A301),Inputs!$A$28:$B$39,2)))</f>
        <v> </v>
      </c>
      <c r="BP301" s="295" t="str">
        <f aca="false">IF($A301="N/A"," ",(IF(DateToday&gt;$A301,$BO301,((($BN301^2)*((($A301-1)-DateToday)/((EOMONTH($A301,0)+1)-DateToday-15)))+((($BO301)^2)*((15)/((EOMONTH($A301,0)+1)-DateToday-15))))^0.5)))</f>
        <v> </v>
      </c>
      <c r="BQ301" s="294" t="str">
        <f aca="false">IF($A301="N/A"," ",(VLOOKUP($A301,GasVolTable,(IF('Pricing Inputs'!$AT$3=2,6,IF('Pricing Inputs'!$AT$3=1,7,5))),FALSE())))</f>
        <v> </v>
      </c>
      <c r="BR301" s="294" t="str">
        <f aca="false">IF($A301="N/A"," ",(VLOOKUP($A301,OmicronVol,(IF('Pricing Inputs'!$AT$3=2,3,IF('Pricing Inputs'!$AT$3=1,4,2))),FALSE())))</f>
        <v> </v>
      </c>
      <c r="BS301" s="295" t="str">
        <f aca="false">IF($A301="N/A"," ",IF('Pricing Inputs'!$AN$3=1,(IF(DateToday&gt;$A301,$BR301,((($BQ301^2)*((($A301-1)-DateToday)/((EOMONTH($A301,0)+1)-DateToday-15)))+((($BR301)^2)*((15)/((EOMONTH($A301,0)+1)-DateToday-15))))^0.5)),0.0001))</f>
        <v> </v>
      </c>
      <c r="BT301" s="294" t="str">
        <f aca="false">IF($A301="N/A"," ",IF('Pricing Inputs'!$AN$3=1,(VLOOKUP($A301,CorrelationTable,2,FALSE())),0))</f>
        <v> </v>
      </c>
      <c r="BU301" s="296" t="str">
        <f aca="false">IF($A301="N/A"," ",F301+G301+(D301*(VLOOKUP($A301,'Gas Curves'!$B$17:$P$310,14,FALSE()))))</f>
        <v> </v>
      </c>
      <c r="BV301" s="294" t="str">
        <f aca="false">IF($A301="N/A"," ",IF('Pricing Inputs'!$AW$3=1,0,(VLOOKUP($A301,InterestRatesTable,2))))</f>
        <v> </v>
      </c>
      <c r="BW301" s="297" t="str">
        <f aca="false">IF($A301="N/A"," ",(1+BV301/2)^(-2*((EOMONTH(A301,0)+20)-DateToday)/365.25))</f>
        <v> </v>
      </c>
    </row>
    <row r="302" customFormat="false" ht="12.75" hidden="false" customHeight="false" outlineLevel="0" collapsed="false">
      <c r="A302" s="272" t="str">
        <f aca="false">IF(A301="N/A","N/A",IF(EDATE(A301,1)&gt;Inputs!$K$3,"N/A",EDATE(A301,1)))</f>
        <v>N/A</v>
      </c>
      <c r="B302" s="273" t="str">
        <f aca="false">IF(A302="N/A"," ",YEAR(A302))</f>
        <v> </v>
      </c>
      <c r="C302" s="274" t="str">
        <f aca="false">IF(A302="N/A"," ",VLOOKUP(A302,ScaledPrice,10))</f>
        <v> </v>
      </c>
      <c r="D302" s="275" t="str">
        <f aca="false">IF(A302="N/A"," ",(VLOOKUP(MONTH($A302),Inputs!$A$14:$B$25,2))/1000)</f>
        <v> </v>
      </c>
      <c r="E302" s="276" t="str">
        <f aca="false">IF($A302="N/A"," ",C302*D302)</f>
        <v> </v>
      </c>
      <c r="F302" s="277" t="str">
        <f aca="false">IF(A302="N/A"," ",Inputs!$F$6)</f>
        <v> </v>
      </c>
      <c r="G302" s="277" t="str">
        <f aca="false">IF(A302="N/A"," ",Inputs!$F$9/IF(AND('Pricing Inputs'!$AQ$3&gt;=4,'Pricing Inputs'!$AQ$3&lt;=6),16,IF(AND('Pricing Inputs'!$AQ$3&gt;=7,'Pricing Inputs'!$AQ$3&lt;=9),8,24))/(BA302/BW302))</f>
        <v> </v>
      </c>
      <c r="H302" s="278" t="str">
        <f aca="false">IF(A302="N/A"," ",(C302*D302)+F302+G302)</f>
        <v> </v>
      </c>
      <c r="I302" s="279" t="str">
        <f aca="false">VLOOKUP(A302,ScaledPrice,(IF(AND('Pricing Inputs'!$AQ$3&gt;=1,'Pricing Inputs'!$AQ$3&lt;=6),2,4)))</f>
        <v> </v>
      </c>
      <c r="J302" s="279" t="str">
        <f aca="false">IF(A302="N/A"," ",IF(AND('Pricing Inputs'!$AQ$3&gt;=1,'Pricing Inputs'!$AQ$3&lt;=6),I302,(VLOOKUP(A302,ScaledPrice,2))*(2-(VLOOKUP(A302,ScaledPrice,3)))))</f>
        <v> </v>
      </c>
      <c r="K302" s="279" t="str">
        <f aca="false">IF(A302="N/A"," ",IF(OR('Pricing Inputs'!$AQ$3=2,'Pricing Inputs'!$AQ$3=3,'Pricing Inputs'!$AQ$3=5,'Pricing Inputs'!$AQ$3=6,'Pricing Inputs'!$AQ$3=8,'Pricing Inputs'!$AQ$3=9),VLOOKUP(A302,ScaledPrice,IF(AND('Pricing Inputs'!$AQ$3&gt;=2,'Pricing Inputs'!$AQ$3&lt;=6),5,6)),0))</f>
        <v> </v>
      </c>
      <c r="L302" s="279" t="str">
        <f aca="false">IF(A302="N/A"," ",IF(OR('Pricing Inputs'!$AQ$3=2,'Pricing Inputs'!$AQ$3=3,'Pricing Inputs'!$AQ$3=5,'Pricing Inputs'!$AQ$3=6,'Pricing Inputs'!$AQ$3=8,'Pricing Inputs'!$AQ$3=9),IF(AND('Pricing Inputs'!$AQ$3&gt;=2,'Pricing Inputs'!$AQ$3&lt;=6),K302,(VLOOKUP(A302,ScaledPrice,5))*(2-(VLOOKUP(A302,ScaledPrice,3)))),0))</f>
        <v> </v>
      </c>
      <c r="M302" s="279" t="str">
        <f aca="false">IF(A302="N/A"," ",IF(OR('Pricing Inputs'!$AQ$3=3,'Pricing Inputs'!$AQ$3=6,'Pricing Inputs'!$AQ$3=9),(VLOOKUP(A302,ScaledPrice,IF(AND('Pricing Inputs'!$AQ$3&gt;=3,'Pricing Inputs'!$AQ$3&lt;=6),7,8))),0))</f>
        <v> </v>
      </c>
      <c r="N302" s="279" t="str">
        <f aca="false">IF(A302="N/A"," ",IF(OR('Pricing Inputs'!$AQ$3=3,'Pricing Inputs'!$AQ$3=6,'Pricing Inputs'!$AQ$3=9),IF(AND('Pricing Inputs'!$AQ$3&gt;=3,'Pricing Inputs'!$AQ$3&lt;=6),M302,(VLOOKUP(A302,ScaledPrice,7))*(2-(VLOOKUP(A302,ScaledPrice,3)))),0))</f>
        <v> </v>
      </c>
      <c r="O302" s="279" t="str">
        <f aca="false">IF(A302="N/A"," ",IF(AND('Pricing Inputs'!$AQ$3&gt;=1,'Pricing Inputs'!$AQ$3&lt;=3),VLOOKUP(A302,ScaledPrice,9),0))</f>
        <v> </v>
      </c>
      <c r="P302" s="280" t="str">
        <f aca="false">IF($A302="N/A"," ",IF('Pricing Inputs'!$AN$8=2,(I302-H302),IF('Pricing Inputs'!$AN$3=2,IF((I302-$H302)&gt;0,I302-$H302,0),(xSPRDOPT(I302,$E302,$BU302,0,$BP302,$BS302,$BT302,($A302-Inputs!$D$1)+15,1,0)))))</f>
        <v> </v>
      </c>
      <c r="Q302" s="280" t="str">
        <f aca="false">IF($A302="N/A"," ",IF('Pricing Inputs'!$AN$8=2,(J302-$H302),IF('Pricing Inputs'!$AN$3=2,IF((J302-$H302)&gt;0,J302-$H302,0),(xSPRDOPT(J302,$E302,$BU302,0,$BP302,$BS302,$BT302,($A302-Inputs!$D$1)+15,1,0)))))</f>
        <v> </v>
      </c>
      <c r="R302" s="280" t="str">
        <f aca="false">IF($A302="N/A"," ",IF('Pricing Inputs'!$AN$8=2,(K302-$H302),IF('Pricing Inputs'!$AN$3=2,IF((K302-$H302)&gt;0,K302-$H302,0),(xSPRDOPT(K302,$E302,$BU302,0,$BP302,$BS302,$BT302,($A302-Inputs!$D$1)+15,1,0)))))</f>
        <v> </v>
      </c>
      <c r="S302" s="280" t="str">
        <f aca="false">IF($A302="N/A"," ",IF('Pricing Inputs'!$AN$8=2,(L302-$H302),IF('Pricing Inputs'!$AN$3=2,IF((L302-$H302)&gt;0,L302-$H302,0),(xSPRDOPT(L302,$E302,$BU302,0,$BP302,$BS302,$BT302,($A302-Inputs!$D$1)+15,1,0)))))</f>
        <v> </v>
      </c>
      <c r="T302" s="280" t="str">
        <f aca="false">IF($A302="N/A"," ",IF('Pricing Inputs'!$AN$8=2,(M302-$H302),IF('Pricing Inputs'!$AN$3=2,IF((M302-$H302)&gt;0,M302-$H302,0),(xSPRDOPT(M302,$E302,$BU302,0,$BP302,$BS302,$BT302,($A302-Inputs!$D$1)+15,1,0)))))</f>
        <v> </v>
      </c>
      <c r="U302" s="280" t="str">
        <f aca="false">IF($A302="N/A"," ",IF('Pricing Inputs'!$AN$8=2,(N302-$H302),IF('Pricing Inputs'!$AN$3=2,IF((N302-$H302)&gt;0,N302-$H302,0),(xSPRDOPT(N302,$E302,$BU302,0,$BP302,$BS302,$BT302,($A302-Inputs!$D$1)+15,1,0)))))</f>
        <v> </v>
      </c>
      <c r="V302" s="281" t="str">
        <f aca="false">IF($A302="N/A"," ",(IF('Pricing Inputs'!$AN$8=2,(O302-$H302),IF((O302-$H302)&lt;=0,0,(O302-$H302)))))</f>
        <v> </v>
      </c>
      <c r="AK302" s="31"/>
      <c r="AL302" s="31"/>
      <c r="AM302" s="31"/>
      <c r="AN302" s="31"/>
      <c r="AO302" s="31"/>
      <c r="AP302" s="31"/>
      <c r="AQ302" s="31"/>
      <c r="AR302" s="31"/>
      <c r="BA302" s="291" t="str">
        <f aca="false">IF($A302="N/A"," ",(IF(MONTH(A302)&gt;=4,IF(MONTH(A302)&lt;=10,Inputs!$F$13,Inputs!$F$14),Inputs!$F$14))*$BW302)</f>
        <v> </v>
      </c>
      <c r="BN302" s="294" t="str">
        <f aca="false">IF(A302="N/A"," ",(VLOOKUP(A302,PowerVolTable,(IF('Pricing Inputs'!$AT$3=2,7,IF('Pricing Inputs'!$AT$3=1,6,8))),FALSE())))</f>
        <v> </v>
      </c>
      <c r="BO302" s="294" t="str">
        <f aca="false">IF(A302="N/A"," ",(VLOOKUP(A302,IntraPowerVol,(IF('Pricing Inputs'!$AT$3=2,3,IF('Pricing Inputs'!$AT$3=1,2,4))),FALSE())*VLOOKUP(MONTH($A302),Inputs!$A$28:$B$39,2)))</f>
        <v> </v>
      </c>
      <c r="BP302" s="295" t="str">
        <f aca="false">IF($A302="N/A"," ",(IF(DateToday&gt;$A302,$BO302,((($BN302^2)*((($A302-1)-DateToday)/((EOMONTH($A302,0)+1)-DateToday-15)))+((($BO302)^2)*((15)/((EOMONTH($A302,0)+1)-DateToday-15))))^0.5)))</f>
        <v> </v>
      </c>
      <c r="BQ302" s="294" t="str">
        <f aca="false">IF($A302="N/A"," ",(VLOOKUP($A302,GasVolTable,(IF('Pricing Inputs'!$AT$3=2,6,IF('Pricing Inputs'!$AT$3=1,7,5))),FALSE())))</f>
        <v> </v>
      </c>
      <c r="BR302" s="294" t="str">
        <f aca="false">IF($A302="N/A"," ",(VLOOKUP($A302,OmicronVol,(IF('Pricing Inputs'!$AT$3=2,3,IF('Pricing Inputs'!$AT$3=1,4,2))),FALSE())))</f>
        <v> </v>
      </c>
      <c r="BS302" s="295" t="str">
        <f aca="false">IF($A302="N/A"," ",IF('Pricing Inputs'!$AN$3=1,(IF(DateToday&gt;$A302,$BR302,((($BQ302^2)*((($A302-1)-DateToday)/((EOMONTH($A302,0)+1)-DateToday-15)))+((($BR302)^2)*((15)/((EOMONTH($A302,0)+1)-DateToday-15))))^0.5)),0.0001))</f>
        <v> </v>
      </c>
      <c r="BT302" s="294" t="str">
        <f aca="false">IF($A302="N/A"," ",IF('Pricing Inputs'!$AN$3=1,(VLOOKUP($A302,CorrelationTable,2,FALSE())),0))</f>
        <v> </v>
      </c>
      <c r="BU302" s="296" t="str">
        <f aca="false">IF($A302="N/A"," ",F302+G302+(D302*(VLOOKUP($A302,'Gas Curves'!$B$17:$P$310,14,FALSE()))))</f>
        <v> </v>
      </c>
      <c r="BV302" s="294" t="str">
        <f aca="false">IF($A302="N/A"," ",IF('Pricing Inputs'!$AW$3=1,0,(VLOOKUP($A302,InterestRatesTable,2))))</f>
        <v> </v>
      </c>
      <c r="BW302" s="297" t="str">
        <f aca="false">IF($A302="N/A"," ",(1+BV302/2)^(-2*((EOMONTH(A302,0)+20)-DateToday)/365.25))</f>
        <v> </v>
      </c>
    </row>
    <row r="303" customFormat="false" ht="12.75" hidden="false" customHeight="false" outlineLevel="0" collapsed="false">
      <c r="A303" s="272" t="str">
        <f aca="false">IF(A302="N/A","N/A",IF(EDATE(A302,1)&gt;Inputs!$K$3,"N/A",EDATE(A302,1)))</f>
        <v>N/A</v>
      </c>
      <c r="B303" s="273" t="str">
        <f aca="false">IF(A303="N/A"," ",YEAR(A303))</f>
        <v> </v>
      </c>
      <c r="C303" s="274" t="str">
        <f aca="false">IF(A303="N/A"," ",VLOOKUP(A303,ScaledPrice,10))</f>
        <v> </v>
      </c>
      <c r="D303" s="275" t="str">
        <f aca="false">IF(A303="N/A"," ",(VLOOKUP(MONTH($A303),Inputs!$A$14:$B$25,2))/1000)</f>
        <v> </v>
      </c>
      <c r="E303" s="276" t="str">
        <f aca="false">IF($A303="N/A"," ",C303*D303)</f>
        <v> </v>
      </c>
      <c r="F303" s="277" t="str">
        <f aca="false">IF(A303="N/A"," ",Inputs!$F$6)</f>
        <v> </v>
      </c>
      <c r="G303" s="277" t="str">
        <f aca="false">IF(A303="N/A"," ",Inputs!$F$9/IF(AND('Pricing Inputs'!$AQ$3&gt;=4,'Pricing Inputs'!$AQ$3&lt;=6),16,IF(AND('Pricing Inputs'!$AQ$3&gt;=7,'Pricing Inputs'!$AQ$3&lt;=9),8,24))/(BA303/BW303))</f>
        <v> </v>
      </c>
      <c r="H303" s="278" t="str">
        <f aca="false">IF(A303="N/A"," ",(C303*D303)+F303+G303)</f>
        <v> </v>
      </c>
      <c r="I303" s="279" t="str">
        <f aca="false">VLOOKUP(A303,ScaledPrice,(IF(AND('Pricing Inputs'!$AQ$3&gt;=1,'Pricing Inputs'!$AQ$3&lt;=6),2,4)))</f>
        <v> </v>
      </c>
      <c r="J303" s="279" t="str">
        <f aca="false">IF(A303="N/A"," ",IF(AND('Pricing Inputs'!$AQ$3&gt;=1,'Pricing Inputs'!$AQ$3&lt;=6),I303,(VLOOKUP(A303,ScaledPrice,2))*(2-(VLOOKUP(A303,ScaledPrice,3)))))</f>
        <v> </v>
      </c>
      <c r="K303" s="279" t="str">
        <f aca="false">IF(A303="N/A"," ",IF(OR('Pricing Inputs'!$AQ$3=2,'Pricing Inputs'!$AQ$3=3,'Pricing Inputs'!$AQ$3=5,'Pricing Inputs'!$AQ$3=6,'Pricing Inputs'!$AQ$3=8,'Pricing Inputs'!$AQ$3=9),VLOOKUP(A303,ScaledPrice,IF(AND('Pricing Inputs'!$AQ$3&gt;=2,'Pricing Inputs'!$AQ$3&lt;=6),5,6)),0))</f>
        <v> </v>
      </c>
      <c r="L303" s="279" t="str">
        <f aca="false">IF(A303="N/A"," ",IF(OR('Pricing Inputs'!$AQ$3=2,'Pricing Inputs'!$AQ$3=3,'Pricing Inputs'!$AQ$3=5,'Pricing Inputs'!$AQ$3=6,'Pricing Inputs'!$AQ$3=8,'Pricing Inputs'!$AQ$3=9),IF(AND('Pricing Inputs'!$AQ$3&gt;=2,'Pricing Inputs'!$AQ$3&lt;=6),K303,(VLOOKUP(A303,ScaledPrice,5))*(2-(VLOOKUP(A303,ScaledPrice,3)))),0))</f>
        <v> </v>
      </c>
      <c r="M303" s="279" t="str">
        <f aca="false">IF(A303="N/A"," ",IF(OR('Pricing Inputs'!$AQ$3=3,'Pricing Inputs'!$AQ$3=6,'Pricing Inputs'!$AQ$3=9),(VLOOKUP(A303,ScaledPrice,IF(AND('Pricing Inputs'!$AQ$3&gt;=3,'Pricing Inputs'!$AQ$3&lt;=6),7,8))),0))</f>
        <v> </v>
      </c>
      <c r="N303" s="279" t="str">
        <f aca="false">IF(A303="N/A"," ",IF(OR('Pricing Inputs'!$AQ$3=3,'Pricing Inputs'!$AQ$3=6,'Pricing Inputs'!$AQ$3=9),IF(AND('Pricing Inputs'!$AQ$3&gt;=3,'Pricing Inputs'!$AQ$3&lt;=6),M303,(VLOOKUP(A303,ScaledPrice,7))*(2-(VLOOKUP(A303,ScaledPrice,3)))),0))</f>
        <v> </v>
      </c>
      <c r="O303" s="279" t="str">
        <f aca="false">IF(A303="N/A"," ",IF(AND('Pricing Inputs'!$AQ$3&gt;=1,'Pricing Inputs'!$AQ$3&lt;=3),VLOOKUP(A303,ScaledPrice,9),0))</f>
        <v> </v>
      </c>
      <c r="P303" s="280" t="str">
        <f aca="false">IF($A303="N/A"," ",IF('Pricing Inputs'!$AN$8=2,(I303-H303),IF('Pricing Inputs'!$AN$3=2,IF((I303-$H303)&gt;0,I303-$H303,0),(xSPRDOPT(I303,$E303,$BU303,0,$BP303,$BS303,$BT303,($A303-Inputs!$D$1)+15,1,0)))))</f>
        <v> </v>
      </c>
      <c r="Q303" s="280" t="str">
        <f aca="false">IF($A303="N/A"," ",IF('Pricing Inputs'!$AN$8=2,(J303-$H303),IF('Pricing Inputs'!$AN$3=2,IF((J303-$H303)&gt;0,J303-$H303,0),(xSPRDOPT(J303,$E303,$BU303,0,$BP303,$BS303,$BT303,($A303-Inputs!$D$1)+15,1,0)))))</f>
        <v> </v>
      </c>
      <c r="R303" s="280" t="str">
        <f aca="false">IF($A303="N/A"," ",IF('Pricing Inputs'!$AN$8=2,(K303-$H303),IF('Pricing Inputs'!$AN$3=2,IF((K303-$H303)&gt;0,K303-$H303,0),(xSPRDOPT(K303,$E303,$BU303,0,$BP303,$BS303,$BT303,($A303-Inputs!$D$1)+15,1,0)))))</f>
        <v> </v>
      </c>
      <c r="S303" s="280" t="str">
        <f aca="false">IF($A303="N/A"," ",IF('Pricing Inputs'!$AN$8=2,(L303-$H303),IF('Pricing Inputs'!$AN$3=2,IF((L303-$H303)&gt;0,L303-$H303,0),(xSPRDOPT(L303,$E303,$BU303,0,$BP303,$BS303,$BT303,($A303-Inputs!$D$1)+15,1,0)))))</f>
        <v> </v>
      </c>
      <c r="T303" s="280" t="str">
        <f aca="false">IF($A303="N/A"," ",IF('Pricing Inputs'!$AN$8=2,(M303-$H303),IF('Pricing Inputs'!$AN$3=2,IF((M303-$H303)&gt;0,M303-$H303,0),(xSPRDOPT(M303,$E303,$BU303,0,$BP303,$BS303,$BT303,($A303-Inputs!$D$1)+15,1,0)))))</f>
        <v> </v>
      </c>
      <c r="U303" s="280" t="str">
        <f aca="false">IF($A303="N/A"," ",IF('Pricing Inputs'!$AN$8=2,(N303-$H303),IF('Pricing Inputs'!$AN$3=2,IF((N303-$H303)&gt;0,N303-$H303,0),(xSPRDOPT(N303,$E303,$BU303,0,$BP303,$BS303,$BT303,($A303-Inputs!$D$1)+15,1,0)))))</f>
        <v> </v>
      </c>
      <c r="V303" s="281" t="str">
        <f aca="false">IF($A303="N/A"," ",(IF('Pricing Inputs'!$AN$8=2,(O303-$H303),IF((O303-$H303)&lt;=0,0,(O303-$H303)))))</f>
        <v> </v>
      </c>
      <c r="AK303" s="31"/>
      <c r="AL303" s="31"/>
      <c r="AM303" s="31"/>
      <c r="AN303" s="31"/>
      <c r="AO303" s="31"/>
      <c r="AP303" s="31"/>
      <c r="AQ303" s="31"/>
      <c r="AR303" s="31"/>
      <c r="BA303" s="291" t="str">
        <f aca="false">IF($A303="N/A"," ",(IF(MONTH(A303)&gt;=4,IF(MONTH(A303)&lt;=10,Inputs!$F$13,Inputs!$F$14),Inputs!$F$14))*$BW303)</f>
        <v> </v>
      </c>
      <c r="BN303" s="294" t="str">
        <f aca="false">IF(A303="N/A"," ",(VLOOKUP(A303,PowerVolTable,(IF('Pricing Inputs'!$AT$3=2,7,IF('Pricing Inputs'!$AT$3=1,6,8))),FALSE())))</f>
        <v> </v>
      </c>
      <c r="BO303" s="294" t="str">
        <f aca="false">IF(A303="N/A"," ",(VLOOKUP(A303,IntraPowerVol,(IF('Pricing Inputs'!$AT$3=2,3,IF('Pricing Inputs'!$AT$3=1,2,4))),FALSE())*VLOOKUP(MONTH($A303),Inputs!$A$28:$B$39,2)))</f>
        <v> </v>
      </c>
      <c r="BP303" s="295" t="str">
        <f aca="false">IF($A303="N/A"," ",(IF(DateToday&gt;$A303,$BO303,((($BN303^2)*((($A303-1)-DateToday)/((EOMONTH($A303,0)+1)-DateToday-15)))+((($BO303)^2)*((15)/((EOMONTH($A303,0)+1)-DateToday-15))))^0.5)))</f>
        <v> </v>
      </c>
      <c r="BQ303" s="294" t="str">
        <f aca="false">IF($A303="N/A"," ",(VLOOKUP($A303,GasVolTable,(IF('Pricing Inputs'!$AT$3=2,6,IF('Pricing Inputs'!$AT$3=1,7,5))),FALSE())))</f>
        <v> </v>
      </c>
      <c r="BR303" s="294" t="str">
        <f aca="false">IF($A303="N/A"," ",(VLOOKUP($A303,OmicronVol,(IF('Pricing Inputs'!$AT$3=2,3,IF('Pricing Inputs'!$AT$3=1,4,2))),FALSE())))</f>
        <v> </v>
      </c>
      <c r="BS303" s="295" t="str">
        <f aca="false">IF($A303="N/A"," ",IF('Pricing Inputs'!$AN$3=1,(IF(DateToday&gt;$A303,$BR303,((($BQ303^2)*((($A303-1)-DateToday)/((EOMONTH($A303,0)+1)-DateToday-15)))+((($BR303)^2)*((15)/((EOMONTH($A303,0)+1)-DateToday-15))))^0.5)),0.0001))</f>
        <v> </v>
      </c>
      <c r="BT303" s="294" t="str">
        <f aca="false">IF($A303="N/A"," ",IF('Pricing Inputs'!$AN$3=1,(VLOOKUP($A303,CorrelationTable,2,FALSE())),0))</f>
        <v> </v>
      </c>
      <c r="BU303" s="296" t="str">
        <f aca="false">IF($A303="N/A"," ",F303+G303+(D303*(VLOOKUP($A303,'Gas Curves'!$B$17:$P$310,14,FALSE()))))</f>
        <v> </v>
      </c>
      <c r="BV303" s="294" t="str">
        <f aca="false">IF($A303="N/A"," ",IF('Pricing Inputs'!$AW$3=1,0,(VLOOKUP($A303,InterestRatesTable,2))))</f>
        <v> </v>
      </c>
      <c r="BW303" s="297" t="str">
        <f aca="false">IF($A303="N/A"," ",(1+BV303/2)^(-2*((EOMONTH(A303,0)+20)-DateToday)/365.25))</f>
        <v> </v>
      </c>
    </row>
    <row r="304" customFormat="false" ht="12.75" hidden="false" customHeight="false" outlineLevel="0" collapsed="false">
      <c r="A304" s="272" t="str">
        <f aca="false">IF(A303="N/A","N/A",IF(EDATE(A303,1)&gt;Inputs!$K$3,"N/A",EDATE(A303,1)))</f>
        <v>N/A</v>
      </c>
      <c r="B304" s="273" t="str">
        <f aca="false">IF(A304="N/A"," ",YEAR(A304))</f>
        <v> </v>
      </c>
      <c r="C304" s="274" t="str">
        <f aca="false">IF(A304="N/A"," ",VLOOKUP(A304,ScaledPrice,10))</f>
        <v> </v>
      </c>
      <c r="D304" s="275" t="str">
        <f aca="false">IF(A304="N/A"," ",(VLOOKUP(MONTH($A304),Inputs!$A$14:$B$25,2))/1000)</f>
        <v> </v>
      </c>
      <c r="E304" s="276" t="str">
        <f aca="false">IF($A304="N/A"," ",C304*D304)</f>
        <v> </v>
      </c>
      <c r="F304" s="277" t="str">
        <f aca="false">IF(A304="N/A"," ",Inputs!$F$6)</f>
        <v> </v>
      </c>
      <c r="G304" s="277" t="str">
        <f aca="false">IF(A304="N/A"," ",Inputs!$F$9/IF(AND('Pricing Inputs'!$AQ$3&gt;=4,'Pricing Inputs'!$AQ$3&lt;=6),16,IF(AND('Pricing Inputs'!$AQ$3&gt;=7,'Pricing Inputs'!$AQ$3&lt;=9),8,24))/(BA304/BW304))</f>
        <v> </v>
      </c>
      <c r="H304" s="278" t="str">
        <f aca="false">IF(A304="N/A"," ",(C304*D304)+F304+G304)</f>
        <v> </v>
      </c>
      <c r="I304" s="279" t="str">
        <f aca="false">VLOOKUP(A304,ScaledPrice,(IF(AND('Pricing Inputs'!$AQ$3&gt;=1,'Pricing Inputs'!$AQ$3&lt;=6),2,4)))</f>
        <v> </v>
      </c>
      <c r="J304" s="279" t="str">
        <f aca="false">IF(A304="N/A"," ",IF(AND('Pricing Inputs'!$AQ$3&gt;=1,'Pricing Inputs'!$AQ$3&lt;=6),I304,(VLOOKUP(A304,ScaledPrice,2))*(2-(VLOOKUP(A304,ScaledPrice,3)))))</f>
        <v> </v>
      </c>
      <c r="K304" s="279" t="str">
        <f aca="false">IF(A304="N/A"," ",IF(OR('Pricing Inputs'!$AQ$3=2,'Pricing Inputs'!$AQ$3=3,'Pricing Inputs'!$AQ$3=5,'Pricing Inputs'!$AQ$3=6,'Pricing Inputs'!$AQ$3=8,'Pricing Inputs'!$AQ$3=9),VLOOKUP(A304,ScaledPrice,IF(AND('Pricing Inputs'!$AQ$3&gt;=2,'Pricing Inputs'!$AQ$3&lt;=6),5,6)),0))</f>
        <v> </v>
      </c>
      <c r="L304" s="279" t="str">
        <f aca="false">IF(A304="N/A"," ",IF(OR('Pricing Inputs'!$AQ$3=2,'Pricing Inputs'!$AQ$3=3,'Pricing Inputs'!$AQ$3=5,'Pricing Inputs'!$AQ$3=6,'Pricing Inputs'!$AQ$3=8,'Pricing Inputs'!$AQ$3=9),IF(AND('Pricing Inputs'!$AQ$3&gt;=2,'Pricing Inputs'!$AQ$3&lt;=6),K304,(VLOOKUP(A304,ScaledPrice,5))*(2-(VLOOKUP(A304,ScaledPrice,3)))),0))</f>
        <v> </v>
      </c>
      <c r="M304" s="279" t="str">
        <f aca="false">IF(A304="N/A"," ",IF(OR('Pricing Inputs'!$AQ$3=3,'Pricing Inputs'!$AQ$3=6,'Pricing Inputs'!$AQ$3=9),(VLOOKUP(A304,ScaledPrice,IF(AND('Pricing Inputs'!$AQ$3&gt;=3,'Pricing Inputs'!$AQ$3&lt;=6),7,8))),0))</f>
        <v> </v>
      </c>
      <c r="N304" s="279" t="str">
        <f aca="false">IF(A304="N/A"," ",IF(OR('Pricing Inputs'!$AQ$3=3,'Pricing Inputs'!$AQ$3=6,'Pricing Inputs'!$AQ$3=9),IF(AND('Pricing Inputs'!$AQ$3&gt;=3,'Pricing Inputs'!$AQ$3&lt;=6),M304,(VLOOKUP(A304,ScaledPrice,7))*(2-(VLOOKUP(A304,ScaledPrice,3)))),0))</f>
        <v> </v>
      </c>
      <c r="O304" s="279" t="str">
        <f aca="false">IF(A304="N/A"," ",IF(AND('Pricing Inputs'!$AQ$3&gt;=1,'Pricing Inputs'!$AQ$3&lt;=3),VLOOKUP(A304,ScaledPrice,9),0))</f>
        <v> </v>
      </c>
      <c r="P304" s="280" t="str">
        <f aca="false">IF($A304="N/A"," ",IF('Pricing Inputs'!$AN$8=2,(I304-H304),IF('Pricing Inputs'!$AN$3=2,IF((I304-$H304)&gt;0,I304-$H304,0),(xSPRDOPT(I304,$E304,$BU304,0,$BP304,$BS304,$BT304,($A304-Inputs!$D$1)+15,1,0)))))</f>
        <v> </v>
      </c>
      <c r="Q304" s="280" t="str">
        <f aca="false">IF($A304="N/A"," ",IF('Pricing Inputs'!$AN$8=2,(J304-$H304),IF('Pricing Inputs'!$AN$3=2,IF((J304-$H304)&gt;0,J304-$H304,0),(xSPRDOPT(J304,$E304,$BU304,0,$BP304,$BS304,$BT304,($A304-Inputs!$D$1)+15,1,0)))))</f>
        <v> </v>
      </c>
      <c r="R304" s="280" t="str">
        <f aca="false">IF($A304="N/A"," ",IF('Pricing Inputs'!$AN$8=2,(K304-$H304),IF('Pricing Inputs'!$AN$3=2,IF((K304-$H304)&gt;0,K304-$H304,0),(xSPRDOPT(K304,$E304,$BU304,0,$BP304,$BS304,$BT304,($A304-Inputs!$D$1)+15,1,0)))))</f>
        <v> </v>
      </c>
      <c r="S304" s="280" t="str">
        <f aca="false">IF($A304="N/A"," ",IF('Pricing Inputs'!$AN$8=2,(L304-$H304),IF('Pricing Inputs'!$AN$3=2,IF((L304-$H304)&gt;0,L304-$H304,0),(xSPRDOPT(L304,$E304,$BU304,0,$BP304,$BS304,$BT304,($A304-Inputs!$D$1)+15,1,0)))))</f>
        <v> </v>
      </c>
      <c r="T304" s="280" t="str">
        <f aca="false">IF($A304="N/A"," ",IF('Pricing Inputs'!$AN$8=2,(M304-$H304),IF('Pricing Inputs'!$AN$3=2,IF((M304-$H304)&gt;0,M304-$H304,0),(xSPRDOPT(M304,$E304,$BU304,0,$BP304,$BS304,$BT304,($A304-Inputs!$D$1)+15,1,0)))))</f>
        <v> </v>
      </c>
      <c r="U304" s="280" t="str">
        <f aca="false">IF($A304="N/A"," ",IF('Pricing Inputs'!$AN$8=2,(N304-$H304),IF('Pricing Inputs'!$AN$3=2,IF((N304-$H304)&gt;0,N304-$H304,0),(xSPRDOPT(N304,$E304,$BU304,0,$BP304,$BS304,$BT304,($A304-Inputs!$D$1)+15,1,0)))))</f>
        <v> </v>
      </c>
      <c r="V304" s="281" t="str">
        <f aca="false">IF($A304="N/A"," ",(IF('Pricing Inputs'!$AN$8=2,(O304-$H304),IF((O304-$H304)&lt;=0,0,(O304-$H304)))))</f>
        <v> </v>
      </c>
      <c r="AK304" s="31"/>
      <c r="AL304" s="31"/>
      <c r="AM304" s="31"/>
      <c r="AN304" s="31"/>
      <c r="AO304" s="31"/>
      <c r="AP304" s="31"/>
      <c r="AQ304" s="31"/>
      <c r="AR304" s="31"/>
      <c r="BA304" s="291" t="str">
        <f aca="false">IF($A304="N/A"," ",(IF(MONTH(A304)&gt;=4,IF(MONTH(A304)&lt;=10,Inputs!$F$13,Inputs!$F$14),Inputs!$F$14))*$BW304)</f>
        <v> </v>
      </c>
      <c r="BN304" s="294" t="str">
        <f aca="false">IF(A304="N/A"," ",(VLOOKUP(A304,PowerVolTable,(IF('Pricing Inputs'!$AT$3=2,7,IF('Pricing Inputs'!$AT$3=1,6,8))),FALSE())))</f>
        <v> </v>
      </c>
      <c r="BO304" s="294" t="str">
        <f aca="false">IF(A304="N/A"," ",(VLOOKUP(A304,IntraPowerVol,(IF('Pricing Inputs'!$AT$3=2,3,IF('Pricing Inputs'!$AT$3=1,2,4))),FALSE())*VLOOKUP(MONTH($A304),Inputs!$A$28:$B$39,2)))</f>
        <v> </v>
      </c>
      <c r="BP304" s="295" t="str">
        <f aca="false">IF($A304="N/A"," ",(IF(DateToday&gt;$A304,$BO304,((($BN304^2)*((($A304-1)-DateToday)/((EOMONTH($A304,0)+1)-DateToday-15)))+((($BO304)^2)*((15)/((EOMONTH($A304,0)+1)-DateToday-15))))^0.5)))</f>
        <v> </v>
      </c>
      <c r="BQ304" s="294" t="str">
        <f aca="false">IF($A304="N/A"," ",(VLOOKUP($A304,GasVolTable,(IF('Pricing Inputs'!$AT$3=2,6,IF('Pricing Inputs'!$AT$3=1,7,5))),FALSE())))</f>
        <v> </v>
      </c>
      <c r="BR304" s="294" t="str">
        <f aca="false">IF($A304="N/A"," ",(VLOOKUP($A304,OmicronVol,(IF('Pricing Inputs'!$AT$3=2,3,IF('Pricing Inputs'!$AT$3=1,4,2))),FALSE())))</f>
        <v> </v>
      </c>
      <c r="BS304" s="295" t="str">
        <f aca="false">IF($A304="N/A"," ",IF('Pricing Inputs'!$AN$3=1,(IF(DateToday&gt;$A304,$BR304,((($BQ304^2)*((($A304-1)-DateToday)/((EOMONTH($A304,0)+1)-DateToday-15)))+((($BR304)^2)*((15)/((EOMONTH($A304,0)+1)-DateToday-15))))^0.5)),0.0001))</f>
        <v> </v>
      </c>
      <c r="BT304" s="294" t="str">
        <f aca="false">IF($A304="N/A"," ",IF('Pricing Inputs'!$AN$3=1,(VLOOKUP($A304,CorrelationTable,2,FALSE())),0))</f>
        <v> </v>
      </c>
      <c r="BU304" s="296" t="str">
        <f aca="false">IF($A304="N/A"," ",F304+G304+(D304*(VLOOKUP($A304,'Gas Curves'!$B$17:$P$310,14,FALSE()))))</f>
        <v> </v>
      </c>
      <c r="BV304" s="294" t="str">
        <f aca="false">IF($A304="N/A"," ",IF('Pricing Inputs'!$AW$3=1,0,(VLOOKUP($A304,InterestRatesTable,2))))</f>
        <v> </v>
      </c>
      <c r="BW304" s="297" t="str">
        <f aca="false">IF($A304="N/A"," ",(1+BV304/2)^(-2*((EOMONTH(A304,0)+20)-DateToday)/365.25))</f>
        <v> </v>
      </c>
    </row>
    <row r="305" customFormat="false" ht="12.75" hidden="false" customHeight="false" outlineLevel="0" collapsed="false">
      <c r="A305" s="272" t="str">
        <f aca="false">IF(A304="N/A","N/A",IF(EDATE(A304,1)&gt;Inputs!$K$3,"N/A",EDATE(A304,1)))</f>
        <v>N/A</v>
      </c>
      <c r="B305" s="273" t="str">
        <f aca="false">IF(A305="N/A"," ",YEAR(A305))</f>
        <v> </v>
      </c>
      <c r="C305" s="274" t="str">
        <f aca="false">IF(A305="N/A"," ",VLOOKUP(A305,ScaledPrice,10))</f>
        <v> </v>
      </c>
      <c r="D305" s="275" t="str">
        <f aca="false">IF(A305="N/A"," ",(VLOOKUP(MONTH($A305),Inputs!$A$14:$B$25,2))/1000)</f>
        <v> </v>
      </c>
      <c r="E305" s="276" t="str">
        <f aca="false">IF($A305="N/A"," ",C305*D305)</f>
        <v> </v>
      </c>
      <c r="F305" s="277" t="str">
        <f aca="false">IF(A305="N/A"," ",Inputs!$F$6)</f>
        <v> </v>
      </c>
      <c r="G305" s="277" t="str">
        <f aca="false">IF(A305="N/A"," ",Inputs!$F$9/IF(AND('Pricing Inputs'!$AQ$3&gt;=4,'Pricing Inputs'!$AQ$3&lt;=6),16,IF(AND('Pricing Inputs'!$AQ$3&gt;=7,'Pricing Inputs'!$AQ$3&lt;=9),8,24))/(BA305/BW305))</f>
        <v> </v>
      </c>
      <c r="H305" s="278" t="str">
        <f aca="false">IF(A305="N/A"," ",(C305*D305)+F305+G305)</f>
        <v> </v>
      </c>
      <c r="I305" s="279" t="str">
        <f aca="false">VLOOKUP(A305,ScaledPrice,(IF(AND('Pricing Inputs'!$AQ$3&gt;=1,'Pricing Inputs'!$AQ$3&lt;=6),2,4)))</f>
        <v> </v>
      </c>
      <c r="J305" s="279" t="str">
        <f aca="false">IF(A305="N/A"," ",IF(AND('Pricing Inputs'!$AQ$3&gt;=1,'Pricing Inputs'!$AQ$3&lt;=6),I305,(VLOOKUP(A305,ScaledPrice,2))*(2-(VLOOKUP(A305,ScaledPrice,3)))))</f>
        <v> </v>
      </c>
      <c r="K305" s="279" t="str">
        <f aca="false">IF(A305="N/A"," ",IF(OR('Pricing Inputs'!$AQ$3=2,'Pricing Inputs'!$AQ$3=3,'Pricing Inputs'!$AQ$3=5,'Pricing Inputs'!$AQ$3=6,'Pricing Inputs'!$AQ$3=8,'Pricing Inputs'!$AQ$3=9),VLOOKUP(A305,ScaledPrice,IF(AND('Pricing Inputs'!$AQ$3&gt;=2,'Pricing Inputs'!$AQ$3&lt;=6),5,6)),0))</f>
        <v> </v>
      </c>
      <c r="L305" s="279" t="str">
        <f aca="false">IF(A305="N/A"," ",IF(OR('Pricing Inputs'!$AQ$3=2,'Pricing Inputs'!$AQ$3=3,'Pricing Inputs'!$AQ$3=5,'Pricing Inputs'!$AQ$3=6,'Pricing Inputs'!$AQ$3=8,'Pricing Inputs'!$AQ$3=9),IF(AND('Pricing Inputs'!$AQ$3&gt;=2,'Pricing Inputs'!$AQ$3&lt;=6),K305,(VLOOKUP(A305,ScaledPrice,5))*(2-(VLOOKUP(A305,ScaledPrice,3)))),0))</f>
        <v> </v>
      </c>
      <c r="M305" s="279" t="str">
        <f aca="false">IF(A305="N/A"," ",IF(OR('Pricing Inputs'!$AQ$3=3,'Pricing Inputs'!$AQ$3=6,'Pricing Inputs'!$AQ$3=9),(VLOOKUP(A305,ScaledPrice,IF(AND('Pricing Inputs'!$AQ$3&gt;=3,'Pricing Inputs'!$AQ$3&lt;=6),7,8))),0))</f>
        <v> </v>
      </c>
      <c r="N305" s="279" t="str">
        <f aca="false">IF(A305="N/A"," ",IF(OR('Pricing Inputs'!$AQ$3=3,'Pricing Inputs'!$AQ$3=6,'Pricing Inputs'!$AQ$3=9),IF(AND('Pricing Inputs'!$AQ$3&gt;=3,'Pricing Inputs'!$AQ$3&lt;=6),M305,(VLOOKUP(A305,ScaledPrice,7))*(2-(VLOOKUP(A305,ScaledPrice,3)))),0))</f>
        <v> </v>
      </c>
      <c r="O305" s="279" t="str">
        <f aca="false">IF(A305="N/A"," ",IF(AND('Pricing Inputs'!$AQ$3&gt;=1,'Pricing Inputs'!$AQ$3&lt;=3),VLOOKUP(A305,ScaledPrice,9),0))</f>
        <v> </v>
      </c>
      <c r="P305" s="280" t="str">
        <f aca="false">IF($A305="N/A"," ",IF('Pricing Inputs'!$AN$8=2,(I305-H305),IF('Pricing Inputs'!$AN$3=2,IF((I305-$H305)&gt;0,I305-$H305,0),(xSPRDOPT(I305,$E305,$BU305,0,$BP305,$BS305,$BT305,($A305-Inputs!$D$1)+15,1,0)))))</f>
        <v> </v>
      </c>
      <c r="Q305" s="280" t="str">
        <f aca="false">IF($A305="N/A"," ",IF('Pricing Inputs'!$AN$8=2,(J305-$H305),IF('Pricing Inputs'!$AN$3=2,IF((J305-$H305)&gt;0,J305-$H305,0),(xSPRDOPT(J305,$E305,$BU305,0,$BP305,$BS305,$BT305,($A305-Inputs!$D$1)+15,1,0)))))</f>
        <v> </v>
      </c>
      <c r="R305" s="280" t="str">
        <f aca="false">IF($A305="N/A"," ",IF('Pricing Inputs'!$AN$8=2,(K305-$H305),IF('Pricing Inputs'!$AN$3=2,IF((K305-$H305)&gt;0,K305-$H305,0),(xSPRDOPT(K305,$E305,$BU305,0,$BP305,$BS305,$BT305,($A305-Inputs!$D$1)+15,1,0)))))</f>
        <v> </v>
      </c>
      <c r="S305" s="280" t="str">
        <f aca="false">IF($A305="N/A"," ",IF('Pricing Inputs'!$AN$8=2,(L305-$H305),IF('Pricing Inputs'!$AN$3=2,IF((L305-$H305)&gt;0,L305-$H305,0),(xSPRDOPT(L305,$E305,$BU305,0,$BP305,$BS305,$BT305,($A305-Inputs!$D$1)+15,1,0)))))</f>
        <v> </v>
      </c>
      <c r="T305" s="280" t="str">
        <f aca="false">IF($A305="N/A"," ",IF('Pricing Inputs'!$AN$8=2,(M305-$H305),IF('Pricing Inputs'!$AN$3=2,IF((M305-$H305)&gt;0,M305-$H305,0),(xSPRDOPT(M305,$E305,$BU305,0,$BP305,$BS305,$BT305,($A305-Inputs!$D$1)+15,1,0)))))</f>
        <v> </v>
      </c>
      <c r="U305" s="280" t="str">
        <f aca="false">IF($A305="N/A"," ",IF('Pricing Inputs'!$AN$8=2,(N305-$H305),IF('Pricing Inputs'!$AN$3=2,IF((N305-$H305)&gt;0,N305-$H305,0),(xSPRDOPT(N305,$E305,$BU305,0,$BP305,$BS305,$BT305,($A305-Inputs!$D$1)+15,1,0)))))</f>
        <v> </v>
      </c>
      <c r="V305" s="281" t="str">
        <f aca="false">IF($A305="N/A"," ",(IF('Pricing Inputs'!$AN$8=2,(O305-$H305),IF((O305-$H305)&lt;=0,0,(O305-$H305)))))</f>
        <v> </v>
      </c>
      <c r="AK305" s="31"/>
      <c r="AL305" s="31"/>
      <c r="AM305" s="31"/>
      <c r="AN305" s="31"/>
      <c r="AO305" s="31"/>
      <c r="AP305" s="31"/>
      <c r="AQ305" s="31"/>
      <c r="AR305" s="31"/>
      <c r="BA305" s="291" t="str">
        <f aca="false">IF($A305="N/A"," ",(IF(MONTH(A305)&gt;=4,IF(MONTH(A305)&lt;=10,Inputs!$F$13,Inputs!$F$14),Inputs!$F$14))*$BW305)</f>
        <v> </v>
      </c>
      <c r="BN305" s="294" t="str">
        <f aca="false">IF(A305="N/A"," ",(VLOOKUP(A305,PowerVolTable,(IF('Pricing Inputs'!$AT$3=2,7,IF('Pricing Inputs'!$AT$3=1,6,8))),FALSE())))</f>
        <v> </v>
      </c>
      <c r="BO305" s="294" t="str">
        <f aca="false">IF(A305="N/A"," ",(VLOOKUP(A305,IntraPowerVol,(IF('Pricing Inputs'!$AT$3=2,3,IF('Pricing Inputs'!$AT$3=1,2,4))),FALSE())*VLOOKUP(MONTH($A305),Inputs!$A$28:$B$39,2)))</f>
        <v> </v>
      </c>
      <c r="BP305" s="295" t="str">
        <f aca="false">IF($A305="N/A"," ",(IF(DateToday&gt;$A305,$BO305,((($BN305^2)*((($A305-1)-DateToday)/((EOMONTH($A305,0)+1)-DateToday-15)))+((($BO305)^2)*((15)/((EOMONTH($A305,0)+1)-DateToday-15))))^0.5)))</f>
        <v> </v>
      </c>
      <c r="BQ305" s="294" t="str">
        <f aca="false">IF($A305="N/A"," ",(VLOOKUP($A305,GasVolTable,(IF('Pricing Inputs'!$AT$3=2,6,IF('Pricing Inputs'!$AT$3=1,7,5))),FALSE())))</f>
        <v> </v>
      </c>
      <c r="BR305" s="294" t="str">
        <f aca="false">IF($A305="N/A"," ",(VLOOKUP($A305,OmicronVol,(IF('Pricing Inputs'!$AT$3=2,3,IF('Pricing Inputs'!$AT$3=1,4,2))),FALSE())))</f>
        <v> </v>
      </c>
      <c r="BS305" s="295" t="str">
        <f aca="false">IF($A305="N/A"," ",IF('Pricing Inputs'!$AN$3=1,(IF(DateToday&gt;$A305,$BR305,((($BQ305^2)*((($A305-1)-DateToday)/((EOMONTH($A305,0)+1)-DateToday-15)))+((($BR305)^2)*((15)/((EOMONTH($A305,0)+1)-DateToday-15))))^0.5)),0.0001))</f>
        <v> </v>
      </c>
      <c r="BT305" s="294" t="str">
        <f aca="false">IF($A305="N/A"," ",IF('Pricing Inputs'!$AN$3=1,(VLOOKUP($A305,CorrelationTable,2,FALSE())),0))</f>
        <v> </v>
      </c>
      <c r="BU305" s="296" t="str">
        <f aca="false">IF($A305="N/A"," ",F305+G305+(D305*(VLOOKUP($A305,'Gas Curves'!$B$17:$P$310,14,FALSE()))))</f>
        <v> </v>
      </c>
      <c r="BV305" s="294" t="str">
        <f aca="false">IF($A305="N/A"," ",IF('Pricing Inputs'!$AW$3=1,0,(VLOOKUP($A305,InterestRatesTable,2))))</f>
        <v> </v>
      </c>
      <c r="BW305" s="297" t="str">
        <f aca="false">IF($A305="N/A"," ",(1+BV305/2)^(-2*((EOMONTH(A305,0)+20)-DateToday)/365.25))</f>
        <v> </v>
      </c>
    </row>
    <row r="306" customFormat="false" ht="12.75" hidden="false" customHeight="false" outlineLevel="0" collapsed="false">
      <c r="A306" s="272" t="str">
        <f aca="false">IF(A305="N/A","N/A",IF(EDATE(A305,1)&gt;Inputs!$K$3,"N/A",EDATE(A305,1)))</f>
        <v>N/A</v>
      </c>
      <c r="B306" s="273" t="str">
        <f aca="false">IF(A306="N/A"," ",YEAR(A306))</f>
        <v> </v>
      </c>
      <c r="C306" s="274" t="str">
        <f aca="false">IF(A306="N/A"," ",VLOOKUP(A306,ScaledPrice,10))</f>
        <v> </v>
      </c>
      <c r="D306" s="275" t="str">
        <f aca="false">IF(A306="N/A"," ",(VLOOKUP(MONTH($A306),Inputs!$A$14:$B$25,2))/1000)</f>
        <v> </v>
      </c>
      <c r="E306" s="276" t="str">
        <f aca="false">IF($A306="N/A"," ",C306*D306)</f>
        <v> </v>
      </c>
      <c r="F306" s="277" t="str">
        <f aca="false">IF(A306="N/A"," ",Inputs!$F$6)</f>
        <v> </v>
      </c>
      <c r="G306" s="277" t="str">
        <f aca="false">IF(A306="N/A"," ",Inputs!$F$9/IF(AND('Pricing Inputs'!$AQ$3&gt;=4,'Pricing Inputs'!$AQ$3&lt;=6),16,IF(AND('Pricing Inputs'!$AQ$3&gt;=7,'Pricing Inputs'!$AQ$3&lt;=9),8,24))/(BA306/BW306))</f>
        <v> </v>
      </c>
      <c r="H306" s="278" t="str">
        <f aca="false">IF(A306="N/A"," ",(C306*D306)+F306+G306)</f>
        <v> </v>
      </c>
      <c r="I306" s="279" t="str">
        <f aca="false">VLOOKUP(A306,ScaledPrice,(IF(AND('Pricing Inputs'!$AQ$3&gt;=1,'Pricing Inputs'!$AQ$3&lt;=6),2,4)))</f>
        <v> </v>
      </c>
      <c r="J306" s="279" t="str">
        <f aca="false">IF(A306="N/A"," ",IF(AND('Pricing Inputs'!$AQ$3&gt;=1,'Pricing Inputs'!$AQ$3&lt;=6),I306,(VLOOKUP(A306,ScaledPrice,2))*(2-(VLOOKUP(A306,ScaledPrice,3)))))</f>
        <v> </v>
      </c>
      <c r="K306" s="279" t="str">
        <f aca="false">IF(A306="N/A"," ",IF(OR('Pricing Inputs'!$AQ$3=2,'Pricing Inputs'!$AQ$3=3,'Pricing Inputs'!$AQ$3=5,'Pricing Inputs'!$AQ$3=6,'Pricing Inputs'!$AQ$3=8,'Pricing Inputs'!$AQ$3=9),VLOOKUP(A306,ScaledPrice,IF(AND('Pricing Inputs'!$AQ$3&gt;=2,'Pricing Inputs'!$AQ$3&lt;=6),5,6)),0))</f>
        <v> </v>
      </c>
      <c r="L306" s="279" t="str">
        <f aca="false">IF(A306="N/A"," ",IF(OR('Pricing Inputs'!$AQ$3=2,'Pricing Inputs'!$AQ$3=3,'Pricing Inputs'!$AQ$3=5,'Pricing Inputs'!$AQ$3=6,'Pricing Inputs'!$AQ$3=8,'Pricing Inputs'!$AQ$3=9),IF(AND('Pricing Inputs'!$AQ$3&gt;=2,'Pricing Inputs'!$AQ$3&lt;=6),K306,(VLOOKUP(A306,ScaledPrice,5))*(2-(VLOOKUP(A306,ScaledPrice,3)))),0))</f>
        <v> </v>
      </c>
      <c r="M306" s="279" t="str">
        <f aca="false">IF(A306="N/A"," ",IF(OR('Pricing Inputs'!$AQ$3=3,'Pricing Inputs'!$AQ$3=6,'Pricing Inputs'!$AQ$3=9),(VLOOKUP(A306,ScaledPrice,IF(AND('Pricing Inputs'!$AQ$3&gt;=3,'Pricing Inputs'!$AQ$3&lt;=6),7,8))),0))</f>
        <v> </v>
      </c>
      <c r="N306" s="279" t="str">
        <f aca="false">IF(A306="N/A"," ",IF(OR('Pricing Inputs'!$AQ$3=3,'Pricing Inputs'!$AQ$3=6,'Pricing Inputs'!$AQ$3=9),IF(AND('Pricing Inputs'!$AQ$3&gt;=3,'Pricing Inputs'!$AQ$3&lt;=6),M306,(VLOOKUP(A306,ScaledPrice,7))*(2-(VLOOKUP(A306,ScaledPrice,3)))),0))</f>
        <v> </v>
      </c>
      <c r="O306" s="279" t="str">
        <f aca="false">IF(A306="N/A"," ",IF(AND('Pricing Inputs'!$AQ$3&gt;=1,'Pricing Inputs'!$AQ$3&lt;=3),VLOOKUP(A306,ScaledPrice,9),0))</f>
        <v> </v>
      </c>
      <c r="P306" s="280" t="str">
        <f aca="false">IF($A306="N/A"," ",IF('Pricing Inputs'!$AN$8=2,(I306-H306),IF('Pricing Inputs'!$AN$3=2,IF((I306-$H306)&gt;0,I306-$H306,0),(xSPRDOPT(I306,$E306,$BU306,0,$BP306,$BS306,$BT306,($A306-Inputs!$D$1)+15,1,0)))))</f>
        <v> </v>
      </c>
      <c r="Q306" s="280" t="str">
        <f aca="false">IF($A306="N/A"," ",IF('Pricing Inputs'!$AN$8=2,(J306-$H306),IF('Pricing Inputs'!$AN$3=2,IF((J306-$H306)&gt;0,J306-$H306,0),(xSPRDOPT(J306,$E306,$BU306,0,$BP306,$BS306,$BT306,($A306-Inputs!$D$1)+15,1,0)))))</f>
        <v> </v>
      </c>
      <c r="R306" s="280" t="str">
        <f aca="false">IF($A306="N/A"," ",IF('Pricing Inputs'!$AN$8=2,(K306-$H306),IF('Pricing Inputs'!$AN$3=2,IF((K306-$H306)&gt;0,K306-$H306,0),(xSPRDOPT(K306,$E306,$BU306,0,$BP306,$BS306,$BT306,($A306-Inputs!$D$1)+15,1,0)))))</f>
        <v> </v>
      </c>
      <c r="S306" s="280" t="str">
        <f aca="false">IF($A306="N/A"," ",IF('Pricing Inputs'!$AN$8=2,(L306-$H306),IF('Pricing Inputs'!$AN$3=2,IF((L306-$H306)&gt;0,L306-$H306,0),(xSPRDOPT(L306,$E306,$BU306,0,$BP306,$BS306,$BT306,($A306-Inputs!$D$1)+15,1,0)))))</f>
        <v> </v>
      </c>
      <c r="T306" s="280" t="str">
        <f aca="false">IF($A306="N/A"," ",IF('Pricing Inputs'!$AN$8=2,(M306-$H306),IF('Pricing Inputs'!$AN$3=2,IF((M306-$H306)&gt;0,M306-$H306,0),(xSPRDOPT(M306,$E306,$BU306,0,$BP306,$BS306,$BT306,($A306-Inputs!$D$1)+15,1,0)))))</f>
        <v> </v>
      </c>
      <c r="U306" s="280" t="str">
        <f aca="false">IF($A306="N/A"," ",IF('Pricing Inputs'!$AN$8=2,(N306-$H306),IF('Pricing Inputs'!$AN$3=2,IF((N306-$H306)&gt;0,N306-$H306,0),(xSPRDOPT(N306,$E306,$BU306,0,$BP306,$BS306,$BT306,($A306-Inputs!$D$1)+15,1,0)))))</f>
        <v> </v>
      </c>
      <c r="V306" s="281" t="str">
        <f aca="false">IF($A306="N/A"," ",(IF('Pricing Inputs'!$AN$8=2,(O306-$H306),IF((O306-$H306)&lt;=0,0,(O306-$H306)))))</f>
        <v> </v>
      </c>
      <c r="AK306" s="31"/>
      <c r="AL306" s="31"/>
      <c r="AM306" s="31"/>
      <c r="AN306" s="31"/>
      <c r="AO306" s="31"/>
      <c r="AP306" s="31"/>
      <c r="AQ306" s="31"/>
      <c r="AR306" s="31"/>
      <c r="BA306" s="291" t="str">
        <f aca="false">IF($A306="N/A"," ",(IF(MONTH(A306)&gt;=4,IF(MONTH(A306)&lt;=10,Inputs!$F$13,Inputs!$F$14),Inputs!$F$14))*$BW306)</f>
        <v> </v>
      </c>
      <c r="BN306" s="294" t="str">
        <f aca="false">IF(A306="N/A"," ",(VLOOKUP(A306,PowerVolTable,(IF('Pricing Inputs'!$AT$3=2,7,IF('Pricing Inputs'!$AT$3=1,6,8))),FALSE())))</f>
        <v> </v>
      </c>
      <c r="BO306" s="294" t="str">
        <f aca="false">IF(A306="N/A"," ",(VLOOKUP(A306,IntraPowerVol,(IF('Pricing Inputs'!$AT$3=2,3,IF('Pricing Inputs'!$AT$3=1,2,4))),FALSE())*VLOOKUP(MONTH($A306),Inputs!$A$28:$B$39,2)))</f>
        <v> </v>
      </c>
      <c r="BP306" s="295" t="str">
        <f aca="false">IF($A306="N/A"," ",(IF(DateToday&gt;$A306,$BO306,((($BN306^2)*((($A306-1)-DateToday)/((EOMONTH($A306,0)+1)-DateToday-15)))+((($BO306)^2)*((15)/((EOMONTH($A306,0)+1)-DateToday-15))))^0.5)))</f>
        <v> </v>
      </c>
      <c r="BQ306" s="294" t="str">
        <f aca="false">IF($A306="N/A"," ",(VLOOKUP($A306,GasVolTable,(IF('Pricing Inputs'!$AT$3=2,6,IF('Pricing Inputs'!$AT$3=1,7,5))),FALSE())))</f>
        <v> </v>
      </c>
      <c r="BR306" s="294" t="str">
        <f aca="false">IF($A306="N/A"," ",(VLOOKUP($A306,OmicronVol,(IF('Pricing Inputs'!$AT$3=2,3,IF('Pricing Inputs'!$AT$3=1,4,2))),FALSE())))</f>
        <v> </v>
      </c>
      <c r="BS306" s="295" t="str">
        <f aca="false">IF($A306="N/A"," ",IF('Pricing Inputs'!$AN$3=1,(IF(DateToday&gt;$A306,$BR306,((($BQ306^2)*((($A306-1)-DateToday)/((EOMONTH($A306,0)+1)-DateToday-15)))+((($BR306)^2)*((15)/((EOMONTH($A306,0)+1)-DateToday-15))))^0.5)),0.0001))</f>
        <v> </v>
      </c>
      <c r="BT306" s="294" t="str">
        <f aca="false">IF($A306="N/A"," ",IF('Pricing Inputs'!$AN$3=1,(VLOOKUP($A306,CorrelationTable,2,FALSE())),0))</f>
        <v> </v>
      </c>
      <c r="BU306" s="296" t="str">
        <f aca="false">IF($A306="N/A"," ",F306+G306+(D306*(VLOOKUP($A306,'Gas Curves'!$B$17:$P$310,14,FALSE()))))</f>
        <v> </v>
      </c>
      <c r="BV306" s="294" t="str">
        <f aca="false">IF($A306="N/A"," ",IF('Pricing Inputs'!$AW$3=1,0,(VLOOKUP($A306,InterestRatesTable,2))))</f>
        <v> </v>
      </c>
      <c r="BW306" s="297" t="str">
        <f aca="false">IF($A306="N/A"," ",(1+BV306/2)^(-2*((EOMONTH(A306,0)+20)-DateToday)/365.25))</f>
        <v> </v>
      </c>
    </row>
    <row r="307" customFormat="false" ht="12.75" hidden="false" customHeight="false" outlineLevel="0" collapsed="false">
      <c r="A307" s="272" t="str">
        <f aca="false">IF(A306="N/A","N/A",IF(EDATE(A306,1)&gt;Inputs!$K$3,"N/A",EDATE(A306,1)))</f>
        <v>N/A</v>
      </c>
      <c r="B307" s="273" t="str">
        <f aca="false">IF(A307="N/A"," ",YEAR(A307))</f>
        <v> </v>
      </c>
      <c r="C307" s="274" t="str">
        <f aca="false">IF(A307="N/A"," ",VLOOKUP(A307,ScaledPrice,10))</f>
        <v> </v>
      </c>
      <c r="D307" s="275" t="str">
        <f aca="false">IF(A307="N/A"," ",(VLOOKUP(MONTH($A307),Inputs!$A$14:$B$25,2))/1000)</f>
        <v> </v>
      </c>
      <c r="E307" s="276" t="str">
        <f aca="false">IF($A307="N/A"," ",C307*D307)</f>
        <v> </v>
      </c>
      <c r="F307" s="277" t="str">
        <f aca="false">IF(A307="N/A"," ",Inputs!$F$6)</f>
        <v> </v>
      </c>
      <c r="G307" s="277" t="str">
        <f aca="false">IF(A307="N/A"," ",Inputs!$F$9/IF(AND('Pricing Inputs'!$AQ$3&gt;=4,'Pricing Inputs'!$AQ$3&lt;=6),16,IF(AND('Pricing Inputs'!$AQ$3&gt;=7,'Pricing Inputs'!$AQ$3&lt;=9),8,24))/(BA307/BW307))</f>
        <v> </v>
      </c>
      <c r="H307" s="278" t="str">
        <f aca="false">IF(A307="N/A"," ",(C307*D307)+F307+G307)</f>
        <v> </v>
      </c>
      <c r="I307" s="279" t="str">
        <f aca="false">VLOOKUP(A307,ScaledPrice,(IF(AND('Pricing Inputs'!$AQ$3&gt;=1,'Pricing Inputs'!$AQ$3&lt;=6),2,4)))</f>
        <v> </v>
      </c>
      <c r="J307" s="279" t="str">
        <f aca="false">IF(A307="N/A"," ",IF(AND('Pricing Inputs'!$AQ$3&gt;=1,'Pricing Inputs'!$AQ$3&lt;=6),I307,(VLOOKUP(A307,ScaledPrice,2))*(2-(VLOOKUP(A307,ScaledPrice,3)))))</f>
        <v> </v>
      </c>
      <c r="K307" s="279" t="str">
        <f aca="false">IF(A307="N/A"," ",IF(OR('Pricing Inputs'!$AQ$3=2,'Pricing Inputs'!$AQ$3=3,'Pricing Inputs'!$AQ$3=5,'Pricing Inputs'!$AQ$3=6,'Pricing Inputs'!$AQ$3=8,'Pricing Inputs'!$AQ$3=9),VLOOKUP(A307,ScaledPrice,IF(AND('Pricing Inputs'!$AQ$3&gt;=2,'Pricing Inputs'!$AQ$3&lt;=6),5,6)),0))</f>
        <v> </v>
      </c>
      <c r="L307" s="279" t="str">
        <f aca="false">IF(A307="N/A"," ",IF(OR('Pricing Inputs'!$AQ$3=2,'Pricing Inputs'!$AQ$3=3,'Pricing Inputs'!$AQ$3=5,'Pricing Inputs'!$AQ$3=6,'Pricing Inputs'!$AQ$3=8,'Pricing Inputs'!$AQ$3=9),IF(AND('Pricing Inputs'!$AQ$3&gt;=2,'Pricing Inputs'!$AQ$3&lt;=6),K307,(VLOOKUP(A307,ScaledPrice,5))*(2-(VLOOKUP(A307,ScaledPrice,3)))),0))</f>
        <v> </v>
      </c>
      <c r="M307" s="279" t="str">
        <f aca="false">IF(A307="N/A"," ",IF(OR('Pricing Inputs'!$AQ$3=3,'Pricing Inputs'!$AQ$3=6,'Pricing Inputs'!$AQ$3=9),(VLOOKUP(A307,ScaledPrice,IF(AND('Pricing Inputs'!$AQ$3&gt;=3,'Pricing Inputs'!$AQ$3&lt;=6),7,8))),0))</f>
        <v> </v>
      </c>
      <c r="N307" s="279" t="str">
        <f aca="false">IF(A307="N/A"," ",IF(OR('Pricing Inputs'!$AQ$3=3,'Pricing Inputs'!$AQ$3=6,'Pricing Inputs'!$AQ$3=9),IF(AND('Pricing Inputs'!$AQ$3&gt;=3,'Pricing Inputs'!$AQ$3&lt;=6),M307,(VLOOKUP(A307,ScaledPrice,7))*(2-(VLOOKUP(A307,ScaledPrice,3)))),0))</f>
        <v> </v>
      </c>
      <c r="O307" s="279" t="str">
        <f aca="false">IF(A307="N/A"," ",IF(AND('Pricing Inputs'!$AQ$3&gt;=1,'Pricing Inputs'!$AQ$3&lt;=3),VLOOKUP(A307,ScaledPrice,9),0))</f>
        <v> </v>
      </c>
      <c r="P307" s="280" t="str">
        <f aca="false">IF($A307="N/A"," ",IF('Pricing Inputs'!$AN$8=2,(I307-H307),IF('Pricing Inputs'!$AN$3=2,IF((I307-$H307)&gt;0,I307-$H307,0),(xSPRDOPT(I307,$E307,$BU307,0,$BP307,$BS307,$BT307,($A307-Inputs!$D$1)+15,1,0)))))</f>
        <v> </v>
      </c>
      <c r="Q307" s="280" t="str">
        <f aca="false">IF($A307="N/A"," ",IF('Pricing Inputs'!$AN$8=2,(J307-$H307),IF('Pricing Inputs'!$AN$3=2,IF((J307-$H307)&gt;0,J307-$H307,0),(xSPRDOPT(J307,$E307,$BU307,0,$BP307,$BS307,$BT307,($A307-Inputs!$D$1)+15,1,0)))))</f>
        <v> </v>
      </c>
      <c r="R307" s="280" t="str">
        <f aca="false">IF($A307="N/A"," ",IF('Pricing Inputs'!$AN$8=2,(K307-$H307),IF('Pricing Inputs'!$AN$3=2,IF((K307-$H307)&gt;0,K307-$H307,0),(xSPRDOPT(K307,$E307,$BU307,0,$BP307,$BS307,$BT307,($A307-Inputs!$D$1)+15,1,0)))))</f>
        <v> </v>
      </c>
      <c r="S307" s="280" t="str">
        <f aca="false">IF($A307="N/A"," ",IF('Pricing Inputs'!$AN$8=2,(L307-$H307),IF('Pricing Inputs'!$AN$3=2,IF((L307-$H307)&gt;0,L307-$H307,0),(xSPRDOPT(L307,$E307,$BU307,0,$BP307,$BS307,$BT307,($A307-Inputs!$D$1)+15,1,0)))))</f>
        <v> </v>
      </c>
      <c r="T307" s="280" t="str">
        <f aca="false">IF($A307="N/A"," ",IF('Pricing Inputs'!$AN$8=2,(M307-$H307),IF('Pricing Inputs'!$AN$3=2,IF((M307-$H307)&gt;0,M307-$H307,0),(xSPRDOPT(M307,$E307,$BU307,0,$BP307,$BS307,$BT307,($A307-Inputs!$D$1)+15,1,0)))))</f>
        <v> </v>
      </c>
      <c r="U307" s="280" t="str">
        <f aca="false">IF($A307="N/A"," ",IF('Pricing Inputs'!$AN$8=2,(N307-$H307),IF('Pricing Inputs'!$AN$3=2,IF((N307-$H307)&gt;0,N307-$H307,0),(xSPRDOPT(N307,$E307,$BU307,0,$BP307,$BS307,$BT307,($A307-Inputs!$D$1)+15,1,0)))))</f>
        <v> </v>
      </c>
      <c r="V307" s="281" t="str">
        <f aca="false">IF($A307="N/A"," ",(IF('Pricing Inputs'!$AN$8=2,(O307-$H307),IF((O307-$H307)&lt;=0,0,(O307-$H307)))))</f>
        <v> </v>
      </c>
      <c r="AK307" s="31"/>
      <c r="AL307" s="31"/>
      <c r="AM307" s="31"/>
      <c r="AN307" s="31"/>
      <c r="AO307" s="31"/>
      <c r="AP307" s="31"/>
      <c r="AQ307" s="31"/>
      <c r="AR307" s="31"/>
      <c r="BA307" s="291" t="str">
        <f aca="false">IF($A307="N/A"," ",(IF(MONTH(A307)&gt;=4,IF(MONTH(A307)&lt;=10,Inputs!$F$13,Inputs!$F$14),Inputs!$F$14))*$BW307)</f>
        <v> </v>
      </c>
      <c r="BN307" s="294" t="str">
        <f aca="false">IF(A307="N/A"," ",(VLOOKUP(A307,PowerVolTable,(IF('Pricing Inputs'!$AT$3=2,7,IF('Pricing Inputs'!$AT$3=1,6,8))),FALSE())))</f>
        <v> </v>
      </c>
      <c r="BO307" s="294" t="str">
        <f aca="false">IF(A307="N/A"," ",(VLOOKUP(A307,IntraPowerVol,(IF('Pricing Inputs'!$AT$3=2,3,IF('Pricing Inputs'!$AT$3=1,2,4))),FALSE())*VLOOKUP(MONTH($A307),Inputs!$A$28:$B$39,2)))</f>
        <v> </v>
      </c>
      <c r="BP307" s="295" t="str">
        <f aca="false">IF($A307="N/A"," ",(IF(DateToday&gt;$A307,$BO307,((($BN307^2)*((($A307-1)-DateToday)/((EOMONTH($A307,0)+1)-DateToday-15)))+((($BO307)^2)*((15)/((EOMONTH($A307,0)+1)-DateToday-15))))^0.5)))</f>
        <v> </v>
      </c>
      <c r="BQ307" s="294" t="str">
        <f aca="false">IF($A307="N/A"," ",(VLOOKUP($A307,GasVolTable,(IF('Pricing Inputs'!$AT$3=2,6,IF('Pricing Inputs'!$AT$3=1,7,5))),FALSE())))</f>
        <v> </v>
      </c>
      <c r="BR307" s="294" t="str">
        <f aca="false">IF($A307="N/A"," ",(VLOOKUP($A307,OmicronVol,(IF('Pricing Inputs'!$AT$3=2,3,IF('Pricing Inputs'!$AT$3=1,4,2))),FALSE())))</f>
        <v> </v>
      </c>
      <c r="BS307" s="295" t="str">
        <f aca="false">IF($A307="N/A"," ",IF('Pricing Inputs'!$AN$3=1,(IF(DateToday&gt;$A307,$BR307,((($BQ307^2)*((($A307-1)-DateToday)/((EOMONTH($A307,0)+1)-DateToday-15)))+((($BR307)^2)*((15)/((EOMONTH($A307,0)+1)-DateToday-15))))^0.5)),0.0001))</f>
        <v> </v>
      </c>
      <c r="BT307" s="294" t="str">
        <f aca="false">IF($A307="N/A"," ",IF('Pricing Inputs'!$AN$3=1,(VLOOKUP($A307,CorrelationTable,2,FALSE())),0))</f>
        <v> </v>
      </c>
      <c r="BU307" s="296" t="str">
        <f aca="false">IF($A307="N/A"," ",F307+G307+(D307*(VLOOKUP($A307,'Gas Curves'!$B$17:$P$310,14,FALSE()))))</f>
        <v> </v>
      </c>
      <c r="BV307" s="294" t="str">
        <f aca="false">IF($A307="N/A"," ",IF('Pricing Inputs'!$AW$3=1,0,(VLOOKUP($A307,InterestRatesTable,2))))</f>
        <v> </v>
      </c>
      <c r="BW307" s="297" t="str">
        <f aca="false">IF($A307="N/A"," ",(1+BV307/2)^(-2*((EOMONTH(A307,0)+20)-DateToday)/365.25))</f>
        <v> </v>
      </c>
    </row>
    <row r="308" customFormat="false" ht="12.75" hidden="false" customHeight="false" outlineLevel="0" collapsed="false">
      <c r="A308" s="272" t="str">
        <f aca="false">IF(A307="N/A","N/A",IF(EDATE(A307,1)&gt;Inputs!$K$3,"N/A",EDATE(A307,1)))</f>
        <v>N/A</v>
      </c>
      <c r="B308" s="273" t="str">
        <f aca="false">IF(A308="N/A"," ",YEAR(A308))</f>
        <v> </v>
      </c>
      <c r="C308" s="274" t="str">
        <f aca="false">IF(A308="N/A"," ",VLOOKUP(A308,ScaledPrice,10))</f>
        <v> </v>
      </c>
      <c r="D308" s="275" t="str">
        <f aca="false">IF(A308="N/A"," ",(VLOOKUP(MONTH($A308),Inputs!$A$14:$B$25,2))/1000)</f>
        <v> </v>
      </c>
      <c r="E308" s="276" t="str">
        <f aca="false">IF($A308="N/A"," ",C308*D308)</f>
        <v> </v>
      </c>
      <c r="F308" s="277" t="str">
        <f aca="false">IF(A308="N/A"," ",Inputs!$F$6)</f>
        <v> </v>
      </c>
      <c r="G308" s="277" t="str">
        <f aca="false">IF(A308="N/A"," ",Inputs!$F$9/IF(AND('Pricing Inputs'!$AQ$3&gt;=4,'Pricing Inputs'!$AQ$3&lt;=6),16,IF(AND('Pricing Inputs'!$AQ$3&gt;=7,'Pricing Inputs'!$AQ$3&lt;=9),8,24))/(BA308/BW308))</f>
        <v> </v>
      </c>
      <c r="H308" s="278" t="str">
        <f aca="false">IF(A308="N/A"," ",(C308*D308)+F308+G308)</f>
        <v> </v>
      </c>
      <c r="I308" s="279" t="str">
        <f aca="false">VLOOKUP(A308,ScaledPrice,(IF(AND('Pricing Inputs'!$AQ$3&gt;=1,'Pricing Inputs'!$AQ$3&lt;=6),2,4)))</f>
        <v> </v>
      </c>
      <c r="J308" s="279" t="str">
        <f aca="false">IF(A308="N/A"," ",IF(AND('Pricing Inputs'!$AQ$3&gt;=1,'Pricing Inputs'!$AQ$3&lt;=6),I308,(VLOOKUP(A308,ScaledPrice,2))*(2-(VLOOKUP(A308,ScaledPrice,3)))))</f>
        <v> </v>
      </c>
      <c r="K308" s="279" t="str">
        <f aca="false">IF(A308="N/A"," ",IF(OR('Pricing Inputs'!$AQ$3=2,'Pricing Inputs'!$AQ$3=3,'Pricing Inputs'!$AQ$3=5,'Pricing Inputs'!$AQ$3=6,'Pricing Inputs'!$AQ$3=8,'Pricing Inputs'!$AQ$3=9),VLOOKUP(A308,ScaledPrice,IF(AND('Pricing Inputs'!$AQ$3&gt;=2,'Pricing Inputs'!$AQ$3&lt;=6),5,6)),0))</f>
        <v> </v>
      </c>
      <c r="L308" s="279" t="str">
        <f aca="false">IF(A308="N/A"," ",IF(OR('Pricing Inputs'!$AQ$3=2,'Pricing Inputs'!$AQ$3=3,'Pricing Inputs'!$AQ$3=5,'Pricing Inputs'!$AQ$3=6,'Pricing Inputs'!$AQ$3=8,'Pricing Inputs'!$AQ$3=9),IF(AND('Pricing Inputs'!$AQ$3&gt;=2,'Pricing Inputs'!$AQ$3&lt;=6),K308,(VLOOKUP(A308,ScaledPrice,5))*(2-(VLOOKUP(A308,ScaledPrice,3)))),0))</f>
        <v> </v>
      </c>
      <c r="M308" s="279" t="str">
        <f aca="false">IF(A308="N/A"," ",IF(OR('Pricing Inputs'!$AQ$3=3,'Pricing Inputs'!$AQ$3=6,'Pricing Inputs'!$AQ$3=9),(VLOOKUP(A308,ScaledPrice,IF(AND('Pricing Inputs'!$AQ$3&gt;=3,'Pricing Inputs'!$AQ$3&lt;=6),7,8))),0))</f>
        <v> </v>
      </c>
      <c r="N308" s="279" t="str">
        <f aca="false">IF(A308="N/A"," ",IF(OR('Pricing Inputs'!$AQ$3=3,'Pricing Inputs'!$AQ$3=6,'Pricing Inputs'!$AQ$3=9),IF(AND('Pricing Inputs'!$AQ$3&gt;=3,'Pricing Inputs'!$AQ$3&lt;=6),M308,(VLOOKUP(A308,ScaledPrice,7))*(2-(VLOOKUP(A308,ScaledPrice,3)))),0))</f>
        <v> </v>
      </c>
      <c r="O308" s="279" t="str">
        <f aca="false">IF(A308="N/A"," ",IF(AND('Pricing Inputs'!$AQ$3&gt;=1,'Pricing Inputs'!$AQ$3&lt;=3),VLOOKUP(A308,ScaledPrice,9),0))</f>
        <v> </v>
      </c>
      <c r="P308" s="280" t="str">
        <f aca="false">IF($A308="N/A"," ",IF('Pricing Inputs'!$AN$8=2,(I308-H308),IF('Pricing Inputs'!$AN$3=2,IF((I308-$H308)&gt;0,I308-$H308,0),(xSPRDOPT(I308,$E308,$BU308,0,$BP308,$BS308,$BT308,($A308-Inputs!$D$1)+15,1,0)))))</f>
        <v> </v>
      </c>
      <c r="Q308" s="280" t="str">
        <f aca="false">IF($A308="N/A"," ",IF('Pricing Inputs'!$AN$8=2,(J308-$H308),IF('Pricing Inputs'!$AN$3=2,IF((J308-$H308)&gt;0,J308-$H308,0),(xSPRDOPT(J308,$E308,$BU308,0,$BP308,$BS308,$BT308,($A308-Inputs!$D$1)+15,1,0)))))</f>
        <v> </v>
      </c>
      <c r="R308" s="280" t="str">
        <f aca="false">IF($A308="N/A"," ",IF('Pricing Inputs'!$AN$8=2,(K308-$H308),IF('Pricing Inputs'!$AN$3=2,IF((K308-$H308)&gt;0,K308-$H308,0),(xSPRDOPT(K308,$E308,$BU308,0,$BP308,$BS308,$BT308,($A308-Inputs!$D$1)+15,1,0)))))</f>
        <v> </v>
      </c>
      <c r="S308" s="280" t="str">
        <f aca="false">IF($A308="N/A"," ",IF('Pricing Inputs'!$AN$8=2,(L308-$H308),IF('Pricing Inputs'!$AN$3=2,IF((L308-$H308)&gt;0,L308-$H308,0),(xSPRDOPT(L308,$E308,$BU308,0,$BP308,$BS308,$BT308,($A308-Inputs!$D$1)+15,1,0)))))</f>
        <v> </v>
      </c>
      <c r="T308" s="280" t="str">
        <f aca="false">IF($A308="N/A"," ",IF('Pricing Inputs'!$AN$8=2,(M308-$H308),IF('Pricing Inputs'!$AN$3=2,IF((M308-$H308)&gt;0,M308-$H308,0),(xSPRDOPT(M308,$E308,$BU308,0,$BP308,$BS308,$BT308,($A308-Inputs!$D$1)+15,1,0)))))</f>
        <v> </v>
      </c>
      <c r="U308" s="280" t="str">
        <f aca="false">IF($A308="N/A"," ",IF('Pricing Inputs'!$AN$8=2,(N308-$H308),IF('Pricing Inputs'!$AN$3=2,IF((N308-$H308)&gt;0,N308-$H308,0),(xSPRDOPT(N308,$E308,$BU308,0,$BP308,$BS308,$BT308,($A308-Inputs!$D$1)+15,1,0)))))</f>
        <v> </v>
      </c>
      <c r="V308" s="281" t="str">
        <f aca="false">IF($A308="N/A"," ",(IF('Pricing Inputs'!$AN$8=2,(O308-$H308),IF((O308-$H308)&lt;=0,0,(O308-$H308)))))</f>
        <v> </v>
      </c>
      <c r="AK308" s="31"/>
      <c r="AL308" s="31"/>
      <c r="AM308" s="31"/>
      <c r="AN308" s="31"/>
      <c r="AO308" s="31"/>
      <c r="AP308" s="31"/>
      <c r="AQ308" s="31"/>
      <c r="AR308" s="31"/>
      <c r="BA308" s="291" t="str">
        <f aca="false">IF($A308="N/A"," ",(IF(MONTH(A308)&gt;=4,IF(MONTH(A308)&lt;=10,Inputs!$F$13,Inputs!$F$14),Inputs!$F$14))*$BW308)</f>
        <v> </v>
      </c>
      <c r="BN308" s="294" t="str">
        <f aca="false">IF(A308="N/A"," ",(VLOOKUP(A308,PowerVolTable,(IF('Pricing Inputs'!$AT$3=2,7,IF('Pricing Inputs'!$AT$3=1,6,8))),FALSE())))</f>
        <v> </v>
      </c>
      <c r="BO308" s="294" t="str">
        <f aca="false">IF(A308="N/A"," ",(VLOOKUP(A308,IntraPowerVol,(IF('Pricing Inputs'!$AT$3=2,3,IF('Pricing Inputs'!$AT$3=1,2,4))),FALSE())*VLOOKUP(MONTH($A308),Inputs!$A$28:$B$39,2)))</f>
        <v> </v>
      </c>
      <c r="BP308" s="295" t="str">
        <f aca="false">IF($A308="N/A"," ",(IF(DateToday&gt;$A308,$BO308,((($BN308^2)*((($A308-1)-DateToday)/((EOMONTH($A308,0)+1)-DateToday-15)))+((($BO308)^2)*((15)/((EOMONTH($A308,0)+1)-DateToday-15))))^0.5)))</f>
        <v> </v>
      </c>
      <c r="BQ308" s="294" t="str">
        <f aca="false">IF($A308="N/A"," ",(VLOOKUP($A308,GasVolTable,(IF('Pricing Inputs'!$AT$3=2,6,IF('Pricing Inputs'!$AT$3=1,7,5))),FALSE())))</f>
        <v> </v>
      </c>
      <c r="BR308" s="294" t="str">
        <f aca="false">IF($A308="N/A"," ",(VLOOKUP($A308,OmicronVol,(IF('Pricing Inputs'!$AT$3=2,3,IF('Pricing Inputs'!$AT$3=1,4,2))),FALSE())))</f>
        <v> </v>
      </c>
      <c r="BS308" s="295" t="str">
        <f aca="false">IF($A308="N/A"," ",IF('Pricing Inputs'!$AN$3=1,(IF(DateToday&gt;$A308,$BR308,((($BQ308^2)*((($A308-1)-DateToday)/((EOMONTH($A308,0)+1)-DateToday-15)))+((($BR308)^2)*((15)/((EOMONTH($A308,0)+1)-DateToday-15))))^0.5)),0.0001))</f>
        <v> </v>
      </c>
      <c r="BT308" s="294" t="str">
        <f aca="false">IF($A308="N/A"," ",IF('Pricing Inputs'!$AN$3=1,(VLOOKUP($A308,CorrelationTable,2,FALSE())),0))</f>
        <v> </v>
      </c>
      <c r="BU308" s="296" t="str">
        <f aca="false">IF($A308="N/A"," ",F308+G308+(D308*(VLOOKUP($A308,'Gas Curves'!$B$17:$P$310,14,FALSE()))))</f>
        <v> </v>
      </c>
      <c r="BV308" s="294" t="str">
        <f aca="false">IF($A308="N/A"," ",IF('Pricing Inputs'!$AW$3=1,0,(VLOOKUP($A308,InterestRatesTable,2))))</f>
        <v> </v>
      </c>
      <c r="BW308" s="297" t="str">
        <f aca="false">IF($A308="N/A"," ",(1+BV308/2)^(-2*((EOMONTH(A308,0)+20)-DateToday)/365.25))</f>
        <v> </v>
      </c>
    </row>
    <row r="309" customFormat="false" ht="12.75" hidden="false" customHeight="false" outlineLevel="0" collapsed="false">
      <c r="A309" s="272" t="str">
        <f aca="false">IF(A308="N/A","N/A",IF(EDATE(A308,1)&gt;Inputs!$K$3,"N/A",EDATE(A308,1)))</f>
        <v>N/A</v>
      </c>
      <c r="B309" s="273" t="str">
        <f aca="false">IF(A309="N/A"," ",YEAR(A309))</f>
        <v> </v>
      </c>
      <c r="C309" s="274" t="str">
        <f aca="false">IF(A309="N/A"," ",VLOOKUP(A309,ScaledPrice,10))</f>
        <v> </v>
      </c>
      <c r="D309" s="275" t="str">
        <f aca="false">IF(A309="N/A"," ",(VLOOKUP(MONTH($A309),Inputs!$A$14:$B$25,2))/1000)</f>
        <v> </v>
      </c>
      <c r="E309" s="276" t="str">
        <f aca="false">IF($A309="N/A"," ",C309*D309)</f>
        <v> </v>
      </c>
      <c r="F309" s="277" t="str">
        <f aca="false">IF(A309="N/A"," ",Inputs!$F$6)</f>
        <v> </v>
      </c>
      <c r="G309" s="277" t="str">
        <f aca="false">IF(A309="N/A"," ",Inputs!$F$9/IF(AND('Pricing Inputs'!$AQ$3&gt;=4,'Pricing Inputs'!$AQ$3&lt;=6),16,IF(AND('Pricing Inputs'!$AQ$3&gt;=7,'Pricing Inputs'!$AQ$3&lt;=9),8,24))/(BA309/BW309))</f>
        <v> </v>
      </c>
      <c r="H309" s="278" t="str">
        <f aca="false">IF(A309="N/A"," ",(C309*D309)+F309+G309)</f>
        <v> </v>
      </c>
      <c r="I309" s="279" t="str">
        <f aca="false">VLOOKUP(A309,ScaledPrice,(IF(AND('Pricing Inputs'!$AQ$3&gt;=1,'Pricing Inputs'!$AQ$3&lt;=6),2,4)))</f>
        <v> </v>
      </c>
      <c r="J309" s="279" t="str">
        <f aca="false">IF(A309="N/A"," ",IF(AND('Pricing Inputs'!$AQ$3&gt;=1,'Pricing Inputs'!$AQ$3&lt;=6),I309,(VLOOKUP(A309,ScaledPrice,2))*(2-(VLOOKUP(A309,ScaledPrice,3)))))</f>
        <v> </v>
      </c>
      <c r="K309" s="279" t="str">
        <f aca="false">IF(A309="N/A"," ",IF(OR('Pricing Inputs'!$AQ$3=2,'Pricing Inputs'!$AQ$3=3,'Pricing Inputs'!$AQ$3=5,'Pricing Inputs'!$AQ$3=6,'Pricing Inputs'!$AQ$3=8,'Pricing Inputs'!$AQ$3=9),VLOOKUP(A309,ScaledPrice,IF(AND('Pricing Inputs'!$AQ$3&gt;=2,'Pricing Inputs'!$AQ$3&lt;=6),5,6)),0))</f>
        <v> </v>
      </c>
      <c r="L309" s="279" t="str">
        <f aca="false">IF(A309="N/A"," ",IF(OR('Pricing Inputs'!$AQ$3=2,'Pricing Inputs'!$AQ$3=3,'Pricing Inputs'!$AQ$3=5,'Pricing Inputs'!$AQ$3=6,'Pricing Inputs'!$AQ$3=8,'Pricing Inputs'!$AQ$3=9),IF(AND('Pricing Inputs'!$AQ$3&gt;=2,'Pricing Inputs'!$AQ$3&lt;=6),K309,(VLOOKUP(A309,ScaledPrice,5))*(2-(VLOOKUP(A309,ScaledPrice,3)))),0))</f>
        <v> </v>
      </c>
      <c r="M309" s="279" t="str">
        <f aca="false">IF(A309="N/A"," ",IF(OR('Pricing Inputs'!$AQ$3=3,'Pricing Inputs'!$AQ$3=6,'Pricing Inputs'!$AQ$3=9),(VLOOKUP(A309,ScaledPrice,IF(AND('Pricing Inputs'!$AQ$3&gt;=3,'Pricing Inputs'!$AQ$3&lt;=6),7,8))),0))</f>
        <v> </v>
      </c>
      <c r="N309" s="279" t="str">
        <f aca="false">IF(A309="N/A"," ",IF(OR('Pricing Inputs'!$AQ$3=3,'Pricing Inputs'!$AQ$3=6,'Pricing Inputs'!$AQ$3=9),IF(AND('Pricing Inputs'!$AQ$3&gt;=3,'Pricing Inputs'!$AQ$3&lt;=6),M309,(VLOOKUP(A309,ScaledPrice,7))*(2-(VLOOKUP(A309,ScaledPrice,3)))),0))</f>
        <v> </v>
      </c>
      <c r="O309" s="279" t="str">
        <f aca="false">IF(A309="N/A"," ",IF(AND('Pricing Inputs'!$AQ$3&gt;=1,'Pricing Inputs'!$AQ$3&lt;=3),VLOOKUP(A309,ScaledPrice,9),0))</f>
        <v> </v>
      </c>
      <c r="P309" s="280" t="str">
        <f aca="false">IF($A309="N/A"," ",IF('Pricing Inputs'!$AN$8=2,(I309-H309),IF('Pricing Inputs'!$AN$3=2,IF((I309-$H309)&gt;0,I309-$H309,0),(xSPRDOPT(I309,$E309,$BU309,0,$BP309,$BS309,$BT309,($A309-Inputs!$D$1)+15,1,0)))))</f>
        <v> </v>
      </c>
      <c r="Q309" s="280" t="str">
        <f aca="false">IF($A309="N/A"," ",IF('Pricing Inputs'!$AN$8=2,(J309-$H309),IF('Pricing Inputs'!$AN$3=2,IF((J309-$H309)&gt;0,J309-$H309,0),(xSPRDOPT(J309,$E309,$BU309,0,$BP309,$BS309,$BT309,($A309-Inputs!$D$1)+15,1,0)))))</f>
        <v> </v>
      </c>
      <c r="R309" s="280" t="str">
        <f aca="false">IF($A309="N/A"," ",IF('Pricing Inputs'!$AN$8=2,(K309-$H309),IF('Pricing Inputs'!$AN$3=2,IF((K309-$H309)&gt;0,K309-$H309,0),(xSPRDOPT(K309,$E309,$BU309,0,$BP309,$BS309,$BT309,($A309-Inputs!$D$1)+15,1,0)))))</f>
        <v> </v>
      </c>
      <c r="S309" s="280" t="str">
        <f aca="false">IF($A309="N/A"," ",IF('Pricing Inputs'!$AN$8=2,(L309-$H309),IF('Pricing Inputs'!$AN$3=2,IF((L309-$H309)&gt;0,L309-$H309,0),(xSPRDOPT(L309,$E309,$BU309,0,$BP309,$BS309,$BT309,($A309-Inputs!$D$1)+15,1,0)))))</f>
        <v> </v>
      </c>
      <c r="T309" s="280" t="str">
        <f aca="false">IF($A309="N/A"," ",IF('Pricing Inputs'!$AN$8=2,(M309-$H309),IF('Pricing Inputs'!$AN$3=2,IF((M309-$H309)&gt;0,M309-$H309,0),(xSPRDOPT(M309,$E309,$BU309,0,$BP309,$BS309,$BT309,($A309-Inputs!$D$1)+15,1,0)))))</f>
        <v> </v>
      </c>
      <c r="U309" s="280" t="str">
        <f aca="false">IF($A309="N/A"," ",IF('Pricing Inputs'!$AN$8=2,(N309-$H309),IF('Pricing Inputs'!$AN$3=2,IF((N309-$H309)&gt;0,N309-$H309,0),(xSPRDOPT(N309,$E309,$BU309,0,$BP309,$BS309,$BT309,($A309-Inputs!$D$1)+15,1,0)))))</f>
        <v> </v>
      </c>
      <c r="V309" s="281" t="str">
        <f aca="false">IF($A309="N/A"," ",(IF('Pricing Inputs'!$AN$8=2,(O309-$H309),IF((O309-$H309)&lt;=0,0,(O309-$H309)))))</f>
        <v> </v>
      </c>
      <c r="AK309" s="31"/>
      <c r="AL309" s="31"/>
      <c r="AM309" s="31"/>
      <c r="AN309" s="31"/>
      <c r="AO309" s="31"/>
      <c r="AP309" s="31"/>
      <c r="AQ309" s="31"/>
      <c r="AR309" s="31"/>
      <c r="BA309" s="291" t="str">
        <f aca="false">IF($A309="N/A"," ",(IF(MONTH(A309)&gt;=4,IF(MONTH(A309)&lt;=10,Inputs!$F$13,Inputs!$F$14),Inputs!$F$14))*$BW309)</f>
        <v> </v>
      </c>
      <c r="BN309" s="294" t="str">
        <f aca="false">IF(A309="N/A"," ",(VLOOKUP(A309,PowerVolTable,(IF('Pricing Inputs'!$AT$3=2,7,IF('Pricing Inputs'!$AT$3=1,6,8))),FALSE())))</f>
        <v> </v>
      </c>
      <c r="BO309" s="294" t="str">
        <f aca="false">IF(A309="N/A"," ",(VLOOKUP(A309,IntraPowerVol,(IF('Pricing Inputs'!$AT$3=2,3,IF('Pricing Inputs'!$AT$3=1,2,4))),FALSE())*VLOOKUP(MONTH($A309),Inputs!$A$28:$B$39,2)))</f>
        <v> </v>
      </c>
      <c r="BP309" s="295" t="str">
        <f aca="false">IF($A309="N/A"," ",(IF(DateToday&gt;$A309,$BO309,((($BN309^2)*((($A309-1)-DateToday)/((EOMONTH($A309,0)+1)-DateToday-15)))+((($BO309)^2)*((15)/((EOMONTH($A309,0)+1)-DateToday-15))))^0.5)))</f>
        <v> </v>
      </c>
      <c r="BQ309" s="294" t="str">
        <f aca="false">IF($A309="N/A"," ",(VLOOKUP($A309,GasVolTable,(IF('Pricing Inputs'!$AT$3=2,6,IF('Pricing Inputs'!$AT$3=1,7,5))),FALSE())))</f>
        <v> </v>
      </c>
      <c r="BR309" s="294" t="str">
        <f aca="false">IF($A309="N/A"," ",(VLOOKUP($A309,OmicronVol,(IF('Pricing Inputs'!$AT$3=2,3,IF('Pricing Inputs'!$AT$3=1,4,2))),FALSE())))</f>
        <v> </v>
      </c>
      <c r="BS309" s="295" t="str">
        <f aca="false">IF($A309="N/A"," ",IF('Pricing Inputs'!$AN$3=1,(IF(DateToday&gt;$A309,$BR309,((($BQ309^2)*((($A309-1)-DateToday)/((EOMONTH($A309,0)+1)-DateToday-15)))+((($BR309)^2)*((15)/((EOMONTH($A309,0)+1)-DateToday-15))))^0.5)),0.0001))</f>
        <v> </v>
      </c>
      <c r="BT309" s="294" t="str">
        <f aca="false">IF($A309="N/A"," ",IF('Pricing Inputs'!$AN$3=1,(VLOOKUP($A309,CorrelationTable,2,FALSE())),0))</f>
        <v> </v>
      </c>
      <c r="BU309" s="296" t="str">
        <f aca="false">IF($A309="N/A"," ",F309+G309+(D309*(VLOOKUP($A309,'Gas Curves'!$B$17:$P$310,14,FALSE()))))</f>
        <v> </v>
      </c>
      <c r="BV309" s="294" t="str">
        <f aca="false">IF($A309="N/A"," ",IF('Pricing Inputs'!$AW$3=1,0,(VLOOKUP($A309,InterestRatesTable,2))))</f>
        <v> </v>
      </c>
      <c r="BW309" s="297" t="str">
        <f aca="false">IF($A309="N/A"," ",(1+BV309/2)^(-2*((EOMONTH(A309,0)+20)-DateToday)/365.25))</f>
        <v> </v>
      </c>
    </row>
    <row r="310" customFormat="false" ht="12.75" hidden="false" customHeight="false" outlineLevel="0" collapsed="false">
      <c r="A310" s="272" t="str">
        <f aca="false">IF(A309="N/A","N/A",IF(EDATE(A309,1)&gt;Inputs!$K$3,"N/A",EDATE(A309,1)))</f>
        <v>N/A</v>
      </c>
      <c r="B310" s="273" t="str">
        <f aca="false">IF(A310="N/A"," ",YEAR(A310))</f>
        <v> </v>
      </c>
      <c r="C310" s="274" t="str">
        <f aca="false">IF(A310="N/A"," ",VLOOKUP(A310,ScaledPrice,10))</f>
        <v> </v>
      </c>
      <c r="D310" s="275" t="str">
        <f aca="false">IF(A310="N/A"," ",(VLOOKUP(MONTH($A310),Inputs!$A$14:$B$25,2))/1000)</f>
        <v> </v>
      </c>
      <c r="E310" s="276" t="str">
        <f aca="false">IF($A310="N/A"," ",C310*D310)</f>
        <v> </v>
      </c>
      <c r="F310" s="277" t="str">
        <f aca="false">IF(A310="N/A"," ",Inputs!$F$6)</f>
        <v> </v>
      </c>
      <c r="G310" s="277" t="str">
        <f aca="false">IF(A310="N/A"," ",Inputs!$F$9/IF(AND('Pricing Inputs'!$AQ$3&gt;=4,'Pricing Inputs'!$AQ$3&lt;=6),16,IF(AND('Pricing Inputs'!$AQ$3&gt;=7,'Pricing Inputs'!$AQ$3&lt;=9),8,24))/(BA310/BW310))</f>
        <v> </v>
      </c>
      <c r="H310" s="278" t="str">
        <f aca="false">IF(A310="N/A"," ",(C310*D310)+F310+G310)</f>
        <v> </v>
      </c>
      <c r="I310" s="279" t="str">
        <f aca="false">VLOOKUP(A310,ScaledPrice,(IF(AND('Pricing Inputs'!$AQ$3&gt;=1,'Pricing Inputs'!$AQ$3&lt;=6),2,4)))</f>
        <v> </v>
      </c>
      <c r="J310" s="279" t="str">
        <f aca="false">IF(A310="N/A"," ",IF(AND('Pricing Inputs'!$AQ$3&gt;=1,'Pricing Inputs'!$AQ$3&lt;=6),I310,(VLOOKUP(A310,ScaledPrice,2))*(2-(VLOOKUP(A310,ScaledPrice,3)))))</f>
        <v> </v>
      </c>
      <c r="K310" s="279" t="str">
        <f aca="false">IF(A310="N/A"," ",IF(OR('Pricing Inputs'!$AQ$3=2,'Pricing Inputs'!$AQ$3=3,'Pricing Inputs'!$AQ$3=5,'Pricing Inputs'!$AQ$3=6,'Pricing Inputs'!$AQ$3=8,'Pricing Inputs'!$AQ$3=9),VLOOKUP(A310,ScaledPrice,IF(AND('Pricing Inputs'!$AQ$3&gt;=2,'Pricing Inputs'!$AQ$3&lt;=6),5,6)),0))</f>
        <v> </v>
      </c>
      <c r="L310" s="279" t="str">
        <f aca="false">IF(A310="N/A"," ",IF(OR('Pricing Inputs'!$AQ$3=2,'Pricing Inputs'!$AQ$3=3,'Pricing Inputs'!$AQ$3=5,'Pricing Inputs'!$AQ$3=6,'Pricing Inputs'!$AQ$3=8,'Pricing Inputs'!$AQ$3=9),IF(AND('Pricing Inputs'!$AQ$3&gt;=2,'Pricing Inputs'!$AQ$3&lt;=6),K310,(VLOOKUP(A310,ScaledPrice,5))*(2-(VLOOKUP(A310,ScaledPrice,3)))),0))</f>
        <v> </v>
      </c>
      <c r="M310" s="279" t="str">
        <f aca="false">IF(A310="N/A"," ",IF(OR('Pricing Inputs'!$AQ$3=3,'Pricing Inputs'!$AQ$3=6,'Pricing Inputs'!$AQ$3=9),(VLOOKUP(A310,ScaledPrice,IF(AND('Pricing Inputs'!$AQ$3&gt;=3,'Pricing Inputs'!$AQ$3&lt;=6),7,8))),0))</f>
        <v> </v>
      </c>
      <c r="N310" s="279" t="str">
        <f aca="false">IF(A310="N/A"," ",IF(OR('Pricing Inputs'!$AQ$3=3,'Pricing Inputs'!$AQ$3=6,'Pricing Inputs'!$AQ$3=9),IF(AND('Pricing Inputs'!$AQ$3&gt;=3,'Pricing Inputs'!$AQ$3&lt;=6),M310,(VLOOKUP(A310,ScaledPrice,7))*(2-(VLOOKUP(A310,ScaledPrice,3)))),0))</f>
        <v> </v>
      </c>
      <c r="O310" s="279" t="str">
        <f aca="false">IF(A310="N/A"," ",IF(AND('Pricing Inputs'!$AQ$3&gt;=1,'Pricing Inputs'!$AQ$3&lt;=3),VLOOKUP(A310,ScaledPrice,9),0))</f>
        <v> </v>
      </c>
      <c r="P310" s="280" t="str">
        <f aca="false">IF($A310="N/A"," ",IF('Pricing Inputs'!$AN$8=2,(I310-H310),IF('Pricing Inputs'!$AN$3=2,IF((I310-$H310)&gt;0,I310-$H310,0),(xSPRDOPT(I310,$E310,$BU310,0,$BP310,$BS310,$BT310,($A310-Inputs!$D$1)+15,1,0)))))</f>
        <v> </v>
      </c>
      <c r="Q310" s="280" t="str">
        <f aca="false">IF($A310="N/A"," ",IF('Pricing Inputs'!$AN$8=2,(J310-$H310),IF('Pricing Inputs'!$AN$3=2,IF((J310-$H310)&gt;0,J310-$H310,0),(xSPRDOPT(J310,$E310,$BU310,0,$BP310,$BS310,$BT310,($A310-Inputs!$D$1)+15,1,0)))))</f>
        <v> </v>
      </c>
      <c r="R310" s="280" t="str">
        <f aca="false">IF($A310="N/A"," ",IF('Pricing Inputs'!$AN$8=2,(K310-$H310),IF('Pricing Inputs'!$AN$3=2,IF((K310-$H310)&gt;0,K310-$H310,0),(xSPRDOPT(K310,$E310,$BU310,0,$BP310,$BS310,$BT310,($A310-Inputs!$D$1)+15,1,0)))))</f>
        <v> </v>
      </c>
      <c r="S310" s="280" t="str">
        <f aca="false">IF($A310="N/A"," ",IF('Pricing Inputs'!$AN$8=2,(L310-$H310),IF('Pricing Inputs'!$AN$3=2,IF((L310-$H310)&gt;0,L310-$H310,0),(xSPRDOPT(L310,$E310,$BU310,0,$BP310,$BS310,$BT310,($A310-Inputs!$D$1)+15,1,0)))))</f>
        <v> </v>
      </c>
      <c r="T310" s="280" t="str">
        <f aca="false">IF($A310="N/A"," ",IF('Pricing Inputs'!$AN$8=2,(M310-$H310),IF('Pricing Inputs'!$AN$3=2,IF((M310-$H310)&gt;0,M310-$H310,0),(xSPRDOPT(M310,$E310,$BU310,0,$BP310,$BS310,$BT310,($A310-Inputs!$D$1)+15,1,0)))))</f>
        <v> </v>
      </c>
      <c r="U310" s="280" t="str">
        <f aca="false">IF($A310="N/A"," ",IF('Pricing Inputs'!$AN$8=2,(N310-$H310),IF('Pricing Inputs'!$AN$3=2,IF((N310-$H310)&gt;0,N310-$H310,0),(xSPRDOPT(N310,$E310,$BU310,0,$BP310,$BS310,$BT310,($A310-Inputs!$D$1)+15,1,0)))))</f>
        <v> </v>
      </c>
      <c r="V310" s="281" t="str">
        <f aca="false">IF($A310="N/A"," ",(IF('Pricing Inputs'!$AN$8=2,(O310-$H310),IF((O310-$H310)&lt;=0,0,(O310-$H310)))))</f>
        <v> </v>
      </c>
      <c r="AK310" s="31"/>
      <c r="AL310" s="31"/>
      <c r="AM310" s="31"/>
      <c r="AN310" s="31"/>
      <c r="AO310" s="31"/>
      <c r="AP310" s="31"/>
      <c r="AQ310" s="31"/>
      <c r="AR310" s="31"/>
      <c r="BA310" s="291" t="str">
        <f aca="false">IF($A310="N/A"," ",(IF(MONTH(A310)&gt;=4,IF(MONTH(A310)&lt;=10,Inputs!$F$13,Inputs!$F$14),Inputs!$F$14))*$BW310)</f>
        <v> </v>
      </c>
      <c r="BN310" s="294" t="str">
        <f aca="false">IF(A310="N/A"," ",(VLOOKUP(A310,PowerVolTable,(IF('Pricing Inputs'!$AT$3=2,7,IF('Pricing Inputs'!$AT$3=1,6,8))),FALSE())))</f>
        <v> </v>
      </c>
      <c r="BO310" s="294" t="str">
        <f aca="false">IF(A310="N/A"," ",(VLOOKUP(A310,IntraPowerVol,(IF('Pricing Inputs'!$AT$3=2,3,IF('Pricing Inputs'!$AT$3=1,2,4))),FALSE())*VLOOKUP(MONTH($A310),Inputs!$A$28:$B$39,2)))</f>
        <v> </v>
      </c>
      <c r="BP310" s="295" t="str">
        <f aca="false">IF($A310="N/A"," ",(IF(DateToday&gt;$A310,$BO310,((($BN310^2)*((($A310-1)-DateToday)/((EOMONTH($A310,0)+1)-DateToday-15)))+((($BO310)^2)*((15)/((EOMONTH($A310,0)+1)-DateToday-15))))^0.5)))</f>
        <v> </v>
      </c>
      <c r="BQ310" s="294" t="str">
        <f aca="false">IF($A310="N/A"," ",(VLOOKUP($A310,GasVolTable,(IF('Pricing Inputs'!$AT$3=2,6,IF('Pricing Inputs'!$AT$3=1,7,5))),FALSE())))</f>
        <v> </v>
      </c>
      <c r="BR310" s="294" t="str">
        <f aca="false">IF($A310="N/A"," ",(VLOOKUP($A310,OmicronVol,(IF('Pricing Inputs'!$AT$3=2,3,IF('Pricing Inputs'!$AT$3=1,4,2))),FALSE())))</f>
        <v> </v>
      </c>
      <c r="BS310" s="295" t="str">
        <f aca="false">IF($A310="N/A"," ",IF('Pricing Inputs'!$AN$3=1,(IF(DateToday&gt;$A310,$BR310,((($BQ310^2)*((($A310-1)-DateToday)/((EOMONTH($A310,0)+1)-DateToday-15)))+((($BR310)^2)*((15)/((EOMONTH($A310,0)+1)-DateToday-15))))^0.5)),0.0001))</f>
        <v> </v>
      </c>
      <c r="BT310" s="294" t="str">
        <f aca="false">IF($A310="N/A"," ",IF('Pricing Inputs'!$AN$3=1,(VLOOKUP($A310,CorrelationTable,2,FALSE())),0))</f>
        <v> </v>
      </c>
      <c r="BU310" s="296" t="str">
        <f aca="false">IF($A310="N/A"," ",F310+G310+(D310*(VLOOKUP($A310,'Gas Curves'!$B$17:$P$310,14,FALSE()))))</f>
        <v> </v>
      </c>
      <c r="BV310" s="294" t="str">
        <f aca="false">IF($A310="N/A"," ",IF('Pricing Inputs'!$AW$3=1,0,(VLOOKUP($A310,InterestRatesTable,2))))</f>
        <v> </v>
      </c>
      <c r="BW310" s="297" t="str">
        <f aca="false">IF($A310="N/A"," ",(1+BV310/2)^(-2*((EOMONTH(A310,0)+20)-DateToday)/365.25))</f>
        <v> </v>
      </c>
    </row>
    <row r="311" customFormat="false" ht="12.75" hidden="false" customHeight="false" outlineLevel="0" collapsed="false">
      <c r="A311" s="272" t="str">
        <f aca="false">IF(A310="N/A","N/A",IF(EDATE(A310,1)&gt;Inputs!$K$3,"N/A",EDATE(A310,1)))</f>
        <v>N/A</v>
      </c>
      <c r="B311" s="273" t="str">
        <f aca="false">IF(A311="N/A"," ",YEAR(A311))</f>
        <v> </v>
      </c>
      <c r="C311" s="274" t="str">
        <f aca="false">IF(A311="N/A"," ",VLOOKUP(A311,ScaledPrice,10))</f>
        <v> </v>
      </c>
      <c r="D311" s="275" t="str">
        <f aca="false">IF(A311="N/A"," ",(VLOOKUP(MONTH($A311),Inputs!$A$14:$B$25,2))/1000)</f>
        <v> </v>
      </c>
      <c r="E311" s="276" t="str">
        <f aca="false">IF($A311="N/A"," ",C311*D311)</f>
        <v> </v>
      </c>
      <c r="F311" s="277" t="str">
        <f aca="false">IF(A311="N/A"," ",Inputs!$F$6)</f>
        <v> </v>
      </c>
      <c r="G311" s="277" t="str">
        <f aca="false">IF(A311="N/A"," ",Inputs!$F$9/IF(AND('Pricing Inputs'!$AQ$3&gt;=4,'Pricing Inputs'!$AQ$3&lt;=6),16,IF(AND('Pricing Inputs'!$AQ$3&gt;=7,'Pricing Inputs'!$AQ$3&lt;=9),8,24))/(BA311/BW311))</f>
        <v> </v>
      </c>
      <c r="H311" s="278" t="str">
        <f aca="false">IF(A311="N/A"," ",(C311*D311)+F311+G311)</f>
        <v> </v>
      </c>
      <c r="I311" s="279" t="str">
        <f aca="false">VLOOKUP(A311,ScaledPrice,(IF(AND('Pricing Inputs'!$AQ$3&gt;=1,'Pricing Inputs'!$AQ$3&lt;=6),2,4)))</f>
        <v> </v>
      </c>
      <c r="J311" s="279" t="str">
        <f aca="false">IF(A311="N/A"," ",IF(AND('Pricing Inputs'!$AQ$3&gt;=1,'Pricing Inputs'!$AQ$3&lt;=6),I311,(VLOOKUP(A311,ScaledPrice,2))*(2-(VLOOKUP(A311,ScaledPrice,3)))))</f>
        <v> </v>
      </c>
      <c r="K311" s="279" t="str">
        <f aca="false">IF(A311="N/A"," ",IF(OR('Pricing Inputs'!$AQ$3=2,'Pricing Inputs'!$AQ$3=3,'Pricing Inputs'!$AQ$3=5,'Pricing Inputs'!$AQ$3=6,'Pricing Inputs'!$AQ$3=8,'Pricing Inputs'!$AQ$3=9),VLOOKUP(A311,ScaledPrice,IF(AND('Pricing Inputs'!$AQ$3&gt;=2,'Pricing Inputs'!$AQ$3&lt;=6),5,6)),0))</f>
        <v> </v>
      </c>
      <c r="L311" s="279" t="str">
        <f aca="false">IF(A311="N/A"," ",IF(OR('Pricing Inputs'!$AQ$3=2,'Pricing Inputs'!$AQ$3=3,'Pricing Inputs'!$AQ$3=5,'Pricing Inputs'!$AQ$3=6,'Pricing Inputs'!$AQ$3=8,'Pricing Inputs'!$AQ$3=9),IF(AND('Pricing Inputs'!$AQ$3&gt;=2,'Pricing Inputs'!$AQ$3&lt;=6),K311,(VLOOKUP(A311,ScaledPrice,5))*(2-(VLOOKUP(A311,ScaledPrice,3)))),0))</f>
        <v> </v>
      </c>
      <c r="M311" s="279" t="str">
        <f aca="false">IF(A311="N/A"," ",IF(OR('Pricing Inputs'!$AQ$3=3,'Pricing Inputs'!$AQ$3=6,'Pricing Inputs'!$AQ$3=9),(VLOOKUP(A311,ScaledPrice,IF(AND('Pricing Inputs'!$AQ$3&gt;=3,'Pricing Inputs'!$AQ$3&lt;=6),7,8))),0))</f>
        <v> </v>
      </c>
      <c r="N311" s="279" t="str">
        <f aca="false">IF(A311="N/A"," ",IF(OR('Pricing Inputs'!$AQ$3=3,'Pricing Inputs'!$AQ$3=6,'Pricing Inputs'!$AQ$3=9),IF(AND('Pricing Inputs'!$AQ$3&gt;=3,'Pricing Inputs'!$AQ$3&lt;=6),M311,(VLOOKUP(A311,ScaledPrice,7))*(2-(VLOOKUP(A311,ScaledPrice,3)))),0))</f>
        <v> </v>
      </c>
      <c r="O311" s="279" t="str">
        <f aca="false">IF(A311="N/A"," ",IF(AND('Pricing Inputs'!$AQ$3&gt;=1,'Pricing Inputs'!$AQ$3&lt;=3),VLOOKUP(A311,ScaledPrice,9),0))</f>
        <v> </v>
      </c>
      <c r="P311" s="280" t="str">
        <f aca="false">IF($A311="N/A"," ",IF('Pricing Inputs'!$AN$8=2,(I311-H311),IF('Pricing Inputs'!$AN$3=2,IF((I311-$H311)&gt;0,I311-$H311,0),(xSPRDOPT(I311,$E311,$BU311,0,$BP311,$BS311,$BT311,($A311-Inputs!$D$1)+15,1,0)))))</f>
        <v> </v>
      </c>
      <c r="Q311" s="280" t="str">
        <f aca="false">IF($A311="N/A"," ",IF('Pricing Inputs'!$AN$8=2,(J311-$H311),IF('Pricing Inputs'!$AN$3=2,IF((J311-$H311)&gt;0,J311-$H311,0),(xSPRDOPT(J311,$E311,$BU311,0,$BP311,$BS311,$BT311,($A311-Inputs!$D$1)+15,1,0)))))</f>
        <v> </v>
      </c>
      <c r="R311" s="280" t="str">
        <f aca="false">IF($A311="N/A"," ",IF('Pricing Inputs'!$AN$8=2,(K311-$H311),IF('Pricing Inputs'!$AN$3=2,IF((K311-$H311)&gt;0,K311-$H311,0),(xSPRDOPT(K311,$E311,$BU311,0,$BP311,$BS311,$BT311,($A311-Inputs!$D$1)+15,1,0)))))</f>
        <v> </v>
      </c>
      <c r="S311" s="280" t="str">
        <f aca="false">IF($A311="N/A"," ",IF('Pricing Inputs'!$AN$8=2,(L311-$H311),IF('Pricing Inputs'!$AN$3=2,IF((L311-$H311)&gt;0,L311-$H311,0),(xSPRDOPT(L311,$E311,$BU311,0,$BP311,$BS311,$BT311,($A311-Inputs!$D$1)+15,1,0)))))</f>
        <v> </v>
      </c>
      <c r="T311" s="280" t="str">
        <f aca="false">IF($A311="N/A"," ",IF('Pricing Inputs'!$AN$8=2,(M311-$H311),IF('Pricing Inputs'!$AN$3=2,IF((M311-$H311)&gt;0,M311-$H311,0),(xSPRDOPT(M311,$E311,$BU311,0,$BP311,$BS311,$BT311,($A311-Inputs!$D$1)+15,1,0)))))</f>
        <v> </v>
      </c>
      <c r="U311" s="280" t="str">
        <f aca="false">IF($A311="N/A"," ",IF('Pricing Inputs'!$AN$8=2,(N311-$H311),IF('Pricing Inputs'!$AN$3=2,IF((N311-$H311)&gt;0,N311-$H311,0),(xSPRDOPT(N311,$E311,$BU311,0,$BP311,$BS311,$BT311,($A311-Inputs!$D$1)+15,1,0)))))</f>
        <v> </v>
      </c>
      <c r="V311" s="281" t="str">
        <f aca="false">IF($A311="N/A"," ",(IF('Pricing Inputs'!$AN$8=2,(O311-$H311),IF((O311-$H311)&lt;=0,0,(O311-$H311)))))</f>
        <v> </v>
      </c>
      <c r="AK311" s="31"/>
      <c r="AL311" s="31"/>
      <c r="AM311" s="31"/>
      <c r="AN311" s="31"/>
      <c r="AO311" s="31"/>
      <c r="AP311" s="31"/>
      <c r="AQ311" s="31"/>
      <c r="AR311" s="31"/>
      <c r="BA311" s="291" t="str">
        <f aca="false">IF($A311="N/A"," ",(IF(MONTH(A311)&gt;=4,IF(MONTH(A311)&lt;=10,Inputs!$F$13,Inputs!$F$14),Inputs!$F$14))*$BW311)</f>
        <v> </v>
      </c>
      <c r="BN311" s="294" t="str">
        <f aca="false">IF(A311="N/A"," ",(VLOOKUP(A311,PowerVolTable,(IF('Pricing Inputs'!$AT$3=2,7,IF('Pricing Inputs'!$AT$3=1,6,8))),FALSE())))</f>
        <v> </v>
      </c>
      <c r="BO311" s="294" t="str">
        <f aca="false">IF(A311="N/A"," ",(VLOOKUP(A311,IntraPowerVol,(IF('Pricing Inputs'!$AT$3=2,3,IF('Pricing Inputs'!$AT$3=1,2,4))),FALSE())*VLOOKUP(MONTH($A311),Inputs!$A$28:$B$39,2)))</f>
        <v> </v>
      </c>
      <c r="BP311" s="295" t="str">
        <f aca="false">IF($A311="N/A"," ",(IF(DateToday&gt;$A311,$BO311,((($BN311^2)*((($A311-1)-DateToday)/((EOMONTH($A311,0)+1)-DateToday-15)))+((($BO311)^2)*((15)/((EOMONTH($A311,0)+1)-DateToday-15))))^0.5)))</f>
        <v> </v>
      </c>
      <c r="BQ311" s="294" t="str">
        <f aca="false">IF($A311="N/A"," ",(VLOOKUP($A311,GasVolTable,(IF('Pricing Inputs'!$AT$3=2,6,IF('Pricing Inputs'!$AT$3=1,7,5))),FALSE())))</f>
        <v> </v>
      </c>
      <c r="BR311" s="294" t="str">
        <f aca="false">IF($A311="N/A"," ",(VLOOKUP($A311,OmicronVol,(IF('Pricing Inputs'!$AT$3=2,3,IF('Pricing Inputs'!$AT$3=1,4,2))),FALSE())))</f>
        <v> </v>
      </c>
      <c r="BS311" s="295" t="str">
        <f aca="false">IF($A311="N/A"," ",IF('Pricing Inputs'!$AN$3=1,(IF(DateToday&gt;$A311,$BR311,((($BQ311^2)*((($A311-1)-DateToday)/((EOMONTH($A311,0)+1)-DateToday-15)))+((($BR311)^2)*((15)/((EOMONTH($A311,0)+1)-DateToday-15))))^0.5)),0.0001))</f>
        <v> </v>
      </c>
      <c r="BT311" s="294" t="str">
        <f aca="false">IF($A311="N/A"," ",IF('Pricing Inputs'!$AN$3=1,(VLOOKUP($A311,CorrelationTable,2,FALSE())),0))</f>
        <v> </v>
      </c>
      <c r="BU311" s="296" t="str">
        <f aca="false">IF($A311="N/A"," ",F311+G311+(D311*(VLOOKUP($A311,'Gas Curves'!$B$17:$P$310,14,FALSE()))))</f>
        <v> </v>
      </c>
      <c r="BV311" s="294" t="str">
        <f aca="false">IF($A311="N/A"," ",IF('Pricing Inputs'!$AW$3=1,0,(VLOOKUP($A311,InterestRatesTable,2))))</f>
        <v> </v>
      </c>
      <c r="BW311" s="297" t="str">
        <f aca="false">IF($A311="N/A"," ",(1+BV311/2)^(-2*((EOMONTH(A311,0)+20)-DateToday)/365.25))</f>
        <v> </v>
      </c>
    </row>
    <row r="312" customFormat="false" ht="12.75" hidden="false" customHeight="false" outlineLevel="0" collapsed="false">
      <c r="A312" s="272" t="str">
        <f aca="false">IF(A311="N/A","N/A",IF(EDATE(A311,1)&gt;Inputs!$K$3,"N/A",EDATE(A311,1)))</f>
        <v>N/A</v>
      </c>
      <c r="B312" s="273" t="str">
        <f aca="false">IF(A312="N/A"," ",YEAR(A312))</f>
        <v> </v>
      </c>
      <c r="C312" s="274" t="str">
        <f aca="false">IF(A312="N/A"," ",VLOOKUP(A312,ScaledPrice,10))</f>
        <v> </v>
      </c>
      <c r="D312" s="275" t="str">
        <f aca="false">IF(A312="N/A"," ",(VLOOKUP(MONTH($A312),Inputs!$A$14:$B$25,2))/1000)</f>
        <v> </v>
      </c>
      <c r="E312" s="276" t="str">
        <f aca="false">IF($A312="N/A"," ",C312*D312)</f>
        <v> </v>
      </c>
      <c r="F312" s="277" t="str">
        <f aca="false">IF(A312="N/A"," ",Inputs!$F$6)</f>
        <v> </v>
      </c>
      <c r="G312" s="277" t="str">
        <f aca="false">IF(A312="N/A"," ",Inputs!$F$9/IF(AND('Pricing Inputs'!$AQ$3&gt;=4,'Pricing Inputs'!$AQ$3&lt;=6),16,IF(AND('Pricing Inputs'!$AQ$3&gt;=7,'Pricing Inputs'!$AQ$3&lt;=9),8,24))/(BA312/BW312))</f>
        <v> </v>
      </c>
      <c r="H312" s="278" t="str">
        <f aca="false">IF(A312="N/A"," ",(C312*D312)+F312+G312)</f>
        <v> </v>
      </c>
      <c r="I312" s="279" t="str">
        <f aca="false">VLOOKUP(A312,ScaledPrice,(IF(AND('Pricing Inputs'!$AQ$3&gt;=1,'Pricing Inputs'!$AQ$3&lt;=6),2,4)))</f>
        <v> </v>
      </c>
      <c r="J312" s="279" t="str">
        <f aca="false">IF(A312="N/A"," ",IF(AND('Pricing Inputs'!$AQ$3&gt;=1,'Pricing Inputs'!$AQ$3&lt;=6),I312,(VLOOKUP(A312,ScaledPrice,2))*(2-(VLOOKUP(A312,ScaledPrice,3)))))</f>
        <v> </v>
      </c>
      <c r="K312" s="279" t="str">
        <f aca="false">IF(A312="N/A"," ",IF(OR('Pricing Inputs'!$AQ$3=2,'Pricing Inputs'!$AQ$3=3,'Pricing Inputs'!$AQ$3=5,'Pricing Inputs'!$AQ$3=6,'Pricing Inputs'!$AQ$3=8,'Pricing Inputs'!$AQ$3=9),VLOOKUP(A312,ScaledPrice,IF(AND('Pricing Inputs'!$AQ$3&gt;=2,'Pricing Inputs'!$AQ$3&lt;=6),5,6)),0))</f>
        <v> </v>
      </c>
      <c r="L312" s="279" t="str">
        <f aca="false">IF(A312="N/A"," ",IF(OR('Pricing Inputs'!$AQ$3=2,'Pricing Inputs'!$AQ$3=3,'Pricing Inputs'!$AQ$3=5,'Pricing Inputs'!$AQ$3=6,'Pricing Inputs'!$AQ$3=8,'Pricing Inputs'!$AQ$3=9),IF(AND('Pricing Inputs'!$AQ$3&gt;=2,'Pricing Inputs'!$AQ$3&lt;=6),K312,(VLOOKUP(A312,ScaledPrice,5))*(2-(VLOOKUP(A312,ScaledPrice,3)))),0))</f>
        <v> </v>
      </c>
      <c r="M312" s="279" t="str">
        <f aca="false">IF(A312="N/A"," ",IF(OR('Pricing Inputs'!$AQ$3=3,'Pricing Inputs'!$AQ$3=6,'Pricing Inputs'!$AQ$3=9),(VLOOKUP(A312,ScaledPrice,IF(AND('Pricing Inputs'!$AQ$3&gt;=3,'Pricing Inputs'!$AQ$3&lt;=6),7,8))),0))</f>
        <v> </v>
      </c>
      <c r="N312" s="279" t="str">
        <f aca="false">IF(A312="N/A"," ",IF(OR('Pricing Inputs'!$AQ$3=3,'Pricing Inputs'!$AQ$3=6,'Pricing Inputs'!$AQ$3=9),IF(AND('Pricing Inputs'!$AQ$3&gt;=3,'Pricing Inputs'!$AQ$3&lt;=6),M312,(VLOOKUP(A312,ScaledPrice,7))*(2-(VLOOKUP(A312,ScaledPrice,3)))),0))</f>
        <v> </v>
      </c>
      <c r="O312" s="279" t="str">
        <f aca="false">IF(A312="N/A"," ",IF(AND('Pricing Inputs'!$AQ$3&gt;=1,'Pricing Inputs'!$AQ$3&lt;=3),VLOOKUP(A312,ScaledPrice,9),0))</f>
        <v> </v>
      </c>
      <c r="P312" s="280" t="str">
        <f aca="false">IF($A312="N/A"," ",IF('Pricing Inputs'!$AN$8=2,(I312-H312),IF('Pricing Inputs'!$AN$3=2,IF((I312-$H312)&gt;0,I312-$H312,0),(xSPRDOPT(I312,$E312,$BU312,0,$BP312,$BS312,$BT312,($A312-Inputs!$D$1)+15,1,0)))))</f>
        <v> </v>
      </c>
      <c r="Q312" s="280" t="str">
        <f aca="false">IF($A312="N/A"," ",IF('Pricing Inputs'!$AN$8=2,(J312-$H312),IF('Pricing Inputs'!$AN$3=2,IF((J312-$H312)&gt;0,J312-$H312,0),(xSPRDOPT(J312,$E312,$BU312,0,$BP312,$BS312,$BT312,($A312-Inputs!$D$1)+15,1,0)))))</f>
        <v> </v>
      </c>
      <c r="R312" s="280" t="str">
        <f aca="false">IF($A312="N/A"," ",IF('Pricing Inputs'!$AN$8=2,(K312-$H312),IF('Pricing Inputs'!$AN$3=2,IF((K312-$H312)&gt;0,K312-$H312,0),(xSPRDOPT(K312,$E312,$BU312,0,$BP312,$BS312,$BT312,($A312-Inputs!$D$1)+15,1,0)))))</f>
        <v> </v>
      </c>
      <c r="S312" s="280" t="str">
        <f aca="false">IF($A312="N/A"," ",IF('Pricing Inputs'!$AN$8=2,(L312-$H312),IF('Pricing Inputs'!$AN$3=2,IF((L312-$H312)&gt;0,L312-$H312,0),(xSPRDOPT(L312,$E312,$BU312,0,$BP312,$BS312,$BT312,($A312-Inputs!$D$1)+15,1,0)))))</f>
        <v> </v>
      </c>
      <c r="T312" s="280" t="str">
        <f aca="false">IF($A312="N/A"," ",IF('Pricing Inputs'!$AN$8=2,(M312-$H312),IF('Pricing Inputs'!$AN$3=2,IF((M312-$H312)&gt;0,M312-$H312,0),(xSPRDOPT(M312,$E312,$BU312,0,$BP312,$BS312,$BT312,($A312-Inputs!$D$1)+15,1,0)))))</f>
        <v> </v>
      </c>
      <c r="U312" s="280" t="str">
        <f aca="false">IF($A312="N/A"," ",IF('Pricing Inputs'!$AN$8=2,(N312-$H312),IF('Pricing Inputs'!$AN$3=2,IF((N312-$H312)&gt;0,N312-$H312,0),(xSPRDOPT(N312,$E312,$BU312,0,$BP312,$BS312,$BT312,($A312-Inputs!$D$1)+15,1,0)))))</f>
        <v> </v>
      </c>
      <c r="V312" s="281" t="str">
        <f aca="false">IF($A312="N/A"," ",(IF('Pricing Inputs'!$AN$8=2,(O312-$H312),IF((O312-$H312)&lt;=0,0,(O312-$H312)))))</f>
        <v> </v>
      </c>
      <c r="AK312" s="31"/>
      <c r="AL312" s="31"/>
      <c r="AM312" s="31"/>
      <c r="AN312" s="31"/>
      <c r="AO312" s="31"/>
      <c r="AP312" s="31"/>
      <c r="AQ312" s="31"/>
      <c r="AR312" s="31"/>
      <c r="BA312" s="291" t="str">
        <f aca="false">IF($A312="N/A"," ",(IF(MONTH(A312)&gt;=4,IF(MONTH(A312)&lt;=10,Inputs!$F$13,Inputs!$F$14),Inputs!$F$14))*$BW312)</f>
        <v> </v>
      </c>
      <c r="BN312" s="294" t="str">
        <f aca="false">IF(A312="N/A"," ",(VLOOKUP(A312,PowerVolTable,(IF('Pricing Inputs'!$AT$3=2,7,IF('Pricing Inputs'!$AT$3=1,6,8))),FALSE())))</f>
        <v> </v>
      </c>
      <c r="BO312" s="294" t="str">
        <f aca="false">IF(A312="N/A"," ",(VLOOKUP(A312,IntraPowerVol,(IF('Pricing Inputs'!$AT$3=2,3,IF('Pricing Inputs'!$AT$3=1,2,4))),FALSE())*VLOOKUP(MONTH($A312),Inputs!$A$28:$B$39,2)))</f>
        <v> </v>
      </c>
      <c r="BP312" s="295" t="str">
        <f aca="false">IF($A312="N/A"," ",(IF(DateToday&gt;$A312,$BO312,((($BN312^2)*((($A312-1)-DateToday)/((EOMONTH($A312,0)+1)-DateToday-15)))+((($BO312)^2)*((15)/((EOMONTH($A312,0)+1)-DateToday-15))))^0.5)))</f>
        <v> </v>
      </c>
      <c r="BQ312" s="294" t="str">
        <f aca="false">IF($A312="N/A"," ",(VLOOKUP($A312,GasVolTable,(IF('Pricing Inputs'!$AT$3=2,6,IF('Pricing Inputs'!$AT$3=1,7,5))),FALSE())))</f>
        <v> </v>
      </c>
      <c r="BR312" s="294" t="str">
        <f aca="false">IF($A312="N/A"," ",(VLOOKUP($A312,OmicronVol,(IF('Pricing Inputs'!$AT$3=2,3,IF('Pricing Inputs'!$AT$3=1,4,2))),FALSE())))</f>
        <v> </v>
      </c>
      <c r="BS312" s="295" t="str">
        <f aca="false">IF($A312="N/A"," ",IF('Pricing Inputs'!$AN$3=1,(IF(DateToday&gt;$A312,$BR312,((($BQ312^2)*((($A312-1)-DateToday)/((EOMONTH($A312,0)+1)-DateToday-15)))+((($BR312)^2)*((15)/((EOMONTH($A312,0)+1)-DateToday-15))))^0.5)),0.0001))</f>
        <v> </v>
      </c>
      <c r="BT312" s="294" t="str">
        <f aca="false">IF($A312="N/A"," ",IF('Pricing Inputs'!$AN$3=1,(VLOOKUP($A312,CorrelationTable,2,FALSE())),0))</f>
        <v> </v>
      </c>
      <c r="BU312" s="296" t="str">
        <f aca="false">IF($A312="N/A"," ",F312+G312+(D312*(VLOOKUP($A312,'Gas Curves'!$B$17:$P$310,14,FALSE()))))</f>
        <v> </v>
      </c>
      <c r="BV312" s="294" t="str">
        <f aca="false">IF($A312="N/A"," ",IF('Pricing Inputs'!$AW$3=1,0,(VLOOKUP($A312,InterestRatesTable,2))))</f>
        <v> </v>
      </c>
      <c r="BW312" s="297" t="str">
        <f aca="false">IF($A312="N/A"," ",(1+BV312/2)^(-2*((EOMONTH(A312,0)+20)-DateToday)/365.25))</f>
        <v> </v>
      </c>
    </row>
    <row r="313" customFormat="false" ht="12.75" hidden="false" customHeight="false" outlineLevel="0" collapsed="false">
      <c r="A313" s="272" t="str">
        <f aca="false">IF(A312="N/A","N/A",IF(EDATE(A312,1)&gt;Inputs!$K$3,"N/A",EDATE(A312,1)))</f>
        <v>N/A</v>
      </c>
      <c r="B313" s="273" t="str">
        <f aca="false">IF(A313="N/A"," ",YEAR(A313))</f>
        <v> </v>
      </c>
      <c r="C313" s="274" t="str">
        <f aca="false">IF(A313="N/A"," ",VLOOKUP(A313,ScaledPrice,10))</f>
        <v> </v>
      </c>
      <c r="D313" s="275" t="str">
        <f aca="false">IF(A313="N/A"," ",(VLOOKUP(MONTH($A313),Inputs!$A$14:$B$25,2))/1000)</f>
        <v> </v>
      </c>
      <c r="E313" s="276" t="str">
        <f aca="false">IF($A313="N/A"," ",C313*D313)</f>
        <v> </v>
      </c>
      <c r="F313" s="277" t="str">
        <f aca="false">IF(A313="N/A"," ",Inputs!$F$6)</f>
        <v> </v>
      </c>
      <c r="G313" s="277" t="str">
        <f aca="false">IF(A313="N/A"," ",Inputs!$F$9/IF(AND('Pricing Inputs'!$AQ$3&gt;=4,'Pricing Inputs'!$AQ$3&lt;=6),16,IF(AND('Pricing Inputs'!$AQ$3&gt;=7,'Pricing Inputs'!$AQ$3&lt;=9),8,24))/(BA313/BW313))</f>
        <v> </v>
      </c>
      <c r="H313" s="278" t="str">
        <f aca="false">IF(A313="N/A"," ",(C313*D313)+F313+G313)</f>
        <v> </v>
      </c>
      <c r="I313" s="279" t="str">
        <f aca="false">VLOOKUP(A313,ScaledPrice,(IF(AND('Pricing Inputs'!$AQ$3&gt;=1,'Pricing Inputs'!$AQ$3&lt;=6),2,4)))</f>
        <v> </v>
      </c>
      <c r="J313" s="279" t="str">
        <f aca="false">IF(A313="N/A"," ",IF(AND('Pricing Inputs'!$AQ$3&gt;=1,'Pricing Inputs'!$AQ$3&lt;=6),I313,(VLOOKUP(A313,ScaledPrice,2))*(2-(VLOOKUP(A313,ScaledPrice,3)))))</f>
        <v> </v>
      </c>
      <c r="K313" s="279" t="str">
        <f aca="false">IF(A313="N/A"," ",IF(OR('Pricing Inputs'!$AQ$3=2,'Pricing Inputs'!$AQ$3=3,'Pricing Inputs'!$AQ$3=5,'Pricing Inputs'!$AQ$3=6,'Pricing Inputs'!$AQ$3=8,'Pricing Inputs'!$AQ$3=9),VLOOKUP(A313,ScaledPrice,IF(AND('Pricing Inputs'!$AQ$3&gt;=2,'Pricing Inputs'!$AQ$3&lt;=6),5,6)),0))</f>
        <v> </v>
      </c>
      <c r="L313" s="279" t="str">
        <f aca="false">IF(A313="N/A"," ",IF(OR('Pricing Inputs'!$AQ$3=2,'Pricing Inputs'!$AQ$3=3,'Pricing Inputs'!$AQ$3=5,'Pricing Inputs'!$AQ$3=6,'Pricing Inputs'!$AQ$3=8,'Pricing Inputs'!$AQ$3=9),IF(AND('Pricing Inputs'!$AQ$3&gt;=2,'Pricing Inputs'!$AQ$3&lt;=6),K313,(VLOOKUP(A313,ScaledPrice,5))*(2-(VLOOKUP(A313,ScaledPrice,3)))),0))</f>
        <v> </v>
      </c>
      <c r="M313" s="279" t="str">
        <f aca="false">IF(A313="N/A"," ",IF(OR('Pricing Inputs'!$AQ$3=3,'Pricing Inputs'!$AQ$3=6,'Pricing Inputs'!$AQ$3=9),(VLOOKUP(A313,ScaledPrice,IF(AND('Pricing Inputs'!$AQ$3&gt;=3,'Pricing Inputs'!$AQ$3&lt;=6),7,8))),0))</f>
        <v> </v>
      </c>
      <c r="N313" s="279" t="str">
        <f aca="false">IF(A313="N/A"," ",IF(OR('Pricing Inputs'!$AQ$3=3,'Pricing Inputs'!$AQ$3=6,'Pricing Inputs'!$AQ$3=9),IF(AND('Pricing Inputs'!$AQ$3&gt;=3,'Pricing Inputs'!$AQ$3&lt;=6),M313,(VLOOKUP(A313,ScaledPrice,7))*(2-(VLOOKUP(A313,ScaledPrice,3)))),0))</f>
        <v> </v>
      </c>
      <c r="O313" s="279" t="str">
        <f aca="false">IF(A313="N/A"," ",IF(AND('Pricing Inputs'!$AQ$3&gt;=1,'Pricing Inputs'!$AQ$3&lt;=3),VLOOKUP(A313,ScaledPrice,9),0))</f>
        <v> </v>
      </c>
      <c r="P313" s="280" t="str">
        <f aca="false">IF($A313="N/A"," ",IF('Pricing Inputs'!$AN$8=2,(I313-H313),IF('Pricing Inputs'!$AN$3=2,IF((I313-$H313)&gt;0,I313-$H313,0),(xSPRDOPT(I313,$E313,$BU313,0,$BP313,$BS313,$BT313,($A313-Inputs!$D$1)+15,1,0)))))</f>
        <v> </v>
      </c>
      <c r="Q313" s="280" t="str">
        <f aca="false">IF($A313="N/A"," ",IF('Pricing Inputs'!$AN$8=2,(J313-$H313),IF('Pricing Inputs'!$AN$3=2,IF((J313-$H313)&gt;0,J313-$H313,0),(xSPRDOPT(J313,$E313,$BU313,0,$BP313,$BS313,$BT313,($A313-Inputs!$D$1)+15,1,0)))))</f>
        <v> </v>
      </c>
      <c r="R313" s="280" t="str">
        <f aca="false">IF($A313="N/A"," ",IF('Pricing Inputs'!$AN$8=2,(K313-$H313),IF('Pricing Inputs'!$AN$3=2,IF((K313-$H313)&gt;0,K313-$H313,0),(xSPRDOPT(K313,$E313,$BU313,0,$BP313,$BS313,$BT313,($A313-Inputs!$D$1)+15,1,0)))))</f>
        <v> </v>
      </c>
      <c r="S313" s="280" t="str">
        <f aca="false">IF($A313="N/A"," ",IF('Pricing Inputs'!$AN$8=2,(L313-$H313),IF('Pricing Inputs'!$AN$3=2,IF((L313-$H313)&gt;0,L313-$H313,0),(xSPRDOPT(L313,$E313,$BU313,0,$BP313,$BS313,$BT313,($A313-Inputs!$D$1)+15,1,0)))))</f>
        <v> </v>
      </c>
      <c r="T313" s="280" t="str">
        <f aca="false">IF($A313="N/A"," ",IF('Pricing Inputs'!$AN$8=2,(M313-$H313),IF('Pricing Inputs'!$AN$3=2,IF((M313-$H313)&gt;0,M313-$H313,0),(xSPRDOPT(M313,$E313,$BU313,0,$BP313,$BS313,$BT313,($A313-Inputs!$D$1)+15,1,0)))))</f>
        <v> </v>
      </c>
      <c r="U313" s="280" t="str">
        <f aca="false">IF($A313="N/A"," ",IF('Pricing Inputs'!$AN$8=2,(N313-$H313),IF('Pricing Inputs'!$AN$3=2,IF((N313-$H313)&gt;0,N313-$H313,0),(xSPRDOPT(N313,$E313,$BU313,0,$BP313,$BS313,$BT313,($A313-Inputs!$D$1)+15,1,0)))))</f>
        <v> </v>
      </c>
      <c r="V313" s="281" t="str">
        <f aca="false">IF($A313="N/A"," ",(IF('Pricing Inputs'!$AN$8=2,(O313-$H313),IF((O313-$H313)&lt;=0,0,(O313-$H313)))))</f>
        <v> </v>
      </c>
      <c r="AK313" s="31"/>
      <c r="AL313" s="31"/>
      <c r="AM313" s="31"/>
      <c r="AN313" s="31"/>
      <c r="AO313" s="31"/>
      <c r="AP313" s="31"/>
      <c r="AQ313" s="31"/>
      <c r="AR313" s="31"/>
      <c r="BA313" s="291" t="str">
        <f aca="false">IF($A313="N/A"," ",(IF(MONTH(A313)&gt;=4,IF(MONTH(A313)&lt;=10,Inputs!$F$13,Inputs!$F$14),Inputs!$F$14))*$BW313)</f>
        <v> </v>
      </c>
      <c r="BN313" s="294" t="str">
        <f aca="false">IF(A313="N/A"," ",(VLOOKUP(A313,PowerVolTable,(IF('Pricing Inputs'!$AT$3=2,7,IF('Pricing Inputs'!$AT$3=1,6,8))),FALSE())))</f>
        <v> </v>
      </c>
      <c r="BO313" s="294" t="str">
        <f aca="false">IF(A313="N/A"," ",(VLOOKUP(A313,IntraPowerVol,(IF('Pricing Inputs'!$AT$3=2,3,IF('Pricing Inputs'!$AT$3=1,2,4))),FALSE())*VLOOKUP(MONTH($A313),Inputs!$A$28:$B$39,2)))</f>
        <v> </v>
      </c>
      <c r="BP313" s="295" t="str">
        <f aca="false">IF($A313="N/A"," ",(IF(DateToday&gt;$A313,$BO313,((($BN313^2)*((($A313-1)-DateToday)/((EOMONTH($A313,0)+1)-DateToday-15)))+((($BO313)^2)*((15)/((EOMONTH($A313,0)+1)-DateToday-15))))^0.5)))</f>
        <v> </v>
      </c>
      <c r="BQ313" s="294" t="str">
        <f aca="false">IF($A313="N/A"," ",(VLOOKUP($A313,GasVolTable,(IF('Pricing Inputs'!$AT$3=2,6,IF('Pricing Inputs'!$AT$3=1,7,5))),FALSE())))</f>
        <v> </v>
      </c>
      <c r="BR313" s="294" t="str">
        <f aca="false">IF($A313="N/A"," ",(VLOOKUP($A313,OmicronVol,(IF('Pricing Inputs'!$AT$3=2,3,IF('Pricing Inputs'!$AT$3=1,4,2))),FALSE())))</f>
        <v> </v>
      </c>
      <c r="BS313" s="295" t="str">
        <f aca="false">IF($A313="N/A"," ",IF('Pricing Inputs'!$AN$3=1,(IF(DateToday&gt;$A313,$BR313,((($BQ313^2)*((($A313-1)-DateToday)/((EOMONTH($A313,0)+1)-DateToday-15)))+((($BR313)^2)*((15)/((EOMONTH($A313,0)+1)-DateToday-15))))^0.5)),0.0001))</f>
        <v> </v>
      </c>
      <c r="BT313" s="294" t="str">
        <f aca="false">IF($A313="N/A"," ",IF('Pricing Inputs'!$AN$3=1,(VLOOKUP($A313,CorrelationTable,2,FALSE())),0))</f>
        <v> </v>
      </c>
      <c r="BU313" s="296" t="str">
        <f aca="false">IF($A313="N/A"," ",F313+G313+(D313*(VLOOKUP($A313,'Gas Curves'!$B$17:$P$310,14,FALSE()))))</f>
        <v> </v>
      </c>
      <c r="BV313" s="294" t="str">
        <f aca="false">IF($A313="N/A"," ",IF('Pricing Inputs'!$AW$3=1,0,(VLOOKUP($A313,InterestRatesTable,2))))</f>
        <v> </v>
      </c>
      <c r="BW313" s="297" t="str">
        <f aca="false">IF($A313="N/A"," ",(1+BV313/2)^(-2*((EOMONTH(A313,0)+20)-DateToday)/365.25))</f>
        <v> </v>
      </c>
    </row>
    <row r="314" customFormat="false" ht="12.75" hidden="false" customHeight="false" outlineLevel="0" collapsed="false">
      <c r="A314" s="272" t="str">
        <f aca="false">IF(A313="N/A","N/A",IF(EDATE(A313,1)&gt;Inputs!$K$3,"N/A",EDATE(A313,1)))</f>
        <v>N/A</v>
      </c>
      <c r="B314" s="273" t="str">
        <f aca="false">IF(A314="N/A"," ",YEAR(A314))</f>
        <v> </v>
      </c>
      <c r="C314" s="274" t="str">
        <f aca="false">IF(A314="N/A"," ",VLOOKUP(A314,ScaledPrice,10))</f>
        <v> </v>
      </c>
      <c r="D314" s="275" t="str">
        <f aca="false">IF(A314="N/A"," ",(VLOOKUP(MONTH($A314),Inputs!$A$14:$B$25,2))/1000)</f>
        <v> </v>
      </c>
      <c r="E314" s="276" t="str">
        <f aca="false">IF($A314="N/A"," ",C314*D314)</f>
        <v> </v>
      </c>
      <c r="F314" s="277" t="str">
        <f aca="false">IF(A314="N/A"," ",Inputs!$F$6)</f>
        <v> </v>
      </c>
      <c r="G314" s="277" t="str">
        <f aca="false">IF(A314="N/A"," ",Inputs!$F$9/IF(AND('Pricing Inputs'!$AQ$3&gt;=4,'Pricing Inputs'!$AQ$3&lt;=6),16,IF(AND('Pricing Inputs'!$AQ$3&gt;=7,'Pricing Inputs'!$AQ$3&lt;=9),8,24))/(BA314/BW314))</f>
        <v> </v>
      </c>
      <c r="H314" s="278" t="str">
        <f aca="false">IF(A314="N/A"," ",(C314*D314)+F314+G314)</f>
        <v> </v>
      </c>
      <c r="I314" s="279" t="str">
        <f aca="false">VLOOKUP(A314,ScaledPrice,(IF(AND('Pricing Inputs'!$AQ$3&gt;=1,'Pricing Inputs'!$AQ$3&lt;=6),2,4)))</f>
        <v> </v>
      </c>
      <c r="J314" s="279" t="str">
        <f aca="false">IF(A314="N/A"," ",IF(AND('Pricing Inputs'!$AQ$3&gt;=1,'Pricing Inputs'!$AQ$3&lt;=6),I314,(VLOOKUP(A314,ScaledPrice,2))*(2-(VLOOKUP(A314,ScaledPrice,3)))))</f>
        <v> </v>
      </c>
      <c r="K314" s="279" t="str">
        <f aca="false">IF(A314="N/A"," ",IF(OR('Pricing Inputs'!$AQ$3=2,'Pricing Inputs'!$AQ$3=3,'Pricing Inputs'!$AQ$3=5,'Pricing Inputs'!$AQ$3=6,'Pricing Inputs'!$AQ$3=8,'Pricing Inputs'!$AQ$3=9),VLOOKUP(A314,ScaledPrice,IF(AND('Pricing Inputs'!$AQ$3&gt;=2,'Pricing Inputs'!$AQ$3&lt;=6),5,6)),0))</f>
        <v> </v>
      </c>
      <c r="L314" s="279" t="str">
        <f aca="false">IF(A314="N/A"," ",IF(OR('Pricing Inputs'!$AQ$3=2,'Pricing Inputs'!$AQ$3=3,'Pricing Inputs'!$AQ$3=5,'Pricing Inputs'!$AQ$3=6,'Pricing Inputs'!$AQ$3=8,'Pricing Inputs'!$AQ$3=9),IF(AND('Pricing Inputs'!$AQ$3&gt;=2,'Pricing Inputs'!$AQ$3&lt;=6),K314,(VLOOKUP(A314,ScaledPrice,5))*(2-(VLOOKUP(A314,ScaledPrice,3)))),0))</f>
        <v> </v>
      </c>
      <c r="M314" s="279" t="str">
        <f aca="false">IF(A314="N/A"," ",IF(OR('Pricing Inputs'!$AQ$3=3,'Pricing Inputs'!$AQ$3=6,'Pricing Inputs'!$AQ$3=9),(VLOOKUP(A314,ScaledPrice,IF(AND('Pricing Inputs'!$AQ$3&gt;=3,'Pricing Inputs'!$AQ$3&lt;=6),7,8))),0))</f>
        <v> </v>
      </c>
      <c r="N314" s="279" t="str">
        <f aca="false">IF(A314="N/A"," ",IF(OR('Pricing Inputs'!$AQ$3=3,'Pricing Inputs'!$AQ$3=6,'Pricing Inputs'!$AQ$3=9),IF(AND('Pricing Inputs'!$AQ$3&gt;=3,'Pricing Inputs'!$AQ$3&lt;=6),M314,(VLOOKUP(A314,ScaledPrice,7))*(2-(VLOOKUP(A314,ScaledPrice,3)))),0))</f>
        <v> </v>
      </c>
      <c r="O314" s="279" t="str">
        <f aca="false">IF(A314="N/A"," ",IF(AND('Pricing Inputs'!$AQ$3&gt;=1,'Pricing Inputs'!$AQ$3&lt;=3),VLOOKUP(A314,ScaledPrice,9),0))</f>
        <v> </v>
      </c>
      <c r="P314" s="280" t="str">
        <f aca="false">IF($A314="N/A"," ",IF('Pricing Inputs'!$AN$8=2,(I314-H314),IF('Pricing Inputs'!$AN$3=2,IF((I314-$H314)&gt;0,I314-$H314,0),(xSPRDOPT(I314,$E314,$BU314,0,$BP314,$BS314,$BT314,($A314-Inputs!$D$1)+15,1,0)))))</f>
        <v> </v>
      </c>
      <c r="Q314" s="280" t="str">
        <f aca="false">IF($A314="N/A"," ",IF('Pricing Inputs'!$AN$8=2,(J314-$H314),IF('Pricing Inputs'!$AN$3=2,IF((J314-$H314)&gt;0,J314-$H314,0),(xSPRDOPT(J314,$E314,$BU314,0,$BP314,$BS314,$BT314,($A314-Inputs!$D$1)+15,1,0)))))</f>
        <v> </v>
      </c>
      <c r="R314" s="280" t="str">
        <f aca="false">IF($A314="N/A"," ",IF('Pricing Inputs'!$AN$8=2,(K314-$H314),IF('Pricing Inputs'!$AN$3=2,IF((K314-$H314)&gt;0,K314-$H314,0),(xSPRDOPT(K314,$E314,$BU314,0,$BP314,$BS314,$BT314,($A314-Inputs!$D$1)+15,1,0)))))</f>
        <v> </v>
      </c>
      <c r="S314" s="280" t="str">
        <f aca="false">IF($A314="N/A"," ",IF('Pricing Inputs'!$AN$8=2,(L314-$H314),IF('Pricing Inputs'!$AN$3=2,IF((L314-$H314)&gt;0,L314-$H314,0),(xSPRDOPT(L314,$E314,$BU314,0,$BP314,$BS314,$BT314,($A314-Inputs!$D$1)+15,1,0)))))</f>
        <v> </v>
      </c>
      <c r="T314" s="280" t="str">
        <f aca="false">IF($A314="N/A"," ",IF('Pricing Inputs'!$AN$8=2,(M314-$H314),IF('Pricing Inputs'!$AN$3=2,IF((M314-$H314)&gt;0,M314-$H314,0),(xSPRDOPT(M314,$E314,$BU314,0,$BP314,$BS314,$BT314,($A314-Inputs!$D$1)+15,1,0)))))</f>
        <v> </v>
      </c>
      <c r="U314" s="280" t="str">
        <f aca="false">IF($A314="N/A"," ",IF('Pricing Inputs'!$AN$8=2,(N314-$H314),IF('Pricing Inputs'!$AN$3=2,IF((N314-$H314)&gt;0,N314-$H314,0),(xSPRDOPT(N314,$E314,$BU314,0,$BP314,$BS314,$BT314,($A314-Inputs!$D$1)+15,1,0)))))</f>
        <v> </v>
      </c>
      <c r="V314" s="281" t="str">
        <f aca="false">IF($A314="N/A"," ",(IF('Pricing Inputs'!$AN$8=2,(O314-$H314),IF((O314-$H314)&lt;=0,0,(O314-$H314)))))</f>
        <v> </v>
      </c>
      <c r="AK314" s="31"/>
      <c r="AL314" s="31"/>
      <c r="AM314" s="31"/>
      <c r="AN314" s="31"/>
      <c r="AO314" s="31"/>
      <c r="AP314" s="31"/>
      <c r="AQ314" s="31"/>
      <c r="AR314" s="31"/>
      <c r="BA314" s="291" t="str">
        <f aca="false">IF($A314="N/A"," ",(IF(MONTH(A314)&gt;=4,IF(MONTH(A314)&lt;=10,Inputs!$F$13,Inputs!$F$14),Inputs!$F$14))*$BW314)</f>
        <v> </v>
      </c>
      <c r="BN314" s="294" t="str">
        <f aca="false">IF(A314="N/A"," ",(VLOOKUP(A314,PowerVolTable,(IF('Pricing Inputs'!$AT$3=2,7,IF('Pricing Inputs'!$AT$3=1,6,8))),FALSE())))</f>
        <v> </v>
      </c>
      <c r="BO314" s="294" t="str">
        <f aca="false">IF(A314="N/A"," ",(VLOOKUP(A314,IntraPowerVol,(IF('Pricing Inputs'!$AT$3=2,3,IF('Pricing Inputs'!$AT$3=1,2,4))),FALSE())*VLOOKUP(MONTH($A314),Inputs!$A$28:$B$39,2)))</f>
        <v> </v>
      </c>
      <c r="BP314" s="295" t="str">
        <f aca="false">IF($A314="N/A"," ",(IF(DateToday&gt;$A314,$BO314,((($BN314^2)*((($A314-1)-DateToday)/((EOMONTH($A314,0)+1)-DateToday-15)))+((($BO314)^2)*((15)/((EOMONTH($A314,0)+1)-DateToday-15))))^0.5)))</f>
        <v> </v>
      </c>
      <c r="BQ314" s="294" t="str">
        <f aca="false">IF($A314="N/A"," ",(VLOOKUP($A314,GasVolTable,(IF('Pricing Inputs'!$AT$3=2,6,IF('Pricing Inputs'!$AT$3=1,7,5))),FALSE())))</f>
        <v> </v>
      </c>
      <c r="BR314" s="294" t="str">
        <f aca="false">IF($A314="N/A"," ",(VLOOKUP($A314,OmicronVol,(IF('Pricing Inputs'!$AT$3=2,3,IF('Pricing Inputs'!$AT$3=1,4,2))),FALSE())))</f>
        <v> </v>
      </c>
      <c r="BS314" s="295" t="str">
        <f aca="false">IF($A314="N/A"," ",IF('Pricing Inputs'!$AN$3=1,(IF(DateToday&gt;$A314,$BR314,((($BQ314^2)*((($A314-1)-DateToday)/((EOMONTH($A314,0)+1)-DateToday-15)))+((($BR314)^2)*((15)/((EOMONTH($A314,0)+1)-DateToday-15))))^0.5)),0.0001))</f>
        <v> </v>
      </c>
      <c r="BT314" s="294" t="str">
        <f aca="false">IF($A314="N/A"," ",IF('Pricing Inputs'!$AN$3=1,(VLOOKUP($A314,CorrelationTable,2,FALSE())),0))</f>
        <v> </v>
      </c>
      <c r="BU314" s="296" t="str">
        <f aca="false">IF($A314="N/A"," ",F314+G314+(D314*(VLOOKUP($A314,'Gas Curves'!$B$17:$P$310,14,FALSE()))))</f>
        <v> </v>
      </c>
      <c r="BV314" s="294" t="str">
        <f aca="false">IF($A314="N/A"," ",IF('Pricing Inputs'!$AW$3=1,0,(VLOOKUP($A314,InterestRatesTable,2))))</f>
        <v> </v>
      </c>
      <c r="BW314" s="297" t="str">
        <f aca="false">IF($A314="N/A"," ",(1+BV314/2)^(-2*((EOMONTH(A314,0)+20)-DateToday)/365.25))</f>
        <v> </v>
      </c>
    </row>
    <row r="315" customFormat="false" ht="12.75" hidden="false" customHeight="false" outlineLevel="0" collapsed="false">
      <c r="A315" s="272" t="str">
        <f aca="false">IF(A314="N/A","N/A",IF(EDATE(A314,1)&gt;Inputs!$K$3,"N/A",EDATE(A314,1)))</f>
        <v>N/A</v>
      </c>
      <c r="B315" s="273" t="str">
        <f aca="false">IF(A315="N/A"," ",YEAR(A315))</f>
        <v> </v>
      </c>
      <c r="C315" s="274" t="str">
        <f aca="false">IF(A315="N/A"," ",VLOOKUP(A315,ScaledPrice,10))</f>
        <v> </v>
      </c>
      <c r="D315" s="275" t="str">
        <f aca="false">IF(A315="N/A"," ",(VLOOKUP(MONTH($A315),Inputs!$A$14:$B$25,2))/1000)</f>
        <v> </v>
      </c>
      <c r="E315" s="276" t="str">
        <f aca="false">IF($A315="N/A"," ",C315*D315)</f>
        <v> </v>
      </c>
      <c r="F315" s="277" t="str">
        <f aca="false">IF(A315="N/A"," ",Inputs!$F$6)</f>
        <v> </v>
      </c>
      <c r="G315" s="277" t="str">
        <f aca="false">IF(A315="N/A"," ",Inputs!$F$9/IF(AND('Pricing Inputs'!$AQ$3&gt;=4,'Pricing Inputs'!$AQ$3&lt;=6),16,IF(AND('Pricing Inputs'!$AQ$3&gt;=7,'Pricing Inputs'!$AQ$3&lt;=9),8,24))/(BA315/BW315))</f>
        <v> </v>
      </c>
      <c r="H315" s="278" t="str">
        <f aca="false">IF(A315="N/A"," ",(C315*D315)+F315+G315)</f>
        <v> </v>
      </c>
      <c r="I315" s="279" t="str">
        <f aca="false">VLOOKUP(A315,ScaledPrice,(IF(AND('Pricing Inputs'!$AQ$3&gt;=1,'Pricing Inputs'!$AQ$3&lt;=6),2,4)))</f>
        <v> </v>
      </c>
      <c r="J315" s="279" t="str">
        <f aca="false">IF(A315="N/A"," ",IF(AND('Pricing Inputs'!$AQ$3&gt;=1,'Pricing Inputs'!$AQ$3&lt;=6),I315,(VLOOKUP(A315,ScaledPrice,2))*(2-(VLOOKUP(A315,ScaledPrice,3)))))</f>
        <v> </v>
      </c>
      <c r="K315" s="279" t="str">
        <f aca="false">IF(A315="N/A"," ",IF(OR('Pricing Inputs'!$AQ$3=2,'Pricing Inputs'!$AQ$3=3,'Pricing Inputs'!$AQ$3=5,'Pricing Inputs'!$AQ$3=6,'Pricing Inputs'!$AQ$3=8,'Pricing Inputs'!$AQ$3=9),VLOOKUP(A315,ScaledPrice,IF(AND('Pricing Inputs'!$AQ$3&gt;=2,'Pricing Inputs'!$AQ$3&lt;=6),5,6)),0))</f>
        <v> </v>
      </c>
      <c r="L315" s="279" t="str">
        <f aca="false">IF(A315="N/A"," ",IF(OR('Pricing Inputs'!$AQ$3=2,'Pricing Inputs'!$AQ$3=3,'Pricing Inputs'!$AQ$3=5,'Pricing Inputs'!$AQ$3=6,'Pricing Inputs'!$AQ$3=8,'Pricing Inputs'!$AQ$3=9),IF(AND('Pricing Inputs'!$AQ$3&gt;=2,'Pricing Inputs'!$AQ$3&lt;=6),K315,(VLOOKUP(A315,ScaledPrice,5))*(2-(VLOOKUP(A315,ScaledPrice,3)))),0))</f>
        <v> </v>
      </c>
      <c r="M315" s="279" t="str">
        <f aca="false">IF(A315="N/A"," ",IF(OR('Pricing Inputs'!$AQ$3=3,'Pricing Inputs'!$AQ$3=6,'Pricing Inputs'!$AQ$3=9),(VLOOKUP(A315,ScaledPrice,IF(AND('Pricing Inputs'!$AQ$3&gt;=3,'Pricing Inputs'!$AQ$3&lt;=6),7,8))),0))</f>
        <v> </v>
      </c>
      <c r="N315" s="279" t="str">
        <f aca="false">IF(A315="N/A"," ",IF(OR('Pricing Inputs'!$AQ$3=3,'Pricing Inputs'!$AQ$3=6,'Pricing Inputs'!$AQ$3=9),IF(AND('Pricing Inputs'!$AQ$3&gt;=3,'Pricing Inputs'!$AQ$3&lt;=6),M315,(VLOOKUP(A315,ScaledPrice,7))*(2-(VLOOKUP(A315,ScaledPrice,3)))),0))</f>
        <v> </v>
      </c>
      <c r="O315" s="279" t="str">
        <f aca="false">IF(A315="N/A"," ",IF(AND('Pricing Inputs'!$AQ$3&gt;=1,'Pricing Inputs'!$AQ$3&lt;=3),VLOOKUP(A315,ScaledPrice,9),0))</f>
        <v> </v>
      </c>
      <c r="P315" s="280" t="str">
        <f aca="false">IF($A315="N/A"," ",IF('Pricing Inputs'!$AN$8=2,(I315-H315),IF('Pricing Inputs'!$AN$3=2,IF((I315-$H315)&gt;0,I315-$H315,0),(xSPRDOPT(I315,$E315,$BU315,0,$BP315,$BS315,$BT315,($A315-Inputs!$D$1)+15,1,0)))))</f>
        <v> </v>
      </c>
      <c r="Q315" s="280" t="str">
        <f aca="false">IF($A315="N/A"," ",IF('Pricing Inputs'!$AN$8=2,(J315-$H315),IF('Pricing Inputs'!$AN$3=2,IF((J315-$H315)&gt;0,J315-$H315,0),(xSPRDOPT(J315,$E315,$BU315,0,$BP315,$BS315,$BT315,($A315-Inputs!$D$1)+15,1,0)))))</f>
        <v> </v>
      </c>
      <c r="R315" s="280" t="str">
        <f aca="false">IF($A315="N/A"," ",IF('Pricing Inputs'!$AN$8=2,(K315-$H315),IF('Pricing Inputs'!$AN$3=2,IF((K315-$H315)&gt;0,K315-$H315,0),(xSPRDOPT(K315,$E315,$BU315,0,$BP315,$BS315,$BT315,($A315-Inputs!$D$1)+15,1,0)))))</f>
        <v> </v>
      </c>
      <c r="S315" s="280" t="str">
        <f aca="false">IF($A315="N/A"," ",IF('Pricing Inputs'!$AN$8=2,(L315-$H315),IF('Pricing Inputs'!$AN$3=2,IF((L315-$H315)&gt;0,L315-$H315,0),(xSPRDOPT(L315,$E315,$BU315,0,$BP315,$BS315,$BT315,($A315-Inputs!$D$1)+15,1,0)))))</f>
        <v> </v>
      </c>
      <c r="T315" s="280" t="str">
        <f aca="false">IF($A315="N/A"," ",IF('Pricing Inputs'!$AN$8=2,(M315-$H315),IF('Pricing Inputs'!$AN$3=2,IF((M315-$H315)&gt;0,M315-$H315,0),(xSPRDOPT(M315,$E315,$BU315,0,$BP315,$BS315,$BT315,($A315-Inputs!$D$1)+15,1,0)))))</f>
        <v> </v>
      </c>
      <c r="U315" s="280" t="str">
        <f aca="false">IF($A315="N/A"," ",IF('Pricing Inputs'!$AN$8=2,(N315-$H315),IF('Pricing Inputs'!$AN$3=2,IF((N315-$H315)&gt;0,N315-$H315,0),(xSPRDOPT(N315,$E315,$BU315,0,$BP315,$BS315,$BT315,($A315-Inputs!$D$1)+15,1,0)))))</f>
        <v> </v>
      </c>
      <c r="V315" s="281" t="str">
        <f aca="false">IF($A315="N/A"," ",(IF('Pricing Inputs'!$AN$8=2,(O315-$H315),IF((O315-$H315)&lt;=0,0,(O315-$H315)))))</f>
        <v> </v>
      </c>
      <c r="AK315" s="31"/>
      <c r="AL315" s="31"/>
      <c r="AM315" s="31"/>
      <c r="AN315" s="31"/>
      <c r="AO315" s="31"/>
      <c r="AP315" s="31"/>
      <c r="AQ315" s="31"/>
      <c r="AR315" s="31"/>
      <c r="BA315" s="291" t="str">
        <f aca="false">IF($A315="N/A"," ",(IF(MONTH(A315)&gt;=4,IF(MONTH(A315)&lt;=10,Inputs!$F$13,Inputs!$F$14),Inputs!$F$14))*$BW315)</f>
        <v> </v>
      </c>
      <c r="BN315" s="294" t="str">
        <f aca="false">IF(A315="N/A"," ",(VLOOKUP(A315,PowerVolTable,(IF('Pricing Inputs'!$AT$3=2,7,IF('Pricing Inputs'!$AT$3=1,6,8))),FALSE())))</f>
        <v> </v>
      </c>
      <c r="BO315" s="294" t="str">
        <f aca="false">IF(A315="N/A"," ",(VLOOKUP(A315,IntraPowerVol,(IF('Pricing Inputs'!$AT$3=2,3,IF('Pricing Inputs'!$AT$3=1,2,4))),FALSE())*VLOOKUP(MONTH($A315),Inputs!$A$28:$B$39,2)))</f>
        <v> </v>
      </c>
      <c r="BP315" s="295" t="str">
        <f aca="false">IF($A315="N/A"," ",(IF(DateToday&gt;$A315,$BO315,((($BN315^2)*((($A315-1)-DateToday)/((EOMONTH($A315,0)+1)-DateToday-15)))+((($BO315)^2)*((15)/((EOMONTH($A315,0)+1)-DateToday-15))))^0.5)))</f>
        <v> </v>
      </c>
      <c r="BQ315" s="294" t="str">
        <f aca="false">IF($A315="N/A"," ",(VLOOKUP($A315,GasVolTable,(IF('Pricing Inputs'!$AT$3=2,6,IF('Pricing Inputs'!$AT$3=1,7,5))),FALSE())))</f>
        <v> </v>
      </c>
      <c r="BR315" s="294" t="str">
        <f aca="false">IF($A315="N/A"," ",(VLOOKUP($A315,OmicronVol,(IF('Pricing Inputs'!$AT$3=2,3,IF('Pricing Inputs'!$AT$3=1,4,2))),FALSE())))</f>
        <v> </v>
      </c>
      <c r="BS315" s="295" t="str">
        <f aca="false">IF($A315="N/A"," ",IF('Pricing Inputs'!$AN$3=1,(IF(DateToday&gt;$A315,$BR315,((($BQ315^2)*((($A315-1)-DateToday)/((EOMONTH($A315,0)+1)-DateToday-15)))+((($BR315)^2)*((15)/((EOMONTH($A315,0)+1)-DateToday-15))))^0.5)),0.0001))</f>
        <v> </v>
      </c>
      <c r="BT315" s="294" t="str">
        <f aca="false">IF($A315="N/A"," ",IF('Pricing Inputs'!$AN$3=1,(VLOOKUP($A315,CorrelationTable,2,FALSE())),0))</f>
        <v> </v>
      </c>
      <c r="BU315" s="296" t="str">
        <f aca="false">IF($A315="N/A"," ",F315+G315+(D315*(VLOOKUP($A315,'Gas Curves'!$B$17:$P$310,14,FALSE()))))</f>
        <v> </v>
      </c>
      <c r="BV315" s="294" t="str">
        <f aca="false">IF($A315="N/A"," ",IF('Pricing Inputs'!$AW$3=1,0,(VLOOKUP($A315,InterestRatesTable,2))))</f>
        <v> </v>
      </c>
      <c r="BW315" s="297" t="str">
        <f aca="false">IF($A315="N/A"," ",(1+BV315/2)^(-2*((EOMONTH(A315,0)+20)-DateToday)/365.25))</f>
        <v> </v>
      </c>
    </row>
    <row r="316" customFormat="false" ht="12.75" hidden="false" customHeight="false" outlineLevel="0" collapsed="false">
      <c r="A316" s="272" t="str">
        <f aca="false">IF(A315="N/A","N/A",IF(EDATE(A315,1)&gt;Inputs!$K$3,"N/A",EDATE(A315,1)))</f>
        <v>N/A</v>
      </c>
      <c r="B316" s="273" t="str">
        <f aca="false">IF(A316="N/A"," ",YEAR(A316))</f>
        <v> </v>
      </c>
      <c r="C316" s="274" t="str">
        <f aca="false">IF(A316="N/A"," ",VLOOKUP(A316,ScaledPrice,10))</f>
        <v> </v>
      </c>
      <c r="D316" s="275" t="str">
        <f aca="false">IF(A316="N/A"," ",(VLOOKUP(MONTH($A316),Inputs!$A$14:$B$25,2))/1000)</f>
        <v> </v>
      </c>
      <c r="E316" s="276" t="str">
        <f aca="false">IF($A316="N/A"," ",C316*D316)</f>
        <v> </v>
      </c>
      <c r="F316" s="277" t="str">
        <f aca="false">IF(A316="N/A"," ",Inputs!$F$6)</f>
        <v> </v>
      </c>
      <c r="G316" s="277" t="str">
        <f aca="false">IF(A316="N/A"," ",Inputs!$F$9/IF(AND('Pricing Inputs'!$AQ$3&gt;=4,'Pricing Inputs'!$AQ$3&lt;=6),16,IF(AND('Pricing Inputs'!$AQ$3&gt;=7,'Pricing Inputs'!$AQ$3&lt;=9),8,24))/(BA316/BW316))</f>
        <v> </v>
      </c>
      <c r="H316" s="278" t="str">
        <f aca="false">IF(A316="N/A"," ",(C316*D316)+F316+G316)</f>
        <v> </v>
      </c>
      <c r="I316" s="279" t="str">
        <f aca="false">VLOOKUP(A316,ScaledPrice,(IF(AND('Pricing Inputs'!$AQ$3&gt;=1,'Pricing Inputs'!$AQ$3&lt;=6),2,4)))</f>
        <v> </v>
      </c>
      <c r="J316" s="279" t="str">
        <f aca="false">IF(A316="N/A"," ",IF(AND('Pricing Inputs'!$AQ$3&gt;=1,'Pricing Inputs'!$AQ$3&lt;=6),I316,(VLOOKUP(A316,ScaledPrice,2))*(2-(VLOOKUP(A316,ScaledPrice,3)))))</f>
        <v> </v>
      </c>
      <c r="K316" s="279" t="str">
        <f aca="false">IF(A316="N/A"," ",IF(OR('Pricing Inputs'!$AQ$3=2,'Pricing Inputs'!$AQ$3=3,'Pricing Inputs'!$AQ$3=5,'Pricing Inputs'!$AQ$3=6,'Pricing Inputs'!$AQ$3=8,'Pricing Inputs'!$AQ$3=9),VLOOKUP(A316,ScaledPrice,IF(AND('Pricing Inputs'!$AQ$3&gt;=2,'Pricing Inputs'!$AQ$3&lt;=6),5,6)),0))</f>
        <v> </v>
      </c>
      <c r="L316" s="279" t="str">
        <f aca="false">IF(A316="N/A"," ",IF(OR('Pricing Inputs'!$AQ$3=2,'Pricing Inputs'!$AQ$3=3,'Pricing Inputs'!$AQ$3=5,'Pricing Inputs'!$AQ$3=6,'Pricing Inputs'!$AQ$3=8,'Pricing Inputs'!$AQ$3=9),IF(AND('Pricing Inputs'!$AQ$3&gt;=2,'Pricing Inputs'!$AQ$3&lt;=6),K316,(VLOOKUP(A316,ScaledPrice,5))*(2-(VLOOKUP(A316,ScaledPrice,3)))),0))</f>
        <v> </v>
      </c>
      <c r="M316" s="279" t="str">
        <f aca="false">IF(A316="N/A"," ",IF(OR('Pricing Inputs'!$AQ$3=3,'Pricing Inputs'!$AQ$3=6,'Pricing Inputs'!$AQ$3=9),(VLOOKUP(A316,ScaledPrice,IF(AND('Pricing Inputs'!$AQ$3&gt;=3,'Pricing Inputs'!$AQ$3&lt;=6),7,8))),0))</f>
        <v> </v>
      </c>
      <c r="N316" s="279" t="str">
        <f aca="false">IF(A316="N/A"," ",IF(OR('Pricing Inputs'!$AQ$3=3,'Pricing Inputs'!$AQ$3=6,'Pricing Inputs'!$AQ$3=9),IF(AND('Pricing Inputs'!$AQ$3&gt;=3,'Pricing Inputs'!$AQ$3&lt;=6),M316,(VLOOKUP(A316,ScaledPrice,7))*(2-(VLOOKUP(A316,ScaledPrice,3)))),0))</f>
        <v> </v>
      </c>
      <c r="O316" s="279" t="str">
        <f aca="false">IF(A316="N/A"," ",IF(AND('Pricing Inputs'!$AQ$3&gt;=1,'Pricing Inputs'!$AQ$3&lt;=3),VLOOKUP(A316,ScaledPrice,9),0))</f>
        <v> </v>
      </c>
      <c r="P316" s="280" t="str">
        <f aca="false">IF($A316="N/A"," ",IF('Pricing Inputs'!$AN$8=2,(I316-H316),IF('Pricing Inputs'!$AN$3=2,IF((I316-$H316)&gt;0,I316-$H316,0),(xSPRDOPT(I316,$E316,$BU316,0,$BP316,$BS316,$BT316,($A316-Inputs!$D$1)+15,1,0)))))</f>
        <v> </v>
      </c>
      <c r="Q316" s="280" t="str">
        <f aca="false">IF($A316="N/A"," ",IF('Pricing Inputs'!$AN$8=2,(J316-$H316),IF('Pricing Inputs'!$AN$3=2,IF((J316-$H316)&gt;0,J316-$H316,0),(xSPRDOPT(J316,$E316,$BU316,0,$BP316,$BS316,$BT316,($A316-Inputs!$D$1)+15,1,0)))))</f>
        <v> </v>
      </c>
      <c r="R316" s="280" t="str">
        <f aca="false">IF($A316="N/A"," ",IF('Pricing Inputs'!$AN$8=2,(K316-$H316),IF('Pricing Inputs'!$AN$3=2,IF((K316-$H316)&gt;0,K316-$H316,0),(xSPRDOPT(K316,$E316,$BU316,0,$BP316,$BS316,$BT316,($A316-Inputs!$D$1)+15,1,0)))))</f>
        <v> </v>
      </c>
      <c r="S316" s="280" t="str">
        <f aca="false">IF($A316="N/A"," ",IF('Pricing Inputs'!$AN$8=2,(L316-$H316),IF('Pricing Inputs'!$AN$3=2,IF((L316-$H316)&gt;0,L316-$H316,0),(xSPRDOPT(L316,$E316,$BU316,0,$BP316,$BS316,$BT316,($A316-Inputs!$D$1)+15,1,0)))))</f>
        <v> </v>
      </c>
      <c r="T316" s="280" t="str">
        <f aca="false">IF($A316="N/A"," ",IF('Pricing Inputs'!$AN$8=2,(M316-$H316),IF('Pricing Inputs'!$AN$3=2,IF((M316-$H316)&gt;0,M316-$H316,0),(xSPRDOPT(M316,$E316,$BU316,0,$BP316,$BS316,$BT316,($A316-Inputs!$D$1)+15,1,0)))))</f>
        <v> </v>
      </c>
      <c r="U316" s="280" t="str">
        <f aca="false">IF($A316="N/A"," ",IF('Pricing Inputs'!$AN$8=2,(N316-$H316),IF('Pricing Inputs'!$AN$3=2,IF((N316-$H316)&gt;0,N316-$H316,0),(xSPRDOPT(N316,$E316,$BU316,0,$BP316,$BS316,$BT316,($A316-Inputs!$D$1)+15,1,0)))))</f>
        <v> </v>
      </c>
      <c r="V316" s="281" t="str">
        <f aca="false">IF($A316="N/A"," ",(IF('Pricing Inputs'!$AN$8=2,(O316-$H316),IF((O316-$H316)&lt;=0,0,(O316-$H316)))))</f>
        <v> </v>
      </c>
      <c r="AK316" s="31"/>
      <c r="AL316" s="31"/>
      <c r="AM316" s="31"/>
      <c r="AN316" s="31"/>
      <c r="AO316" s="31"/>
      <c r="AP316" s="31"/>
      <c r="AQ316" s="31"/>
      <c r="AR316" s="31"/>
      <c r="BA316" s="291" t="str">
        <f aca="false">IF($A316="N/A"," ",(IF(MONTH(A316)&gt;=4,IF(MONTH(A316)&lt;=10,Inputs!$F$13,Inputs!$F$14),Inputs!$F$14))*$BW316)</f>
        <v> </v>
      </c>
      <c r="BN316" s="294" t="str">
        <f aca="false">IF(A316="N/A"," ",(VLOOKUP(A316,PowerVolTable,(IF('Pricing Inputs'!$AT$3=2,7,IF('Pricing Inputs'!$AT$3=1,6,8))),FALSE())))</f>
        <v> </v>
      </c>
      <c r="BO316" s="294" t="str">
        <f aca="false">IF(A316="N/A"," ",(VLOOKUP(A316,IntraPowerVol,(IF('Pricing Inputs'!$AT$3=2,3,IF('Pricing Inputs'!$AT$3=1,2,4))),FALSE())*VLOOKUP(MONTH($A316),Inputs!$A$28:$B$39,2)))</f>
        <v> </v>
      </c>
      <c r="BP316" s="295" t="str">
        <f aca="false">IF($A316="N/A"," ",(IF(DateToday&gt;$A316,$BO316,((($BN316^2)*((($A316-1)-DateToday)/((EOMONTH($A316,0)+1)-DateToday-15)))+((($BO316)^2)*((15)/((EOMONTH($A316,0)+1)-DateToday-15))))^0.5)))</f>
        <v> </v>
      </c>
      <c r="BQ316" s="294" t="str">
        <f aca="false">IF($A316="N/A"," ",(VLOOKUP($A316,GasVolTable,(IF('Pricing Inputs'!$AT$3=2,6,IF('Pricing Inputs'!$AT$3=1,7,5))),FALSE())))</f>
        <v> </v>
      </c>
      <c r="BR316" s="294" t="str">
        <f aca="false">IF($A316="N/A"," ",(VLOOKUP($A316,OmicronVol,(IF('Pricing Inputs'!$AT$3=2,3,IF('Pricing Inputs'!$AT$3=1,4,2))),FALSE())))</f>
        <v> </v>
      </c>
      <c r="BS316" s="295" t="str">
        <f aca="false">IF($A316="N/A"," ",IF('Pricing Inputs'!$AN$3=1,(IF(DateToday&gt;$A316,$BR316,((($BQ316^2)*((($A316-1)-DateToday)/((EOMONTH($A316,0)+1)-DateToday-15)))+((($BR316)^2)*((15)/((EOMONTH($A316,0)+1)-DateToday-15))))^0.5)),0.0001))</f>
        <v> </v>
      </c>
      <c r="BT316" s="294" t="str">
        <f aca="false">IF($A316="N/A"," ",IF('Pricing Inputs'!$AN$3=1,(VLOOKUP($A316,CorrelationTable,2,FALSE())),0))</f>
        <v> </v>
      </c>
      <c r="BU316" s="296" t="str">
        <f aca="false">IF($A316="N/A"," ",F316+G316+(D316*(VLOOKUP($A316,'Gas Curves'!$B$17:$P$310,14,FALSE()))))</f>
        <v> </v>
      </c>
      <c r="BV316" s="294" t="str">
        <f aca="false">IF($A316="N/A"," ",IF('Pricing Inputs'!$AW$3=1,0,(VLOOKUP($A316,InterestRatesTable,2))))</f>
        <v> </v>
      </c>
      <c r="BW316" s="297" t="str">
        <f aca="false">IF($A316="N/A"," ",(1+BV316/2)^(-2*((EOMONTH(A316,0)+20)-DateToday)/365.25))</f>
        <v> </v>
      </c>
    </row>
    <row r="317" customFormat="false" ht="12.75" hidden="false" customHeight="false" outlineLevel="0" collapsed="false">
      <c r="A317" s="272" t="str">
        <f aca="false">IF(A316="N/A","N/A",IF(EDATE(A316,1)&gt;Inputs!$K$3,"N/A",EDATE(A316,1)))</f>
        <v>N/A</v>
      </c>
      <c r="B317" s="273" t="str">
        <f aca="false">IF(A317="N/A"," ",YEAR(A317))</f>
        <v> </v>
      </c>
      <c r="C317" s="274" t="str">
        <f aca="false">IF(A317="N/A"," ",VLOOKUP(A317,ScaledPrice,10))</f>
        <v> </v>
      </c>
      <c r="D317" s="275" t="str">
        <f aca="false">IF(A317="N/A"," ",(VLOOKUP(MONTH($A317),Inputs!$A$14:$B$25,2))/1000)</f>
        <v> </v>
      </c>
      <c r="E317" s="276" t="str">
        <f aca="false">IF($A317="N/A"," ",C317*D317)</f>
        <v> </v>
      </c>
      <c r="F317" s="277" t="str">
        <f aca="false">IF(A317="N/A"," ",Inputs!$F$6)</f>
        <v> </v>
      </c>
      <c r="G317" s="277" t="str">
        <f aca="false">IF(A317="N/A"," ",Inputs!$F$9/IF(AND('Pricing Inputs'!$AQ$3&gt;=4,'Pricing Inputs'!$AQ$3&lt;=6),16,IF(AND('Pricing Inputs'!$AQ$3&gt;=7,'Pricing Inputs'!$AQ$3&lt;=9),8,24))/(BA317/BW317))</f>
        <v> </v>
      </c>
      <c r="H317" s="278" t="str">
        <f aca="false">IF(A317="N/A"," ",(C317*D317)+F317+G317)</f>
        <v> </v>
      </c>
      <c r="I317" s="279" t="str">
        <f aca="false">VLOOKUP(A317,ScaledPrice,(IF(AND('Pricing Inputs'!$AQ$3&gt;=1,'Pricing Inputs'!$AQ$3&lt;=6),2,4)))</f>
        <v> </v>
      </c>
      <c r="J317" s="279" t="str">
        <f aca="false">IF(A317="N/A"," ",IF(AND('Pricing Inputs'!$AQ$3&gt;=1,'Pricing Inputs'!$AQ$3&lt;=6),I317,(VLOOKUP(A317,ScaledPrice,2))*(2-(VLOOKUP(A317,ScaledPrice,3)))))</f>
        <v> </v>
      </c>
      <c r="K317" s="279" t="str">
        <f aca="false">IF(A317="N/A"," ",IF(OR('Pricing Inputs'!$AQ$3=2,'Pricing Inputs'!$AQ$3=3,'Pricing Inputs'!$AQ$3=5,'Pricing Inputs'!$AQ$3=6,'Pricing Inputs'!$AQ$3=8,'Pricing Inputs'!$AQ$3=9),VLOOKUP(A317,ScaledPrice,IF(AND('Pricing Inputs'!$AQ$3&gt;=2,'Pricing Inputs'!$AQ$3&lt;=6),5,6)),0))</f>
        <v> </v>
      </c>
      <c r="L317" s="279" t="str">
        <f aca="false">IF(A317="N/A"," ",IF(OR('Pricing Inputs'!$AQ$3=2,'Pricing Inputs'!$AQ$3=3,'Pricing Inputs'!$AQ$3=5,'Pricing Inputs'!$AQ$3=6,'Pricing Inputs'!$AQ$3=8,'Pricing Inputs'!$AQ$3=9),IF(AND('Pricing Inputs'!$AQ$3&gt;=2,'Pricing Inputs'!$AQ$3&lt;=6),K317,(VLOOKUP(A317,ScaledPrice,5))*(2-(VLOOKUP(A317,ScaledPrice,3)))),0))</f>
        <v> </v>
      </c>
      <c r="M317" s="279" t="str">
        <f aca="false">IF(A317="N/A"," ",IF(OR('Pricing Inputs'!$AQ$3=3,'Pricing Inputs'!$AQ$3=6,'Pricing Inputs'!$AQ$3=9),(VLOOKUP(A317,ScaledPrice,IF(AND('Pricing Inputs'!$AQ$3&gt;=3,'Pricing Inputs'!$AQ$3&lt;=6),7,8))),0))</f>
        <v> </v>
      </c>
      <c r="N317" s="279" t="str">
        <f aca="false">IF(A317="N/A"," ",IF(OR('Pricing Inputs'!$AQ$3=3,'Pricing Inputs'!$AQ$3=6,'Pricing Inputs'!$AQ$3=9),IF(AND('Pricing Inputs'!$AQ$3&gt;=3,'Pricing Inputs'!$AQ$3&lt;=6),M317,(VLOOKUP(A317,ScaledPrice,7))*(2-(VLOOKUP(A317,ScaledPrice,3)))),0))</f>
        <v> </v>
      </c>
      <c r="O317" s="279" t="str">
        <f aca="false">IF(A317="N/A"," ",IF(AND('Pricing Inputs'!$AQ$3&gt;=1,'Pricing Inputs'!$AQ$3&lt;=3),VLOOKUP(A317,ScaledPrice,9),0))</f>
        <v> </v>
      </c>
      <c r="P317" s="280" t="str">
        <f aca="false">IF($A317="N/A"," ",IF('Pricing Inputs'!$AN$8=2,(I317-H317),IF('Pricing Inputs'!$AN$3=2,IF((I317-$H317)&gt;0,I317-$H317,0),(xSPRDOPT(I317,$E317,$BU317,0,$BP317,$BS317,$BT317,($A317-Inputs!$D$1)+15,1,0)))))</f>
        <v> </v>
      </c>
      <c r="Q317" s="280" t="str">
        <f aca="false">IF($A317="N/A"," ",IF('Pricing Inputs'!$AN$8=2,(J317-$H317),IF('Pricing Inputs'!$AN$3=2,IF((J317-$H317)&gt;0,J317-$H317,0),(xSPRDOPT(J317,$E317,$BU317,0,$BP317,$BS317,$BT317,($A317-Inputs!$D$1)+15,1,0)))))</f>
        <v> </v>
      </c>
      <c r="R317" s="280" t="str">
        <f aca="false">IF($A317="N/A"," ",IF('Pricing Inputs'!$AN$8=2,(K317-$H317),IF('Pricing Inputs'!$AN$3=2,IF((K317-$H317)&gt;0,K317-$H317,0),(xSPRDOPT(K317,$E317,$BU317,0,$BP317,$BS317,$BT317,($A317-Inputs!$D$1)+15,1,0)))))</f>
        <v> </v>
      </c>
      <c r="S317" s="280" t="str">
        <f aca="false">IF($A317="N/A"," ",IF('Pricing Inputs'!$AN$8=2,(L317-$H317),IF('Pricing Inputs'!$AN$3=2,IF((L317-$H317)&gt;0,L317-$H317,0),(xSPRDOPT(L317,$E317,$BU317,0,$BP317,$BS317,$BT317,($A317-Inputs!$D$1)+15,1,0)))))</f>
        <v> </v>
      </c>
      <c r="T317" s="280" t="str">
        <f aca="false">IF($A317="N/A"," ",IF('Pricing Inputs'!$AN$8=2,(M317-$H317),IF('Pricing Inputs'!$AN$3=2,IF((M317-$H317)&gt;0,M317-$H317,0),(xSPRDOPT(M317,$E317,$BU317,0,$BP317,$BS317,$BT317,($A317-Inputs!$D$1)+15,1,0)))))</f>
        <v> </v>
      </c>
      <c r="U317" s="280" t="str">
        <f aca="false">IF($A317="N/A"," ",IF('Pricing Inputs'!$AN$8=2,(N317-$H317),IF('Pricing Inputs'!$AN$3=2,IF((N317-$H317)&gt;0,N317-$H317,0),(xSPRDOPT(N317,$E317,$BU317,0,$BP317,$BS317,$BT317,($A317-Inputs!$D$1)+15,1,0)))))</f>
        <v> </v>
      </c>
      <c r="V317" s="281" t="str">
        <f aca="false">IF($A317="N/A"," ",(IF('Pricing Inputs'!$AN$8=2,(O317-$H317),IF((O317-$H317)&lt;=0,0,(O317-$H317)))))</f>
        <v> </v>
      </c>
      <c r="AK317" s="31"/>
      <c r="AL317" s="31"/>
      <c r="AM317" s="31"/>
      <c r="AN317" s="31"/>
      <c r="AO317" s="31"/>
      <c r="AP317" s="31"/>
      <c r="AQ317" s="31"/>
      <c r="AR317" s="31"/>
      <c r="BA317" s="291" t="str">
        <f aca="false">IF($A317="N/A"," ",(IF(MONTH(A317)&gt;=4,IF(MONTH(A317)&lt;=10,Inputs!$F$13,Inputs!$F$14),Inputs!$F$14))*$BW317)</f>
        <v> </v>
      </c>
      <c r="BN317" s="294" t="str">
        <f aca="false">IF(A317="N/A"," ",(VLOOKUP(A317,PowerVolTable,(IF('Pricing Inputs'!$AT$3=2,7,IF('Pricing Inputs'!$AT$3=1,6,8))),FALSE())))</f>
        <v> </v>
      </c>
      <c r="BO317" s="294" t="str">
        <f aca="false">IF(A317="N/A"," ",(VLOOKUP(A317,IntraPowerVol,(IF('Pricing Inputs'!$AT$3=2,3,IF('Pricing Inputs'!$AT$3=1,2,4))),FALSE())*VLOOKUP(MONTH($A317),Inputs!$A$28:$B$39,2)))</f>
        <v> </v>
      </c>
      <c r="BP317" s="295" t="str">
        <f aca="false">IF($A317="N/A"," ",(IF(DateToday&gt;$A317,$BO317,((($BN317^2)*((($A317-1)-DateToday)/((EOMONTH($A317,0)+1)-DateToday-15)))+((($BO317)^2)*((15)/((EOMONTH($A317,0)+1)-DateToday-15))))^0.5)))</f>
        <v> </v>
      </c>
      <c r="BQ317" s="294" t="str">
        <f aca="false">IF($A317="N/A"," ",(VLOOKUP($A317,GasVolTable,(IF('Pricing Inputs'!$AT$3=2,6,IF('Pricing Inputs'!$AT$3=1,7,5))),FALSE())))</f>
        <v> </v>
      </c>
      <c r="BR317" s="294" t="str">
        <f aca="false">IF($A317="N/A"," ",(VLOOKUP($A317,OmicronVol,(IF('Pricing Inputs'!$AT$3=2,3,IF('Pricing Inputs'!$AT$3=1,4,2))),FALSE())))</f>
        <v> </v>
      </c>
      <c r="BS317" s="295" t="str">
        <f aca="false">IF($A317="N/A"," ",IF('Pricing Inputs'!$AN$3=1,(IF(DateToday&gt;$A317,$BR317,((($BQ317^2)*((($A317-1)-DateToday)/((EOMONTH($A317,0)+1)-DateToday-15)))+((($BR317)^2)*((15)/((EOMONTH($A317,0)+1)-DateToday-15))))^0.5)),0.0001))</f>
        <v> </v>
      </c>
      <c r="BT317" s="294" t="str">
        <f aca="false">IF($A317="N/A"," ",IF('Pricing Inputs'!$AN$3=1,(VLOOKUP($A317,CorrelationTable,2,FALSE())),0))</f>
        <v> </v>
      </c>
      <c r="BU317" s="296" t="str">
        <f aca="false">IF($A317="N/A"," ",F317+G317+(D317*(VLOOKUP($A317,'Gas Curves'!$B$17:$P$310,14,FALSE()))))</f>
        <v> </v>
      </c>
      <c r="BV317" s="294" t="str">
        <f aca="false">IF($A317="N/A"," ",IF('Pricing Inputs'!$AW$3=1,0,(VLOOKUP($A317,InterestRatesTable,2))))</f>
        <v> </v>
      </c>
      <c r="BW317" s="297" t="str">
        <f aca="false">IF($A317="N/A"," ",(1+BV317/2)^(-2*((EOMONTH(A317,0)+20)-DateToday)/365.25))</f>
        <v> </v>
      </c>
    </row>
    <row r="318" customFormat="false" ht="12.75" hidden="false" customHeight="false" outlineLevel="0" collapsed="false">
      <c r="A318" s="272" t="str">
        <f aca="false">IF(A317="N/A","N/A",IF(EDATE(A317,1)&gt;Inputs!$K$3,"N/A",EDATE(A317,1)))</f>
        <v>N/A</v>
      </c>
      <c r="B318" s="273" t="str">
        <f aca="false">IF(A318="N/A"," ",YEAR(A318))</f>
        <v> </v>
      </c>
      <c r="C318" s="274" t="str">
        <f aca="false">IF(A318="N/A"," ",VLOOKUP(A318,ScaledPrice,10))</f>
        <v> </v>
      </c>
      <c r="D318" s="275" t="str">
        <f aca="false">IF(A318="N/A"," ",(VLOOKUP(MONTH($A318),Inputs!$A$14:$B$25,2))/1000)</f>
        <v> </v>
      </c>
      <c r="E318" s="276" t="str">
        <f aca="false">IF($A318="N/A"," ",C318*D318)</f>
        <v> </v>
      </c>
      <c r="F318" s="277" t="str">
        <f aca="false">IF(A318="N/A"," ",Inputs!$F$6)</f>
        <v> </v>
      </c>
      <c r="G318" s="277" t="str">
        <f aca="false">IF(A318="N/A"," ",Inputs!$F$9/IF(AND('Pricing Inputs'!$AQ$3&gt;=4,'Pricing Inputs'!$AQ$3&lt;=6),16,IF(AND('Pricing Inputs'!$AQ$3&gt;=7,'Pricing Inputs'!$AQ$3&lt;=9),8,24))/(BA318/BW318))</f>
        <v> </v>
      </c>
      <c r="H318" s="278" t="str">
        <f aca="false">IF(A318="N/A"," ",(C318*D318)+F318+G318)</f>
        <v> </v>
      </c>
      <c r="I318" s="279" t="str">
        <f aca="false">VLOOKUP(A318,ScaledPrice,(IF(AND('Pricing Inputs'!$AQ$3&gt;=1,'Pricing Inputs'!$AQ$3&lt;=6),2,4)))</f>
        <v> </v>
      </c>
      <c r="J318" s="279" t="str">
        <f aca="false">IF(A318="N/A"," ",IF(AND('Pricing Inputs'!$AQ$3&gt;=1,'Pricing Inputs'!$AQ$3&lt;=6),I318,(VLOOKUP(A318,ScaledPrice,2))*(2-(VLOOKUP(A318,ScaledPrice,3)))))</f>
        <v> </v>
      </c>
      <c r="K318" s="279" t="str">
        <f aca="false">IF(A318="N/A"," ",IF(OR('Pricing Inputs'!$AQ$3=2,'Pricing Inputs'!$AQ$3=3,'Pricing Inputs'!$AQ$3=5,'Pricing Inputs'!$AQ$3=6,'Pricing Inputs'!$AQ$3=8,'Pricing Inputs'!$AQ$3=9),VLOOKUP(A318,ScaledPrice,IF(AND('Pricing Inputs'!$AQ$3&gt;=2,'Pricing Inputs'!$AQ$3&lt;=6),5,6)),0))</f>
        <v> </v>
      </c>
      <c r="L318" s="279" t="str">
        <f aca="false">IF(A318="N/A"," ",IF(OR('Pricing Inputs'!$AQ$3=2,'Pricing Inputs'!$AQ$3=3,'Pricing Inputs'!$AQ$3=5,'Pricing Inputs'!$AQ$3=6,'Pricing Inputs'!$AQ$3=8,'Pricing Inputs'!$AQ$3=9),IF(AND('Pricing Inputs'!$AQ$3&gt;=2,'Pricing Inputs'!$AQ$3&lt;=6),K318,(VLOOKUP(A318,ScaledPrice,5))*(2-(VLOOKUP(A318,ScaledPrice,3)))),0))</f>
        <v> </v>
      </c>
      <c r="M318" s="279" t="str">
        <f aca="false">IF(A318="N/A"," ",IF(OR('Pricing Inputs'!$AQ$3=3,'Pricing Inputs'!$AQ$3=6,'Pricing Inputs'!$AQ$3=9),(VLOOKUP(A318,ScaledPrice,IF(AND('Pricing Inputs'!$AQ$3&gt;=3,'Pricing Inputs'!$AQ$3&lt;=6),7,8))),0))</f>
        <v> </v>
      </c>
      <c r="N318" s="279" t="str">
        <f aca="false">IF(A318="N/A"," ",IF(OR('Pricing Inputs'!$AQ$3=3,'Pricing Inputs'!$AQ$3=6,'Pricing Inputs'!$AQ$3=9),IF(AND('Pricing Inputs'!$AQ$3&gt;=3,'Pricing Inputs'!$AQ$3&lt;=6),M318,(VLOOKUP(A318,ScaledPrice,7))*(2-(VLOOKUP(A318,ScaledPrice,3)))),0))</f>
        <v> </v>
      </c>
      <c r="O318" s="279" t="str">
        <f aca="false">IF(A318="N/A"," ",IF(AND('Pricing Inputs'!$AQ$3&gt;=1,'Pricing Inputs'!$AQ$3&lt;=3),VLOOKUP(A318,ScaledPrice,9),0))</f>
        <v> </v>
      </c>
      <c r="P318" s="280" t="str">
        <f aca="false">IF($A318="N/A"," ",IF('Pricing Inputs'!$AN$8=2,(I318-H318),IF('Pricing Inputs'!$AN$3=2,IF((I318-$H318)&gt;0,I318-$H318,0),(xSPRDOPT(I318,$E318,$BU318,0,$BP318,$BS318,$BT318,($A318-Inputs!$D$1)+15,1,0)))))</f>
        <v> </v>
      </c>
      <c r="Q318" s="280" t="str">
        <f aca="false">IF($A318="N/A"," ",IF('Pricing Inputs'!$AN$8=2,(J318-$H318),IF('Pricing Inputs'!$AN$3=2,IF((J318-$H318)&gt;0,J318-$H318,0),(xSPRDOPT(J318,$E318,$BU318,0,$BP318,$BS318,$BT318,($A318-Inputs!$D$1)+15,1,0)))))</f>
        <v> </v>
      </c>
      <c r="R318" s="280" t="str">
        <f aca="false">IF($A318="N/A"," ",IF('Pricing Inputs'!$AN$8=2,(K318-$H318),IF('Pricing Inputs'!$AN$3=2,IF((K318-$H318)&gt;0,K318-$H318,0),(xSPRDOPT(K318,$E318,$BU318,0,$BP318,$BS318,$BT318,($A318-Inputs!$D$1)+15,1,0)))))</f>
        <v> </v>
      </c>
      <c r="S318" s="280" t="str">
        <f aca="false">IF($A318="N/A"," ",IF('Pricing Inputs'!$AN$8=2,(L318-$H318),IF('Pricing Inputs'!$AN$3=2,IF((L318-$H318)&gt;0,L318-$H318,0),(xSPRDOPT(L318,$E318,$BU318,0,$BP318,$BS318,$BT318,($A318-Inputs!$D$1)+15,1,0)))))</f>
        <v> </v>
      </c>
      <c r="T318" s="280" t="str">
        <f aca="false">IF($A318="N/A"," ",IF('Pricing Inputs'!$AN$8=2,(M318-$H318),IF('Pricing Inputs'!$AN$3=2,IF((M318-$H318)&gt;0,M318-$H318,0),(xSPRDOPT(M318,$E318,$BU318,0,$BP318,$BS318,$BT318,($A318-Inputs!$D$1)+15,1,0)))))</f>
        <v> </v>
      </c>
      <c r="U318" s="280" t="str">
        <f aca="false">IF($A318="N/A"," ",IF('Pricing Inputs'!$AN$8=2,(N318-$H318),IF('Pricing Inputs'!$AN$3=2,IF((N318-$H318)&gt;0,N318-$H318,0),(xSPRDOPT(N318,$E318,$BU318,0,$BP318,$BS318,$BT318,($A318-Inputs!$D$1)+15,1,0)))))</f>
        <v> </v>
      </c>
      <c r="V318" s="281" t="str">
        <f aca="false">IF($A318="N/A"," ",(IF('Pricing Inputs'!$AN$8=2,(O318-$H318),IF((O318-$H318)&lt;=0,0,(O318-$H318)))))</f>
        <v> </v>
      </c>
      <c r="AK318" s="31"/>
      <c r="AL318" s="31"/>
      <c r="AM318" s="31"/>
      <c r="AN318" s="31"/>
      <c r="AO318" s="31"/>
      <c r="AP318" s="31"/>
      <c r="AQ318" s="31"/>
      <c r="AR318" s="31"/>
      <c r="BA318" s="291" t="str">
        <f aca="false">IF($A318="N/A"," ",(IF(MONTH(A318)&gt;=4,IF(MONTH(A318)&lt;=10,Inputs!$F$13,Inputs!$F$14),Inputs!$F$14))*$BW318)</f>
        <v> </v>
      </c>
      <c r="BN318" s="294" t="str">
        <f aca="false">IF(A318="N/A"," ",(VLOOKUP(A318,PowerVolTable,(IF('Pricing Inputs'!$AT$3=2,7,IF('Pricing Inputs'!$AT$3=1,6,8))),FALSE())))</f>
        <v> </v>
      </c>
      <c r="BO318" s="294" t="str">
        <f aca="false">IF(A318="N/A"," ",(VLOOKUP(A318,IntraPowerVol,(IF('Pricing Inputs'!$AT$3=2,3,IF('Pricing Inputs'!$AT$3=1,2,4))),FALSE())*VLOOKUP(MONTH($A318),Inputs!$A$28:$B$39,2)))</f>
        <v> </v>
      </c>
      <c r="BP318" s="295" t="str">
        <f aca="false">IF($A318="N/A"," ",(IF(DateToday&gt;$A318,$BO318,((($BN318^2)*((($A318-1)-DateToday)/((EOMONTH($A318,0)+1)-DateToday-15)))+((($BO318)^2)*((15)/((EOMONTH($A318,0)+1)-DateToday-15))))^0.5)))</f>
        <v> </v>
      </c>
      <c r="BQ318" s="294" t="str">
        <f aca="false">IF($A318="N/A"," ",(VLOOKUP($A318,GasVolTable,(IF('Pricing Inputs'!$AT$3=2,6,IF('Pricing Inputs'!$AT$3=1,7,5))),FALSE())))</f>
        <v> </v>
      </c>
      <c r="BR318" s="294" t="str">
        <f aca="false">IF($A318="N/A"," ",(VLOOKUP($A318,OmicronVol,(IF('Pricing Inputs'!$AT$3=2,3,IF('Pricing Inputs'!$AT$3=1,4,2))),FALSE())))</f>
        <v> </v>
      </c>
      <c r="BS318" s="295" t="str">
        <f aca="false">IF($A318="N/A"," ",IF('Pricing Inputs'!$AN$3=1,(IF(DateToday&gt;$A318,$BR318,((($BQ318^2)*((($A318-1)-DateToday)/((EOMONTH($A318,0)+1)-DateToday-15)))+((($BR318)^2)*((15)/((EOMONTH($A318,0)+1)-DateToday-15))))^0.5)),0.0001))</f>
        <v> </v>
      </c>
      <c r="BT318" s="294" t="str">
        <f aca="false">IF($A318="N/A"," ",IF('Pricing Inputs'!$AN$3=1,(VLOOKUP($A318,CorrelationTable,2,FALSE())),0))</f>
        <v> </v>
      </c>
      <c r="BU318" s="296" t="str">
        <f aca="false">IF($A318="N/A"," ",F318+G318+(D318*(VLOOKUP($A318,'Gas Curves'!$B$17:$P$310,14,FALSE()))))</f>
        <v> </v>
      </c>
      <c r="BV318" s="294" t="str">
        <f aca="false">IF($A318="N/A"," ",IF('Pricing Inputs'!$AW$3=1,0,(VLOOKUP($A318,InterestRatesTable,2))))</f>
        <v> </v>
      </c>
      <c r="BW318" s="297" t="str">
        <f aca="false">IF($A318="N/A"," ",(1+BV318/2)^(-2*((EOMONTH(A318,0)+20)-DateToday)/365.25))</f>
        <v> </v>
      </c>
    </row>
    <row r="319" customFormat="false" ht="12.75" hidden="false" customHeight="false" outlineLevel="0" collapsed="false">
      <c r="A319" s="272" t="str">
        <f aca="false">IF(A318="N/A","N/A",IF(EDATE(A318,1)&gt;Inputs!$K$3,"N/A",EDATE(A318,1)))</f>
        <v>N/A</v>
      </c>
      <c r="B319" s="273" t="str">
        <f aca="false">IF(A319="N/A"," ",YEAR(A319))</f>
        <v> </v>
      </c>
      <c r="C319" s="274" t="str">
        <f aca="false">IF(A319="N/A"," ",VLOOKUP(A319,ScaledPrice,10))</f>
        <v> </v>
      </c>
      <c r="D319" s="275" t="str">
        <f aca="false">IF(A319="N/A"," ",(VLOOKUP(MONTH($A319),Inputs!$A$14:$B$25,2))/1000)</f>
        <v> </v>
      </c>
      <c r="E319" s="276" t="str">
        <f aca="false">IF($A319="N/A"," ",C319*D319)</f>
        <v> </v>
      </c>
      <c r="F319" s="277" t="str">
        <f aca="false">IF(A319="N/A"," ",Inputs!$F$6)</f>
        <v> </v>
      </c>
      <c r="G319" s="277" t="str">
        <f aca="false">IF(A319="N/A"," ",Inputs!$F$9/IF(AND('Pricing Inputs'!$AQ$3&gt;=4,'Pricing Inputs'!$AQ$3&lt;=6),16,IF(AND('Pricing Inputs'!$AQ$3&gt;=7,'Pricing Inputs'!$AQ$3&lt;=9),8,24))/(BA319/BW319))</f>
        <v> </v>
      </c>
      <c r="H319" s="278" t="str">
        <f aca="false">IF(A319="N/A"," ",(C319*D319)+F319+G319)</f>
        <v> </v>
      </c>
      <c r="I319" s="279" t="str">
        <f aca="false">VLOOKUP(A319,ScaledPrice,(IF(AND('Pricing Inputs'!$AQ$3&gt;=1,'Pricing Inputs'!$AQ$3&lt;=6),2,4)))</f>
        <v> </v>
      </c>
      <c r="J319" s="279" t="str">
        <f aca="false">IF(A319="N/A"," ",IF(AND('Pricing Inputs'!$AQ$3&gt;=1,'Pricing Inputs'!$AQ$3&lt;=6),I319,(VLOOKUP(A319,ScaledPrice,2))*(2-(VLOOKUP(A319,ScaledPrice,3)))))</f>
        <v> </v>
      </c>
      <c r="K319" s="279" t="str">
        <f aca="false">IF(A319="N/A"," ",IF(OR('Pricing Inputs'!$AQ$3=2,'Pricing Inputs'!$AQ$3=3,'Pricing Inputs'!$AQ$3=5,'Pricing Inputs'!$AQ$3=6,'Pricing Inputs'!$AQ$3=8,'Pricing Inputs'!$AQ$3=9),VLOOKUP(A319,ScaledPrice,IF(AND('Pricing Inputs'!$AQ$3&gt;=2,'Pricing Inputs'!$AQ$3&lt;=6),5,6)),0))</f>
        <v> </v>
      </c>
      <c r="L319" s="279" t="str">
        <f aca="false">IF(A319="N/A"," ",IF(OR('Pricing Inputs'!$AQ$3=2,'Pricing Inputs'!$AQ$3=3,'Pricing Inputs'!$AQ$3=5,'Pricing Inputs'!$AQ$3=6,'Pricing Inputs'!$AQ$3=8,'Pricing Inputs'!$AQ$3=9),IF(AND('Pricing Inputs'!$AQ$3&gt;=2,'Pricing Inputs'!$AQ$3&lt;=6),K319,(VLOOKUP(A319,ScaledPrice,5))*(2-(VLOOKUP(A319,ScaledPrice,3)))),0))</f>
        <v> </v>
      </c>
      <c r="M319" s="279" t="str">
        <f aca="false">IF(A319="N/A"," ",IF(OR('Pricing Inputs'!$AQ$3=3,'Pricing Inputs'!$AQ$3=6,'Pricing Inputs'!$AQ$3=9),(VLOOKUP(A319,ScaledPrice,IF(AND('Pricing Inputs'!$AQ$3&gt;=3,'Pricing Inputs'!$AQ$3&lt;=6),7,8))),0))</f>
        <v> </v>
      </c>
      <c r="N319" s="279" t="str">
        <f aca="false">IF(A319="N/A"," ",IF(OR('Pricing Inputs'!$AQ$3=3,'Pricing Inputs'!$AQ$3=6,'Pricing Inputs'!$AQ$3=9),IF(AND('Pricing Inputs'!$AQ$3&gt;=3,'Pricing Inputs'!$AQ$3&lt;=6),M319,(VLOOKUP(A319,ScaledPrice,7))*(2-(VLOOKUP(A319,ScaledPrice,3)))),0))</f>
        <v> </v>
      </c>
      <c r="O319" s="279" t="str">
        <f aca="false">IF(A319="N/A"," ",IF(AND('Pricing Inputs'!$AQ$3&gt;=1,'Pricing Inputs'!$AQ$3&lt;=3),VLOOKUP(A319,ScaledPrice,9),0))</f>
        <v> </v>
      </c>
      <c r="P319" s="280" t="str">
        <f aca="false">IF($A319="N/A"," ",IF('Pricing Inputs'!$AN$8=2,(I319-H319),IF('Pricing Inputs'!$AN$3=2,IF((I319-$H319)&gt;0,I319-$H319,0),(xSPRDOPT(I319,$E319,$BU319,0,$BP319,$BS319,$BT319,($A319-Inputs!$D$1)+15,1,0)))))</f>
        <v> </v>
      </c>
      <c r="Q319" s="280" t="str">
        <f aca="false">IF($A319="N/A"," ",IF('Pricing Inputs'!$AN$8=2,(J319-$H319),IF('Pricing Inputs'!$AN$3=2,IF((J319-$H319)&gt;0,J319-$H319,0),(xSPRDOPT(J319,$E319,$BU319,0,$BP319,$BS319,$BT319,($A319-Inputs!$D$1)+15,1,0)))))</f>
        <v> </v>
      </c>
      <c r="R319" s="280" t="str">
        <f aca="false">IF($A319="N/A"," ",IF('Pricing Inputs'!$AN$8=2,(K319-$H319),IF('Pricing Inputs'!$AN$3=2,IF((K319-$H319)&gt;0,K319-$H319,0),(xSPRDOPT(K319,$E319,$BU319,0,$BP319,$BS319,$BT319,($A319-Inputs!$D$1)+15,1,0)))))</f>
        <v> </v>
      </c>
      <c r="S319" s="280" t="str">
        <f aca="false">IF($A319="N/A"," ",IF('Pricing Inputs'!$AN$8=2,(L319-$H319),IF('Pricing Inputs'!$AN$3=2,IF((L319-$H319)&gt;0,L319-$H319,0),(xSPRDOPT(L319,$E319,$BU319,0,$BP319,$BS319,$BT319,($A319-Inputs!$D$1)+15,1,0)))))</f>
        <v> </v>
      </c>
      <c r="T319" s="280" t="str">
        <f aca="false">IF($A319="N/A"," ",IF('Pricing Inputs'!$AN$8=2,(M319-$H319),IF('Pricing Inputs'!$AN$3=2,IF((M319-$H319)&gt;0,M319-$H319,0),(xSPRDOPT(M319,$E319,$BU319,0,$BP319,$BS319,$BT319,($A319-Inputs!$D$1)+15,1,0)))))</f>
        <v> </v>
      </c>
      <c r="U319" s="280" t="str">
        <f aca="false">IF($A319="N/A"," ",IF('Pricing Inputs'!$AN$8=2,(N319-$H319),IF('Pricing Inputs'!$AN$3=2,IF((N319-$H319)&gt;0,N319-$H319,0),(xSPRDOPT(N319,$E319,$BU319,0,$BP319,$BS319,$BT319,($A319-Inputs!$D$1)+15,1,0)))))</f>
        <v> </v>
      </c>
      <c r="V319" s="281" t="str">
        <f aca="false">IF($A319="N/A"," ",(IF('Pricing Inputs'!$AN$8=2,(O319-$H319),IF((O319-$H319)&lt;=0,0,(O319-$H319)))))</f>
        <v> </v>
      </c>
      <c r="AK319" s="31"/>
      <c r="AL319" s="31"/>
      <c r="AM319" s="31"/>
      <c r="AN319" s="31"/>
      <c r="AO319" s="31"/>
      <c r="AP319" s="31"/>
      <c r="AQ319" s="31"/>
      <c r="AR319" s="31"/>
      <c r="BA319" s="291" t="str">
        <f aca="false">IF($A319="N/A"," ",(IF(MONTH(A319)&gt;=4,IF(MONTH(A319)&lt;=10,Inputs!$F$13,Inputs!$F$14),Inputs!$F$14))*$BW319)</f>
        <v> </v>
      </c>
      <c r="BN319" s="294" t="str">
        <f aca="false">IF(A319="N/A"," ",(VLOOKUP(A319,PowerVolTable,(IF('Pricing Inputs'!$AT$3=2,7,IF('Pricing Inputs'!$AT$3=1,6,8))),FALSE())))</f>
        <v> </v>
      </c>
      <c r="BO319" s="294" t="str">
        <f aca="false">IF(A319="N/A"," ",(VLOOKUP(A319,IntraPowerVol,(IF('Pricing Inputs'!$AT$3=2,3,IF('Pricing Inputs'!$AT$3=1,2,4))),FALSE())*VLOOKUP(MONTH($A319),Inputs!$A$28:$B$39,2)))</f>
        <v> </v>
      </c>
      <c r="BP319" s="295" t="str">
        <f aca="false">IF($A319="N/A"," ",(IF(DateToday&gt;$A319,$BO319,((($BN319^2)*((($A319-1)-DateToday)/((EOMONTH($A319,0)+1)-DateToday-15)))+((($BO319)^2)*((15)/((EOMONTH($A319,0)+1)-DateToday-15))))^0.5)))</f>
        <v> </v>
      </c>
      <c r="BQ319" s="294" t="str">
        <f aca="false">IF($A319="N/A"," ",(VLOOKUP($A319,GasVolTable,(IF('Pricing Inputs'!$AT$3=2,6,IF('Pricing Inputs'!$AT$3=1,7,5))),FALSE())))</f>
        <v> </v>
      </c>
      <c r="BR319" s="294" t="str">
        <f aca="false">IF($A319="N/A"," ",(VLOOKUP($A319,OmicronVol,(IF('Pricing Inputs'!$AT$3=2,3,IF('Pricing Inputs'!$AT$3=1,4,2))),FALSE())))</f>
        <v> </v>
      </c>
      <c r="BS319" s="295" t="str">
        <f aca="false">IF($A319="N/A"," ",IF('Pricing Inputs'!$AN$3=1,(IF(DateToday&gt;$A319,$BR319,((($BQ319^2)*((($A319-1)-DateToday)/((EOMONTH($A319,0)+1)-DateToday-15)))+((($BR319)^2)*((15)/((EOMONTH($A319,0)+1)-DateToday-15))))^0.5)),0.0001))</f>
        <v> </v>
      </c>
      <c r="BT319" s="294" t="str">
        <f aca="false">IF($A319="N/A"," ",IF('Pricing Inputs'!$AN$3=1,(VLOOKUP($A319,CorrelationTable,2,FALSE())),0))</f>
        <v> </v>
      </c>
      <c r="BU319" s="296" t="str">
        <f aca="false">IF($A319="N/A"," ",F319+G319+(D319*(VLOOKUP($A319,'Gas Curves'!$B$17:$P$310,14,FALSE()))))</f>
        <v> </v>
      </c>
      <c r="BV319" s="294" t="str">
        <f aca="false">IF($A319="N/A"," ",IF('Pricing Inputs'!$AW$3=1,0,(VLOOKUP($A319,InterestRatesTable,2))))</f>
        <v> </v>
      </c>
      <c r="BW319" s="297" t="str">
        <f aca="false">IF($A319="N/A"," ",(1+BV319/2)^(-2*((EOMONTH(A319,0)+20)-DateToday)/365.25))</f>
        <v> </v>
      </c>
    </row>
    <row r="320" customFormat="false" ht="12.75" hidden="false" customHeight="false" outlineLevel="0" collapsed="false">
      <c r="A320" s="272" t="str">
        <f aca="false">IF(A319="N/A","N/A",IF(EDATE(A319,1)&gt;Inputs!$K$3,"N/A",EDATE(A319,1)))</f>
        <v>N/A</v>
      </c>
      <c r="B320" s="273" t="str">
        <f aca="false">IF(A320="N/A"," ",YEAR(A320))</f>
        <v> </v>
      </c>
      <c r="C320" s="274" t="str">
        <f aca="false">IF(A320="N/A"," ",VLOOKUP(A320,ScaledPrice,10))</f>
        <v> </v>
      </c>
      <c r="D320" s="275" t="str">
        <f aca="false">IF(A320="N/A"," ",(VLOOKUP(MONTH($A320),Inputs!$A$14:$B$25,2))/1000)</f>
        <v> </v>
      </c>
      <c r="E320" s="276" t="str">
        <f aca="false">IF($A320="N/A"," ",C320*D320)</f>
        <v> </v>
      </c>
      <c r="F320" s="277" t="str">
        <f aca="false">IF(A320="N/A"," ",Inputs!$F$6)</f>
        <v> </v>
      </c>
      <c r="G320" s="277" t="str">
        <f aca="false">IF(A320="N/A"," ",Inputs!$F$9/IF(AND('Pricing Inputs'!$AQ$3&gt;=4,'Pricing Inputs'!$AQ$3&lt;=6),16,IF(AND('Pricing Inputs'!$AQ$3&gt;=7,'Pricing Inputs'!$AQ$3&lt;=9),8,24))/(BA320/BW320))</f>
        <v> </v>
      </c>
      <c r="H320" s="278" t="str">
        <f aca="false">IF(A320="N/A"," ",(C320*D320)+F320+G320)</f>
        <v> </v>
      </c>
      <c r="I320" s="279" t="str">
        <f aca="false">VLOOKUP(A320,ScaledPrice,(IF(AND('Pricing Inputs'!$AQ$3&gt;=1,'Pricing Inputs'!$AQ$3&lt;=6),2,4)))</f>
        <v> </v>
      </c>
      <c r="J320" s="279" t="str">
        <f aca="false">IF(A320="N/A"," ",IF(AND('Pricing Inputs'!$AQ$3&gt;=1,'Pricing Inputs'!$AQ$3&lt;=6),I320,(VLOOKUP(A320,ScaledPrice,2))*(2-(VLOOKUP(A320,ScaledPrice,3)))))</f>
        <v> </v>
      </c>
      <c r="K320" s="279" t="str">
        <f aca="false">IF(A320="N/A"," ",IF(OR('Pricing Inputs'!$AQ$3=2,'Pricing Inputs'!$AQ$3=3,'Pricing Inputs'!$AQ$3=5,'Pricing Inputs'!$AQ$3=6,'Pricing Inputs'!$AQ$3=8,'Pricing Inputs'!$AQ$3=9),VLOOKUP(A320,ScaledPrice,IF(AND('Pricing Inputs'!$AQ$3&gt;=2,'Pricing Inputs'!$AQ$3&lt;=6),5,6)),0))</f>
        <v> </v>
      </c>
      <c r="L320" s="279" t="str">
        <f aca="false">IF(A320="N/A"," ",IF(OR('Pricing Inputs'!$AQ$3=2,'Pricing Inputs'!$AQ$3=3,'Pricing Inputs'!$AQ$3=5,'Pricing Inputs'!$AQ$3=6,'Pricing Inputs'!$AQ$3=8,'Pricing Inputs'!$AQ$3=9),IF(AND('Pricing Inputs'!$AQ$3&gt;=2,'Pricing Inputs'!$AQ$3&lt;=6),K320,(VLOOKUP(A320,ScaledPrice,5))*(2-(VLOOKUP(A320,ScaledPrice,3)))),0))</f>
        <v> </v>
      </c>
      <c r="M320" s="279" t="str">
        <f aca="false">IF(A320="N/A"," ",IF(OR('Pricing Inputs'!$AQ$3=3,'Pricing Inputs'!$AQ$3=6,'Pricing Inputs'!$AQ$3=9),(VLOOKUP(A320,ScaledPrice,IF(AND('Pricing Inputs'!$AQ$3&gt;=3,'Pricing Inputs'!$AQ$3&lt;=6),7,8))),0))</f>
        <v> </v>
      </c>
      <c r="N320" s="279" t="str">
        <f aca="false">IF(A320="N/A"," ",IF(OR('Pricing Inputs'!$AQ$3=3,'Pricing Inputs'!$AQ$3=6,'Pricing Inputs'!$AQ$3=9),IF(AND('Pricing Inputs'!$AQ$3&gt;=3,'Pricing Inputs'!$AQ$3&lt;=6),M320,(VLOOKUP(A320,ScaledPrice,7))*(2-(VLOOKUP(A320,ScaledPrice,3)))),0))</f>
        <v> </v>
      </c>
      <c r="O320" s="279" t="str">
        <f aca="false">IF(A320="N/A"," ",IF(AND('Pricing Inputs'!$AQ$3&gt;=1,'Pricing Inputs'!$AQ$3&lt;=3),VLOOKUP(A320,ScaledPrice,9),0))</f>
        <v> </v>
      </c>
      <c r="P320" s="280" t="str">
        <f aca="false">IF($A320="N/A"," ",IF('Pricing Inputs'!$AN$8=2,(I320-H320),IF('Pricing Inputs'!$AN$3=2,IF((I320-$H320)&gt;0,I320-$H320,0),(xSPRDOPT(I320,$E320,$BU320,0,$BP320,$BS320,$BT320,($A320-Inputs!$D$1)+15,1,0)))))</f>
        <v> </v>
      </c>
      <c r="Q320" s="280" t="str">
        <f aca="false">IF($A320="N/A"," ",IF('Pricing Inputs'!$AN$8=2,(J320-$H320),IF('Pricing Inputs'!$AN$3=2,IF((J320-$H320)&gt;0,J320-$H320,0),(xSPRDOPT(J320,$E320,$BU320,0,$BP320,$BS320,$BT320,($A320-Inputs!$D$1)+15,1,0)))))</f>
        <v> </v>
      </c>
      <c r="R320" s="280" t="str">
        <f aca="false">IF($A320="N/A"," ",IF('Pricing Inputs'!$AN$8=2,(K320-$H320),IF('Pricing Inputs'!$AN$3=2,IF((K320-$H320)&gt;0,K320-$H320,0),(xSPRDOPT(K320,$E320,$BU320,0,$BP320,$BS320,$BT320,($A320-Inputs!$D$1)+15,1,0)))))</f>
        <v> </v>
      </c>
      <c r="S320" s="280" t="str">
        <f aca="false">IF($A320="N/A"," ",IF('Pricing Inputs'!$AN$8=2,(L320-$H320),IF('Pricing Inputs'!$AN$3=2,IF((L320-$H320)&gt;0,L320-$H320,0),(xSPRDOPT(L320,$E320,$BU320,0,$BP320,$BS320,$BT320,($A320-Inputs!$D$1)+15,1,0)))))</f>
        <v> </v>
      </c>
      <c r="T320" s="280" t="str">
        <f aca="false">IF($A320="N/A"," ",IF('Pricing Inputs'!$AN$8=2,(M320-$H320),IF('Pricing Inputs'!$AN$3=2,IF((M320-$H320)&gt;0,M320-$H320,0),(xSPRDOPT(M320,$E320,$BU320,0,$BP320,$BS320,$BT320,($A320-Inputs!$D$1)+15,1,0)))))</f>
        <v> </v>
      </c>
      <c r="U320" s="280" t="str">
        <f aca="false">IF($A320="N/A"," ",IF('Pricing Inputs'!$AN$8=2,(N320-$H320),IF('Pricing Inputs'!$AN$3=2,IF((N320-$H320)&gt;0,N320-$H320,0),(xSPRDOPT(N320,$E320,$BU320,0,$BP320,$BS320,$BT320,($A320-Inputs!$D$1)+15,1,0)))))</f>
        <v> </v>
      </c>
      <c r="V320" s="281" t="str">
        <f aca="false">IF($A320="N/A"," ",(IF('Pricing Inputs'!$AN$8=2,(O320-$H320),IF((O320-$H320)&lt;=0,0,(O320-$H320)))))</f>
        <v> </v>
      </c>
      <c r="AK320" s="31"/>
      <c r="AL320" s="31"/>
      <c r="AM320" s="31"/>
      <c r="AN320" s="31"/>
      <c r="AO320" s="31"/>
      <c r="AP320" s="31"/>
      <c r="AQ320" s="31"/>
      <c r="AR320" s="31"/>
      <c r="BA320" s="291" t="str">
        <f aca="false">IF($A320="N/A"," ",(IF(MONTH(A320)&gt;=4,IF(MONTH(A320)&lt;=10,Inputs!$F$13,Inputs!$F$14),Inputs!$F$14))*$BW320)</f>
        <v> </v>
      </c>
      <c r="BN320" s="294" t="str">
        <f aca="false">IF(A320="N/A"," ",(VLOOKUP(A320,PowerVolTable,(IF('Pricing Inputs'!$AT$3=2,7,IF('Pricing Inputs'!$AT$3=1,6,8))),FALSE())))</f>
        <v> </v>
      </c>
      <c r="BO320" s="294" t="str">
        <f aca="false">IF(A320="N/A"," ",(VLOOKUP(A320,IntraPowerVol,(IF('Pricing Inputs'!$AT$3=2,3,IF('Pricing Inputs'!$AT$3=1,2,4))),FALSE())*VLOOKUP(MONTH($A320),Inputs!$A$28:$B$39,2)))</f>
        <v> </v>
      </c>
      <c r="BP320" s="295" t="str">
        <f aca="false">IF($A320="N/A"," ",(IF(DateToday&gt;$A320,$BO320,((($BN320^2)*((($A320-1)-DateToday)/((EOMONTH($A320,0)+1)-DateToday-15)))+((($BO320)^2)*((15)/((EOMONTH($A320,0)+1)-DateToday-15))))^0.5)))</f>
        <v> </v>
      </c>
      <c r="BQ320" s="294" t="str">
        <f aca="false">IF($A320="N/A"," ",(VLOOKUP($A320,GasVolTable,(IF('Pricing Inputs'!$AT$3=2,6,IF('Pricing Inputs'!$AT$3=1,7,5))),FALSE())))</f>
        <v> </v>
      </c>
      <c r="BR320" s="294" t="str">
        <f aca="false">IF($A320="N/A"," ",(VLOOKUP($A320,OmicronVol,(IF('Pricing Inputs'!$AT$3=2,3,IF('Pricing Inputs'!$AT$3=1,4,2))),FALSE())))</f>
        <v> </v>
      </c>
      <c r="BS320" s="295" t="str">
        <f aca="false">IF($A320="N/A"," ",IF('Pricing Inputs'!$AN$3=1,(IF(DateToday&gt;$A320,$BR320,((($BQ320^2)*((($A320-1)-DateToday)/((EOMONTH($A320,0)+1)-DateToday-15)))+((($BR320)^2)*((15)/((EOMONTH($A320,0)+1)-DateToday-15))))^0.5)),0.0001))</f>
        <v> </v>
      </c>
      <c r="BT320" s="294" t="str">
        <f aca="false">IF($A320="N/A"," ",IF('Pricing Inputs'!$AN$3=1,(VLOOKUP($A320,CorrelationTable,2,FALSE())),0))</f>
        <v> </v>
      </c>
      <c r="BU320" s="296" t="str">
        <f aca="false">IF($A320="N/A"," ",F320+G320+(D320*(VLOOKUP($A320,'Gas Curves'!$B$17:$P$310,14,FALSE()))))</f>
        <v> </v>
      </c>
      <c r="BV320" s="294" t="str">
        <f aca="false">IF($A320="N/A"," ",IF('Pricing Inputs'!$AW$3=1,0,(VLOOKUP($A320,InterestRatesTable,2))))</f>
        <v> </v>
      </c>
      <c r="BW320" s="297" t="str">
        <f aca="false">IF($A320="N/A"," ",(1+BV320/2)^(-2*((EOMONTH(A320,0)+20)-DateToday)/365.25))</f>
        <v> </v>
      </c>
    </row>
    <row r="321" customFormat="false" ht="12.75" hidden="false" customHeight="false" outlineLevel="0" collapsed="false">
      <c r="A321" s="272" t="str">
        <f aca="false">IF(A320="N/A","N/A",IF(EDATE(A320,1)&gt;Inputs!$K$3,"N/A",EDATE(A320,1)))</f>
        <v>N/A</v>
      </c>
      <c r="B321" s="273" t="str">
        <f aca="false">IF(A321="N/A"," ",YEAR(A321))</f>
        <v> </v>
      </c>
      <c r="C321" s="274" t="str">
        <f aca="false">IF(A321="N/A"," ",VLOOKUP(A321,ScaledPrice,10))</f>
        <v> </v>
      </c>
      <c r="D321" s="275" t="str">
        <f aca="false">IF(A321="N/A"," ",(VLOOKUP(MONTH($A321),Inputs!$A$14:$B$25,2))/1000)</f>
        <v> </v>
      </c>
      <c r="E321" s="276" t="str">
        <f aca="false">IF($A321="N/A"," ",C321*D321)</f>
        <v> </v>
      </c>
      <c r="F321" s="277" t="str">
        <f aca="false">IF(A321="N/A"," ",Inputs!$F$6)</f>
        <v> </v>
      </c>
      <c r="G321" s="277" t="str">
        <f aca="false">IF(A321="N/A"," ",Inputs!$F$9/IF(AND('Pricing Inputs'!$AQ$3&gt;=4,'Pricing Inputs'!$AQ$3&lt;=6),16,IF(AND('Pricing Inputs'!$AQ$3&gt;=7,'Pricing Inputs'!$AQ$3&lt;=9),8,24))/(BA321/BW321))</f>
        <v> </v>
      </c>
      <c r="H321" s="278" t="str">
        <f aca="false">IF(A321="N/A"," ",(C321*D321)+F321+G321)</f>
        <v> </v>
      </c>
      <c r="I321" s="279" t="str">
        <f aca="false">VLOOKUP(A321,ScaledPrice,(IF(AND('Pricing Inputs'!$AQ$3&gt;=1,'Pricing Inputs'!$AQ$3&lt;=6),2,4)))</f>
        <v> </v>
      </c>
      <c r="J321" s="279" t="str">
        <f aca="false">IF(A321="N/A"," ",IF(AND('Pricing Inputs'!$AQ$3&gt;=1,'Pricing Inputs'!$AQ$3&lt;=6),I321,(VLOOKUP(A321,ScaledPrice,2))*(2-(VLOOKUP(A321,ScaledPrice,3)))))</f>
        <v> </v>
      </c>
      <c r="K321" s="279" t="str">
        <f aca="false">IF(A321="N/A"," ",IF(OR('Pricing Inputs'!$AQ$3=2,'Pricing Inputs'!$AQ$3=3,'Pricing Inputs'!$AQ$3=5,'Pricing Inputs'!$AQ$3=6,'Pricing Inputs'!$AQ$3=8,'Pricing Inputs'!$AQ$3=9),VLOOKUP(A321,ScaledPrice,IF(AND('Pricing Inputs'!$AQ$3&gt;=2,'Pricing Inputs'!$AQ$3&lt;=6),5,6)),0))</f>
        <v> </v>
      </c>
      <c r="L321" s="279" t="str">
        <f aca="false">IF(A321="N/A"," ",IF(OR('Pricing Inputs'!$AQ$3=2,'Pricing Inputs'!$AQ$3=3,'Pricing Inputs'!$AQ$3=5,'Pricing Inputs'!$AQ$3=6,'Pricing Inputs'!$AQ$3=8,'Pricing Inputs'!$AQ$3=9),IF(AND('Pricing Inputs'!$AQ$3&gt;=2,'Pricing Inputs'!$AQ$3&lt;=6),K321,(VLOOKUP(A321,ScaledPrice,5))*(2-(VLOOKUP(A321,ScaledPrice,3)))),0))</f>
        <v> </v>
      </c>
      <c r="M321" s="279" t="str">
        <f aca="false">IF(A321="N/A"," ",IF(OR('Pricing Inputs'!$AQ$3=3,'Pricing Inputs'!$AQ$3=6,'Pricing Inputs'!$AQ$3=9),(VLOOKUP(A321,ScaledPrice,IF(AND('Pricing Inputs'!$AQ$3&gt;=3,'Pricing Inputs'!$AQ$3&lt;=6),7,8))),0))</f>
        <v> </v>
      </c>
      <c r="N321" s="279" t="str">
        <f aca="false">IF(A321="N/A"," ",IF(OR('Pricing Inputs'!$AQ$3=3,'Pricing Inputs'!$AQ$3=6,'Pricing Inputs'!$AQ$3=9),IF(AND('Pricing Inputs'!$AQ$3&gt;=3,'Pricing Inputs'!$AQ$3&lt;=6),M321,(VLOOKUP(A321,ScaledPrice,7))*(2-(VLOOKUP(A321,ScaledPrice,3)))),0))</f>
        <v> </v>
      </c>
      <c r="O321" s="279" t="str">
        <f aca="false">IF(A321="N/A"," ",IF(AND('Pricing Inputs'!$AQ$3&gt;=1,'Pricing Inputs'!$AQ$3&lt;=3),VLOOKUP(A321,ScaledPrice,9),0))</f>
        <v> </v>
      </c>
      <c r="P321" s="280" t="str">
        <f aca="false">IF($A321="N/A"," ",IF('Pricing Inputs'!$AN$8=2,(I321-H321),IF('Pricing Inputs'!$AN$3=2,IF((I321-$H321)&gt;0,I321-$H321,0),(xSPRDOPT(I321,$E321,$BU321,0,$BP321,$BS321,$BT321,($A321-Inputs!$D$1)+15,1,0)))))</f>
        <v> </v>
      </c>
      <c r="Q321" s="280" t="str">
        <f aca="false">IF($A321="N/A"," ",IF('Pricing Inputs'!$AN$8=2,(J321-$H321),IF('Pricing Inputs'!$AN$3=2,IF((J321-$H321)&gt;0,J321-$H321,0),(xSPRDOPT(J321,$E321,$BU321,0,$BP321,$BS321,$BT321,($A321-Inputs!$D$1)+15,1,0)))))</f>
        <v> </v>
      </c>
      <c r="R321" s="280" t="str">
        <f aca="false">IF($A321="N/A"," ",IF('Pricing Inputs'!$AN$8=2,(K321-$H321),IF('Pricing Inputs'!$AN$3=2,IF((K321-$H321)&gt;0,K321-$H321,0),(xSPRDOPT(K321,$E321,$BU321,0,$BP321,$BS321,$BT321,($A321-Inputs!$D$1)+15,1,0)))))</f>
        <v> </v>
      </c>
      <c r="S321" s="280" t="str">
        <f aca="false">IF($A321="N/A"," ",IF('Pricing Inputs'!$AN$8=2,(L321-$H321),IF('Pricing Inputs'!$AN$3=2,IF((L321-$H321)&gt;0,L321-$H321,0),(xSPRDOPT(L321,$E321,$BU321,0,$BP321,$BS321,$BT321,($A321-Inputs!$D$1)+15,1,0)))))</f>
        <v> </v>
      </c>
      <c r="T321" s="280" t="str">
        <f aca="false">IF($A321="N/A"," ",IF('Pricing Inputs'!$AN$8=2,(M321-$H321),IF('Pricing Inputs'!$AN$3=2,IF((M321-$H321)&gt;0,M321-$H321,0),(xSPRDOPT(M321,$E321,$BU321,0,$BP321,$BS321,$BT321,($A321-Inputs!$D$1)+15,1,0)))))</f>
        <v> </v>
      </c>
      <c r="U321" s="280" t="str">
        <f aca="false">IF($A321="N/A"," ",IF('Pricing Inputs'!$AN$8=2,(N321-$H321),IF('Pricing Inputs'!$AN$3=2,IF((N321-$H321)&gt;0,N321-$H321,0),(xSPRDOPT(N321,$E321,$BU321,0,$BP321,$BS321,$BT321,($A321-Inputs!$D$1)+15,1,0)))))</f>
        <v> </v>
      </c>
      <c r="V321" s="281" t="str">
        <f aca="false">IF($A321="N/A"," ",(IF('Pricing Inputs'!$AN$8=2,(O321-$H321),IF((O321-$H321)&lt;=0,0,(O321-$H321)))))</f>
        <v> </v>
      </c>
      <c r="AK321" s="31"/>
      <c r="AL321" s="31"/>
      <c r="AM321" s="31"/>
      <c r="AN321" s="31"/>
      <c r="AO321" s="31"/>
      <c r="AP321" s="31"/>
      <c r="AQ321" s="31"/>
      <c r="AR321" s="31"/>
      <c r="BA321" s="291" t="str">
        <f aca="false">IF($A321="N/A"," ",(IF(MONTH(A321)&gt;=4,IF(MONTH(A321)&lt;=10,Inputs!$F$13,Inputs!$F$14),Inputs!$F$14))*$BW321)</f>
        <v> </v>
      </c>
      <c r="BN321" s="294" t="str">
        <f aca="false">IF(A321="N/A"," ",(VLOOKUP(A321,PowerVolTable,(IF('Pricing Inputs'!$AT$3=2,7,IF('Pricing Inputs'!$AT$3=1,6,8))),FALSE())))</f>
        <v> </v>
      </c>
      <c r="BO321" s="294" t="str">
        <f aca="false">IF(A321="N/A"," ",(VLOOKUP(A321,IntraPowerVol,(IF('Pricing Inputs'!$AT$3=2,3,IF('Pricing Inputs'!$AT$3=1,2,4))),FALSE())*VLOOKUP(MONTH($A321),Inputs!$A$28:$B$39,2)))</f>
        <v> </v>
      </c>
      <c r="BP321" s="295" t="str">
        <f aca="false">IF($A321="N/A"," ",(IF(DateToday&gt;$A321,$BO321,((($BN321^2)*((($A321-1)-DateToday)/((EOMONTH($A321,0)+1)-DateToday-15)))+((($BO321)^2)*((15)/((EOMONTH($A321,0)+1)-DateToday-15))))^0.5)))</f>
        <v> </v>
      </c>
      <c r="BQ321" s="294" t="str">
        <f aca="false">IF($A321="N/A"," ",(VLOOKUP($A321,GasVolTable,(IF('Pricing Inputs'!$AT$3=2,6,IF('Pricing Inputs'!$AT$3=1,7,5))),FALSE())))</f>
        <v> </v>
      </c>
      <c r="BR321" s="294" t="str">
        <f aca="false">IF($A321="N/A"," ",(VLOOKUP($A321,OmicronVol,(IF('Pricing Inputs'!$AT$3=2,3,IF('Pricing Inputs'!$AT$3=1,4,2))),FALSE())))</f>
        <v> </v>
      </c>
      <c r="BS321" s="295" t="str">
        <f aca="false">IF($A321="N/A"," ",IF('Pricing Inputs'!$AN$3=1,(IF(DateToday&gt;$A321,$BR321,((($BQ321^2)*((($A321-1)-DateToday)/((EOMONTH($A321,0)+1)-DateToday-15)))+((($BR321)^2)*((15)/((EOMONTH($A321,0)+1)-DateToday-15))))^0.5)),0.0001))</f>
        <v> </v>
      </c>
      <c r="BT321" s="294" t="str">
        <f aca="false">IF($A321="N/A"," ",IF('Pricing Inputs'!$AN$3=1,(VLOOKUP($A321,CorrelationTable,2,FALSE())),0))</f>
        <v> </v>
      </c>
      <c r="BU321" s="296" t="str">
        <f aca="false">IF($A321="N/A"," ",F321+G321+(D321*(VLOOKUP($A321,'Gas Curves'!$B$17:$P$310,14,FALSE()))))</f>
        <v> </v>
      </c>
      <c r="BV321" s="294" t="str">
        <f aca="false">IF($A321="N/A"," ",IF('Pricing Inputs'!$AW$3=1,0,(VLOOKUP($A321,InterestRatesTable,2))))</f>
        <v> </v>
      </c>
      <c r="BW321" s="297" t="str">
        <f aca="false">IF($A321="N/A"," ",(1+BV321/2)^(-2*((EOMONTH(A321,0)+20)-DateToday)/365.25))</f>
        <v> </v>
      </c>
    </row>
    <row r="322" customFormat="false" ht="12.75" hidden="false" customHeight="false" outlineLevel="0" collapsed="false">
      <c r="A322" s="272" t="str">
        <f aca="false">IF(A321="N/A","N/A",IF(EDATE(A321,1)&gt;Inputs!$K$3,"N/A",EDATE(A321,1)))</f>
        <v>N/A</v>
      </c>
      <c r="B322" s="273" t="str">
        <f aca="false">IF(A322="N/A"," ",YEAR(A322))</f>
        <v> </v>
      </c>
      <c r="C322" s="274" t="str">
        <f aca="false">IF(A322="N/A"," ",VLOOKUP(A322,ScaledPrice,10))</f>
        <v> </v>
      </c>
      <c r="D322" s="275" t="str">
        <f aca="false">IF(A322="N/A"," ",(VLOOKUP(MONTH($A322),Inputs!$A$14:$B$25,2))/1000)</f>
        <v> </v>
      </c>
      <c r="E322" s="276" t="str">
        <f aca="false">IF($A322="N/A"," ",C322*D322)</f>
        <v> </v>
      </c>
      <c r="F322" s="277" t="str">
        <f aca="false">IF(A322="N/A"," ",Inputs!$F$6)</f>
        <v> </v>
      </c>
      <c r="G322" s="277" t="str">
        <f aca="false">IF(A322="N/A"," ",Inputs!$F$9/IF(AND('Pricing Inputs'!$AQ$3&gt;=4,'Pricing Inputs'!$AQ$3&lt;=6),16,IF(AND('Pricing Inputs'!$AQ$3&gt;=7,'Pricing Inputs'!$AQ$3&lt;=9),8,24))/(BA322/BW322))</f>
        <v> </v>
      </c>
      <c r="H322" s="278" t="str">
        <f aca="false">IF(A322="N/A"," ",(C322*D322)+F322+G322)</f>
        <v> </v>
      </c>
      <c r="I322" s="279" t="str">
        <f aca="false">VLOOKUP(A322,ScaledPrice,(IF(AND('Pricing Inputs'!$AQ$3&gt;=1,'Pricing Inputs'!$AQ$3&lt;=6),2,4)))</f>
        <v> </v>
      </c>
      <c r="J322" s="279" t="str">
        <f aca="false">IF(A322="N/A"," ",IF(AND('Pricing Inputs'!$AQ$3&gt;=1,'Pricing Inputs'!$AQ$3&lt;=6),I322,(VLOOKUP(A322,ScaledPrice,2))*(2-(VLOOKUP(A322,ScaledPrice,3)))))</f>
        <v> </v>
      </c>
      <c r="K322" s="279" t="str">
        <f aca="false">IF(A322="N/A"," ",IF(OR('Pricing Inputs'!$AQ$3=2,'Pricing Inputs'!$AQ$3=3,'Pricing Inputs'!$AQ$3=5,'Pricing Inputs'!$AQ$3=6,'Pricing Inputs'!$AQ$3=8,'Pricing Inputs'!$AQ$3=9),VLOOKUP(A322,ScaledPrice,IF(AND('Pricing Inputs'!$AQ$3&gt;=2,'Pricing Inputs'!$AQ$3&lt;=6),5,6)),0))</f>
        <v> </v>
      </c>
      <c r="L322" s="279" t="str">
        <f aca="false">IF(A322="N/A"," ",IF(OR('Pricing Inputs'!$AQ$3=2,'Pricing Inputs'!$AQ$3=3,'Pricing Inputs'!$AQ$3=5,'Pricing Inputs'!$AQ$3=6,'Pricing Inputs'!$AQ$3=8,'Pricing Inputs'!$AQ$3=9),IF(AND('Pricing Inputs'!$AQ$3&gt;=2,'Pricing Inputs'!$AQ$3&lt;=6),K322,(VLOOKUP(A322,ScaledPrice,5))*(2-(VLOOKUP(A322,ScaledPrice,3)))),0))</f>
        <v> </v>
      </c>
      <c r="M322" s="279" t="str">
        <f aca="false">IF(A322="N/A"," ",IF(OR('Pricing Inputs'!$AQ$3=3,'Pricing Inputs'!$AQ$3=6,'Pricing Inputs'!$AQ$3=9),(VLOOKUP(A322,ScaledPrice,IF(AND('Pricing Inputs'!$AQ$3&gt;=3,'Pricing Inputs'!$AQ$3&lt;=6),7,8))),0))</f>
        <v> </v>
      </c>
      <c r="N322" s="279" t="str">
        <f aca="false">IF(A322="N/A"," ",IF(OR('Pricing Inputs'!$AQ$3=3,'Pricing Inputs'!$AQ$3=6,'Pricing Inputs'!$AQ$3=9),IF(AND('Pricing Inputs'!$AQ$3&gt;=3,'Pricing Inputs'!$AQ$3&lt;=6),M322,(VLOOKUP(A322,ScaledPrice,7))*(2-(VLOOKUP(A322,ScaledPrice,3)))),0))</f>
        <v> </v>
      </c>
      <c r="O322" s="279" t="str">
        <f aca="false">IF(A322="N/A"," ",IF(AND('Pricing Inputs'!$AQ$3&gt;=1,'Pricing Inputs'!$AQ$3&lt;=3),VLOOKUP(A322,ScaledPrice,9),0))</f>
        <v> </v>
      </c>
      <c r="P322" s="280" t="str">
        <f aca="false">IF($A322="N/A"," ",IF('Pricing Inputs'!$AN$8=2,(I322-H322),IF('Pricing Inputs'!$AN$3=2,IF((I322-$H322)&gt;0,I322-$H322,0),(xSPRDOPT(I322,$E322,$BU322,0,$BP322,$BS322,$BT322,($A322-Inputs!$D$1)+15,1,0)))))</f>
        <v> </v>
      </c>
      <c r="Q322" s="280" t="str">
        <f aca="false">IF($A322="N/A"," ",IF('Pricing Inputs'!$AN$8=2,(J322-$H322),IF('Pricing Inputs'!$AN$3=2,IF((J322-$H322)&gt;0,J322-$H322,0),(xSPRDOPT(J322,$E322,$BU322,0,$BP322,$BS322,$BT322,($A322-Inputs!$D$1)+15,1,0)))))</f>
        <v> </v>
      </c>
      <c r="R322" s="280" t="str">
        <f aca="false">IF($A322="N/A"," ",IF('Pricing Inputs'!$AN$8=2,(K322-$H322),IF('Pricing Inputs'!$AN$3=2,IF((K322-$H322)&gt;0,K322-$H322,0),(xSPRDOPT(K322,$E322,$BU322,0,$BP322,$BS322,$BT322,($A322-Inputs!$D$1)+15,1,0)))))</f>
        <v> </v>
      </c>
      <c r="S322" s="280" t="str">
        <f aca="false">IF($A322="N/A"," ",IF('Pricing Inputs'!$AN$8=2,(L322-$H322),IF('Pricing Inputs'!$AN$3=2,IF((L322-$H322)&gt;0,L322-$H322,0),(xSPRDOPT(L322,$E322,$BU322,0,$BP322,$BS322,$BT322,($A322-Inputs!$D$1)+15,1,0)))))</f>
        <v> </v>
      </c>
      <c r="T322" s="280" t="str">
        <f aca="false">IF($A322="N/A"," ",IF('Pricing Inputs'!$AN$8=2,(M322-$H322),IF('Pricing Inputs'!$AN$3=2,IF((M322-$H322)&gt;0,M322-$H322,0),(xSPRDOPT(M322,$E322,$BU322,0,$BP322,$BS322,$BT322,($A322-Inputs!$D$1)+15,1,0)))))</f>
        <v> </v>
      </c>
      <c r="U322" s="280" t="str">
        <f aca="false">IF($A322="N/A"," ",IF('Pricing Inputs'!$AN$8=2,(N322-$H322),IF('Pricing Inputs'!$AN$3=2,IF((N322-$H322)&gt;0,N322-$H322,0),(xSPRDOPT(N322,$E322,$BU322,0,$BP322,$BS322,$BT322,($A322-Inputs!$D$1)+15,1,0)))))</f>
        <v> </v>
      </c>
      <c r="V322" s="281" t="str">
        <f aca="false">IF($A322="N/A"," ",(IF('Pricing Inputs'!$AN$8=2,(O322-$H322),IF((O322-$H322)&lt;=0,0,(O322-$H322)))))</f>
        <v> </v>
      </c>
      <c r="AK322" s="31"/>
      <c r="AL322" s="31"/>
      <c r="AM322" s="31"/>
      <c r="AN322" s="31"/>
      <c r="AO322" s="31"/>
      <c r="AP322" s="31"/>
      <c r="AQ322" s="31"/>
      <c r="AR322" s="31"/>
      <c r="BA322" s="291" t="str">
        <f aca="false">IF($A322="N/A"," ",(IF(MONTH(A322)&gt;=4,IF(MONTH(A322)&lt;=10,Inputs!$F$13,Inputs!$F$14),Inputs!$F$14))*$BW322)</f>
        <v> </v>
      </c>
      <c r="BN322" s="294" t="str">
        <f aca="false">IF(A322="N/A"," ",(VLOOKUP(A322,PowerVolTable,(IF('Pricing Inputs'!$AT$3=2,7,IF('Pricing Inputs'!$AT$3=1,6,8))),FALSE())))</f>
        <v> </v>
      </c>
      <c r="BO322" s="294" t="str">
        <f aca="false">IF(A322="N/A"," ",(VLOOKUP(A322,IntraPowerVol,(IF('Pricing Inputs'!$AT$3=2,3,IF('Pricing Inputs'!$AT$3=1,2,4))),FALSE())*VLOOKUP(MONTH($A322),Inputs!$A$28:$B$39,2)))</f>
        <v> </v>
      </c>
      <c r="BP322" s="295" t="str">
        <f aca="false">IF($A322="N/A"," ",(IF(DateToday&gt;$A322,$BO322,((($BN322^2)*((($A322-1)-DateToday)/((EOMONTH($A322,0)+1)-DateToday-15)))+((($BO322)^2)*((15)/((EOMONTH($A322,0)+1)-DateToday-15))))^0.5)))</f>
        <v> </v>
      </c>
      <c r="BQ322" s="294" t="str">
        <f aca="false">IF($A322="N/A"," ",(VLOOKUP($A322,GasVolTable,(IF('Pricing Inputs'!$AT$3=2,6,IF('Pricing Inputs'!$AT$3=1,7,5))),FALSE())))</f>
        <v> </v>
      </c>
      <c r="BR322" s="294" t="str">
        <f aca="false">IF($A322="N/A"," ",(VLOOKUP($A322,OmicronVol,(IF('Pricing Inputs'!$AT$3=2,3,IF('Pricing Inputs'!$AT$3=1,4,2))),FALSE())))</f>
        <v> </v>
      </c>
      <c r="BS322" s="295" t="str">
        <f aca="false">IF($A322="N/A"," ",IF('Pricing Inputs'!$AN$3=1,(IF(DateToday&gt;$A322,$BR322,((($BQ322^2)*((($A322-1)-DateToday)/((EOMONTH($A322,0)+1)-DateToday-15)))+((($BR322)^2)*((15)/((EOMONTH($A322,0)+1)-DateToday-15))))^0.5)),0.0001))</f>
        <v> </v>
      </c>
      <c r="BT322" s="294" t="str">
        <f aca="false">IF($A322="N/A"," ",IF('Pricing Inputs'!$AN$3=1,(VLOOKUP($A322,CorrelationTable,2,FALSE())),0))</f>
        <v> </v>
      </c>
      <c r="BU322" s="296" t="str">
        <f aca="false">IF($A322="N/A"," ",F322+G322+(D322*(VLOOKUP($A322,'Gas Curves'!$B$17:$P$310,14,FALSE()))))</f>
        <v> </v>
      </c>
      <c r="BV322" s="294" t="str">
        <f aca="false">IF($A322="N/A"," ",IF('Pricing Inputs'!$AW$3=1,0,(VLOOKUP($A322,InterestRatesTable,2))))</f>
        <v> </v>
      </c>
      <c r="BW322" s="297" t="str">
        <f aca="false">IF($A322="N/A"," ",(1+BV322/2)^(-2*((EOMONTH(A322,0)+20)-DateToday)/365.25))</f>
        <v> </v>
      </c>
    </row>
    <row r="323" customFormat="false" ht="12.75" hidden="false" customHeight="false" outlineLevel="0" collapsed="false">
      <c r="A323" s="272" t="str">
        <f aca="false">IF(A322="N/A","N/A",IF(EDATE(A322,1)&gt;Inputs!$K$3,"N/A",EDATE(A322,1)))</f>
        <v>N/A</v>
      </c>
      <c r="B323" s="273" t="str">
        <f aca="false">IF(A323="N/A"," ",YEAR(A323))</f>
        <v> </v>
      </c>
      <c r="C323" s="274" t="str">
        <f aca="false">IF(A323="N/A"," ",VLOOKUP(A323,ScaledPrice,10))</f>
        <v> </v>
      </c>
      <c r="D323" s="275" t="str">
        <f aca="false">IF(A323="N/A"," ",(VLOOKUP(MONTH($A323),Inputs!$A$14:$B$25,2))/1000)</f>
        <v> </v>
      </c>
      <c r="E323" s="276" t="str">
        <f aca="false">IF($A323="N/A"," ",C323*D323)</f>
        <v> </v>
      </c>
      <c r="F323" s="277" t="str">
        <f aca="false">IF(A323="N/A"," ",Inputs!$F$6)</f>
        <v> </v>
      </c>
      <c r="G323" s="277" t="str">
        <f aca="false">IF(A323="N/A"," ",Inputs!$F$9/IF(AND('Pricing Inputs'!$AQ$3&gt;=4,'Pricing Inputs'!$AQ$3&lt;=6),16,IF(AND('Pricing Inputs'!$AQ$3&gt;=7,'Pricing Inputs'!$AQ$3&lt;=9),8,24))/(BA323/BW323))</f>
        <v> </v>
      </c>
      <c r="H323" s="278" t="str">
        <f aca="false">IF(A323="N/A"," ",(C323*D323)+F323+G323)</f>
        <v> </v>
      </c>
      <c r="I323" s="279" t="str">
        <f aca="false">VLOOKUP(A323,ScaledPrice,(IF(AND('Pricing Inputs'!$AQ$3&gt;=1,'Pricing Inputs'!$AQ$3&lt;=6),2,4)))</f>
        <v> </v>
      </c>
      <c r="J323" s="279" t="str">
        <f aca="false">IF(A323="N/A"," ",IF(AND('Pricing Inputs'!$AQ$3&gt;=1,'Pricing Inputs'!$AQ$3&lt;=6),I323,(VLOOKUP(A323,ScaledPrice,2))*(2-(VLOOKUP(A323,ScaledPrice,3)))))</f>
        <v> </v>
      </c>
      <c r="K323" s="279" t="str">
        <f aca="false">IF(A323="N/A"," ",IF(OR('Pricing Inputs'!$AQ$3=2,'Pricing Inputs'!$AQ$3=3,'Pricing Inputs'!$AQ$3=5,'Pricing Inputs'!$AQ$3=6,'Pricing Inputs'!$AQ$3=8,'Pricing Inputs'!$AQ$3=9),VLOOKUP(A323,ScaledPrice,IF(AND('Pricing Inputs'!$AQ$3&gt;=2,'Pricing Inputs'!$AQ$3&lt;=6),5,6)),0))</f>
        <v> </v>
      </c>
      <c r="L323" s="279" t="str">
        <f aca="false">IF(A323="N/A"," ",IF(OR('Pricing Inputs'!$AQ$3=2,'Pricing Inputs'!$AQ$3=3,'Pricing Inputs'!$AQ$3=5,'Pricing Inputs'!$AQ$3=6,'Pricing Inputs'!$AQ$3=8,'Pricing Inputs'!$AQ$3=9),IF(AND('Pricing Inputs'!$AQ$3&gt;=2,'Pricing Inputs'!$AQ$3&lt;=6),K323,(VLOOKUP(A323,ScaledPrice,5))*(2-(VLOOKUP(A323,ScaledPrice,3)))),0))</f>
        <v> </v>
      </c>
      <c r="M323" s="279" t="str">
        <f aca="false">IF(A323="N/A"," ",IF(OR('Pricing Inputs'!$AQ$3=3,'Pricing Inputs'!$AQ$3=6,'Pricing Inputs'!$AQ$3=9),(VLOOKUP(A323,ScaledPrice,IF(AND('Pricing Inputs'!$AQ$3&gt;=3,'Pricing Inputs'!$AQ$3&lt;=6),7,8))),0))</f>
        <v> </v>
      </c>
      <c r="N323" s="279" t="str">
        <f aca="false">IF(A323="N/A"," ",IF(OR('Pricing Inputs'!$AQ$3=3,'Pricing Inputs'!$AQ$3=6,'Pricing Inputs'!$AQ$3=9),IF(AND('Pricing Inputs'!$AQ$3&gt;=3,'Pricing Inputs'!$AQ$3&lt;=6),M323,(VLOOKUP(A323,ScaledPrice,7))*(2-(VLOOKUP(A323,ScaledPrice,3)))),0))</f>
        <v> </v>
      </c>
      <c r="O323" s="279" t="str">
        <f aca="false">IF(A323="N/A"," ",IF(AND('Pricing Inputs'!$AQ$3&gt;=1,'Pricing Inputs'!$AQ$3&lt;=3),VLOOKUP(A323,ScaledPrice,9),0))</f>
        <v> </v>
      </c>
      <c r="P323" s="280" t="str">
        <f aca="false">IF($A323="N/A"," ",IF('Pricing Inputs'!$AN$8=2,(I323-H323),IF('Pricing Inputs'!$AN$3=2,IF((I323-$H323)&gt;0,I323-$H323,0),(xSPRDOPT(I323,$E323,$BU323,0,$BP323,$BS323,$BT323,($A323-Inputs!$D$1)+15,1,0)))))</f>
        <v> </v>
      </c>
      <c r="Q323" s="280" t="str">
        <f aca="false">IF($A323="N/A"," ",IF('Pricing Inputs'!$AN$8=2,(J323-$H323),IF('Pricing Inputs'!$AN$3=2,IF((J323-$H323)&gt;0,J323-$H323,0),(xSPRDOPT(J323,$E323,$BU323,0,$BP323,$BS323,$BT323,($A323-Inputs!$D$1)+15,1,0)))))</f>
        <v> </v>
      </c>
      <c r="R323" s="280" t="str">
        <f aca="false">IF($A323="N/A"," ",IF('Pricing Inputs'!$AN$8=2,(K323-$H323),IF('Pricing Inputs'!$AN$3=2,IF((K323-$H323)&gt;0,K323-$H323,0),(xSPRDOPT(K323,$E323,$BU323,0,$BP323,$BS323,$BT323,($A323-Inputs!$D$1)+15,1,0)))))</f>
        <v> </v>
      </c>
      <c r="S323" s="280" t="str">
        <f aca="false">IF($A323="N/A"," ",IF('Pricing Inputs'!$AN$8=2,(L323-$H323),IF('Pricing Inputs'!$AN$3=2,IF((L323-$H323)&gt;0,L323-$H323,0),(xSPRDOPT(L323,$E323,$BU323,0,$BP323,$BS323,$BT323,($A323-Inputs!$D$1)+15,1,0)))))</f>
        <v> </v>
      </c>
      <c r="T323" s="280" t="str">
        <f aca="false">IF($A323="N/A"," ",IF('Pricing Inputs'!$AN$8=2,(M323-$H323),IF('Pricing Inputs'!$AN$3=2,IF((M323-$H323)&gt;0,M323-$H323,0),(xSPRDOPT(M323,$E323,$BU323,0,$BP323,$BS323,$BT323,($A323-Inputs!$D$1)+15,1,0)))))</f>
        <v> </v>
      </c>
      <c r="U323" s="280" t="str">
        <f aca="false">IF($A323="N/A"," ",IF('Pricing Inputs'!$AN$8=2,(N323-$H323),IF('Pricing Inputs'!$AN$3=2,IF((N323-$H323)&gt;0,N323-$H323,0),(xSPRDOPT(N323,$E323,$BU323,0,$BP323,$BS323,$BT323,($A323-Inputs!$D$1)+15,1,0)))))</f>
        <v> </v>
      </c>
      <c r="V323" s="281" t="str">
        <f aca="false">IF($A323="N/A"," ",(IF('Pricing Inputs'!$AN$8=2,(O323-$H323),IF((O323-$H323)&lt;=0,0,(O323-$H323)))))</f>
        <v> </v>
      </c>
      <c r="AK323" s="31"/>
      <c r="AL323" s="31"/>
      <c r="AM323" s="31"/>
      <c r="AN323" s="31"/>
      <c r="AO323" s="31"/>
      <c r="AP323" s="31"/>
      <c r="AQ323" s="31"/>
      <c r="AR323" s="31"/>
      <c r="BA323" s="291" t="str">
        <f aca="false">IF($A323="N/A"," ",(IF(MONTH(A323)&gt;=4,IF(MONTH(A323)&lt;=10,Inputs!$F$13,Inputs!$F$14),Inputs!$F$14))*$BW323)</f>
        <v> </v>
      </c>
      <c r="BN323" s="294" t="str">
        <f aca="false">IF(A323="N/A"," ",(VLOOKUP(A323,PowerVolTable,(IF('Pricing Inputs'!$AT$3=2,7,IF('Pricing Inputs'!$AT$3=1,6,8))),FALSE())))</f>
        <v> </v>
      </c>
      <c r="BO323" s="294" t="str">
        <f aca="false">IF(A323="N/A"," ",(VLOOKUP(A323,IntraPowerVol,(IF('Pricing Inputs'!$AT$3=2,3,IF('Pricing Inputs'!$AT$3=1,2,4))),FALSE())*VLOOKUP(MONTH($A323),Inputs!$A$28:$B$39,2)))</f>
        <v> </v>
      </c>
      <c r="BP323" s="295" t="str">
        <f aca="false">IF($A323="N/A"," ",(IF(DateToday&gt;$A323,$BO323,((($BN323^2)*((($A323-1)-DateToday)/((EOMONTH($A323,0)+1)-DateToday-15)))+((($BO323)^2)*((15)/((EOMONTH($A323,0)+1)-DateToday-15))))^0.5)))</f>
        <v> </v>
      </c>
      <c r="BQ323" s="294" t="str">
        <f aca="false">IF($A323="N/A"," ",(VLOOKUP($A323,GasVolTable,(IF('Pricing Inputs'!$AT$3=2,6,IF('Pricing Inputs'!$AT$3=1,7,5))),FALSE())))</f>
        <v> </v>
      </c>
      <c r="BR323" s="294" t="str">
        <f aca="false">IF($A323="N/A"," ",(VLOOKUP($A323,OmicronVol,(IF('Pricing Inputs'!$AT$3=2,3,IF('Pricing Inputs'!$AT$3=1,4,2))),FALSE())))</f>
        <v> </v>
      </c>
      <c r="BS323" s="295" t="str">
        <f aca="false">IF($A323="N/A"," ",IF('Pricing Inputs'!$AN$3=1,(IF(DateToday&gt;$A323,$BR323,((($BQ323^2)*((($A323-1)-DateToday)/((EOMONTH($A323,0)+1)-DateToday-15)))+((($BR323)^2)*((15)/((EOMONTH($A323,0)+1)-DateToday-15))))^0.5)),0.0001))</f>
        <v> </v>
      </c>
      <c r="BT323" s="294" t="str">
        <f aca="false">IF($A323="N/A"," ",IF('Pricing Inputs'!$AN$3=1,(VLOOKUP($A323,CorrelationTable,2,FALSE())),0))</f>
        <v> </v>
      </c>
      <c r="BU323" s="296" t="str">
        <f aca="false">IF($A323="N/A"," ",F323+G323+(D323*(VLOOKUP($A323,'Gas Curves'!$B$17:$P$310,14,FALSE()))))</f>
        <v> </v>
      </c>
      <c r="BV323" s="294" t="str">
        <f aca="false">IF($A323="N/A"," ",IF('Pricing Inputs'!$AW$3=1,0,(VLOOKUP($A323,InterestRatesTable,2))))</f>
        <v> </v>
      </c>
      <c r="BW323" s="297" t="str">
        <f aca="false">IF($A323="N/A"," ",(1+BV323/2)^(-2*((EOMONTH(A323,0)+20)-DateToday)/365.25))</f>
        <v> </v>
      </c>
    </row>
    <row r="324" customFormat="false" ht="12.75" hidden="false" customHeight="false" outlineLevel="0" collapsed="false">
      <c r="A324" s="272" t="str">
        <f aca="false">IF(A323="N/A","N/A",IF(EDATE(A323,1)&gt;Inputs!$K$3,"N/A",EDATE(A323,1)))</f>
        <v>N/A</v>
      </c>
      <c r="B324" s="273" t="str">
        <f aca="false">IF(A324="N/A"," ",YEAR(A324))</f>
        <v> </v>
      </c>
      <c r="C324" s="274" t="str">
        <f aca="false">IF(A324="N/A"," ",VLOOKUP(A324,ScaledPrice,10))</f>
        <v> </v>
      </c>
      <c r="D324" s="275" t="str">
        <f aca="false">IF(A324="N/A"," ",(VLOOKUP(MONTH($A324),Inputs!$A$14:$B$25,2))/1000)</f>
        <v> </v>
      </c>
      <c r="E324" s="276" t="str">
        <f aca="false">IF($A324="N/A"," ",C324*D324)</f>
        <v> </v>
      </c>
      <c r="F324" s="277" t="str">
        <f aca="false">IF(A324="N/A"," ",Inputs!$F$6)</f>
        <v> </v>
      </c>
      <c r="G324" s="277" t="str">
        <f aca="false">IF(A324="N/A"," ",Inputs!$F$9/IF(AND('Pricing Inputs'!$AQ$3&gt;=4,'Pricing Inputs'!$AQ$3&lt;=6),16,IF(AND('Pricing Inputs'!$AQ$3&gt;=7,'Pricing Inputs'!$AQ$3&lt;=9),8,24))/(BA324/BW324))</f>
        <v> </v>
      </c>
      <c r="H324" s="278" t="str">
        <f aca="false">IF(A324="N/A"," ",(C324*D324)+F324+G324)</f>
        <v> </v>
      </c>
      <c r="I324" s="279" t="str">
        <f aca="false">VLOOKUP(A324,ScaledPrice,(IF(AND('Pricing Inputs'!$AQ$3&gt;=1,'Pricing Inputs'!$AQ$3&lt;=6),2,4)))</f>
        <v> </v>
      </c>
      <c r="J324" s="279" t="str">
        <f aca="false">IF(A324="N/A"," ",IF(AND('Pricing Inputs'!$AQ$3&gt;=1,'Pricing Inputs'!$AQ$3&lt;=6),I324,(VLOOKUP(A324,ScaledPrice,2))*(2-(VLOOKUP(A324,ScaledPrice,3)))))</f>
        <v> </v>
      </c>
      <c r="K324" s="279" t="str">
        <f aca="false">IF(A324="N/A"," ",IF(OR('Pricing Inputs'!$AQ$3=2,'Pricing Inputs'!$AQ$3=3,'Pricing Inputs'!$AQ$3=5,'Pricing Inputs'!$AQ$3=6,'Pricing Inputs'!$AQ$3=8,'Pricing Inputs'!$AQ$3=9),VLOOKUP(A324,ScaledPrice,IF(AND('Pricing Inputs'!$AQ$3&gt;=2,'Pricing Inputs'!$AQ$3&lt;=6),5,6)),0))</f>
        <v> </v>
      </c>
      <c r="L324" s="279" t="str">
        <f aca="false">IF(A324="N/A"," ",IF(OR('Pricing Inputs'!$AQ$3=2,'Pricing Inputs'!$AQ$3=3,'Pricing Inputs'!$AQ$3=5,'Pricing Inputs'!$AQ$3=6,'Pricing Inputs'!$AQ$3=8,'Pricing Inputs'!$AQ$3=9),IF(AND('Pricing Inputs'!$AQ$3&gt;=2,'Pricing Inputs'!$AQ$3&lt;=6),K324,(VLOOKUP(A324,ScaledPrice,5))*(2-(VLOOKUP(A324,ScaledPrice,3)))),0))</f>
        <v> </v>
      </c>
      <c r="M324" s="279" t="str">
        <f aca="false">IF(A324="N/A"," ",IF(OR('Pricing Inputs'!$AQ$3=3,'Pricing Inputs'!$AQ$3=6,'Pricing Inputs'!$AQ$3=9),(VLOOKUP(A324,ScaledPrice,IF(AND('Pricing Inputs'!$AQ$3&gt;=3,'Pricing Inputs'!$AQ$3&lt;=6),7,8))),0))</f>
        <v> </v>
      </c>
      <c r="N324" s="279" t="str">
        <f aca="false">IF(A324="N/A"," ",IF(OR('Pricing Inputs'!$AQ$3=3,'Pricing Inputs'!$AQ$3=6,'Pricing Inputs'!$AQ$3=9),IF(AND('Pricing Inputs'!$AQ$3&gt;=3,'Pricing Inputs'!$AQ$3&lt;=6),M324,(VLOOKUP(A324,ScaledPrice,7))*(2-(VLOOKUP(A324,ScaledPrice,3)))),0))</f>
        <v> </v>
      </c>
      <c r="O324" s="279" t="str">
        <f aca="false">IF(A324="N/A"," ",IF(AND('Pricing Inputs'!$AQ$3&gt;=1,'Pricing Inputs'!$AQ$3&lt;=3),VLOOKUP(A324,ScaledPrice,9),0))</f>
        <v> </v>
      </c>
      <c r="P324" s="280" t="str">
        <f aca="false">IF($A324="N/A"," ",IF('Pricing Inputs'!$AN$8=2,(I324-H324),IF('Pricing Inputs'!$AN$3=2,IF((I324-$H324)&gt;0,I324-$H324,0),(xSPRDOPT(I324,$E324,$BU324,0,$BP324,$BS324,$BT324,($A324-Inputs!$D$1)+15,1,0)))))</f>
        <v> </v>
      </c>
      <c r="Q324" s="280" t="str">
        <f aca="false">IF($A324="N/A"," ",IF('Pricing Inputs'!$AN$8=2,(J324-$H324),IF('Pricing Inputs'!$AN$3=2,IF((J324-$H324)&gt;0,J324-$H324,0),(xSPRDOPT(J324,$E324,$BU324,0,$BP324,$BS324,$BT324,($A324-Inputs!$D$1)+15,1,0)))))</f>
        <v> </v>
      </c>
      <c r="R324" s="280" t="str">
        <f aca="false">IF($A324="N/A"," ",IF('Pricing Inputs'!$AN$8=2,(K324-$H324),IF('Pricing Inputs'!$AN$3=2,IF((K324-$H324)&gt;0,K324-$H324,0),(xSPRDOPT(K324,$E324,$BU324,0,$BP324,$BS324,$BT324,($A324-Inputs!$D$1)+15,1,0)))))</f>
        <v> </v>
      </c>
      <c r="S324" s="280" t="str">
        <f aca="false">IF($A324="N/A"," ",IF('Pricing Inputs'!$AN$8=2,(L324-$H324),IF('Pricing Inputs'!$AN$3=2,IF((L324-$H324)&gt;0,L324-$H324,0),(xSPRDOPT(L324,$E324,$BU324,0,$BP324,$BS324,$BT324,($A324-Inputs!$D$1)+15,1,0)))))</f>
        <v> </v>
      </c>
      <c r="T324" s="280" t="str">
        <f aca="false">IF($A324="N/A"," ",IF('Pricing Inputs'!$AN$8=2,(M324-$H324),IF('Pricing Inputs'!$AN$3=2,IF((M324-$H324)&gt;0,M324-$H324,0),(xSPRDOPT(M324,$E324,$BU324,0,$BP324,$BS324,$BT324,($A324-Inputs!$D$1)+15,1,0)))))</f>
        <v> </v>
      </c>
      <c r="U324" s="280" t="str">
        <f aca="false">IF($A324="N/A"," ",IF('Pricing Inputs'!$AN$8=2,(N324-$H324),IF('Pricing Inputs'!$AN$3=2,IF((N324-$H324)&gt;0,N324-$H324,0),(xSPRDOPT(N324,$E324,$BU324,0,$BP324,$BS324,$BT324,($A324-Inputs!$D$1)+15,1,0)))))</f>
        <v> </v>
      </c>
      <c r="V324" s="281" t="str">
        <f aca="false">IF($A324="N/A"," ",(IF('Pricing Inputs'!$AN$8=2,(O324-$H324),IF((O324-$H324)&lt;=0,0,(O324-$H324)))))</f>
        <v> </v>
      </c>
      <c r="AK324" s="31"/>
      <c r="AL324" s="31"/>
      <c r="AM324" s="31"/>
      <c r="AN324" s="31"/>
      <c r="AO324" s="31"/>
      <c r="AP324" s="31"/>
      <c r="AQ324" s="31"/>
      <c r="AR324" s="31"/>
      <c r="BA324" s="291" t="str">
        <f aca="false">IF($A324="N/A"," ",(IF(MONTH(A324)&gt;=4,IF(MONTH(A324)&lt;=10,Inputs!$F$13,Inputs!$F$14),Inputs!$F$14))*$BW324)</f>
        <v> </v>
      </c>
      <c r="BN324" s="294" t="str">
        <f aca="false">IF(A324="N/A"," ",(VLOOKUP(A324,PowerVolTable,(IF('Pricing Inputs'!$AT$3=2,7,IF('Pricing Inputs'!$AT$3=1,6,8))),FALSE())))</f>
        <v> </v>
      </c>
      <c r="BO324" s="294" t="str">
        <f aca="false">IF(A324="N/A"," ",(VLOOKUP(A324,IntraPowerVol,(IF('Pricing Inputs'!$AT$3=2,3,IF('Pricing Inputs'!$AT$3=1,2,4))),FALSE())*VLOOKUP(MONTH($A324),Inputs!$A$28:$B$39,2)))</f>
        <v> </v>
      </c>
      <c r="BP324" s="295" t="str">
        <f aca="false">IF($A324="N/A"," ",(IF(DateToday&gt;$A324,$BO324,((($BN324^2)*((($A324-1)-DateToday)/((EOMONTH($A324,0)+1)-DateToday-15)))+((($BO324)^2)*((15)/((EOMONTH($A324,0)+1)-DateToday-15))))^0.5)))</f>
        <v> </v>
      </c>
      <c r="BQ324" s="294" t="str">
        <f aca="false">IF($A324="N/A"," ",(VLOOKUP($A324,GasVolTable,(IF('Pricing Inputs'!$AT$3=2,6,IF('Pricing Inputs'!$AT$3=1,7,5))),FALSE())))</f>
        <v> </v>
      </c>
      <c r="BR324" s="294" t="str">
        <f aca="false">IF($A324="N/A"," ",(VLOOKUP($A324,OmicronVol,(IF('Pricing Inputs'!$AT$3=2,3,IF('Pricing Inputs'!$AT$3=1,4,2))),FALSE())))</f>
        <v> </v>
      </c>
      <c r="BS324" s="295" t="str">
        <f aca="false">IF($A324="N/A"," ",IF('Pricing Inputs'!$AN$3=1,(IF(DateToday&gt;$A324,$BR324,((($BQ324^2)*((($A324-1)-DateToday)/((EOMONTH($A324,0)+1)-DateToday-15)))+((($BR324)^2)*((15)/((EOMONTH($A324,0)+1)-DateToday-15))))^0.5)),0.0001))</f>
        <v> </v>
      </c>
      <c r="BT324" s="294" t="str">
        <f aca="false">IF($A324="N/A"," ",IF('Pricing Inputs'!$AN$3=1,(VLOOKUP($A324,CorrelationTable,2,FALSE())),0))</f>
        <v> </v>
      </c>
      <c r="BU324" s="296" t="str">
        <f aca="false">IF($A324="N/A"," ",F324+G324+(D324*(VLOOKUP($A324,'Gas Curves'!$B$17:$P$310,14,FALSE()))))</f>
        <v> </v>
      </c>
      <c r="BV324" s="294" t="str">
        <f aca="false">IF($A324="N/A"," ",IF('Pricing Inputs'!$AW$3=1,0,(VLOOKUP($A324,InterestRatesTable,2))))</f>
        <v> </v>
      </c>
      <c r="BW324" s="297" t="str">
        <f aca="false">IF($A324="N/A"," ",(1+BV324/2)^(-2*((EOMONTH(A324,0)+20)-DateToday)/365.25))</f>
        <v> </v>
      </c>
    </row>
    <row r="325" customFormat="false" ht="12.75" hidden="false" customHeight="false" outlineLevel="0" collapsed="false">
      <c r="A325" s="272" t="str">
        <f aca="false">IF(A324="N/A","N/A",IF(EDATE(A324,1)&gt;Inputs!$K$3,"N/A",EDATE(A324,1)))</f>
        <v>N/A</v>
      </c>
      <c r="B325" s="273" t="str">
        <f aca="false">IF(A325="N/A"," ",YEAR(A325))</f>
        <v> </v>
      </c>
      <c r="C325" s="274" t="str">
        <f aca="false">IF(A325="N/A"," ",VLOOKUP(A325,ScaledPrice,10))</f>
        <v> </v>
      </c>
      <c r="D325" s="275" t="str">
        <f aca="false">IF(A325="N/A"," ",(VLOOKUP(MONTH($A325),Inputs!$A$14:$B$25,2))/1000)</f>
        <v> </v>
      </c>
      <c r="E325" s="276" t="str">
        <f aca="false">IF($A325="N/A"," ",C325*D325)</f>
        <v> </v>
      </c>
      <c r="F325" s="277" t="str">
        <f aca="false">IF(A325="N/A"," ",Inputs!$F$6)</f>
        <v> </v>
      </c>
      <c r="G325" s="277" t="str">
        <f aca="false">IF(A325="N/A"," ",Inputs!$F$9/IF(AND('Pricing Inputs'!$AQ$3&gt;=4,'Pricing Inputs'!$AQ$3&lt;=6),16,IF(AND('Pricing Inputs'!$AQ$3&gt;=7,'Pricing Inputs'!$AQ$3&lt;=9),8,24))/(BA325/BW325))</f>
        <v> </v>
      </c>
      <c r="H325" s="278" t="str">
        <f aca="false">IF(A325="N/A"," ",(C325*D325)+F325+G325)</f>
        <v> </v>
      </c>
      <c r="I325" s="279" t="str">
        <f aca="false">VLOOKUP(A325,ScaledPrice,(IF(AND('Pricing Inputs'!$AQ$3&gt;=1,'Pricing Inputs'!$AQ$3&lt;=6),2,4)))</f>
        <v> </v>
      </c>
      <c r="J325" s="279" t="str">
        <f aca="false">IF(A325="N/A"," ",IF(AND('Pricing Inputs'!$AQ$3&gt;=1,'Pricing Inputs'!$AQ$3&lt;=6),I325,(VLOOKUP(A325,ScaledPrice,2))*(2-(VLOOKUP(A325,ScaledPrice,3)))))</f>
        <v> </v>
      </c>
      <c r="K325" s="279" t="str">
        <f aca="false">IF(A325="N/A"," ",IF(OR('Pricing Inputs'!$AQ$3=2,'Pricing Inputs'!$AQ$3=3,'Pricing Inputs'!$AQ$3=5,'Pricing Inputs'!$AQ$3=6,'Pricing Inputs'!$AQ$3=8,'Pricing Inputs'!$AQ$3=9),VLOOKUP(A325,ScaledPrice,IF(AND('Pricing Inputs'!$AQ$3&gt;=2,'Pricing Inputs'!$AQ$3&lt;=6),5,6)),0))</f>
        <v> </v>
      </c>
      <c r="L325" s="279" t="str">
        <f aca="false">IF(A325="N/A"," ",IF(OR('Pricing Inputs'!$AQ$3=2,'Pricing Inputs'!$AQ$3=3,'Pricing Inputs'!$AQ$3=5,'Pricing Inputs'!$AQ$3=6,'Pricing Inputs'!$AQ$3=8,'Pricing Inputs'!$AQ$3=9),IF(AND('Pricing Inputs'!$AQ$3&gt;=2,'Pricing Inputs'!$AQ$3&lt;=6),K325,(VLOOKUP(A325,ScaledPrice,5))*(2-(VLOOKUP(A325,ScaledPrice,3)))),0))</f>
        <v> </v>
      </c>
      <c r="M325" s="279" t="str">
        <f aca="false">IF(A325="N/A"," ",IF(OR('Pricing Inputs'!$AQ$3=3,'Pricing Inputs'!$AQ$3=6,'Pricing Inputs'!$AQ$3=9),(VLOOKUP(A325,ScaledPrice,IF(AND('Pricing Inputs'!$AQ$3&gt;=3,'Pricing Inputs'!$AQ$3&lt;=6),7,8))),0))</f>
        <v> </v>
      </c>
      <c r="N325" s="279" t="str">
        <f aca="false">IF(A325="N/A"," ",IF(OR('Pricing Inputs'!$AQ$3=3,'Pricing Inputs'!$AQ$3=6,'Pricing Inputs'!$AQ$3=9),IF(AND('Pricing Inputs'!$AQ$3&gt;=3,'Pricing Inputs'!$AQ$3&lt;=6),M325,(VLOOKUP(A325,ScaledPrice,7))*(2-(VLOOKUP(A325,ScaledPrice,3)))),0))</f>
        <v> </v>
      </c>
      <c r="O325" s="279" t="str">
        <f aca="false">IF(A325="N/A"," ",IF(AND('Pricing Inputs'!$AQ$3&gt;=1,'Pricing Inputs'!$AQ$3&lt;=3),VLOOKUP(A325,ScaledPrice,9),0))</f>
        <v> </v>
      </c>
      <c r="P325" s="280" t="str">
        <f aca="false">IF($A325="N/A"," ",IF('Pricing Inputs'!$AN$8=2,(I325-H325),IF('Pricing Inputs'!$AN$3=2,IF((I325-$H325)&gt;0,I325-$H325,0),(xSPRDOPT(I325,$E325,$BU325,0,$BP325,$BS325,$BT325,($A325-Inputs!$D$1)+15,1,0)))))</f>
        <v> </v>
      </c>
      <c r="Q325" s="280" t="str">
        <f aca="false">IF($A325="N/A"," ",IF('Pricing Inputs'!$AN$8=2,(J325-$H325),IF('Pricing Inputs'!$AN$3=2,IF((J325-$H325)&gt;0,J325-$H325,0),(xSPRDOPT(J325,$E325,$BU325,0,$BP325,$BS325,$BT325,($A325-Inputs!$D$1)+15,1,0)))))</f>
        <v> </v>
      </c>
      <c r="R325" s="280" t="str">
        <f aca="false">IF($A325="N/A"," ",IF('Pricing Inputs'!$AN$8=2,(K325-$H325),IF('Pricing Inputs'!$AN$3=2,IF((K325-$H325)&gt;0,K325-$H325,0),(xSPRDOPT(K325,$E325,$BU325,0,$BP325,$BS325,$BT325,($A325-Inputs!$D$1)+15,1,0)))))</f>
        <v> </v>
      </c>
      <c r="S325" s="280" t="str">
        <f aca="false">IF($A325="N/A"," ",IF('Pricing Inputs'!$AN$8=2,(L325-$H325),IF('Pricing Inputs'!$AN$3=2,IF((L325-$H325)&gt;0,L325-$H325,0),(xSPRDOPT(L325,$E325,$BU325,0,$BP325,$BS325,$BT325,($A325-Inputs!$D$1)+15,1,0)))))</f>
        <v> </v>
      </c>
      <c r="T325" s="280" t="str">
        <f aca="false">IF($A325="N/A"," ",IF('Pricing Inputs'!$AN$8=2,(M325-$H325),IF('Pricing Inputs'!$AN$3=2,IF((M325-$H325)&gt;0,M325-$H325,0),(xSPRDOPT(M325,$E325,$BU325,0,$BP325,$BS325,$BT325,($A325-Inputs!$D$1)+15,1,0)))))</f>
        <v> </v>
      </c>
      <c r="U325" s="280" t="str">
        <f aca="false">IF($A325="N/A"," ",IF('Pricing Inputs'!$AN$8=2,(N325-$H325),IF('Pricing Inputs'!$AN$3=2,IF((N325-$H325)&gt;0,N325-$H325,0),(xSPRDOPT(N325,$E325,$BU325,0,$BP325,$BS325,$BT325,($A325-Inputs!$D$1)+15,1,0)))))</f>
        <v> </v>
      </c>
      <c r="V325" s="281" t="str">
        <f aca="false">IF($A325="N/A"," ",(IF('Pricing Inputs'!$AN$8=2,(O325-$H325),IF((O325-$H325)&lt;=0,0,(O325-$H325)))))</f>
        <v> </v>
      </c>
      <c r="AK325" s="31"/>
      <c r="AL325" s="31"/>
      <c r="AM325" s="31"/>
      <c r="AN325" s="31"/>
      <c r="AO325" s="31"/>
      <c r="AP325" s="31"/>
      <c r="AQ325" s="31"/>
      <c r="AR325" s="31"/>
      <c r="BA325" s="291" t="str">
        <f aca="false">IF($A325="N/A"," ",(IF(MONTH(A325)&gt;=4,IF(MONTH(A325)&lt;=10,Inputs!$F$13,Inputs!$F$14),Inputs!$F$14))*$BW325)</f>
        <v> </v>
      </c>
      <c r="BN325" s="294" t="str">
        <f aca="false">IF(A325="N/A"," ",(VLOOKUP(A325,PowerVolTable,(IF('Pricing Inputs'!$AT$3=2,7,IF('Pricing Inputs'!$AT$3=1,6,8))),FALSE())))</f>
        <v> </v>
      </c>
      <c r="BO325" s="294" t="str">
        <f aca="false">IF(A325="N/A"," ",(VLOOKUP(A325,IntraPowerVol,(IF('Pricing Inputs'!$AT$3=2,3,IF('Pricing Inputs'!$AT$3=1,2,4))),FALSE())*VLOOKUP(MONTH($A325),Inputs!$A$28:$B$39,2)))</f>
        <v> </v>
      </c>
      <c r="BP325" s="295" t="str">
        <f aca="false">IF($A325="N/A"," ",(IF(DateToday&gt;$A325,$BO325,((($BN325^2)*((($A325-1)-DateToday)/((EOMONTH($A325,0)+1)-DateToday-15)))+((($BO325)^2)*((15)/((EOMONTH($A325,0)+1)-DateToday-15))))^0.5)))</f>
        <v> </v>
      </c>
      <c r="BQ325" s="294" t="str">
        <f aca="false">IF($A325="N/A"," ",(VLOOKUP($A325,GasVolTable,(IF('Pricing Inputs'!$AT$3=2,6,IF('Pricing Inputs'!$AT$3=1,7,5))),FALSE())))</f>
        <v> </v>
      </c>
      <c r="BR325" s="294" t="str">
        <f aca="false">IF($A325="N/A"," ",(VLOOKUP($A325,OmicronVol,(IF('Pricing Inputs'!$AT$3=2,3,IF('Pricing Inputs'!$AT$3=1,4,2))),FALSE())))</f>
        <v> </v>
      </c>
      <c r="BS325" s="295" t="str">
        <f aca="false">IF($A325="N/A"," ",IF('Pricing Inputs'!$AN$3=1,(IF(DateToday&gt;$A325,$BR325,((($BQ325^2)*((($A325-1)-DateToday)/((EOMONTH($A325,0)+1)-DateToday-15)))+((($BR325)^2)*((15)/((EOMONTH($A325,0)+1)-DateToday-15))))^0.5)),0.0001))</f>
        <v> </v>
      </c>
      <c r="BT325" s="294" t="str">
        <f aca="false">IF($A325="N/A"," ",IF('Pricing Inputs'!$AN$3=1,(VLOOKUP($A325,CorrelationTable,2,FALSE())),0))</f>
        <v> </v>
      </c>
      <c r="BU325" s="296" t="str">
        <f aca="false">IF($A325="N/A"," ",F325+G325+(D325*(VLOOKUP($A325,'Gas Curves'!$B$17:$P$310,14,FALSE()))))</f>
        <v> </v>
      </c>
      <c r="BV325" s="294" t="str">
        <f aca="false">IF($A325="N/A"," ",IF('Pricing Inputs'!$AW$3=1,0,(VLOOKUP($A325,InterestRatesTable,2))))</f>
        <v> </v>
      </c>
      <c r="BW325" s="297" t="str">
        <f aca="false">IF($A325="N/A"," ",(1+BV325/2)^(-2*((EOMONTH(A325,0)+20)-DateToday)/365.25))</f>
        <v> </v>
      </c>
    </row>
    <row r="326" customFormat="false" ht="12.75" hidden="false" customHeight="false" outlineLevel="0" collapsed="false">
      <c r="A326" s="272" t="str">
        <f aca="false">IF(A325="N/A","N/A",IF(EDATE(A325,1)&gt;Inputs!$K$3,"N/A",EDATE(A325,1)))</f>
        <v>N/A</v>
      </c>
      <c r="B326" s="273" t="str">
        <f aca="false">IF(A326="N/A"," ",YEAR(A326))</f>
        <v> </v>
      </c>
      <c r="C326" s="274" t="str">
        <f aca="false">IF(A326="N/A"," ",VLOOKUP(A326,ScaledPrice,10))</f>
        <v> </v>
      </c>
      <c r="D326" s="275" t="str">
        <f aca="false">IF(A326="N/A"," ",(VLOOKUP(MONTH($A326),Inputs!$A$14:$B$25,2))/1000)</f>
        <v> </v>
      </c>
      <c r="E326" s="276" t="str">
        <f aca="false">IF($A326="N/A"," ",C326*D326)</f>
        <v> </v>
      </c>
      <c r="F326" s="277" t="str">
        <f aca="false">IF(A326="N/A"," ",Inputs!$F$6)</f>
        <v> </v>
      </c>
      <c r="G326" s="277" t="str">
        <f aca="false">IF(A326="N/A"," ",Inputs!$F$9/IF(AND('Pricing Inputs'!$AQ$3&gt;=4,'Pricing Inputs'!$AQ$3&lt;=6),16,IF(AND('Pricing Inputs'!$AQ$3&gt;=7,'Pricing Inputs'!$AQ$3&lt;=9),8,24))/(BA326/BW326))</f>
        <v> </v>
      </c>
      <c r="H326" s="278" t="str">
        <f aca="false">IF(A326="N/A"," ",(C326*D326)+F326+G326)</f>
        <v> </v>
      </c>
      <c r="I326" s="279" t="str">
        <f aca="false">VLOOKUP(A326,ScaledPrice,(IF(AND('Pricing Inputs'!$AQ$3&gt;=1,'Pricing Inputs'!$AQ$3&lt;=6),2,4)))</f>
        <v> </v>
      </c>
      <c r="J326" s="279" t="str">
        <f aca="false">IF(A326="N/A"," ",IF(AND('Pricing Inputs'!$AQ$3&gt;=1,'Pricing Inputs'!$AQ$3&lt;=6),I326,(VLOOKUP(A326,ScaledPrice,2))*(2-(VLOOKUP(A326,ScaledPrice,3)))))</f>
        <v> </v>
      </c>
      <c r="K326" s="279" t="str">
        <f aca="false">IF(A326="N/A"," ",IF(OR('Pricing Inputs'!$AQ$3=2,'Pricing Inputs'!$AQ$3=3,'Pricing Inputs'!$AQ$3=5,'Pricing Inputs'!$AQ$3=6,'Pricing Inputs'!$AQ$3=8,'Pricing Inputs'!$AQ$3=9),VLOOKUP(A326,ScaledPrice,IF(AND('Pricing Inputs'!$AQ$3&gt;=2,'Pricing Inputs'!$AQ$3&lt;=6),5,6)),0))</f>
        <v> </v>
      </c>
      <c r="L326" s="279" t="str">
        <f aca="false">IF(A326="N/A"," ",IF(OR('Pricing Inputs'!$AQ$3=2,'Pricing Inputs'!$AQ$3=3,'Pricing Inputs'!$AQ$3=5,'Pricing Inputs'!$AQ$3=6,'Pricing Inputs'!$AQ$3=8,'Pricing Inputs'!$AQ$3=9),IF(AND('Pricing Inputs'!$AQ$3&gt;=2,'Pricing Inputs'!$AQ$3&lt;=6),K326,(VLOOKUP(A326,ScaledPrice,5))*(2-(VLOOKUP(A326,ScaledPrice,3)))),0))</f>
        <v> </v>
      </c>
      <c r="M326" s="279" t="str">
        <f aca="false">IF(A326="N/A"," ",IF(OR('Pricing Inputs'!$AQ$3=3,'Pricing Inputs'!$AQ$3=6,'Pricing Inputs'!$AQ$3=9),(VLOOKUP(A326,ScaledPrice,IF(AND('Pricing Inputs'!$AQ$3&gt;=3,'Pricing Inputs'!$AQ$3&lt;=6),7,8))),0))</f>
        <v> </v>
      </c>
      <c r="N326" s="279" t="str">
        <f aca="false">IF(A326="N/A"," ",IF(OR('Pricing Inputs'!$AQ$3=3,'Pricing Inputs'!$AQ$3=6,'Pricing Inputs'!$AQ$3=9),IF(AND('Pricing Inputs'!$AQ$3&gt;=3,'Pricing Inputs'!$AQ$3&lt;=6),M326,(VLOOKUP(A326,ScaledPrice,7))*(2-(VLOOKUP(A326,ScaledPrice,3)))),0))</f>
        <v> </v>
      </c>
      <c r="O326" s="279" t="str">
        <f aca="false">IF(A326="N/A"," ",IF(AND('Pricing Inputs'!$AQ$3&gt;=1,'Pricing Inputs'!$AQ$3&lt;=3),VLOOKUP(A326,ScaledPrice,9),0))</f>
        <v> </v>
      </c>
      <c r="P326" s="280" t="str">
        <f aca="false">IF($A326="N/A"," ",IF('Pricing Inputs'!$AN$8=2,(I326-H326),IF('Pricing Inputs'!$AN$3=2,IF((I326-$H326)&gt;0,I326-$H326,0),(xSPRDOPT(I326,$E326,$BU326,0,$BP326,$BS326,$BT326,($A326-Inputs!$D$1)+15,1,0)))))</f>
        <v> </v>
      </c>
      <c r="Q326" s="280" t="str">
        <f aca="false">IF($A326="N/A"," ",IF('Pricing Inputs'!$AN$8=2,(J326-$H326),IF('Pricing Inputs'!$AN$3=2,IF((J326-$H326)&gt;0,J326-$H326,0),(xSPRDOPT(J326,$E326,$BU326,0,$BP326,$BS326,$BT326,($A326-Inputs!$D$1)+15,1,0)))))</f>
        <v> </v>
      </c>
      <c r="R326" s="280" t="str">
        <f aca="false">IF($A326="N/A"," ",IF('Pricing Inputs'!$AN$8=2,(K326-$H326),IF('Pricing Inputs'!$AN$3=2,IF((K326-$H326)&gt;0,K326-$H326,0),(xSPRDOPT(K326,$E326,$BU326,0,$BP326,$BS326,$BT326,($A326-Inputs!$D$1)+15,1,0)))))</f>
        <v> </v>
      </c>
      <c r="S326" s="280" t="str">
        <f aca="false">IF($A326="N/A"," ",IF('Pricing Inputs'!$AN$8=2,(L326-$H326),IF('Pricing Inputs'!$AN$3=2,IF((L326-$H326)&gt;0,L326-$H326,0),(xSPRDOPT(L326,$E326,$BU326,0,$BP326,$BS326,$BT326,($A326-Inputs!$D$1)+15,1,0)))))</f>
        <v> </v>
      </c>
      <c r="T326" s="280" t="str">
        <f aca="false">IF($A326="N/A"," ",IF('Pricing Inputs'!$AN$8=2,(M326-$H326),IF('Pricing Inputs'!$AN$3=2,IF((M326-$H326)&gt;0,M326-$H326,0),(xSPRDOPT(M326,$E326,$BU326,0,$BP326,$BS326,$BT326,($A326-Inputs!$D$1)+15,1,0)))))</f>
        <v> </v>
      </c>
      <c r="U326" s="280" t="str">
        <f aca="false">IF($A326="N/A"," ",IF('Pricing Inputs'!$AN$8=2,(N326-$H326),IF('Pricing Inputs'!$AN$3=2,IF((N326-$H326)&gt;0,N326-$H326,0),(xSPRDOPT(N326,$E326,$BU326,0,$BP326,$BS326,$BT326,($A326-Inputs!$D$1)+15,1,0)))))</f>
        <v> </v>
      </c>
      <c r="V326" s="281" t="str">
        <f aca="false">IF($A326="N/A"," ",(IF('Pricing Inputs'!$AN$8=2,(O326-$H326),IF((O326-$H326)&lt;=0,0,(O326-$H326)))))</f>
        <v> </v>
      </c>
      <c r="BA326" s="291" t="str">
        <f aca="false">IF($A326="N/A"," ",(IF(MONTH(A326)&gt;=4,IF(MONTH(A326)&lt;=10,Inputs!$F$13,Inputs!$F$14),Inputs!$F$14))*$BW326)</f>
        <v> </v>
      </c>
      <c r="BN326" s="294" t="str">
        <f aca="false">IF(A326="N/A"," ",(VLOOKUP(A326,PowerVolTable,(IF('Pricing Inputs'!$AT$3=2,7,IF('Pricing Inputs'!$AT$3=1,6,8))),FALSE())))</f>
        <v> </v>
      </c>
      <c r="BO326" s="294" t="str">
        <f aca="false">IF(A326="N/A"," ",(VLOOKUP(A326,IntraPowerVol,(IF('Pricing Inputs'!$AT$3=2,3,IF('Pricing Inputs'!$AT$3=1,2,4))),FALSE())*VLOOKUP(MONTH($A326),Inputs!$A$28:$B$39,2)))</f>
        <v> </v>
      </c>
      <c r="BP326" s="295" t="str">
        <f aca="false">IF($A326="N/A"," ",(IF(DateToday&gt;$A326,$BO326,((($BN326^2)*((($A326-1)-DateToday)/((EOMONTH($A326,0)+1)-DateToday-15)))+((($BO326)^2)*((15)/((EOMONTH($A326,0)+1)-DateToday-15))))^0.5)))</f>
        <v> </v>
      </c>
      <c r="BQ326" s="294" t="str">
        <f aca="false">IF($A326="N/A"," ",(VLOOKUP($A326,GasVolTable,(IF('Pricing Inputs'!$AT$3=2,6,IF('Pricing Inputs'!$AT$3=1,7,5))),FALSE())))</f>
        <v> </v>
      </c>
      <c r="BR326" s="294" t="str">
        <f aca="false">IF($A326="N/A"," ",(VLOOKUP($A326,OmicronVol,(IF('Pricing Inputs'!$AT$3=2,3,IF('Pricing Inputs'!$AT$3=1,4,2))),FALSE())))</f>
        <v> </v>
      </c>
      <c r="BS326" s="295" t="str">
        <f aca="false">IF($A326="N/A"," ",IF('Pricing Inputs'!$AN$3=1,(IF(DateToday&gt;$A326,$BR326,((($BQ326^2)*((($A326-1)-DateToday)/((EOMONTH($A326,0)+1)-DateToday-15)))+((($BR326)^2)*((15)/((EOMONTH($A326,0)+1)-DateToday-15))))^0.5)),0.0001))</f>
        <v> </v>
      </c>
      <c r="BT326" s="294" t="str">
        <f aca="false">IF($A326="N/A"," ",IF('Pricing Inputs'!$AN$3=1,(VLOOKUP($A326,CorrelationTable,2,FALSE())),0))</f>
        <v> </v>
      </c>
      <c r="BU326" s="296" t="str">
        <f aca="false">IF($A326="N/A"," ",F326+G326+(D326*(VLOOKUP($A326,'Gas Curves'!$B$17:$P$310,14,FALSE()))))</f>
        <v> </v>
      </c>
      <c r="BV326" s="294" t="str">
        <f aca="false">IF($A326="N/A"," ",IF('Pricing Inputs'!$AW$3=1,0,(VLOOKUP($A326,InterestRatesTable,2))))</f>
        <v> </v>
      </c>
      <c r="BW326" s="297" t="str">
        <f aca="false">IF($A326="N/A"," ",(1+BV326/2)^(-2*((EOMONTH(A326,0)+20)-DateToday)/365.25))</f>
        <v> </v>
      </c>
    </row>
    <row r="327" customFormat="false" ht="12.75" hidden="false" customHeight="false" outlineLevel="0" collapsed="false">
      <c r="A327" s="272" t="str">
        <f aca="false">IF(A326="N/A","N/A",IF(EDATE(A326,1)&gt;Inputs!$K$3,"N/A",EDATE(A326,1)))</f>
        <v>N/A</v>
      </c>
      <c r="B327" s="273" t="str">
        <f aca="false">IF(A327="N/A"," ",YEAR(A327))</f>
        <v> </v>
      </c>
      <c r="C327" s="274" t="str">
        <f aca="false">IF(A327="N/A"," ",VLOOKUP(A327,ScaledPrice,10))</f>
        <v> </v>
      </c>
      <c r="D327" s="275" t="str">
        <f aca="false">IF(A327="N/A"," ",(VLOOKUP(MONTH($A327),Inputs!$A$14:$B$25,2))/1000)</f>
        <v> </v>
      </c>
      <c r="E327" s="276" t="str">
        <f aca="false">IF($A327="N/A"," ",C327*D327)</f>
        <v> </v>
      </c>
      <c r="F327" s="277" t="str">
        <f aca="false">IF(A327="N/A"," ",Inputs!$F$6)</f>
        <v> </v>
      </c>
      <c r="G327" s="277" t="str">
        <f aca="false">IF(A327="N/A"," ",Inputs!$F$9/IF(AND('Pricing Inputs'!$AQ$3&gt;=4,'Pricing Inputs'!$AQ$3&lt;=6),16,IF(AND('Pricing Inputs'!$AQ$3&gt;=7,'Pricing Inputs'!$AQ$3&lt;=9),8,24))/(BA327/BW327))</f>
        <v> </v>
      </c>
      <c r="H327" s="278" t="str">
        <f aca="false">IF(A327="N/A"," ",(C327*D327)+F327+G327)</f>
        <v> </v>
      </c>
      <c r="I327" s="279" t="str">
        <f aca="false">VLOOKUP(A327,ScaledPrice,(IF(AND('Pricing Inputs'!$AQ$3&gt;=1,'Pricing Inputs'!$AQ$3&lt;=6),2,4)))</f>
        <v> </v>
      </c>
      <c r="J327" s="279" t="str">
        <f aca="false">IF(A327="N/A"," ",IF(AND('Pricing Inputs'!$AQ$3&gt;=1,'Pricing Inputs'!$AQ$3&lt;=6),I327,(VLOOKUP(A327,ScaledPrice,2))*(2-(VLOOKUP(A327,ScaledPrice,3)))))</f>
        <v> </v>
      </c>
      <c r="K327" s="279" t="str">
        <f aca="false">IF(A327="N/A"," ",IF(OR('Pricing Inputs'!$AQ$3=2,'Pricing Inputs'!$AQ$3=3,'Pricing Inputs'!$AQ$3=5,'Pricing Inputs'!$AQ$3=6,'Pricing Inputs'!$AQ$3=8,'Pricing Inputs'!$AQ$3=9),VLOOKUP(A327,ScaledPrice,IF(AND('Pricing Inputs'!$AQ$3&gt;=2,'Pricing Inputs'!$AQ$3&lt;=6),5,6)),0))</f>
        <v> </v>
      </c>
      <c r="L327" s="279" t="str">
        <f aca="false">IF(A327="N/A"," ",IF(OR('Pricing Inputs'!$AQ$3=2,'Pricing Inputs'!$AQ$3=3,'Pricing Inputs'!$AQ$3=5,'Pricing Inputs'!$AQ$3=6,'Pricing Inputs'!$AQ$3=8,'Pricing Inputs'!$AQ$3=9),IF(AND('Pricing Inputs'!$AQ$3&gt;=2,'Pricing Inputs'!$AQ$3&lt;=6),K327,(VLOOKUP(A327,ScaledPrice,5))*(2-(VLOOKUP(A327,ScaledPrice,3)))),0))</f>
        <v> </v>
      </c>
      <c r="M327" s="279" t="str">
        <f aca="false">IF(A327="N/A"," ",IF(OR('Pricing Inputs'!$AQ$3=3,'Pricing Inputs'!$AQ$3=6,'Pricing Inputs'!$AQ$3=9),(VLOOKUP(A327,ScaledPrice,IF(AND('Pricing Inputs'!$AQ$3&gt;=3,'Pricing Inputs'!$AQ$3&lt;=6),7,8))),0))</f>
        <v> </v>
      </c>
      <c r="N327" s="279" t="str">
        <f aca="false">IF(A327="N/A"," ",IF(OR('Pricing Inputs'!$AQ$3=3,'Pricing Inputs'!$AQ$3=6,'Pricing Inputs'!$AQ$3=9),IF(AND('Pricing Inputs'!$AQ$3&gt;=3,'Pricing Inputs'!$AQ$3&lt;=6),M327,(VLOOKUP(A327,ScaledPrice,7))*(2-(VLOOKUP(A327,ScaledPrice,3)))),0))</f>
        <v> </v>
      </c>
      <c r="O327" s="279" t="str">
        <f aca="false">IF(A327="N/A"," ",IF(AND('Pricing Inputs'!$AQ$3&gt;=1,'Pricing Inputs'!$AQ$3&lt;=3),VLOOKUP(A327,ScaledPrice,9),0))</f>
        <v> </v>
      </c>
      <c r="P327" s="280" t="str">
        <f aca="false">IF($A327="N/A"," ",IF('Pricing Inputs'!$AN$8=2,(I327-H327),IF('Pricing Inputs'!$AN$3=2,IF((I327-$H327)&gt;0,I327-$H327,0),(xSPRDOPT(I327,$E327,$BU327,0,$BP327,$BS327,$BT327,($A327-Inputs!$D$1)+15,1,0)))))</f>
        <v> </v>
      </c>
      <c r="Q327" s="280" t="str">
        <f aca="false">IF($A327="N/A"," ",IF('Pricing Inputs'!$AN$8=2,(J327-$H327),IF('Pricing Inputs'!$AN$3=2,IF((J327-$H327)&gt;0,J327-$H327,0),(xSPRDOPT(J327,$E327,$BU327,0,$BP327,$BS327,$BT327,($A327-Inputs!$D$1)+15,1,0)))))</f>
        <v> </v>
      </c>
      <c r="R327" s="280" t="str">
        <f aca="false">IF($A327="N/A"," ",IF('Pricing Inputs'!$AN$8=2,(K327-$H327),IF('Pricing Inputs'!$AN$3=2,IF((K327-$H327)&gt;0,K327-$H327,0),(xSPRDOPT(K327,$E327,$BU327,0,$BP327,$BS327,$BT327,($A327-Inputs!$D$1)+15,1,0)))))</f>
        <v> </v>
      </c>
      <c r="S327" s="280" t="str">
        <f aca="false">IF($A327="N/A"," ",IF('Pricing Inputs'!$AN$8=2,(L327-$H327),IF('Pricing Inputs'!$AN$3=2,IF((L327-$H327)&gt;0,L327-$H327,0),(xSPRDOPT(L327,$E327,$BU327,0,$BP327,$BS327,$BT327,($A327-Inputs!$D$1)+15,1,0)))))</f>
        <v> </v>
      </c>
      <c r="T327" s="280" t="str">
        <f aca="false">IF($A327="N/A"," ",IF('Pricing Inputs'!$AN$8=2,(M327-$H327),IF('Pricing Inputs'!$AN$3=2,IF((M327-$H327)&gt;0,M327-$H327,0),(xSPRDOPT(M327,$E327,$BU327,0,$BP327,$BS327,$BT327,($A327-Inputs!$D$1)+15,1,0)))))</f>
        <v> </v>
      </c>
      <c r="U327" s="280" t="str">
        <f aca="false">IF($A327="N/A"," ",IF('Pricing Inputs'!$AN$8=2,(N327-$H327),IF('Pricing Inputs'!$AN$3=2,IF((N327-$H327)&gt;0,N327-$H327,0),(xSPRDOPT(N327,$E327,$BU327,0,$BP327,$BS327,$BT327,($A327-Inputs!$D$1)+15,1,0)))))</f>
        <v> </v>
      </c>
      <c r="V327" s="281" t="str">
        <f aca="false">IF($A327="N/A"," ",(IF('Pricing Inputs'!$AN$8=2,(O327-$H327),IF((O327-$H327)&lt;=0,0,(O327-$H327)))))</f>
        <v> </v>
      </c>
      <c r="BA327" s="291" t="str">
        <f aca="false">IF($A327="N/A"," ",(IF(MONTH(A327)&gt;=4,IF(MONTH(A327)&lt;=10,Inputs!$F$13,Inputs!$F$14),Inputs!$F$14))*$BW327)</f>
        <v> </v>
      </c>
      <c r="BN327" s="294" t="str">
        <f aca="false">IF(A327="N/A"," ",(VLOOKUP(A327,PowerVolTable,(IF('Pricing Inputs'!$AT$3=2,7,IF('Pricing Inputs'!$AT$3=1,6,8))),FALSE())))</f>
        <v> </v>
      </c>
      <c r="BO327" s="294" t="str">
        <f aca="false">IF(A327="N/A"," ",(VLOOKUP(A327,IntraPowerVol,(IF('Pricing Inputs'!$AT$3=2,3,IF('Pricing Inputs'!$AT$3=1,2,4))),FALSE())*VLOOKUP(MONTH($A327),Inputs!$A$28:$B$39,2)))</f>
        <v> </v>
      </c>
      <c r="BP327" s="295" t="str">
        <f aca="false">IF($A327="N/A"," ",(IF(DateToday&gt;$A327,$BO327,((($BN327^2)*((($A327-1)-DateToday)/((EOMONTH($A327,0)+1)-DateToday-15)))+((($BO327)^2)*((15)/((EOMONTH($A327,0)+1)-DateToday-15))))^0.5)))</f>
        <v> </v>
      </c>
      <c r="BQ327" s="294" t="str">
        <f aca="false">IF($A327="N/A"," ",(VLOOKUP($A327,GasVolTable,(IF('Pricing Inputs'!$AT$3=2,6,IF('Pricing Inputs'!$AT$3=1,7,5))),FALSE())))</f>
        <v> </v>
      </c>
      <c r="BR327" s="294" t="str">
        <f aca="false">IF($A327="N/A"," ",(VLOOKUP($A327,OmicronVol,(IF('Pricing Inputs'!$AT$3=2,3,IF('Pricing Inputs'!$AT$3=1,4,2))),FALSE())))</f>
        <v> </v>
      </c>
      <c r="BS327" s="295" t="str">
        <f aca="false">IF($A327="N/A"," ",IF('Pricing Inputs'!$AN$3=1,(IF(DateToday&gt;$A327,$BR327,((($BQ327^2)*((($A327-1)-DateToday)/((EOMONTH($A327,0)+1)-DateToday-15)))+((($BR327)^2)*((15)/((EOMONTH($A327,0)+1)-DateToday-15))))^0.5)),0.0001))</f>
        <v> </v>
      </c>
      <c r="BT327" s="294" t="str">
        <f aca="false">IF($A327="N/A"," ",IF('Pricing Inputs'!$AN$3=1,(VLOOKUP($A327,CorrelationTable,2,FALSE())),0))</f>
        <v> </v>
      </c>
      <c r="BU327" s="296" t="str">
        <f aca="false">IF($A327="N/A"," ",F327+G327+(D327*(VLOOKUP($A327,'Gas Curves'!$B$17:$P$310,14,FALSE()))))</f>
        <v> </v>
      </c>
      <c r="BV327" s="294" t="str">
        <f aca="false">IF($A327="N/A"," ",IF('Pricing Inputs'!$AW$3=1,0,(VLOOKUP($A327,InterestRatesTable,2))))</f>
        <v> </v>
      </c>
      <c r="BW327" s="297" t="str">
        <f aca="false">IF($A327="N/A"," ",(1+BV327/2)^(-2*((EOMONTH(A327,0)+20)-DateToday)/365.25))</f>
        <v> </v>
      </c>
    </row>
    <row r="328" customFormat="false" ht="12.75" hidden="false" customHeight="false" outlineLevel="0" collapsed="false">
      <c r="A328" s="272" t="str">
        <f aca="false">IF(A327="N/A","N/A",IF(EDATE(A327,1)&gt;Inputs!$K$3,"N/A",EDATE(A327,1)))</f>
        <v>N/A</v>
      </c>
      <c r="B328" s="273" t="str">
        <f aca="false">IF(A328="N/A"," ",YEAR(A328))</f>
        <v> </v>
      </c>
      <c r="C328" s="274" t="str">
        <f aca="false">IF(A328="N/A"," ",VLOOKUP(A328,ScaledPrice,10))</f>
        <v> </v>
      </c>
      <c r="D328" s="275" t="str">
        <f aca="false">IF(A328="N/A"," ",(VLOOKUP(MONTH($A328),Inputs!$A$14:$B$25,2))/1000)</f>
        <v> </v>
      </c>
      <c r="E328" s="276" t="str">
        <f aca="false">IF($A328="N/A"," ",C328*D328)</f>
        <v> </v>
      </c>
      <c r="F328" s="277" t="str">
        <f aca="false">IF(A328="N/A"," ",Inputs!$F$6)</f>
        <v> </v>
      </c>
      <c r="G328" s="277" t="str">
        <f aca="false">IF(A328="N/A"," ",Inputs!$F$9/IF(AND('Pricing Inputs'!$AQ$3&gt;=4,'Pricing Inputs'!$AQ$3&lt;=6),16,IF(AND('Pricing Inputs'!$AQ$3&gt;=7,'Pricing Inputs'!$AQ$3&lt;=9),8,24))/(BA328/BW328))</f>
        <v> </v>
      </c>
      <c r="H328" s="278" t="str">
        <f aca="false">IF(A328="N/A"," ",(C328*D328)+F328+G328)</f>
        <v> </v>
      </c>
      <c r="I328" s="279" t="str">
        <f aca="false">VLOOKUP(A328,ScaledPrice,(IF(AND('Pricing Inputs'!$AQ$3&gt;=1,'Pricing Inputs'!$AQ$3&lt;=6),2,4)))</f>
        <v> </v>
      </c>
      <c r="J328" s="279" t="str">
        <f aca="false">IF(A328="N/A"," ",IF(AND('Pricing Inputs'!$AQ$3&gt;=1,'Pricing Inputs'!$AQ$3&lt;=6),I328,(VLOOKUP(A328,ScaledPrice,2))*(2-(VLOOKUP(A328,ScaledPrice,3)))))</f>
        <v> </v>
      </c>
      <c r="K328" s="279" t="str">
        <f aca="false">IF(A328="N/A"," ",IF(OR('Pricing Inputs'!$AQ$3=2,'Pricing Inputs'!$AQ$3=3,'Pricing Inputs'!$AQ$3=5,'Pricing Inputs'!$AQ$3=6,'Pricing Inputs'!$AQ$3=8,'Pricing Inputs'!$AQ$3=9),VLOOKUP(A328,ScaledPrice,IF(AND('Pricing Inputs'!$AQ$3&gt;=2,'Pricing Inputs'!$AQ$3&lt;=6),5,6)),0))</f>
        <v> </v>
      </c>
      <c r="L328" s="279" t="str">
        <f aca="false">IF(A328="N/A"," ",IF(OR('Pricing Inputs'!$AQ$3=2,'Pricing Inputs'!$AQ$3=3,'Pricing Inputs'!$AQ$3=5,'Pricing Inputs'!$AQ$3=6,'Pricing Inputs'!$AQ$3=8,'Pricing Inputs'!$AQ$3=9),IF(AND('Pricing Inputs'!$AQ$3&gt;=2,'Pricing Inputs'!$AQ$3&lt;=6),K328,(VLOOKUP(A328,ScaledPrice,5))*(2-(VLOOKUP(A328,ScaledPrice,3)))),0))</f>
        <v> </v>
      </c>
      <c r="M328" s="279" t="str">
        <f aca="false">IF(A328="N/A"," ",IF(OR('Pricing Inputs'!$AQ$3=3,'Pricing Inputs'!$AQ$3=6,'Pricing Inputs'!$AQ$3=9),(VLOOKUP(A328,ScaledPrice,IF(AND('Pricing Inputs'!$AQ$3&gt;=3,'Pricing Inputs'!$AQ$3&lt;=6),7,8))),0))</f>
        <v> </v>
      </c>
      <c r="N328" s="279" t="str">
        <f aca="false">IF(A328="N/A"," ",IF(OR('Pricing Inputs'!$AQ$3=3,'Pricing Inputs'!$AQ$3=6,'Pricing Inputs'!$AQ$3=9),IF(AND('Pricing Inputs'!$AQ$3&gt;=3,'Pricing Inputs'!$AQ$3&lt;=6),M328,(VLOOKUP(A328,ScaledPrice,7))*(2-(VLOOKUP(A328,ScaledPrice,3)))),0))</f>
        <v> </v>
      </c>
      <c r="O328" s="279" t="str">
        <f aca="false">IF(A328="N/A"," ",IF(AND('Pricing Inputs'!$AQ$3&gt;=1,'Pricing Inputs'!$AQ$3&lt;=3),VLOOKUP(A328,ScaledPrice,9),0))</f>
        <v> </v>
      </c>
      <c r="P328" s="280" t="str">
        <f aca="false">IF($A328="N/A"," ",IF('Pricing Inputs'!$AN$8=2,(I328-H328),IF('Pricing Inputs'!$AN$3=2,IF((I328-$H328)&gt;0,I328-$H328,0),(xSPRDOPT(I328,$E328,$BU328,0,$BP328,$BS328,$BT328,($A328-Inputs!$D$1)+15,1,0)))))</f>
        <v> </v>
      </c>
      <c r="Q328" s="280" t="str">
        <f aca="false">IF($A328="N/A"," ",IF('Pricing Inputs'!$AN$8=2,(J328-$H328),IF('Pricing Inputs'!$AN$3=2,IF((J328-$H328)&gt;0,J328-$H328,0),(xSPRDOPT(J328,$E328,$BU328,0,$BP328,$BS328,$BT328,($A328-Inputs!$D$1)+15,1,0)))))</f>
        <v> </v>
      </c>
      <c r="R328" s="280" t="str">
        <f aca="false">IF($A328="N/A"," ",IF('Pricing Inputs'!$AN$8=2,(K328-$H328),IF('Pricing Inputs'!$AN$3=2,IF((K328-$H328)&gt;0,K328-$H328,0),(xSPRDOPT(K328,$E328,$BU328,0,$BP328,$BS328,$BT328,($A328-Inputs!$D$1)+15,1,0)))))</f>
        <v> </v>
      </c>
      <c r="S328" s="280" t="str">
        <f aca="false">IF($A328="N/A"," ",IF('Pricing Inputs'!$AN$8=2,(L328-$H328),IF('Pricing Inputs'!$AN$3=2,IF((L328-$H328)&gt;0,L328-$H328,0),(xSPRDOPT(L328,$E328,$BU328,0,$BP328,$BS328,$BT328,($A328-Inputs!$D$1)+15,1,0)))))</f>
        <v> </v>
      </c>
      <c r="T328" s="280" t="str">
        <f aca="false">IF($A328="N/A"," ",IF('Pricing Inputs'!$AN$8=2,(M328-$H328),IF('Pricing Inputs'!$AN$3=2,IF((M328-$H328)&gt;0,M328-$H328,0),(xSPRDOPT(M328,$E328,$BU328,0,$BP328,$BS328,$BT328,($A328-Inputs!$D$1)+15,1,0)))))</f>
        <v> </v>
      </c>
      <c r="U328" s="280" t="str">
        <f aca="false">IF($A328="N/A"," ",IF('Pricing Inputs'!$AN$8=2,(N328-$H328),IF('Pricing Inputs'!$AN$3=2,IF((N328-$H328)&gt;0,N328-$H328,0),(xSPRDOPT(N328,$E328,$BU328,0,$BP328,$BS328,$BT328,($A328-Inputs!$D$1)+15,1,0)))))</f>
        <v> </v>
      </c>
      <c r="V328" s="281" t="str">
        <f aca="false">IF($A328="N/A"," ",(IF('Pricing Inputs'!$AN$8=2,(O328-$H328),IF((O328-$H328)&lt;=0,0,(O328-$H328)))))</f>
        <v> </v>
      </c>
      <c r="BA328" s="291" t="str">
        <f aca="false">IF($A328="N/A"," ",(IF(MONTH(A328)&gt;=4,IF(MONTH(A328)&lt;=10,Inputs!$F$13,Inputs!$F$14),Inputs!$F$14))*$BW328)</f>
        <v> </v>
      </c>
      <c r="BN328" s="294" t="str">
        <f aca="false">IF(A328="N/A"," ",(VLOOKUP(A328,PowerVolTable,(IF('Pricing Inputs'!$AT$3=2,7,IF('Pricing Inputs'!$AT$3=1,6,8))),FALSE())))</f>
        <v> </v>
      </c>
      <c r="BO328" s="294" t="str">
        <f aca="false">IF(A328="N/A"," ",(VLOOKUP(A328,IntraPowerVol,(IF('Pricing Inputs'!$AT$3=2,3,IF('Pricing Inputs'!$AT$3=1,2,4))),FALSE())*VLOOKUP(MONTH($A328),Inputs!$A$28:$B$39,2)))</f>
        <v> </v>
      </c>
      <c r="BP328" s="295" t="str">
        <f aca="false">IF($A328="N/A"," ",(IF(DateToday&gt;$A328,$BO328,((($BN328^2)*((($A328-1)-DateToday)/((EOMONTH($A328,0)+1)-DateToday-15)))+((($BO328)^2)*((15)/((EOMONTH($A328,0)+1)-DateToday-15))))^0.5)))</f>
        <v> </v>
      </c>
      <c r="BQ328" s="294" t="str">
        <f aca="false">IF($A328="N/A"," ",(VLOOKUP($A328,GasVolTable,(IF('Pricing Inputs'!$AT$3=2,6,IF('Pricing Inputs'!$AT$3=1,7,5))),FALSE())))</f>
        <v> </v>
      </c>
      <c r="BR328" s="294" t="str">
        <f aca="false">IF($A328="N/A"," ",(VLOOKUP($A328,OmicronVol,(IF('Pricing Inputs'!$AT$3=2,3,IF('Pricing Inputs'!$AT$3=1,4,2))),FALSE())))</f>
        <v> </v>
      </c>
      <c r="BS328" s="295" t="str">
        <f aca="false">IF($A328="N/A"," ",IF('Pricing Inputs'!$AN$3=1,(IF(DateToday&gt;$A328,$BR328,((($BQ328^2)*((($A328-1)-DateToday)/((EOMONTH($A328,0)+1)-DateToday-15)))+((($BR328)^2)*((15)/((EOMONTH($A328,0)+1)-DateToday-15))))^0.5)),0.0001))</f>
        <v> </v>
      </c>
      <c r="BT328" s="294" t="str">
        <f aca="false">IF($A328="N/A"," ",IF('Pricing Inputs'!$AN$3=1,(VLOOKUP($A328,CorrelationTable,2,FALSE())),0))</f>
        <v> </v>
      </c>
      <c r="BU328" s="296" t="str">
        <f aca="false">IF($A328="N/A"," ",F328+G328+(D328*(VLOOKUP($A328,'Gas Curves'!$B$17:$P$310,14,FALSE()))))</f>
        <v> </v>
      </c>
      <c r="BV328" s="294" t="str">
        <f aca="false">IF($A328="N/A"," ",IF('Pricing Inputs'!$AW$3=1,0,(VLOOKUP($A328,InterestRatesTable,2))))</f>
        <v> </v>
      </c>
      <c r="BW328" s="297" t="str">
        <f aca="false">IF($A328="N/A"," ",(1+BV328/2)^(-2*((EOMONTH(A328,0)+20)-DateToday)/365.25))</f>
        <v> </v>
      </c>
    </row>
    <row r="329" customFormat="false" ht="12.75" hidden="false" customHeight="false" outlineLevel="0" collapsed="false">
      <c r="A329" s="272" t="str">
        <f aca="false">IF(A328="N/A","N/A",IF(EDATE(A328,1)&gt;Inputs!$K$3,"N/A",EDATE(A328,1)))</f>
        <v>N/A</v>
      </c>
      <c r="B329" s="273" t="str">
        <f aca="false">IF(A329="N/A"," ",YEAR(A329))</f>
        <v> </v>
      </c>
      <c r="C329" s="274" t="str">
        <f aca="false">IF(A329="N/A"," ",VLOOKUP(A329,ScaledPrice,10))</f>
        <v> </v>
      </c>
      <c r="D329" s="275" t="str">
        <f aca="false">IF(A329="N/A"," ",(VLOOKUP(MONTH($A329),Inputs!$A$14:$B$25,2))/1000)</f>
        <v> </v>
      </c>
      <c r="E329" s="276" t="str">
        <f aca="false">IF($A329="N/A"," ",C329*D329)</f>
        <v> </v>
      </c>
      <c r="F329" s="277" t="str">
        <f aca="false">IF(A329="N/A"," ",Inputs!$F$6)</f>
        <v> </v>
      </c>
      <c r="G329" s="277" t="str">
        <f aca="false">IF(A329="N/A"," ",Inputs!$F$9/IF(AND('Pricing Inputs'!$AQ$3&gt;=4,'Pricing Inputs'!$AQ$3&lt;=6),16,IF(AND('Pricing Inputs'!$AQ$3&gt;=7,'Pricing Inputs'!$AQ$3&lt;=9),8,24))/(BA329/BW329))</f>
        <v> </v>
      </c>
      <c r="H329" s="278" t="str">
        <f aca="false">IF(A329="N/A"," ",(C329*D329)+F329+G329)</f>
        <v> </v>
      </c>
      <c r="I329" s="279" t="str">
        <f aca="false">VLOOKUP(A329,ScaledPrice,(IF(AND('Pricing Inputs'!$AQ$3&gt;=1,'Pricing Inputs'!$AQ$3&lt;=6),2,4)))</f>
        <v> </v>
      </c>
      <c r="J329" s="279" t="str">
        <f aca="false">IF(A329="N/A"," ",IF(AND('Pricing Inputs'!$AQ$3&gt;=1,'Pricing Inputs'!$AQ$3&lt;=6),I329,(VLOOKUP(A329,ScaledPrice,2))*(2-(VLOOKUP(A329,ScaledPrice,3)))))</f>
        <v> </v>
      </c>
      <c r="K329" s="279" t="str">
        <f aca="false">IF(A329="N/A"," ",IF(OR('Pricing Inputs'!$AQ$3=2,'Pricing Inputs'!$AQ$3=3,'Pricing Inputs'!$AQ$3=5,'Pricing Inputs'!$AQ$3=6,'Pricing Inputs'!$AQ$3=8,'Pricing Inputs'!$AQ$3=9),VLOOKUP(A329,ScaledPrice,IF(AND('Pricing Inputs'!$AQ$3&gt;=2,'Pricing Inputs'!$AQ$3&lt;=6),5,6)),0))</f>
        <v> </v>
      </c>
      <c r="L329" s="279" t="str">
        <f aca="false">IF(A329="N/A"," ",IF(OR('Pricing Inputs'!$AQ$3=2,'Pricing Inputs'!$AQ$3=3,'Pricing Inputs'!$AQ$3=5,'Pricing Inputs'!$AQ$3=6,'Pricing Inputs'!$AQ$3=8,'Pricing Inputs'!$AQ$3=9),IF(AND('Pricing Inputs'!$AQ$3&gt;=2,'Pricing Inputs'!$AQ$3&lt;=6),K329,(VLOOKUP(A329,ScaledPrice,5))*(2-(VLOOKUP(A329,ScaledPrice,3)))),0))</f>
        <v> </v>
      </c>
      <c r="M329" s="279" t="str">
        <f aca="false">IF(A329="N/A"," ",IF(OR('Pricing Inputs'!$AQ$3=3,'Pricing Inputs'!$AQ$3=6,'Pricing Inputs'!$AQ$3=9),(VLOOKUP(A329,ScaledPrice,IF(AND('Pricing Inputs'!$AQ$3&gt;=3,'Pricing Inputs'!$AQ$3&lt;=6),7,8))),0))</f>
        <v> </v>
      </c>
      <c r="N329" s="279" t="str">
        <f aca="false">IF(A329="N/A"," ",IF(OR('Pricing Inputs'!$AQ$3=3,'Pricing Inputs'!$AQ$3=6,'Pricing Inputs'!$AQ$3=9),IF(AND('Pricing Inputs'!$AQ$3&gt;=3,'Pricing Inputs'!$AQ$3&lt;=6),M329,(VLOOKUP(A329,ScaledPrice,7))*(2-(VLOOKUP(A329,ScaledPrice,3)))),0))</f>
        <v> </v>
      </c>
      <c r="O329" s="279" t="str">
        <f aca="false">IF(A329="N/A"," ",IF(AND('Pricing Inputs'!$AQ$3&gt;=1,'Pricing Inputs'!$AQ$3&lt;=3),VLOOKUP(A329,ScaledPrice,9),0))</f>
        <v> </v>
      </c>
      <c r="P329" s="280" t="str">
        <f aca="false">IF($A329="N/A"," ",IF('Pricing Inputs'!$AN$8=2,(I329-H329),IF('Pricing Inputs'!$AN$3=2,IF((I329-$H329)&gt;0,I329-$H329,0),(xSPRDOPT(I329,$E329,$BU329,0,$BP329,$BS329,$BT329,($A329-Inputs!$D$1)+15,1,0)))))</f>
        <v> </v>
      </c>
      <c r="Q329" s="280" t="str">
        <f aca="false">IF($A329="N/A"," ",IF('Pricing Inputs'!$AN$8=2,(J329-$H329),IF('Pricing Inputs'!$AN$3=2,IF((J329-$H329)&gt;0,J329-$H329,0),(xSPRDOPT(J329,$E329,$BU329,0,$BP329,$BS329,$BT329,($A329-Inputs!$D$1)+15,1,0)))))</f>
        <v> </v>
      </c>
      <c r="R329" s="280" t="str">
        <f aca="false">IF($A329="N/A"," ",IF('Pricing Inputs'!$AN$8=2,(K329-$H329),IF('Pricing Inputs'!$AN$3=2,IF((K329-$H329)&gt;0,K329-$H329,0),(xSPRDOPT(K329,$E329,$BU329,0,$BP329,$BS329,$BT329,($A329-Inputs!$D$1)+15,1,0)))))</f>
        <v> </v>
      </c>
      <c r="S329" s="280" t="str">
        <f aca="false">IF($A329="N/A"," ",IF('Pricing Inputs'!$AN$8=2,(L329-$H329),IF('Pricing Inputs'!$AN$3=2,IF((L329-$H329)&gt;0,L329-$H329,0),(xSPRDOPT(L329,$E329,$BU329,0,$BP329,$BS329,$BT329,($A329-Inputs!$D$1)+15,1,0)))))</f>
        <v> </v>
      </c>
      <c r="T329" s="280" t="str">
        <f aca="false">IF($A329="N/A"," ",IF('Pricing Inputs'!$AN$8=2,(M329-$H329),IF('Pricing Inputs'!$AN$3=2,IF((M329-$H329)&gt;0,M329-$H329,0),(xSPRDOPT(M329,$E329,$BU329,0,$BP329,$BS329,$BT329,($A329-Inputs!$D$1)+15,1,0)))))</f>
        <v> </v>
      </c>
      <c r="U329" s="280" t="str">
        <f aca="false">IF($A329="N/A"," ",IF('Pricing Inputs'!$AN$8=2,(N329-$H329),IF('Pricing Inputs'!$AN$3=2,IF((N329-$H329)&gt;0,N329-$H329,0),(xSPRDOPT(N329,$E329,$BU329,0,$BP329,$BS329,$BT329,($A329-Inputs!$D$1)+15,1,0)))))</f>
        <v> </v>
      </c>
      <c r="V329" s="281" t="str">
        <f aca="false">IF($A329="N/A"," ",(IF('Pricing Inputs'!$AN$8=2,(O329-$H329),IF((O329-$H329)&lt;=0,0,(O329-$H329)))))</f>
        <v> </v>
      </c>
      <c r="BA329" s="291" t="str">
        <f aca="false">IF($A329="N/A"," ",(IF(MONTH(A329)&gt;=4,IF(MONTH(A329)&lt;=10,Inputs!$F$13,Inputs!$F$14),Inputs!$F$14))*$BW329)</f>
        <v> </v>
      </c>
      <c r="BN329" s="294" t="str">
        <f aca="false">IF(A329="N/A"," ",(VLOOKUP(A329,PowerVolTable,(IF('Pricing Inputs'!$AT$3=2,7,IF('Pricing Inputs'!$AT$3=1,6,8))),FALSE())))</f>
        <v> </v>
      </c>
      <c r="BO329" s="294" t="str">
        <f aca="false">IF(A329="N/A"," ",(VLOOKUP(A329,IntraPowerVol,(IF('Pricing Inputs'!$AT$3=2,3,IF('Pricing Inputs'!$AT$3=1,2,4))),FALSE())*VLOOKUP(MONTH($A329),Inputs!$A$28:$B$39,2)))</f>
        <v> </v>
      </c>
      <c r="BP329" s="295" t="str">
        <f aca="false">IF($A329="N/A"," ",(IF(DateToday&gt;$A329,$BO329,((($BN329^2)*((($A329-1)-DateToday)/((EOMONTH($A329,0)+1)-DateToday-15)))+((($BO329)^2)*((15)/((EOMONTH($A329,0)+1)-DateToday-15))))^0.5)))</f>
        <v> </v>
      </c>
      <c r="BQ329" s="294" t="str">
        <f aca="false">IF($A329="N/A"," ",(VLOOKUP($A329,GasVolTable,(IF('Pricing Inputs'!$AT$3=2,6,IF('Pricing Inputs'!$AT$3=1,7,5))),FALSE())))</f>
        <v> </v>
      </c>
      <c r="BR329" s="294" t="str">
        <f aca="false">IF($A329="N/A"," ",(VLOOKUP($A329,OmicronVol,(IF('Pricing Inputs'!$AT$3=2,3,IF('Pricing Inputs'!$AT$3=1,4,2))),FALSE())))</f>
        <v> </v>
      </c>
      <c r="BS329" s="295" t="str">
        <f aca="false">IF($A329="N/A"," ",IF('Pricing Inputs'!$AN$3=1,(IF(DateToday&gt;$A329,$BR329,((($BQ329^2)*((($A329-1)-DateToday)/((EOMONTH($A329,0)+1)-DateToday-15)))+((($BR329)^2)*((15)/((EOMONTH($A329,0)+1)-DateToday-15))))^0.5)),0.0001))</f>
        <v> </v>
      </c>
      <c r="BT329" s="294" t="str">
        <f aca="false">IF($A329="N/A"," ",IF('Pricing Inputs'!$AN$3=1,(VLOOKUP($A329,CorrelationTable,2,FALSE())),0))</f>
        <v> </v>
      </c>
      <c r="BU329" s="296" t="str">
        <f aca="false">IF($A329="N/A"," ",F329+G329+(D329*(VLOOKUP($A329,'Gas Curves'!$B$17:$P$310,14,FALSE()))))</f>
        <v> </v>
      </c>
      <c r="BV329" s="294" t="str">
        <f aca="false">IF($A329="N/A"," ",IF('Pricing Inputs'!$AW$3=1,0,(VLOOKUP($A329,InterestRatesTable,2))))</f>
        <v> </v>
      </c>
      <c r="BW329" s="297" t="str">
        <f aca="false">IF($A329="N/A"," ",(1+BV329/2)^(-2*((EOMONTH(A329,0)+20)-DateToday)/365.25))</f>
        <v> </v>
      </c>
    </row>
    <row r="330" customFormat="false" ht="12.75" hidden="false" customHeight="false" outlineLevel="0" collapsed="false">
      <c r="A330" s="272" t="str">
        <f aca="false">IF(A329="N/A","N/A",IF(EDATE(A329,1)&gt;Inputs!$K$3,"N/A",EDATE(A329,1)))</f>
        <v>N/A</v>
      </c>
      <c r="B330" s="273" t="str">
        <f aca="false">IF(A330="N/A"," ",YEAR(A330))</f>
        <v> </v>
      </c>
      <c r="C330" s="274" t="str">
        <f aca="false">IF(A330="N/A"," ",VLOOKUP(A330,ScaledPrice,10))</f>
        <v> </v>
      </c>
      <c r="D330" s="275" t="str">
        <f aca="false">IF(A330="N/A"," ",(VLOOKUP(MONTH($A330),Inputs!$A$14:$B$25,2))/1000)</f>
        <v> </v>
      </c>
      <c r="E330" s="276" t="str">
        <f aca="false">IF($A330="N/A"," ",C330*D330)</f>
        <v> </v>
      </c>
      <c r="F330" s="277" t="str">
        <f aca="false">IF(A330="N/A"," ",Inputs!$F$6)</f>
        <v> </v>
      </c>
      <c r="G330" s="277" t="str">
        <f aca="false">IF(A330="N/A"," ",Inputs!$F$9/IF(AND('Pricing Inputs'!$AQ$3&gt;=4,'Pricing Inputs'!$AQ$3&lt;=6),16,IF(AND('Pricing Inputs'!$AQ$3&gt;=7,'Pricing Inputs'!$AQ$3&lt;=9),8,24))/(BA330/BW330))</f>
        <v> </v>
      </c>
      <c r="H330" s="278" t="str">
        <f aca="false">IF(A330="N/A"," ",(C330*D330)+F330+G330)</f>
        <v> </v>
      </c>
      <c r="I330" s="279" t="str">
        <f aca="false">VLOOKUP(A330,ScaledPrice,(IF(AND('Pricing Inputs'!$AQ$3&gt;=1,'Pricing Inputs'!$AQ$3&lt;=6),2,4)))</f>
        <v> </v>
      </c>
      <c r="J330" s="279" t="str">
        <f aca="false">IF(A330="N/A"," ",IF(AND('Pricing Inputs'!$AQ$3&gt;=1,'Pricing Inputs'!$AQ$3&lt;=6),I330,(VLOOKUP(A330,ScaledPrice,2))*(2-(VLOOKUP(A330,ScaledPrice,3)))))</f>
        <v> </v>
      </c>
      <c r="K330" s="279" t="str">
        <f aca="false">IF(A330="N/A"," ",IF(OR('Pricing Inputs'!$AQ$3=2,'Pricing Inputs'!$AQ$3=3,'Pricing Inputs'!$AQ$3=5,'Pricing Inputs'!$AQ$3=6,'Pricing Inputs'!$AQ$3=8,'Pricing Inputs'!$AQ$3=9),VLOOKUP(A330,ScaledPrice,IF(AND('Pricing Inputs'!$AQ$3&gt;=2,'Pricing Inputs'!$AQ$3&lt;=6),5,6)),0))</f>
        <v> </v>
      </c>
      <c r="L330" s="279" t="str">
        <f aca="false">IF(A330="N/A"," ",IF(OR('Pricing Inputs'!$AQ$3=2,'Pricing Inputs'!$AQ$3=3,'Pricing Inputs'!$AQ$3=5,'Pricing Inputs'!$AQ$3=6,'Pricing Inputs'!$AQ$3=8,'Pricing Inputs'!$AQ$3=9),IF(AND('Pricing Inputs'!$AQ$3&gt;=2,'Pricing Inputs'!$AQ$3&lt;=6),K330,(VLOOKUP(A330,ScaledPrice,5))*(2-(VLOOKUP(A330,ScaledPrice,3)))),0))</f>
        <v> </v>
      </c>
      <c r="M330" s="279" t="str">
        <f aca="false">IF(A330="N/A"," ",IF(OR('Pricing Inputs'!$AQ$3=3,'Pricing Inputs'!$AQ$3=6,'Pricing Inputs'!$AQ$3=9),(VLOOKUP(A330,ScaledPrice,IF(AND('Pricing Inputs'!$AQ$3&gt;=3,'Pricing Inputs'!$AQ$3&lt;=6),7,8))),0))</f>
        <v> </v>
      </c>
      <c r="N330" s="279" t="str">
        <f aca="false">IF(A330="N/A"," ",IF(OR('Pricing Inputs'!$AQ$3=3,'Pricing Inputs'!$AQ$3=6,'Pricing Inputs'!$AQ$3=9),IF(AND('Pricing Inputs'!$AQ$3&gt;=3,'Pricing Inputs'!$AQ$3&lt;=6),M330,(VLOOKUP(A330,ScaledPrice,7))*(2-(VLOOKUP(A330,ScaledPrice,3)))),0))</f>
        <v> </v>
      </c>
      <c r="O330" s="279" t="str">
        <f aca="false">IF(A330="N/A"," ",IF(AND('Pricing Inputs'!$AQ$3&gt;=1,'Pricing Inputs'!$AQ$3&lt;=3),VLOOKUP(A330,ScaledPrice,9),0))</f>
        <v> </v>
      </c>
      <c r="P330" s="280" t="str">
        <f aca="false">IF($A330="N/A"," ",IF('Pricing Inputs'!$AN$8=2,(I330-H330),IF('Pricing Inputs'!$AN$3=2,IF((I330-$H330)&gt;0,I330-$H330,0),(xSPRDOPT(I330,$E330,$BU330,0,$BP330,$BS330,$BT330,($A330-Inputs!$D$1)+15,1,0)))))</f>
        <v> </v>
      </c>
      <c r="Q330" s="280" t="str">
        <f aca="false">IF($A330="N/A"," ",IF('Pricing Inputs'!$AN$8=2,(J330-$H330),IF('Pricing Inputs'!$AN$3=2,IF((J330-$H330)&gt;0,J330-$H330,0),(xSPRDOPT(J330,$E330,$BU330,0,$BP330,$BS330,$BT330,($A330-Inputs!$D$1)+15,1,0)))))</f>
        <v> </v>
      </c>
      <c r="R330" s="280" t="str">
        <f aca="false">IF($A330="N/A"," ",IF('Pricing Inputs'!$AN$8=2,(K330-$H330),IF('Pricing Inputs'!$AN$3=2,IF((K330-$H330)&gt;0,K330-$H330,0),(xSPRDOPT(K330,$E330,$BU330,0,$BP330,$BS330,$BT330,($A330-Inputs!$D$1)+15,1,0)))))</f>
        <v> </v>
      </c>
      <c r="S330" s="280" t="str">
        <f aca="false">IF($A330="N/A"," ",IF('Pricing Inputs'!$AN$8=2,(L330-$H330),IF('Pricing Inputs'!$AN$3=2,IF((L330-$H330)&gt;0,L330-$H330,0),(xSPRDOPT(L330,$E330,$BU330,0,$BP330,$BS330,$BT330,($A330-Inputs!$D$1)+15,1,0)))))</f>
        <v> </v>
      </c>
      <c r="T330" s="280" t="str">
        <f aca="false">IF($A330="N/A"," ",IF('Pricing Inputs'!$AN$8=2,(M330-$H330),IF('Pricing Inputs'!$AN$3=2,IF((M330-$H330)&gt;0,M330-$H330,0),(xSPRDOPT(M330,$E330,$BU330,0,$BP330,$BS330,$BT330,($A330-Inputs!$D$1)+15,1,0)))))</f>
        <v> </v>
      </c>
      <c r="U330" s="280" t="str">
        <f aca="false">IF($A330="N/A"," ",IF('Pricing Inputs'!$AN$8=2,(N330-$H330),IF('Pricing Inputs'!$AN$3=2,IF((N330-$H330)&gt;0,N330-$H330,0),(xSPRDOPT(N330,$E330,$BU330,0,$BP330,$BS330,$BT330,($A330-Inputs!$D$1)+15,1,0)))))</f>
        <v> </v>
      </c>
      <c r="V330" s="281" t="str">
        <f aca="false">IF($A330="N/A"," ",(IF('Pricing Inputs'!$AN$8=2,(O330-$H330),IF((O330-$H330)&lt;=0,0,(O330-$H330)))))</f>
        <v> </v>
      </c>
      <c r="BA330" s="291" t="str">
        <f aca="false">IF($A330="N/A"," ",(IF(MONTH(A330)&gt;=4,IF(MONTH(A330)&lt;=10,Inputs!$F$13,Inputs!$F$14),Inputs!$F$14))*$BW330)</f>
        <v> </v>
      </c>
      <c r="BN330" s="294" t="str">
        <f aca="false">IF(A330="N/A"," ",(VLOOKUP(A330,PowerVolTable,(IF('Pricing Inputs'!$AT$3=2,7,IF('Pricing Inputs'!$AT$3=1,6,8))),FALSE())))</f>
        <v> </v>
      </c>
      <c r="BO330" s="294" t="str">
        <f aca="false">IF(A330="N/A"," ",(VLOOKUP(A330,IntraPowerVol,(IF('Pricing Inputs'!$AT$3=2,3,IF('Pricing Inputs'!$AT$3=1,2,4))),FALSE())*VLOOKUP(MONTH($A330),Inputs!$A$28:$B$39,2)))</f>
        <v> </v>
      </c>
      <c r="BP330" s="295" t="str">
        <f aca="false">IF($A330="N/A"," ",(IF(DateToday&gt;$A330,$BO330,((($BN330^2)*((($A330-1)-DateToday)/((EOMONTH($A330,0)+1)-DateToday-15)))+((($BO330)^2)*((15)/((EOMONTH($A330,0)+1)-DateToday-15))))^0.5)))</f>
        <v> </v>
      </c>
      <c r="BQ330" s="294" t="str">
        <f aca="false">IF($A330="N/A"," ",(VLOOKUP($A330,GasVolTable,(IF('Pricing Inputs'!$AT$3=2,6,IF('Pricing Inputs'!$AT$3=1,7,5))),FALSE())))</f>
        <v> </v>
      </c>
      <c r="BR330" s="294" t="str">
        <f aca="false">IF($A330="N/A"," ",(VLOOKUP($A330,OmicronVol,(IF('Pricing Inputs'!$AT$3=2,3,IF('Pricing Inputs'!$AT$3=1,4,2))),FALSE())))</f>
        <v> </v>
      </c>
      <c r="BS330" s="295" t="str">
        <f aca="false">IF($A330="N/A"," ",IF('Pricing Inputs'!$AN$3=1,(IF(DateToday&gt;$A330,$BR330,((($BQ330^2)*((($A330-1)-DateToday)/((EOMONTH($A330,0)+1)-DateToday-15)))+((($BR330)^2)*((15)/((EOMONTH($A330,0)+1)-DateToday-15))))^0.5)),0.0001))</f>
        <v> </v>
      </c>
      <c r="BT330" s="294" t="str">
        <f aca="false">IF($A330="N/A"," ",IF('Pricing Inputs'!$AN$3=1,(VLOOKUP($A330,CorrelationTable,2,FALSE())),0))</f>
        <v> </v>
      </c>
      <c r="BU330" s="296" t="str">
        <f aca="false">IF($A330="N/A"," ",F330+G330+(D330*(VLOOKUP($A330,'Gas Curves'!$B$17:$P$310,14,FALSE()))))</f>
        <v> </v>
      </c>
      <c r="BV330" s="294" t="str">
        <f aca="false">IF($A330="N/A"," ",IF('Pricing Inputs'!$AW$3=1,0,(VLOOKUP($A330,InterestRatesTable,2))))</f>
        <v> </v>
      </c>
      <c r="BW330" s="297" t="str">
        <f aca="false">IF($A330="N/A"," ",(1+BV330/2)^(-2*((EOMONTH(A330,0)+20)-DateToday)/365.25))</f>
        <v> </v>
      </c>
    </row>
    <row r="331" customFormat="false" ht="12.75" hidden="false" customHeight="false" outlineLevel="0" collapsed="false">
      <c r="A331" s="272" t="str">
        <f aca="false">IF(A330="N/A","N/A",IF(EDATE(A330,1)&gt;Inputs!$K$3,"N/A",EDATE(A330,1)))</f>
        <v>N/A</v>
      </c>
      <c r="B331" s="273" t="str">
        <f aca="false">IF(A331="N/A"," ",YEAR(A331))</f>
        <v> </v>
      </c>
      <c r="C331" s="274" t="str">
        <f aca="false">IF(A331="N/A"," ",VLOOKUP(A331,ScaledPrice,10))</f>
        <v> </v>
      </c>
      <c r="D331" s="275" t="str">
        <f aca="false">IF(A331="N/A"," ",(VLOOKUP(MONTH($A331),Inputs!$A$14:$B$25,2))/1000)</f>
        <v> </v>
      </c>
      <c r="E331" s="276" t="str">
        <f aca="false">IF($A331="N/A"," ",C331*D331)</f>
        <v> </v>
      </c>
      <c r="F331" s="277" t="str">
        <f aca="false">IF(A331="N/A"," ",Inputs!$F$6)</f>
        <v> </v>
      </c>
      <c r="G331" s="277" t="str">
        <f aca="false">IF(A331="N/A"," ",Inputs!$F$9/IF(AND('Pricing Inputs'!$AQ$3&gt;=4,'Pricing Inputs'!$AQ$3&lt;=6),16,IF(AND('Pricing Inputs'!$AQ$3&gt;=7,'Pricing Inputs'!$AQ$3&lt;=9),8,24))/(BA331/BW331))</f>
        <v> </v>
      </c>
      <c r="H331" s="278" t="str">
        <f aca="false">IF(A331="N/A"," ",(C331*D331)+F331+G331)</f>
        <v> </v>
      </c>
      <c r="I331" s="279" t="str">
        <f aca="false">VLOOKUP(A331,ScaledPrice,(IF(AND('Pricing Inputs'!$AQ$3&gt;=1,'Pricing Inputs'!$AQ$3&lt;=6),2,4)))</f>
        <v> </v>
      </c>
      <c r="J331" s="279" t="str">
        <f aca="false">IF(A331="N/A"," ",IF(AND('Pricing Inputs'!$AQ$3&gt;=1,'Pricing Inputs'!$AQ$3&lt;=6),I331,(VLOOKUP(A331,ScaledPrice,2))*(2-(VLOOKUP(A331,ScaledPrice,3)))))</f>
        <v> </v>
      </c>
      <c r="K331" s="279" t="str">
        <f aca="false">IF(A331="N/A"," ",IF(OR('Pricing Inputs'!$AQ$3=2,'Pricing Inputs'!$AQ$3=3,'Pricing Inputs'!$AQ$3=5,'Pricing Inputs'!$AQ$3=6,'Pricing Inputs'!$AQ$3=8,'Pricing Inputs'!$AQ$3=9),VLOOKUP(A331,ScaledPrice,IF(AND('Pricing Inputs'!$AQ$3&gt;=2,'Pricing Inputs'!$AQ$3&lt;=6),5,6)),0))</f>
        <v> </v>
      </c>
      <c r="L331" s="279" t="str">
        <f aca="false">IF(A331="N/A"," ",IF(OR('Pricing Inputs'!$AQ$3=2,'Pricing Inputs'!$AQ$3=3,'Pricing Inputs'!$AQ$3=5,'Pricing Inputs'!$AQ$3=6,'Pricing Inputs'!$AQ$3=8,'Pricing Inputs'!$AQ$3=9),IF(AND('Pricing Inputs'!$AQ$3&gt;=2,'Pricing Inputs'!$AQ$3&lt;=6),K331,(VLOOKUP(A331,ScaledPrice,5))*(2-(VLOOKUP(A331,ScaledPrice,3)))),0))</f>
        <v> </v>
      </c>
      <c r="M331" s="279" t="str">
        <f aca="false">IF(A331="N/A"," ",IF(OR('Pricing Inputs'!$AQ$3=3,'Pricing Inputs'!$AQ$3=6,'Pricing Inputs'!$AQ$3=9),(VLOOKUP(A331,ScaledPrice,IF(AND('Pricing Inputs'!$AQ$3&gt;=3,'Pricing Inputs'!$AQ$3&lt;=6),7,8))),0))</f>
        <v> </v>
      </c>
      <c r="N331" s="279" t="str">
        <f aca="false">IF(A331="N/A"," ",IF(OR('Pricing Inputs'!$AQ$3=3,'Pricing Inputs'!$AQ$3=6,'Pricing Inputs'!$AQ$3=9),IF(AND('Pricing Inputs'!$AQ$3&gt;=3,'Pricing Inputs'!$AQ$3&lt;=6),M331,(VLOOKUP(A331,ScaledPrice,7))*(2-(VLOOKUP(A331,ScaledPrice,3)))),0))</f>
        <v> </v>
      </c>
      <c r="O331" s="279" t="str">
        <f aca="false">IF(A331="N/A"," ",IF(AND('Pricing Inputs'!$AQ$3&gt;=1,'Pricing Inputs'!$AQ$3&lt;=3),VLOOKUP(A331,ScaledPrice,9),0))</f>
        <v> </v>
      </c>
      <c r="P331" s="280" t="str">
        <f aca="false">IF($A331="N/A"," ",IF('Pricing Inputs'!$AN$8=2,(I331-H331),IF('Pricing Inputs'!$AN$3=2,IF((I331-$H331)&gt;0,I331-$H331,0),(xSPRDOPT(I331,$E331,$BU331,0,$BP331,$BS331,$BT331,($A331-Inputs!$D$1)+15,1,0)))))</f>
        <v> </v>
      </c>
      <c r="Q331" s="280" t="str">
        <f aca="false">IF($A331="N/A"," ",IF('Pricing Inputs'!$AN$8=2,(J331-$H331),IF('Pricing Inputs'!$AN$3=2,IF((J331-$H331)&gt;0,J331-$H331,0),(xSPRDOPT(J331,$E331,$BU331,0,$BP331,$BS331,$BT331,($A331-Inputs!$D$1)+15,1,0)))))</f>
        <v> </v>
      </c>
      <c r="R331" s="280" t="str">
        <f aca="false">IF($A331="N/A"," ",IF('Pricing Inputs'!$AN$8=2,(K331-$H331),IF('Pricing Inputs'!$AN$3=2,IF((K331-$H331)&gt;0,K331-$H331,0),(xSPRDOPT(K331,$E331,$BU331,0,$BP331,$BS331,$BT331,($A331-Inputs!$D$1)+15,1,0)))))</f>
        <v> </v>
      </c>
      <c r="S331" s="280" t="str">
        <f aca="false">IF($A331="N/A"," ",IF('Pricing Inputs'!$AN$8=2,(L331-$H331),IF('Pricing Inputs'!$AN$3=2,IF((L331-$H331)&gt;0,L331-$H331,0),(xSPRDOPT(L331,$E331,$BU331,0,$BP331,$BS331,$BT331,($A331-Inputs!$D$1)+15,1,0)))))</f>
        <v> </v>
      </c>
      <c r="T331" s="280" t="str">
        <f aca="false">IF($A331="N/A"," ",IF('Pricing Inputs'!$AN$8=2,(M331-$H331),IF('Pricing Inputs'!$AN$3=2,IF((M331-$H331)&gt;0,M331-$H331,0),(xSPRDOPT(M331,$E331,$BU331,0,$BP331,$BS331,$BT331,($A331-Inputs!$D$1)+15,1,0)))))</f>
        <v> </v>
      </c>
      <c r="U331" s="280" t="str">
        <f aca="false">IF($A331="N/A"," ",IF('Pricing Inputs'!$AN$8=2,(N331-$H331),IF('Pricing Inputs'!$AN$3=2,IF((N331-$H331)&gt;0,N331-$H331,0),(xSPRDOPT(N331,$E331,$BU331,0,$BP331,$BS331,$BT331,($A331-Inputs!$D$1)+15,1,0)))))</f>
        <v> </v>
      </c>
      <c r="V331" s="281" t="str">
        <f aca="false">IF($A331="N/A"," ",(IF('Pricing Inputs'!$AN$8=2,(O331-$H331),IF((O331-$H331)&lt;=0,0,(O331-$H331)))))</f>
        <v> </v>
      </c>
      <c r="BA331" s="291" t="str">
        <f aca="false">IF($A331="N/A"," ",(IF(MONTH(A331)&gt;=4,IF(MONTH(A331)&lt;=10,Inputs!$F$13,Inputs!$F$14),Inputs!$F$14))*$BW331)</f>
        <v> </v>
      </c>
      <c r="BN331" s="294" t="str">
        <f aca="false">IF(A331="N/A"," ",(VLOOKUP(A331,PowerVolTable,(IF('Pricing Inputs'!$AT$3=2,7,IF('Pricing Inputs'!$AT$3=1,6,8))),FALSE())))</f>
        <v> </v>
      </c>
      <c r="BO331" s="294" t="str">
        <f aca="false">IF(A331="N/A"," ",(VLOOKUP(A331,IntraPowerVol,(IF('Pricing Inputs'!$AT$3=2,3,IF('Pricing Inputs'!$AT$3=1,2,4))),FALSE())*VLOOKUP(MONTH($A331),Inputs!$A$28:$B$39,2)))</f>
        <v> </v>
      </c>
      <c r="BP331" s="295" t="str">
        <f aca="false">IF($A331="N/A"," ",(IF(DateToday&gt;$A331,$BO331,((($BN331^2)*((($A331-1)-DateToday)/((EOMONTH($A331,0)+1)-DateToday-15)))+((($BO331)^2)*((15)/((EOMONTH($A331,0)+1)-DateToday-15))))^0.5)))</f>
        <v> </v>
      </c>
      <c r="BQ331" s="294" t="str">
        <f aca="false">IF($A331="N/A"," ",(VLOOKUP($A331,GasVolTable,(IF('Pricing Inputs'!$AT$3=2,6,IF('Pricing Inputs'!$AT$3=1,7,5))),FALSE())))</f>
        <v> </v>
      </c>
      <c r="BR331" s="294" t="str">
        <f aca="false">IF($A331="N/A"," ",(VLOOKUP($A331,OmicronVol,(IF('Pricing Inputs'!$AT$3=2,3,IF('Pricing Inputs'!$AT$3=1,4,2))),FALSE())))</f>
        <v> </v>
      </c>
      <c r="BS331" s="295" t="str">
        <f aca="false">IF($A331="N/A"," ",IF('Pricing Inputs'!$AN$3=1,(IF(DateToday&gt;$A331,$BR331,((($BQ331^2)*((($A331-1)-DateToday)/((EOMONTH($A331,0)+1)-DateToday-15)))+((($BR331)^2)*((15)/((EOMONTH($A331,0)+1)-DateToday-15))))^0.5)),0.0001))</f>
        <v> </v>
      </c>
      <c r="BT331" s="294" t="str">
        <f aca="false">IF($A331="N/A"," ",IF('Pricing Inputs'!$AN$3=1,(VLOOKUP($A331,CorrelationTable,2,FALSE())),0))</f>
        <v> </v>
      </c>
      <c r="BU331" s="296" t="str">
        <f aca="false">IF($A331="N/A"," ",F331+G331+(D331*(VLOOKUP($A331,'Gas Curves'!$B$17:$P$310,14,FALSE()))))</f>
        <v> </v>
      </c>
      <c r="BV331" s="294" t="str">
        <f aca="false">IF($A331="N/A"," ",IF('Pricing Inputs'!$AW$3=1,0,(VLOOKUP($A331,InterestRatesTable,2))))</f>
        <v> </v>
      </c>
      <c r="BW331" s="297" t="str">
        <f aca="false">IF($A331="N/A"," ",(1+BV331/2)^(-2*((EOMONTH(A331,0)+20)-DateToday)/365.25))</f>
        <v> </v>
      </c>
    </row>
    <row r="332" customFormat="false" ht="12.75" hidden="false" customHeight="false" outlineLevel="0" collapsed="false">
      <c r="A332" s="272" t="str">
        <f aca="false">IF(A331="N/A","N/A",IF(EDATE(A331,1)&gt;Inputs!$K$3,"N/A",EDATE(A331,1)))</f>
        <v>N/A</v>
      </c>
      <c r="B332" s="273" t="str">
        <f aca="false">IF(A332="N/A"," ",YEAR(A332))</f>
        <v> </v>
      </c>
      <c r="C332" s="274" t="str">
        <f aca="false">IF(A332="N/A"," ",VLOOKUP(A332,ScaledPrice,10))</f>
        <v> </v>
      </c>
      <c r="D332" s="275" t="str">
        <f aca="false">IF(A332="N/A"," ",(VLOOKUP(MONTH($A332),Inputs!$A$14:$B$25,2))/1000)</f>
        <v> </v>
      </c>
      <c r="E332" s="276" t="str">
        <f aca="false">IF($A332="N/A"," ",C332*D332)</f>
        <v> </v>
      </c>
      <c r="F332" s="277" t="str">
        <f aca="false">IF(A332="N/A"," ",Inputs!$F$6)</f>
        <v> </v>
      </c>
      <c r="G332" s="277" t="str">
        <f aca="false">IF(A332="N/A"," ",Inputs!$F$9/IF(AND('Pricing Inputs'!$AQ$3&gt;=4,'Pricing Inputs'!$AQ$3&lt;=6),16,IF(AND('Pricing Inputs'!$AQ$3&gt;=7,'Pricing Inputs'!$AQ$3&lt;=9),8,24))/(BA332/BW332))</f>
        <v> </v>
      </c>
      <c r="H332" s="278" t="str">
        <f aca="false">IF(A332="N/A"," ",(C332*D332)+F332+G332)</f>
        <v> </v>
      </c>
      <c r="I332" s="279" t="str">
        <f aca="false">VLOOKUP(A332,ScaledPrice,(IF(AND('Pricing Inputs'!$AQ$3&gt;=1,'Pricing Inputs'!$AQ$3&lt;=6),2,4)))</f>
        <v> </v>
      </c>
      <c r="J332" s="279" t="str">
        <f aca="false">IF(A332="N/A"," ",IF(AND('Pricing Inputs'!$AQ$3&gt;=1,'Pricing Inputs'!$AQ$3&lt;=6),I332,(VLOOKUP(A332,ScaledPrice,2))*(2-(VLOOKUP(A332,ScaledPrice,3)))))</f>
        <v> </v>
      </c>
      <c r="K332" s="279" t="str">
        <f aca="false">IF(A332="N/A"," ",IF(OR('Pricing Inputs'!$AQ$3=2,'Pricing Inputs'!$AQ$3=3,'Pricing Inputs'!$AQ$3=5,'Pricing Inputs'!$AQ$3=6,'Pricing Inputs'!$AQ$3=8,'Pricing Inputs'!$AQ$3=9),VLOOKUP(A332,ScaledPrice,IF(AND('Pricing Inputs'!$AQ$3&gt;=2,'Pricing Inputs'!$AQ$3&lt;=6),5,6)),0))</f>
        <v> </v>
      </c>
      <c r="L332" s="279" t="str">
        <f aca="false">IF(A332="N/A"," ",IF(OR('Pricing Inputs'!$AQ$3=2,'Pricing Inputs'!$AQ$3=3,'Pricing Inputs'!$AQ$3=5,'Pricing Inputs'!$AQ$3=6,'Pricing Inputs'!$AQ$3=8,'Pricing Inputs'!$AQ$3=9),IF(AND('Pricing Inputs'!$AQ$3&gt;=2,'Pricing Inputs'!$AQ$3&lt;=6),K332,(VLOOKUP(A332,ScaledPrice,5))*(2-(VLOOKUP(A332,ScaledPrice,3)))),0))</f>
        <v> </v>
      </c>
      <c r="M332" s="279" t="str">
        <f aca="false">IF(A332="N/A"," ",IF(OR('Pricing Inputs'!$AQ$3=3,'Pricing Inputs'!$AQ$3=6,'Pricing Inputs'!$AQ$3=9),(VLOOKUP(A332,ScaledPrice,IF(AND('Pricing Inputs'!$AQ$3&gt;=3,'Pricing Inputs'!$AQ$3&lt;=6),7,8))),0))</f>
        <v> </v>
      </c>
      <c r="N332" s="279" t="str">
        <f aca="false">IF(A332="N/A"," ",IF(OR('Pricing Inputs'!$AQ$3=3,'Pricing Inputs'!$AQ$3=6,'Pricing Inputs'!$AQ$3=9),IF(AND('Pricing Inputs'!$AQ$3&gt;=3,'Pricing Inputs'!$AQ$3&lt;=6),M332,(VLOOKUP(A332,ScaledPrice,7))*(2-(VLOOKUP(A332,ScaledPrice,3)))),0))</f>
        <v> </v>
      </c>
      <c r="O332" s="279" t="str">
        <f aca="false">IF(A332="N/A"," ",IF(AND('Pricing Inputs'!$AQ$3&gt;=1,'Pricing Inputs'!$AQ$3&lt;=3),VLOOKUP(A332,ScaledPrice,9),0))</f>
        <v> </v>
      </c>
      <c r="P332" s="280" t="str">
        <f aca="false">IF($A332="N/A"," ",IF('Pricing Inputs'!$AN$8=2,(I332-H332),IF('Pricing Inputs'!$AN$3=2,IF((I332-$H332)&gt;0,I332-$H332,0),(xSPRDOPT(I332,$E332,$BU332,0,$BP332,$BS332,$BT332,($A332-Inputs!$D$1)+15,1,0)))))</f>
        <v> </v>
      </c>
      <c r="Q332" s="280" t="str">
        <f aca="false">IF($A332="N/A"," ",IF('Pricing Inputs'!$AN$8=2,(J332-$H332),IF('Pricing Inputs'!$AN$3=2,IF((J332-$H332)&gt;0,J332-$H332,0),(xSPRDOPT(J332,$E332,$BU332,0,$BP332,$BS332,$BT332,($A332-Inputs!$D$1)+15,1,0)))))</f>
        <v> </v>
      </c>
      <c r="R332" s="280" t="str">
        <f aca="false">IF($A332="N/A"," ",IF('Pricing Inputs'!$AN$8=2,(K332-$H332),IF('Pricing Inputs'!$AN$3=2,IF((K332-$H332)&gt;0,K332-$H332,0),(xSPRDOPT(K332,$E332,$BU332,0,$BP332,$BS332,$BT332,($A332-Inputs!$D$1)+15,1,0)))))</f>
        <v> </v>
      </c>
      <c r="S332" s="280" t="str">
        <f aca="false">IF($A332="N/A"," ",IF('Pricing Inputs'!$AN$8=2,(L332-$H332),IF('Pricing Inputs'!$AN$3=2,IF((L332-$H332)&gt;0,L332-$H332,0),(xSPRDOPT(L332,$E332,$BU332,0,$BP332,$BS332,$BT332,($A332-Inputs!$D$1)+15,1,0)))))</f>
        <v> </v>
      </c>
      <c r="T332" s="280" t="str">
        <f aca="false">IF($A332="N/A"," ",IF('Pricing Inputs'!$AN$8=2,(M332-$H332),IF('Pricing Inputs'!$AN$3=2,IF((M332-$H332)&gt;0,M332-$H332,0),(xSPRDOPT(M332,$E332,$BU332,0,$BP332,$BS332,$BT332,($A332-Inputs!$D$1)+15,1,0)))))</f>
        <v> </v>
      </c>
      <c r="U332" s="280" t="str">
        <f aca="false">IF($A332="N/A"," ",IF('Pricing Inputs'!$AN$8=2,(N332-$H332),IF('Pricing Inputs'!$AN$3=2,IF((N332-$H332)&gt;0,N332-$H332,0),(xSPRDOPT(N332,$E332,$BU332,0,$BP332,$BS332,$BT332,($A332-Inputs!$D$1)+15,1,0)))))</f>
        <v> </v>
      </c>
      <c r="V332" s="281" t="str">
        <f aca="false">IF($A332="N/A"," ",(IF('Pricing Inputs'!$AN$8=2,(O332-$H332),IF((O332-$H332)&lt;=0,0,(O332-$H332)))))</f>
        <v> </v>
      </c>
      <c r="BA332" s="291" t="str">
        <f aca="false">IF($A332="N/A"," ",(IF(MONTH(A332)&gt;=4,IF(MONTH(A332)&lt;=10,Inputs!$F$13,Inputs!$F$14),Inputs!$F$14))*$BW332)</f>
        <v> </v>
      </c>
      <c r="BN332" s="294" t="str">
        <f aca="false">IF(A332="N/A"," ",(VLOOKUP(A332,PowerVolTable,(IF('Pricing Inputs'!$AT$3=2,7,IF('Pricing Inputs'!$AT$3=1,6,8))),FALSE())))</f>
        <v> </v>
      </c>
      <c r="BO332" s="294" t="str">
        <f aca="false">IF(A332="N/A"," ",(VLOOKUP(A332,IntraPowerVol,(IF('Pricing Inputs'!$AT$3=2,3,IF('Pricing Inputs'!$AT$3=1,2,4))),FALSE())*VLOOKUP(MONTH($A332),Inputs!$A$28:$B$39,2)))</f>
        <v> </v>
      </c>
      <c r="BP332" s="295" t="str">
        <f aca="false">IF($A332="N/A"," ",(IF(DateToday&gt;$A332,$BO332,((($BN332^2)*((($A332-1)-DateToday)/((EOMONTH($A332,0)+1)-DateToday-15)))+((($BO332)^2)*((15)/((EOMONTH($A332,0)+1)-DateToday-15))))^0.5)))</f>
        <v> </v>
      </c>
      <c r="BQ332" s="294" t="str">
        <f aca="false">IF($A332="N/A"," ",(VLOOKUP($A332,GasVolTable,(IF('Pricing Inputs'!$AT$3=2,6,IF('Pricing Inputs'!$AT$3=1,7,5))),FALSE())))</f>
        <v> </v>
      </c>
      <c r="BR332" s="294" t="str">
        <f aca="false">IF($A332="N/A"," ",(VLOOKUP($A332,OmicronVol,(IF('Pricing Inputs'!$AT$3=2,3,IF('Pricing Inputs'!$AT$3=1,4,2))),FALSE())))</f>
        <v> </v>
      </c>
      <c r="BS332" s="295" t="str">
        <f aca="false">IF($A332="N/A"," ",IF('Pricing Inputs'!$AN$3=1,(IF(DateToday&gt;$A332,$BR332,((($BQ332^2)*((($A332-1)-DateToday)/((EOMONTH($A332,0)+1)-DateToday-15)))+((($BR332)^2)*((15)/((EOMONTH($A332,0)+1)-DateToday-15))))^0.5)),0.0001))</f>
        <v> </v>
      </c>
      <c r="BT332" s="294" t="str">
        <f aca="false">IF($A332="N/A"," ",IF('Pricing Inputs'!$AN$3=1,(VLOOKUP($A332,CorrelationTable,2,FALSE())),0))</f>
        <v> </v>
      </c>
      <c r="BU332" s="296" t="str">
        <f aca="false">IF($A332="N/A"," ",F332+G332+(D332*(VLOOKUP($A332,'Gas Curves'!$B$17:$P$310,14,FALSE()))))</f>
        <v> </v>
      </c>
      <c r="BV332" s="294" t="str">
        <f aca="false">IF($A332="N/A"," ",IF('Pricing Inputs'!$AW$3=1,0,(VLOOKUP($A332,InterestRatesTable,2))))</f>
        <v> </v>
      </c>
      <c r="BW332" s="297" t="str">
        <f aca="false">IF($A332="N/A"," ",(1+BV332/2)^(-2*((EOMONTH(A332,0)+20)-DateToday)/365.25))</f>
        <v> </v>
      </c>
    </row>
    <row r="333" customFormat="false" ht="12.75" hidden="false" customHeight="false" outlineLevel="0" collapsed="false">
      <c r="A333" s="272" t="str">
        <f aca="false">IF(A332="N/A","N/A",IF(EDATE(A332,1)&gt;Inputs!$K$3,"N/A",EDATE(A332,1)))</f>
        <v>N/A</v>
      </c>
      <c r="B333" s="273" t="str">
        <f aca="false">IF(A333="N/A"," ",YEAR(A333))</f>
        <v> </v>
      </c>
      <c r="C333" s="274" t="str">
        <f aca="false">IF(A333="N/A"," ",VLOOKUP(A333,ScaledPrice,10))</f>
        <v> </v>
      </c>
      <c r="D333" s="275" t="str">
        <f aca="false">IF(A333="N/A"," ",(VLOOKUP(MONTH($A333),Inputs!$A$14:$B$25,2))/1000)</f>
        <v> </v>
      </c>
      <c r="E333" s="276" t="str">
        <f aca="false">IF($A333="N/A"," ",C333*D333)</f>
        <v> </v>
      </c>
      <c r="F333" s="277" t="str">
        <f aca="false">IF(A333="N/A"," ",Inputs!$F$6)</f>
        <v> </v>
      </c>
      <c r="G333" s="277" t="str">
        <f aca="false">IF(A333="N/A"," ",Inputs!$F$9/IF(AND('Pricing Inputs'!$AQ$3&gt;=4,'Pricing Inputs'!$AQ$3&lt;=6),16,IF(AND('Pricing Inputs'!$AQ$3&gt;=7,'Pricing Inputs'!$AQ$3&lt;=9),8,24))/(BA333/BW333))</f>
        <v> </v>
      </c>
      <c r="H333" s="278" t="str">
        <f aca="false">IF(A333="N/A"," ",(C333*D333)+F333+G333)</f>
        <v> </v>
      </c>
      <c r="I333" s="279" t="str">
        <f aca="false">VLOOKUP(A333,ScaledPrice,(IF(AND('Pricing Inputs'!$AQ$3&gt;=1,'Pricing Inputs'!$AQ$3&lt;=6),2,4)))</f>
        <v> </v>
      </c>
      <c r="J333" s="279" t="str">
        <f aca="false">IF(A333="N/A"," ",IF(AND('Pricing Inputs'!$AQ$3&gt;=1,'Pricing Inputs'!$AQ$3&lt;=6),I333,(VLOOKUP(A333,ScaledPrice,2))*(2-(VLOOKUP(A333,ScaledPrice,3)))))</f>
        <v> </v>
      </c>
      <c r="K333" s="279" t="str">
        <f aca="false">IF(A333="N/A"," ",IF(OR('Pricing Inputs'!$AQ$3=2,'Pricing Inputs'!$AQ$3=3,'Pricing Inputs'!$AQ$3=5,'Pricing Inputs'!$AQ$3=6,'Pricing Inputs'!$AQ$3=8,'Pricing Inputs'!$AQ$3=9),VLOOKUP(A333,ScaledPrice,IF(AND('Pricing Inputs'!$AQ$3&gt;=2,'Pricing Inputs'!$AQ$3&lt;=6),5,6)),0))</f>
        <v> </v>
      </c>
      <c r="L333" s="279" t="str">
        <f aca="false">IF(A333="N/A"," ",IF(OR('Pricing Inputs'!$AQ$3=2,'Pricing Inputs'!$AQ$3=3,'Pricing Inputs'!$AQ$3=5,'Pricing Inputs'!$AQ$3=6,'Pricing Inputs'!$AQ$3=8,'Pricing Inputs'!$AQ$3=9),IF(AND('Pricing Inputs'!$AQ$3&gt;=2,'Pricing Inputs'!$AQ$3&lt;=6),K333,(VLOOKUP(A333,ScaledPrice,5))*(2-(VLOOKUP(A333,ScaledPrice,3)))),0))</f>
        <v> </v>
      </c>
      <c r="M333" s="279" t="str">
        <f aca="false">IF(A333="N/A"," ",IF(OR('Pricing Inputs'!$AQ$3=3,'Pricing Inputs'!$AQ$3=6,'Pricing Inputs'!$AQ$3=9),(VLOOKUP(A333,ScaledPrice,IF(AND('Pricing Inputs'!$AQ$3&gt;=3,'Pricing Inputs'!$AQ$3&lt;=6),7,8))),0))</f>
        <v> </v>
      </c>
      <c r="N333" s="279" t="str">
        <f aca="false">IF(A333="N/A"," ",IF(OR('Pricing Inputs'!$AQ$3=3,'Pricing Inputs'!$AQ$3=6,'Pricing Inputs'!$AQ$3=9),IF(AND('Pricing Inputs'!$AQ$3&gt;=3,'Pricing Inputs'!$AQ$3&lt;=6),M333,(VLOOKUP(A333,ScaledPrice,7))*(2-(VLOOKUP(A333,ScaledPrice,3)))),0))</f>
        <v> </v>
      </c>
      <c r="O333" s="279" t="str">
        <f aca="false">IF(A333="N/A"," ",IF(AND('Pricing Inputs'!$AQ$3&gt;=1,'Pricing Inputs'!$AQ$3&lt;=3),VLOOKUP(A333,ScaledPrice,9),0))</f>
        <v> </v>
      </c>
      <c r="P333" s="280" t="str">
        <f aca="false">IF($A333="N/A"," ",IF('Pricing Inputs'!$AN$8=2,(I333-H333),IF('Pricing Inputs'!$AN$3=2,IF((I333-$H333)&gt;0,I333-$H333,0),(xSPRDOPT(I333,$E333,$BU333,0,$BP333,$BS333,$BT333,($A333-Inputs!$D$1)+15,1,0)))))</f>
        <v> </v>
      </c>
      <c r="Q333" s="280" t="str">
        <f aca="false">IF($A333="N/A"," ",IF('Pricing Inputs'!$AN$8=2,(J333-$H333),IF('Pricing Inputs'!$AN$3=2,IF((J333-$H333)&gt;0,J333-$H333,0),(xSPRDOPT(J333,$E333,$BU333,0,$BP333,$BS333,$BT333,($A333-Inputs!$D$1)+15,1,0)))))</f>
        <v> </v>
      </c>
      <c r="R333" s="280" t="str">
        <f aca="false">IF($A333="N/A"," ",IF('Pricing Inputs'!$AN$8=2,(K333-$H333),IF('Pricing Inputs'!$AN$3=2,IF((K333-$H333)&gt;0,K333-$H333,0),(xSPRDOPT(K333,$E333,$BU333,0,$BP333,$BS333,$BT333,($A333-Inputs!$D$1)+15,1,0)))))</f>
        <v> </v>
      </c>
      <c r="S333" s="280" t="str">
        <f aca="false">IF($A333="N/A"," ",IF('Pricing Inputs'!$AN$8=2,(L333-$H333),IF('Pricing Inputs'!$AN$3=2,IF((L333-$H333)&gt;0,L333-$H333,0),(xSPRDOPT(L333,$E333,$BU333,0,$BP333,$BS333,$BT333,($A333-Inputs!$D$1)+15,1,0)))))</f>
        <v> </v>
      </c>
      <c r="T333" s="280" t="str">
        <f aca="false">IF($A333="N/A"," ",IF('Pricing Inputs'!$AN$8=2,(M333-$H333),IF('Pricing Inputs'!$AN$3=2,IF((M333-$H333)&gt;0,M333-$H333,0),(xSPRDOPT(M333,$E333,$BU333,0,$BP333,$BS333,$BT333,($A333-Inputs!$D$1)+15,1,0)))))</f>
        <v> </v>
      </c>
      <c r="U333" s="280" t="str">
        <f aca="false">IF($A333="N/A"," ",IF('Pricing Inputs'!$AN$8=2,(N333-$H333),IF('Pricing Inputs'!$AN$3=2,IF((N333-$H333)&gt;0,N333-$H333,0),(xSPRDOPT(N333,$E333,$BU333,0,$BP333,$BS333,$BT333,($A333-Inputs!$D$1)+15,1,0)))))</f>
        <v> </v>
      </c>
      <c r="V333" s="281" t="str">
        <f aca="false">IF($A333="N/A"," ",(IF('Pricing Inputs'!$AN$8=2,(O333-$H333),IF((O333-$H333)&lt;=0,0,(O333-$H333)))))</f>
        <v> </v>
      </c>
      <c r="BA333" s="291" t="str">
        <f aca="false">IF($A333="N/A"," ",(IF(MONTH(A333)&gt;=4,IF(MONTH(A333)&lt;=10,Inputs!$F$13,Inputs!$F$14),Inputs!$F$14))*$BW333)</f>
        <v> </v>
      </c>
      <c r="BN333" s="294" t="str">
        <f aca="false">IF(A333="N/A"," ",(VLOOKUP(A333,PowerVolTable,(IF('Pricing Inputs'!$AT$3=2,7,IF('Pricing Inputs'!$AT$3=1,6,8))),FALSE())))</f>
        <v> </v>
      </c>
      <c r="BO333" s="294" t="str">
        <f aca="false">IF(A333="N/A"," ",(VLOOKUP(A333,IntraPowerVol,(IF('Pricing Inputs'!$AT$3=2,3,IF('Pricing Inputs'!$AT$3=1,2,4))),FALSE())*VLOOKUP(MONTH($A333),Inputs!$A$28:$B$39,2)))</f>
        <v> </v>
      </c>
      <c r="BP333" s="295" t="str">
        <f aca="false">IF($A333="N/A"," ",(IF(DateToday&gt;$A333,$BO333,((($BN333^2)*((($A333-1)-DateToday)/((EOMONTH($A333,0)+1)-DateToday-15)))+((($BO333)^2)*((15)/((EOMONTH($A333,0)+1)-DateToday-15))))^0.5)))</f>
        <v> </v>
      </c>
      <c r="BQ333" s="294" t="str">
        <f aca="false">IF($A333="N/A"," ",(VLOOKUP($A333,GasVolTable,(IF('Pricing Inputs'!$AT$3=2,6,IF('Pricing Inputs'!$AT$3=1,7,5))),FALSE())))</f>
        <v> </v>
      </c>
      <c r="BR333" s="294" t="str">
        <f aca="false">IF($A333="N/A"," ",(VLOOKUP($A333,OmicronVol,(IF('Pricing Inputs'!$AT$3=2,3,IF('Pricing Inputs'!$AT$3=1,4,2))),FALSE())))</f>
        <v> </v>
      </c>
      <c r="BS333" s="295" t="str">
        <f aca="false">IF($A333="N/A"," ",IF('Pricing Inputs'!$AN$3=1,(IF(DateToday&gt;$A333,$BR333,((($BQ333^2)*((($A333-1)-DateToday)/((EOMONTH($A333,0)+1)-DateToday-15)))+((($BR333)^2)*((15)/((EOMONTH($A333,0)+1)-DateToday-15))))^0.5)),0.0001))</f>
        <v> </v>
      </c>
      <c r="BT333" s="294" t="str">
        <f aca="false">IF($A333="N/A"," ",IF('Pricing Inputs'!$AN$3=1,(VLOOKUP($A333,CorrelationTable,2,FALSE())),0))</f>
        <v> </v>
      </c>
      <c r="BU333" s="296" t="str">
        <f aca="false">IF($A333="N/A"," ",F333+G333+(D333*(VLOOKUP($A333,'Gas Curves'!$B$17:$P$310,14,FALSE()))))</f>
        <v> </v>
      </c>
      <c r="BV333" s="294" t="str">
        <f aca="false">IF($A333="N/A"," ",IF('Pricing Inputs'!$AW$3=1,0,(VLOOKUP($A333,InterestRatesTable,2))))</f>
        <v> </v>
      </c>
      <c r="BW333" s="297" t="str">
        <f aca="false">IF($A333="N/A"," ",(1+BV333/2)^(-2*((EOMONTH(A333,0)+20)-DateToday)/365.25))</f>
        <v> </v>
      </c>
    </row>
    <row r="334" customFormat="false" ht="12.75" hidden="false" customHeight="false" outlineLevel="0" collapsed="false">
      <c r="A334" s="272" t="str">
        <f aca="false">IF(A333="N/A","N/A",IF(EDATE(A333,1)&gt;Inputs!$K$3,"N/A",EDATE(A333,1)))</f>
        <v>N/A</v>
      </c>
      <c r="B334" s="273" t="str">
        <f aca="false">IF(A334="N/A"," ",YEAR(A334))</f>
        <v> </v>
      </c>
      <c r="C334" s="274" t="str">
        <f aca="false">IF(A334="N/A"," ",VLOOKUP(A334,ScaledPrice,10))</f>
        <v> </v>
      </c>
      <c r="D334" s="275" t="str">
        <f aca="false">IF(A334="N/A"," ",(VLOOKUP(MONTH($A334),Inputs!$A$14:$B$25,2))/1000)</f>
        <v> </v>
      </c>
      <c r="E334" s="276" t="str">
        <f aca="false">IF($A334="N/A"," ",C334*D334)</f>
        <v> </v>
      </c>
      <c r="F334" s="277" t="str">
        <f aca="false">IF(A334="N/A"," ",Inputs!$F$6)</f>
        <v> </v>
      </c>
      <c r="G334" s="277" t="str">
        <f aca="false">IF(A334="N/A"," ",Inputs!$F$9/IF(AND('Pricing Inputs'!$AQ$3&gt;=4,'Pricing Inputs'!$AQ$3&lt;=6),16,IF(AND('Pricing Inputs'!$AQ$3&gt;=7,'Pricing Inputs'!$AQ$3&lt;=9),8,24))/(BA334/BW334))</f>
        <v> </v>
      </c>
      <c r="H334" s="278" t="str">
        <f aca="false">IF(A334="N/A"," ",(C334*D334)+F334+G334)</f>
        <v> </v>
      </c>
      <c r="I334" s="279" t="str">
        <f aca="false">VLOOKUP(A334,ScaledPrice,(IF(AND('Pricing Inputs'!$AQ$3&gt;=1,'Pricing Inputs'!$AQ$3&lt;=6),2,4)))</f>
        <v> </v>
      </c>
      <c r="J334" s="279" t="str">
        <f aca="false">IF(A334="N/A"," ",IF(AND('Pricing Inputs'!$AQ$3&gt;=1,'Pricing Inputs'!$AQ$3&lt;=6),I334,(VLOOKUP(A334,ScaledPrice,2))*(2-(VLOOKUP(A334,ScaledPrice,3)))))</f>
        <v> </v>
      </c>
      <c r="K334" s="279" t="str">
        <f aca="false">IF(A334="N/A"," ",IF(OR('Pricing Inputs'!$AQ$3=2,'Pricing Inputs'!$AQ$3=3,'Pricing Inputs'!$AQ$3=5,'Pricing Inputs'!$AQ$3=6,'Pricing Inputs'!$AQ$3=8,'Pricing Inputs'!$AQ$3=9),VLOOKUP(A334,ScaledPrice,IF(AND('Pricing Inputs'!$AQ$3&gt;=2,'Pricing Inputs'!$AQ$3&lt;=6),5,6)),0))</f>
        <v> </v>
      </c>
      <c r="L334" s="279" t="str">
        <f aca="false">IF(A334="N/A"," ",IF(OR('Pricing Inputs'!$AQ$3=2,'Pricing Inputs'!$AQ$3=3,'Pricing Inputs'!$AQ$3=5,'Pricing Inputs'!$AQ$3=6,'Pricing Inputs'!$AQ$3=8,'Pricing Inputs'!$AQ$3=9),IF(AND('Pricing Inputs'!$AQ$3&gt;=2,'Pricing Inputs'!$AQ$3&lt;=6),K334,(VLOOKUP(A334,ScaledPrice,5))*(2-(VLOOKUP(A334,ScaledPrice,3)))),0))</f>
        <v> </v>
      </c>
      <c r="M334" s="279" t="str">
        <f aca="false">IF(A334="N/A"," ",IF(OR('Pricing Inputs'!$AQ$3=3,'Pricing Inputs'!$AQ$3=6,'Pricing Inputs'!$AQ$3=9),(VLOOKUP(A334,ScaledPrice,IF(AND('Pricing Inputs'!$AQ$3&gt;=3,'Pricing Inputs'!$AQ$3&lt;=6),7,8))),0))</f>
        <v> </v>
      </c>
      <c r="N334" s="279" t="str">
        <f aca="false">IF(A334="N/A"," ",IF(OR('Pricing Inputs'!$AQ$3=3,'Pricing Inputs'!$AQ$3=6,'Pricing Inputs'!$AQ$3=9),IF(AND('Pricing Inputs'!$AQ$3&gt;=3,'Pricing Inputs'!$AQ$3&lt;=6),M334,(VLOOKUP(A334,ScaledPrice,7))*(2-(VLOOKUP(A334,ScaledPrice,3)))),0))</f>
        <v> </v>
      </c>
      <c r="O334" s="279" t="str">
        <f aca="false">IF(A334="N/A"," ",IF(AND('Pricing Inputs'!$AQ$3&gt;=1,'Pricing Inputs'!$AQ$3&lt;=3),VLOOKUP(A334,ScaledPrice,9),0))</f>
        <v> </v>
      </c>
      <c r="P334" s="280" t="str">
        <f aca="false">IF($A334="N/A"," ",IF('Pricing Inputs'!$AN$8=2,(I334-H334),IF('Pricing Inputs'!$AN$3=2,IF((I334-$H334)&gt;0,I334-$H334,0),(xSPRDOPT(I334,$E334,$BU334,0,$BP334,$BS334,$BT334,($A334-Inputs!$D$1)+15,1,0)))))</f>
        <v> </v>
      </c>
      <c r="Q334" s="280" t="str">
        <f aca="false">IF($A334="N/A"," ",IF('Pricing Inputs'!$AN$8=2,(J334-$H334),IF('Pricing Inputs'!$AN$3=2,IF((J334-$H334)&gt;0,J334-$H334,0),(xSPRDOPT(J334,$E334,$BU334,0,$BP334,$BS334,$BT334,($A334-Inputs!$D$1)+15,1,0)))))</f>
        <v> </v>
      </c>
      <c r="R334" s="280" t="str">
        <f aca="false">IF($A334="N/A"," ",IF('Pricing Inputs'!$AN$8=2,(K334-$H334),IF('Pricing Inputs'!$AN$3=2,IF((K334-$H334)&gt;0,K334-$H334,0),(xSPRDOPT(K334,$E334,$BU334,0,$BP334,$BS334,$BT334,($A334-Inputs!$D$1)+15,1,0)))))</f>
        <v> </v>
      </c>
      <c r="S334" s="280" t="str">
        <f aca="false">IF($A334="N/A"," ",IF('Pricing Inputs'!$AN$8=2,(L334-$H334),IF('Pricing Inputs'!$AN$3=2,IF((L334-$H334)&gt;0,L334-$H334,0),(xSPRDOPT(L334,$E334,$BU334,0,$BP334,$BS334,$BT334,($A334-Inputs!$D$1)+15,1,0)))))</f>
        <v> </v>
      </c>
      <c r="T334" s="280" t="str">
        <f aca="false">IF($A334="N/A"," ",IF('Pricing Inputs'!$AN$8=2,(M334-$H334),IF('Pricing Inputs'!$AN$3=2,IF((M334-$H334)&gt;0,M334-$H334,0),(xSPRDOPT(M334,$E334,$BU334,0,$BP334,$BS334,$BT334,($A334-Inputs!$D$1)+15,1,0)))))</f>
        <v> </v>
      </c>
      <c r="U334" s="280" t="str">
        <f aca="false">IF($A334="N/A"," ",IF('Pricing Inputs'!$AN$8=2,(N334-$H334),IF('Pricing Inputs'!$AN$3=2,IF((N334-$H334)&gt;0,N334-$H334,0),(xSPRDOPT(N334,$E334,$BU334,0,$BP334,$BS334,$BT334,($A334-Inputs!$D$1)+15,1,0)))))</f>
        <v> </v>
      </c>
      <c r="V334" s="281" t="str">
        <f aca="false">IF($A334="N/A"," ",(IF('Pricing Inputs'!$AN$8=2,(O334-$H334),IF((O334-$H334)&lt;=0,0,(O334-$H334)))))</f>
        <v> </v>
      </c>
      <c r="BA334" s="291" t="str">
        <f aca="false">IF($A334="N/A"," ",(IF(MONTH(A334)&gt;=4,IF(MONTH(A334)&lt;=10,Inputs!$F$13,Inputs!$F$14),Inputs!$F$14))*$BW334)</f>
        <v> </v>
      </c>
      <c r="BN334" s="294" t="str">
        <f aca="false">IF(A334="N/A"," ",(VLOOKUP(A334,PowerVolTable,(IF('Pricing Inputs'!$AT$3=2,7,IF('Pricing Inputs'!$AT$3=1,6,8))),FALSE())))</f>
        <v> </v>
      </c>
      <c r="BO334" s="294" t="str">
        <f aca="false">IF(A334="N/A"," ",(VLOOKUP(A334,IntraPowerVol,(IF('Pricing Inputs'!$AT$3=2,3,IF('Pricing Inputs'!$AT$3=1,2,4))),FALSE())*VLOOKUP(MONTH($A334),Inputs!$A$28:$B$39,2)))</f>
        <v> </v>
      </c>
      <c r="BP334" s="295" t="str">
        <f aca="false">IF($A334="N/A"," ",(IF(DateToday&gt;$A334,$BO334,((($BN334^2)*((($A334-1)-DateToday)/((EOMONTH($A334,0)+1)-DateToday-15)))+((($BO334)^2)*((15)/((EOMONTH($A334,0)+1)-DateToday-15))))^0.5)))</f>
        <v> </v>
      </c>
      <c r="BQ334" s="294" t="str">
        <f aca="false">IF($A334="N/A"," ",(VLOOKUP($A334,GasVolTable,(IF('Pricing Inputs'!$AT$3=2,6,IF('Pricing Inputs'!$AT$3=1,7,5))),FALSE())))</f>
        <v> </v>
      </c>
      <c r="BR334" s="294" t="str">
        <f aca="false">IF($A334="N/A"," ",(VLOOKUP($A334,OmicronVol,(IF('Pricing Inputs'!$AT$3=2,3,IF('Pricing Inputs'!$AT$3=1,4,2))),FALSE())))</f>
        <v> </v>
      </c>
      <c r="BS334" s="295" t="str">
        <f aca="false">IF($A334="N/A"," ",IF('Pricing Inputs'!$AN$3=1,(IF(DateToday&gt;$A334,$BR334,((($BQ334^2)*((($A334-1)-DateToday)/((EOMONTH($A334,0)+1)-DateToday-15)))+((($BR334)^2)*((15)/((EOMONTH($A334,0)+1)-DateToday-15))))^0.5)),0.0001))</f>
        <v> </v>
      </c>
      <c r="BT334" s="294" t="str">
        <f aca="false">IF($A334="N/A"," ",IF('Pricing Inputs'!$AN$3=1,(VLOOKUP($A334,CorrelationTable,2,FALSE())),0))</f>
        <v> </v>
      </c>
      <c r="BU334" s="296" t="str">
        <f aca="false">IF($A334="N/A"," ",F334+G334+(D334*(VLOOKUP($A334,'Gas Curves'!$B$17:$P$310,14,FALSE()))))</f>
        <v> </v>
      </c>
      <c r="BV334" s="294" t="str">
        <f aca="false">IF($A334="N/A"," ",IF('Pricing Inputs'!$AW$3=1,0,(VLOOKUP($A334,InterestRatesTable,2))))</f>
        <v> </v>
      </c>
      <c r="BW334" s="297" t="str">
        <f aca="false">IF($A334="N/A"," ",(1+BV334/2)^(-2*((EOMONTH(A334,0)+20)-DateToday)/365.25))</f>
        <v> </v>
      </c>
    </row>
    <row r="335" customFormat="false" ht="12.75" hidden="false" customHeight="false" outlineLevel="0" collapsed="false">
      <c r="A335" s="272" t="str">
        <f aca="false">IF(A334="N/A","N/A",IF(EDATE(A334,1)&gt;Inputs!$K$3,"N/A",EDATE(A334,1)))</f>
        <v>N/A</v>
      </c>
      <c r="B335" s="273" t="str">
        <f aca="false">IF(A335="N/A"," ",YEAR(A335))</f>
        <v> </v>
      </c>
      <c r="C335" s="274" t="str">
        <f aca="false">IF(A335="N/A"," ",VLOOKUP(A335,ScaledPrice,10))</f>
        <v> </v>
      </c>
      <c r="D335" s="275" t="str">
        <f aca="false">IF(A335="N/A"," ",(VLOOKUP(MONTH($A335),Inputs!$A$14:$B$25,2))/1000)</f>
        <v> </v>
      </c>
      <c r="E335" s="276" t="str">
        <f aca="false">IF($A335="N/A"," ",C335*D335)</f>
        <v> </v>
      </c>
      <c r="F335" s="277" t="str">
        <f aca="false">IF(A335="N/A"," ",Inputs!$F$6)</f>
        <v> </v>
      </c>
      <c r="G335" s="277" t="str">
        <f aca="false">IF(A335="N/A"," ",Inputs!$F$9/IF(AND('Pricing Inputs'!$AQ$3&gt;=4,'Pricing Inputs'!$AQ$3&lt;=6),16,IF(AND('Pricing Inputs'!$AQ$3&gt;=7,'Pricing Inputs'!$AQ$3&lt;=9),8,24))/(BA335/BW335))</f>
        <v> </v>
      </c>
      <c r="H335" s="278" t="str">
        <f aca="false">IF(A335="N/A"," ",(C335*D335)+F335+G335)</f>
        <v> </v>
      </c>
      <c r="I335" s="279" t="str">
        <f aca="false">VLOOKUP(A335,ScaledPrice,(IF(AND('Pricing Inputs'!$AQ$3&gt;=1,'Pricing Inputs'!$AQ$3&lt;=6),2,4)))</f>
        <v> </v>
      </c>
      <c r="J335" s="279" t="str">
        <f aca="false">IF(A335="N/A"," ",IF(AND('Pricing Inputs'!$AQ$3&gt;=1,'Pricing Inputs'!$AQ$3&lt;=6),I335,(VLOOKUP(A335,ScaledPrice,2))*(2-(VLOOKUP(A335,ScaledPrice,3)))))</f>
        <v> </v>
      </c>
      <c r="K335" s="279" t="str">
        <f aca="false">IF(A335="N/A"," ",IF(OR('Pricing Inputs'!$AQ$3=2,'Pricing Inputs'!$AQ$3=3,'Pricing Inputs'!$AQ$3=5,'Pricing Inputs'!$AQ$3=6,'Pricing Inputs'!$AQ$3=8,'Pricing Inputs'!$AQ$3=9),VLOOKUP(A335,ScaledPrice,IF(AND('Pricing Inputs'!$AQ$3&gt;=2,'Pricing Inputs'!$AQ$3&lt;=6),5,6)),0))</f>
        <v> </v>
      </c>
      <c r="L335" s="279" t="str">
        <f aca="false">IF(A335="N/A"," ",IF(OR('Pricing Inputs'!$AQ$3=2,'Pricing Inputs'!$AQ$3=3,'Pricing Inputs'!$AQ$3=5,'Pricing Inputs'!$AQ$3=6,'Pricing Inputs'!$AQ$3=8,'Pricing Inputs'!$AQ$3=9),IF(AND('Pricing Inputs'!$AQ$3&gt;=2,'Pricing Inputs'!$AQ$3&lt;=6),K335,(VLOOKUP(A335,ScaledPrice,5))*(2-(VLOOKUP(A335,ScaledPrice,3)))),0))</f>
        <v> </v>
      </c>
      <c r="M335" s="279" t="str">
        <f aca="false">IF(A335="N/A"," ",IF(OR('Pricing Inputs'!$AQ$3=3,'Pricing Inputs'!$AQ$3=6,'Pricing Inputs'!$AQ$3=9),(VLOOKUP(A335,ScaledPrice,IF(AND('Pricing Inputs'!$AQ$3&gt;=3,'Pricing Inputs'!$AQ$3&lt;=6),7,8))),0))</f>
        <v> </v>
      </c>
      <c r="N335" s="279" t="str">
        <f aca="false">IF(A335="N/A"," ",IF(OR('Pricing Inputs'!$AQ$3=3,'Pricing Inputs'!$AQ$3=6,'Pricing Inputs'!$AQ$3=9),IF(AND('Pricing Inputs'!$AQ$3&gt;=3,'Pricing Inputs'!$AQ$3&lt;=6),M335,(VLOOKUP(A335,ScaledPrice,7))*(2-(VLOOKUP(A335,ScaledPrice,3)))),0))</f>
        <v> </v>
      </c>
      <c r="O335" s="279" t="str">
        <f aca="false">IF(A335="N/A"," ",IF(AND('Pricing Inputs'!$AQ$3&gt;=1,'Pricing Inputs'!$AQ$3&lt;=3),VLOOKUP(A335,ScaledPrice,9),0))</f>
        <v> </v>
      </c>
      <c r="P335" s="280" t="str">
        <f aca="false">IF($A335="N/A"," ",IF('Pricing Inputs'!$AN$8=2,(I335-H335),IF('Pricing Inputs'!$AN$3=2,IF((I335-$H335)&gt;0,I335-$H335,0),(xSPRDOPT(I335,$E335,$BU335,0,$BP335,$BS335,$BT335,($A335-Inputs!$D$1)+15,1,0)))))</f>
        <v> </v>
      </c>
      <c r="Q335" s="280" t="str">
        <f aca="false">IF($A335="N/A"," ",IF('Pricing Inputs'!$AN$8=2,(J335-$H335),IF('Pricing Inputs'!$AN$3=2,IF((J335-$H335)&gt;0,J335-$H335,0),(xSPRDOPT(J335,$E335,$BU335,0,$BP335,$BS335,$BT335,($A335-Inputs!$D$1)+15,1,0)))))</f>
        <v> </v>
      </c>
      <c r="R335" s="280" t="str">
        <f aca="false">IF($A335="N/A"," ",IF('Pricing Inputs'!$AN$8=2,(K335-$H335),IF('Pricing Inputs'!$AN$3=2,IF((K335-$H335)&gt;0,K335-$H335,0),(xSPRDOPT(K335,$E335,$BU335,0,$BP335,$BS335,$BT335,($A335-Inputs!$D$1)+15,1,0)))))</f>
        <v> </v>
      </c>
      <c r="S335" s="280" t="str">
        <f aca="false">IF($A335="N/A"," ",IF('Pricing Inputs'!$AN$8=2,(L335-$H335),IF('Pricing Inputs'!$AN$3=2,IF((L335-$H335)&gt;0,L335-$H335,0),(xSPRDOPT(L335,$E335,$BU335,0,$BP335,$BS335,$BT335,($A335-Inputs!$D$1)+15,1,0)))))</f>
        <v> </v>
      </c>
      <c r="T335" s="280" t="str">
        <f aca="false">IF($A335="N/A"," ",IF('Pricing Inputs'!$AN$8=2,(M335-$H335),IF('Pricing Inputs'!$AN$3=2,IF((M335-$H335)&gt;0,M335-$H335,0),(xSPRDOPT(M335,$E335,$BU335,0,$BP335,$BS335,$BT335,($A335-Inputs!$D$1)+15,1,0)))))</f>
        <v> </v>
      </c>
      <c r="U335" s="280" t="str">
        <f aca="false">IF($A335="N/A"," ",IF('Pricing Inputs'!$AN$8=2,(N335-$H335),IF('Pricing Inputs'!$AN$3=2,IF((N335-$H335)&gt;0,N335-$H335,0),(xSPRDOPT(N335,$E335,$BU335,0,$BP335,$BS335,$BT335,($A335-Inputs!$D$1)+15,1,0)))))</f>
        <v> </v>
      </c>
      <c r="V335" s="281" t="str">
        <f aca="false">IF($A335="N/A"," ",(IF('Pricing Inputs'!$AN$8=2,(O335-$H335),IF((O335-$H335)&lt;=0,0,(O335-$H335)))))</f>
        <v> </v>
      </c>
      <c r="BA335" s="291" t="str">
        <f aca="false">IF($A335="N/A"," ",(IF(MONTH(A335)&gt;=4,IF(MONTH(A335)&lt;=10,Inputs!$F$13,Inputs!$F$14),Inputs!$F$14))*$BW335)</f>
        <v> </v>
      </c>
      <c r="BN335" s="294" t="str">
        <f aca="false">IF(A335="N/A"," ",(VLOOKUP(A335,PowerVolTable,(IF('Pricing Inputs'!$AT$3=2,7,IF('Pricing Inputs'!$AT$3=1,6,8))),FALSE())))</f>
        <v> </v>
      </c>
      <c r="BO335" s="294" t="str">
        <f aca="false">IF(A335="N/A"," ",(VLOOKUP(A335,IntraPowerVol,(IF('Pricing Inputs'!$AT$3=2,3,IF('Pricing Inputs'!$AT$3=1,2,4))),FALSE())*VLOOKUP(MONTH($A335),Inputs!$A$28:$B$39,2)))</f>
        <v> </v>
      </c>
      <c r="BP335" s="295" t="str">
        <f aca="false">IF($A335="N/A"," ",(IF(DateToday&gt;$A335,$BO335,((($BN335^2)*((($A335-1)-DateToday)/((EOMONTH($A335,0)+1)-DateToday-15)))+((($BO335)^2)*((15)/((EOMONTH($A335,0)+1)-DateToday-15))))^0.5)))</f>
        <v> </v>
      </c>
      <c r="BQ335" s="294" t="str">
        <f aca="false">IF($A335="N/A"," ",(VLOOKUP($A335,GasVolTable,(IF('Pricing Inputs'!$AT$3=2,6,IF('Pricing Inputs'!$AT$3=1,7,5))),FALSE())))</f>
        <v> </v>
      </c>
      <c r="BR335" s="294" t="str">
        <f aca="false">IF($A335="N/A"," ",(VLOOKUP($A335,OmicronVol,(IF('Pricing Inputs'!$AT$3=2,3,IF('Pricing Inputs'!$AT$3=1,4,2))),FALSE())))</f>
        <v> </v>
      </c>
      <c r="BS335" s="295" t="str">
        <f aca="false">IF($A335="N/A"," ",IF('Pricing Inputs'!$AN$3=1,(IF(DateToday&gt;$A335,$BR335,((($BQ335^2)*((($A335-1)-DateToday)/((EOMONTH($A335,0)+1)-DateToday-15)))+((($BR335)^2)*((15)/((EOMONTH($A335,0)+1)-DateToday-15))))^0.5)),0.0001))</f>
        <v> </v>
      </c>
      <c r="BT335" s="294" t="str">
        <f aca="false">IF($A335="N/A"," ",IF('Pricing Inputs'!$AN$3=1,(VLOOKUP($A335,CorrelationTable,2,FALSE())),0))</f>
        <v> </v>
      </c>
      <c r="BU335" s="296" t="str">
        <f aca="false">IF($A335="N/A"," ",F335+G335+(D335*(VLOOKUP($A335,'Gas Curves'!$B$17:$P$310,14,FALSE()))))</f>
        <v> </v>
      </c>
      <c r="BV335" s="294" t="str">
        <f aca="false">IF($A335="N/A"," ",IF('Pricing Inputs'!$AW$3=1,0,(VLOOKUP($A335,InterestRatesTable,2))))</f>
        <v> </v>
      </c>
      <c r="BW335" s="297" t="str">
        <f aca="false">IF($A335="N/A"," ",(1+BV335/2)^(-2*((EOMONTH(A335,0)+20)-DateToday)/365.25))</f>
        <v> </v>
      </c>
    </row>
    <row r="336" customFormat="false" ht="12.75" hidden="false" customHeight="false" outlineLevel="0" collapsed="false">
      <c r="A336" s="272" t="str">
        <f aca="false">IF(A335="N/A","N/A",IF(EDATE(A335,1)&gt;Inputs!$K$3,"N/A",EDATE(A335,1)))</f>
        <v>N/A</v>
      </c>
      <c r="B336" s="273" t="str">
        <f aca="false">IF(A336="N/A"," ",YEAR(A336))</f>
        <v> </v>
      </c>
      <c r="C336" s="274" t="str">
        <f aca="false">IF(A336="N/A"," ",VLOOKUP(A336,ScaledPrice,10))</f>
        <v> </v>
      </c>
      <c r="D336" s="275" t="str">
        <f aca="false">IF(A336="N/A"," ",(VLOOKUP(MONTH($A336),Inputs!$A$14:$B$25,2))/1000)</f>
        <v> </v>
      </c>
      <c r="E336" s="276" t="str">
        <f aca="false">IF($A336="N/A"," ",C336*D336)</f>
        <v> </v>
      </c>
      <c r="F336" s="277" t="str">
        <f aca="false">IF(A336="N/A"," ",Inputs!$F$6)</f>
        <v> </v>
      </c>
      <c r="G336" s="277" t="str">
        <f aca="false">IF(A336="N/A"," ",Inputs!$F$9/IF(AND('Pricing Inputs'!$AQ$3&gt;=4,'Pricing Inputs'!$AQ$3&lt;=6),16,IF(AND('Pricing Inputs'!$AQ$3&gt;=7,'Pricing Inputs'!$AQ$3&lt;=9),8,24))/(BA336/BW336))</f>
        <v> </v>
      </c>
      <c r="H336" s="278" t="str">
        <f aca="false">IF(A336="N/A"," ",(C336*D336)+F336+G336)</f>
        <v> </v>
      </c>
      <c r="I336" s="279" t="str">
        <f aca="false">VLOOKUP(A336,ScaledPrice,(IF(AND('Pricing Inputs'!$AQ$3&gt;=1,'Pricing Inputs'!$AQ$3&lt;=6),2,4)))</f>
        <v> </v>
      </c>
      <c r="J336" s="279" t="str">
        <f aca="false">IF(A336="N/A"," ",IF(AND('Pricing Inputs'!$AQ$3&gt;=1,'Pricing Inputs'!$AQ$3&lt;=6),I336,(VLOOKUP(A336,ScaledPrice,2))*(2-(VLOOKUP(A336,ScaledPrice,3)))))</f>
        <v> </v>
      </c>
      <c r="K336" s="279" t="str">
        <f aca="false">IF(A336="N/A"," ",IF(OR('Pricing Inputs'!$AQ$3=2,'Pricing Inputs'!$AQ$3=3,'Pricing Inputs'!$AQ$3=5,'Pricing Inputs'!$AQ$3=6,'Pricing Inputs'!$AQ$3=8,'Pricing Inputs'!$AQ$3=9),VLOOKUP(A336,ScaledPrice,IF(AND('Pricing Inputs'!$AQ$3&gt;=2,'Pricing Inputs'!$AQ$3&lt;=6),5,6)),0))</f>
        <v> </v>
      </c>
      <c r="L336" s="279" t="str">
        <f aca="false">IF(A336="N/A"," ",IF(OR('Pricing Inputs'!$AQ$3=2,'Pricing Inputs'!$AQ$3=3,'Pricing Inputs'!$AQ$3=5,'Pricing Inputs'!$AQ$3=6,'Pricing Inputs'!$AQ$3=8,'Pricing Inputs'!$AQ$3=9),IF(AND('Pricing Inputs'!$AQ$3&gt;=2,'Pricing Inputs'!$AQ$3&lt;=6),K336,(VLOOKUP(A336,ScaledPrice,5))*(2-(VLOOKUP(A336,ScaledPrice,3)))),0))</f>
        <v> </v>
      </c>
      <c r="M336" s="279" t="str">
        <f aca="false">IF(A336="N/A"," ",IF(OR('Pricing Inputs'!$AQ$3=3,'Pricing Inputs'!$AQ$3=6,'Pricing Inputs'!$AQ$3=9),(VLOOKUP(A336,ScaledPrice,IF(AND('Pricing Inputs'!$AQ$3&gt;=3,'Pricing Inputs'!$AQ$3&lt;=6),7,8))),0))</f>
        <v> </v>
      </c>
      <c r="N336" s="279" t="str">
        <f aca="false">IF(A336="N/A"," ",IF(OR('Pricing Inputs'!$AQ$3=3,'Pricing Inputs'!$AQ$3=6,'Pricing Inputs'!$AQ$3=9),IF(AND('Pricing Inputs'!$AQ$3&gt;=3,'Pricing Inputs'!$AQ$3&lt;=6),M336,(VLOOKUP(A336,ScaledPrice,7))*(2-(VLOOKUP(A336,ScaledPrice,3)))),0))</f>
        <v> </v>
      </c>
      <c r="O336" s="279" t="str">
        <f aca="false">IF(A336="N/A"," ",IF(AND('Pricing Inputs'!$AQ$3&gt;=1,'Pricing Inputs'!$AQ$3&lt;=3),VLOOKUP(A336,ScaledPrice,9),0))</f>
        <v> </v>
      </c>
      <c r="P336" s="280" t="str">
        <f aca="false">IF($A336="N/A"," ",IF('Pricing Inputs'!$AN$8=2,(I336-H336),IF('Pricing Inputs'!$AN$3=2,IF((I336-$H336)&gt;0,I336-$H336,0),(xSPRDOPT(I336,$E336,$BU336,0,$BP336,$BS336,$BT336,($A336-Inputs!$D$1)+15,1,0)))))</f>
        <v> </v>
      </c>
      <c r="Q336" s="280" t="str">
        <f aca="false">IF($A336="N/A"," ",IF('Pricing Inputs'!$AN$8=2,(J336-$H336),IF('Pricing Inputs'!$AN$3=2,IF((J336-$H336)&gt;0,J336-$H336,0),(xSPRDOPT(J336,$E336,$BU336,0,$BP336,$BS336,$BT336,($A336-Inputs!$D$1)+15,1,0)))))</f>
        <v> </v>
      </c>
      <c r="R336" s="280" t="str">
        <f aca="false">IF($A336="N/A"," ",IF('Pricing Inputs'!$AN$8=2,(K336-$H336),IF('Pricing Inputs'!$AN$3=2,IF((K336-$H336)&gt;0,K336-$H336,0),(xSPRDOPT(K336,$E336,$BU336,0,$BP336,$BS336,$BT336,($A336-Inputs!$D$1)+15,1,0)))))</f>
        <v> </v>
      </c>
      <c r="S336" s="280" t="str">
        <f aca="false">IF($A336="N/A"," ",IF('Pricing Inputs'!$AN$8=2,(L336-$H336),IF('Pricing Inputs'!$AN$3=2,IF((L336-$H336)&gt;0,L336-$H336,0),(xSPRDOPT(L336,$E336,$BU336,0,$BP336,$BS336,$BT336,($A336-Inputs!$D$1)+15,1,0)))))</f>
        <v> </v>
      </c>
      <c r="T336" s="280" t="str">
        <f aca="false">IF($A336="N/A"," ",IF('Pricing Inputs'!$AN$8=2,(M336-$H336),IF('Pricing Inputs'!$AN$3=2,IF((M336-$H336)&gt;0,M336-$H336,0),(xSPRDOPT(M336,$E336,$BU336,0,$BP336,$BS336,$BT336,($A336-Inputs!$D$1)+15,1,0)))))</f>
        <v> </v>
      </c>
      <c r="U336" s="280" t="str">
        <f aca="false">IF($A336="N/A"," ",IF('Pricing Inputs'!$AN$8=2,(N336-$H336),IF('Pricing Inputs'!$AN$3=2,IF((N336-$H336)&gt;0,N336-$H336,0),(xSPRDOPT(N336,$E336,$BU336,0,$BP336,$BS336,$BT336,($A336-Inputs!$D$1)+15,1,0)))))</f>
        <v> </v>
      </c>
      <c r="V336" s="281" t="str">
        <f aca="false">IF($A336="N/A"," ",(IF('Pricing Inputs'!$AN$8=2,(O336-$H336),IF((O336-$H336)&lt;=0,0,(O336-$H336)))))</f>
        <v> </v>
      </c>
      <c r="BA336" s="291" t="str">
        <f aca="false">IF($A336="N/A"," ",(IF(MONTH(A336)&gt;=4,IF(MONTH(A336)&lt;=10,Inputs!$F$13,Inputs!$F$14),Inputs!$F$14))*$BW336)</f>
        <v> </v>
      </c>
      <c r="BN336" s="294" t="str">
        <f aca="false">IF(A336="N/A"," ",(VLOOKUP(A336,PowerVolTable,(IF('Pricing Inputs'!$AT$3=2,7,IF('Pricing Inputs'!$AT$3=1,6,8))),FALSE())))</f>
        <v> </v>
      </c>
      <c r="BO336" s="294" t="str">
        <f aca="false">IF(A336="N/A"," ",(VLOOKUP(A336,IntraPowerVol,(IF('Pricing Inputs'!$AT$3=2,3,IF('Pricing Inputs'!$AT$3=1,2,4))),FALSE())*VLOOKUP(MONTH($A336),Inputs!$A$28:$B$39,2)))</f>
        <v> </v>
      </c>
      <c r="BP336" s="295" t="str">
        <f aca="false">IF($A336="N/A"," ",(IF(DateToday&gt;$A336,$BO336,((($BN336^2)*((($A336-1)-DateToday)/((EOMONTH($A336,0)+1)-DateToday-15)))+((($BO336)^2)*((15)/((EOMONTH($A336,0)+1)-DateToday-15))))^0.5)))</f>
        <v> </v>
      </c>
      <c r="BQ336" s="294" t="str">
        <f aca="false">IF($A336="N/A"," ",(VLOOKUP($A336,GasVolTable,(IF('Pricing Inputs'!$AT$3=2,6,IF('Pricing Inputs'!$AT$3=1,7,5))),FALSE())))</f>
        <v> </v>
      </c>
      <c r="BR336" s="294" t="str">
        <f aca="false">IF($A336="N/A"," ",(VLOOKUP($A336,OmicronVol,(IF('Pricing Inputs'!$AT$3=2,3,IF('Pricing Inputs'!$AT$3=1,4,2))),FALSE())))</f>
        <v> </v>
      </c>
      <c r="BS336" s="295" t="str">
        <f aca="false">IF($A336="N/A"," ",IF('Pricing Inputs'!$AN$3=1,(IF(DateToday&gt;$A336,$BR336,((($BQ336^2)*((($A336-1)-DateToday)/((EOMONTH($A336,0)+1)-DateToday-15)))+((($BR336)^2)*((15)/((EOMONTH($A336,0)+1)-DateToday-15))))^0.5)),0.0001))</f>
        <v> </v>
      </c>
      <c r="BT336" s="294" t="str">
        <f aca="false">IF($A336="N/A"," ",IF('Pricing Inputs'!$AN$3=1,(VLOOKUP($A336,CorrelationTable,2,FALSE())),0))</f>
        <v> </v>
      </c>
      <c r="BU336" s="296" t="str">
        <f aca="false">IF($A336="N/A"," ",F336+G336+(D336*(VLOOKUP($A336,'Gas Curves'!$B$17:$P$310,14,FALSE()))))</f>
        <v> </v>
      </c>
      <c r="BV336" s="294" t="str">
        <f aca="false">IF($A336="N/A"," ",IF('Pricing Inputs'!$AW$3=1,0,(VLOOKUP($A336,InterestRatesTable,2))))</f>
        <v> </v>
      </c>
      <c r="BW336" s="297" t="str">
        <f aca="false">IF($A336="N/A"," ",(1+BV336/2)^(-2*((EOMONTH(A336,0)+20)-DateToday)/365.25))</f>
        <v> </v>
      </c>
    </row>
    <row r="337" customFormat="false" ht="12.75" hidden="false" customHeight="false" outlineLevel="0" collapsed="false">
      <c r="A337" s="272" t="str">
        <f aca="false">IF(A336="N/A","N/A",IF(EDATE(A336,1)&gt;Inputs!$K$3,"N/A",EDATE(A336,1)))</f>
        <v>N/A</v>
      </c>
      <c r="B337" s="273" t="str">
        <f aca="false">IF(A337="N/A"," ",YEAR(A337))</f>
        <v> </v>
      </c>
      <c r="C337" s="274" t="str">
        <f aca="false">IF(A337="N/A"," ",VLOOKUP(A337,ScaledPrice,10))</f>
        <v> </v>
      </c>
      <c r="D337" s="275" t="str">
        <f aca="false">IF(A337="N/A"," ",(VLOOKUP(MONTH($A337),Inputs!$A$14:$B$25,2))/1000)</f>
        <v> </v>
      </c>
      <c r="E337" s="276" t="str">
        <f aca="false">IF($A337="N/A"," ",C337*D337)</f>
        <v> </v>
      </c>
      <c r="F337" s="277" t="str">
        <f aca="false">IF(A337="N/A"," ",Inputs!$F$6)</f>
        <v> </v>
      </c>
      <c r="G337" s="277" t="str">
        <f aca="false">IF(A337="N/A"," ",Inputs!$F$9/IF(AND('Pricing Inputs'!$AQ$3&gt;=4,'Pricing Inputs'!$AQ$3&lt;=6),16,IF(AND('Pricing Inputs'!$AQ$3&gt;=7,'Pricing Inputs'!$AQ$3&lt;=9),8,24))/(BA337/BW337))</f>
        <v> </v>
      </c>
      <c r="H337" s="278" t="str">
        <f aca="false">IF(A337="N/A"," ",(C337*D337)+F337+G337)</f>
        <v> </v>
      </c>
      <c r="I337" s="279" t="str">
        <f aca="false">VLOOKUP(A337,ScaledPrice,(IF(AND('Pricing Inputs'!$AQ$3&gt;=1,'Pricing Inputs'!$AQ$3&lt;=6),2,4)))</f>
        <v> </v>
      </c>
      <c r="J337" s="279" t="str">
        <f aca="false">IF(A337="N/A"," ",IF(AND('Pricing Inputs'!$AQ$3&gt;=1,'Pricing Inputs'!$AQ$3&lt;=6),I337,(VLOOKUP(A337,ScaledPrice,2))*(2-(VLOOKUP(A337,ScaledPrice,3)))))</f>
        <v> </v>
      </c>
      <c r="K337" s="279" t="str">
        <f aca="false">IF(A337="N/A"," ",IF(OR('Pricing Inputs'!$AQ$3=2,'Pricing Inputs'!$AQ$3=3,'Pricing Inputs'!$AQ$3=5,'Pricing Inputs'!$AQ$3=6,'Pricing Inputs'!$AQ$3=8,'Pricing Inputs'!$AQ$3=9),VLOOKUP(A337,ScaledPrice,IF(AND('Pricing Inputs'!$AQ$3&gt;=2,'Pricing Inputs'!$AQ$3&lt;=6),5,6)),0))</f>
        <v> </v>
      </c>
      <c r="L337" s="279" t="str">
        <f aca="false">IF(A337="N/A"," ",IF(OR('Pricing Inputs'!$AQ$3=2,'Pricing Inputs'!$AQ$3=3,'Pricing Inputs'!$AQ$3=5,'Pricing Inputs'!$AQ$3=6,'Pricing Inputs'!$AQ$3=8,'Pricing Inputs'!$AQ$3=9),IF(AND('Pricing Inputs'!$AQ$3&gt;=2,'Pricing Inputs'!$AQ$3&lt;=6),K337,(VLOOKUP(A337,ScaledPrice,5))*(2-(VLOOKUP(A337,ScaledPrice,3)))),0))</f>
        <v> </v>
      </c>
      <c r="M337" s="279" t="str">
        <f aca="false">IF(A337="N/A"," ",IF(OR('Pricing Inputs'!$AQ$3=3,'Pricing Inputs'!$AQ$3=6,'Pricing Inputs'!$AQ$3=9),(VLOOKUP(A337,ScaledPrice,IF(AND('Pricing Inputs'!$AQ$3&gt;=3,'Pricing Inputs'!$AQ$3&lt;=6),7,8))),0))</f>
        <v> </v>
      </c>
      <c r="N337" s="279" t="str">
        <f aca="false">IF(A337="N/A"," ",IF(OR('Pricing Inputs'!$AQ$3=3,'Pricing Inputs'!$AQ$3=6,'Pricing Inputs'!$AQ$3=9),IF(AND('Pricing Inputs'!$AQ$3&gt;=3,'Pricing Inputs'!$AQ$3&lt;=6),M337,(VLOOKUP(A337,ScaledPrice,7))*(2-(VLOOKUP(A337,ScaledPrice,3)))),0))</f>
        <v> </v>
      </c>
      <c r="O337" s="279" t="str">
        <f aca="false">IF(A337="N/A"," ",IF(AND('Pricing Inputs'!$AQ$3&gt;=1,'Pricing Inputs'!$AQ$3&lt;=3),VLOOKUP(A337,ScaledPrice,9),0))</f>
        <v> </v>
      </c>
      <c r="P337" s="280" t="str">
        <f aca="false">IF($A337="N/A"," ",IF('Pricing Inputs'!$AN$8=2,(I337-H337),IF('Pricing Inputs'!$AN$3=2,IF((I337-$H337)&gt;0,I337-$H337,0),(xSPRDOPT(I337,$E337,$BU337,0,$BP337,$BS337,$BT337,($A337-Inputs!$D$1)+15,1,0)))))</f>
        <v> </v>
      </c>
      <c r="Q337" s="280" t="str">
        <f aca="false">IF($A337="N/A"," ",IF('Pricing Inputs'!$AN$8=2,(J337-$H337),IF('Pricing Inputs'!$AN$3=2,IF((J337-$H337)&gt;0,J337-$H337,0),(xSPRDOPT(J337,$E337,$BU337,0,$BP337,$BS337,$BT337,($A337-Inputs!$D$1)+15,1,0)))))</f>
        <v> </v>
      </c>
      <c r="R337" s="280" t="str">
        <f aca="false">IF($A337="N/A"," ",IF('Pricing Inputs'!$AN$8=2,(K337-$H337),IF('Pricing Inputs'!$AN$3=2,IF((K337-$H337)&gt;0,K337-$H337,0),(xSPRDOPT(K337,$E337,$BU337,0,$BP337,$BS337,$BT337,($A337-Inputs!$D$1)+15,1,0)))))</f>
        <v> </v>
      </c>
      <c r="S337" s="280" t="str">
        <f aca="false">IF($A337="N/A"," ",IF('Pricing Inputs'!$AN$8=2,(L337-$H337),IF('Pricing Inputs'!$AN$3=2,IF((L337-$H337)&gt;0,L337-$H337,0),(xSPRDOPT(L337,$E337,$BU337,0,$BP337,$BS337,$BT337,($A337-Inputs!$D$1)+15,1,0)))))</f>
        <v> </v>
      </c>
      <c r="T337" s="280" t="str">
        <f aca="false">IF($A337="N/A"," ",IF('Pricing Inputs'!$AN$8=2,(M337-$H337),IF('Pricing Inputs'!$AN$3=2,IF((M337-$H337)&gt;0,M337-$H337,0),(xSPRDOPT(M337,$E337,$BU337,0,$BP337,$BS337,$BT337,($A337-Inputs!$D$1)+15,1,0)))))</f>
        <v> </v>
      </c>
      <c r="U337" s="280" t="str">
        <f aca="false">IF($A337="N/A"," ",IF('Pricing Inputs'!$AN$8=2,(N337-$H337),IF('Pricing Inputs'!$AN$3=2,IF((N337-$H337)&gt;0,N337-$H337,0),(xSPRDOPT(N337,$E337,$BU337,0,$BP337,$BS337,$BT337,($A337-Inputs!$D$1)+15,1,0)))))</f>
        <v> </v>
      </c>
      <c r="V337" s="281" t="str">
        <f aca="false">IF($A337="N/A"," ",(IF('Pricing Inputs'!$AN$8=2,(O337-$H337),IF((O337-$H337)&lt;=0,0,(O337-$H337)))))</f>
        <v> </v>
      </c>
      <c r="BA337" s="291" t="str">
        <f aca="false">IF($A337="N/A"," ",(IF(MONTH(A337)&gt;=4,IF(MONTH(A337)&lt;=10,Inputs!$F$13,Inputs!$F$14),Inputs!$F$14))*$BW337)</f>
        <v> </v>
      </c>
      <c r="BN337" s="294" t="str">
        <f aca="false">IF(A337="N/A"," ",(VLOOKUP(A337,PowerVolTable,(IF('Pricing Inputs'!$AT$3=2,7,IF('Pricing Inputs'!$AT$3=1,6,8))),FALSE())))</f>
        <v> </v>
      </c>
      <c r="BO337" s="294" t="str">
        <f aca="false">IF(A337="N/A"," ",(VLOOKUP(A337,IntraPowerVol,(IF('Pricing Inputs'!$AT$3=2,3,IF('Pricing Inputs'!$AT$3=1,2,4))),FALSE())*VLOOKUP(MONTH($A337),Inputs!$A$28:$B$39,2)))</f>
        <v> </v>
      </c>
      <c r="BP337" s="295" t="str">
        <f aca="false">IF($A337="N/A"," ",(IF(DateToday&gt;$A337,$BO337,((($BN337^2)*((($A337-1)-DateToday)/((EOMONTH($A337,0)+1)-DateToday-15)))+((($BO337)^2)*((15)/((EOMONTH($A337,0)+1)-DateToday-15))))^0.5)))</f>
        <v> </v>
      </c>
      <c r="BQ337" s="294" t="str">
        <f aca="false">IF($A337="N/A"," ",(VLOOKUP($A337,GasVolTable,(IF('Pricing Inputs'!$AT$3=2,6,IF('Pricing Inputs'!$AT$3=1,7,5))),FALSE())))</f>
        <v> </v>
      </c>
      <c r="BR337" s="294" t="str">
        <f aca="false">IF($A337="N/A"," ",(VLOOKUP($A337,OmicronVol,(IF('Pricing Inputs'!$AT$3=2,3,IF('Pricing Inputs'!$AT$3=1,4,2))),FALSE())))</f>
        <v> </v>
      </c>
      <c r="BS337" s="295" t="str">
        <f aca="false">IF($A337="N/A"," ",IF('Pricing Inputs'!$AN$3=1,(IF(DateToday&gt;$A337,$BR337,((($BQ337^2)*((($A337-1)-DateToday)/((EOMONTH($A337,0)+1)-DateToday-15)))+((($BR337)^2)*((15)/((EOMONTH($A337,0)+1)-DateToday-15))))^0.5)),0.0001))</f>
        <v> </v>
      </c>
      <c r="BT337" s="294" t="str">
        <f aca="false">IF($A337="N/A"," ",IF('Pricing Inputs'!$AN$3=1,(VLOOKUP($A337,CorrelationTable,2,FALSE())),0))</f>
        <v> </v>
      </c>
      <c r="BU337" s="296" t="str">
        <f aca="false">IF($A337="N/A"," ",F337+G337+(D337*(VLOOKUP($A337,'Gas Curves'!$B$17:$P$310,14,FALSE()))))</f>
        <v> </v>
      </c>
      <c r="BV337" s="294" t="str">
        <f aca="false">IF($A337="N/A"," ",IF('Pricing Inputs'!$AW$3=1,0,(VLOOKUP($A337,InterestRatesTable,2))))</f>
        <v> </v>
      </c>
      <c r="BW337" s="297" t="str">
        <f aca="false">IF($A337="N/A"," ",(1+BV337/2)^(-2*((EOMONTH(A337,0)+20)-DateToday)/365.25))</f>
        <v> </v>
      </c>
    </row>
    <row r="338" customFormat="false" ht="12.75" hidden="false" customHeight="false" outlineLevel="0" collapsed="false">
      <c r="A338" s="272" t="str">
        <f aca="false">IF(A337="N/A","N/A",IF(EDATE(A337,1)&gt;Inputs!$K$3,"N/A",EDATE(A337,1)))</f>
        <v>N/A</v>
      </c>
      <c r="B338" s="273" t="str">
        <f aca="false">IF(A338="N/A"," ",YEAR(A338))</f>
        <v> </v>
      </c>
      <c r="C338" s="274" t="str">
        <f aca="false">IF(A338="N/A"," ",VLOOKUP(A338,ScaledPrice,10))</f>
        <v> </v>
      </c>
      <c r="D338" s="275" t="str">
        <f aca="false">IF(A338="N/A"," ",(VLOOKUP(MONTH($A338),Inputs!$A$14:$B$25,2))/1000)</f>
        <v> </v>
      </c>
      <c r="E338" s="276" t="str">
        <f aca="false">IF($A338="N/A"," ",C338*D338)</f>
        <v> </v>
      </c>
      <c r="F338" s="277" t="str">
        <f aca="false">IF(A338="N/A"," ",Inputs!$F$6)</f>
        <v> </v>
      </c>
      <c r="G338" s="277" t="str">
        <f aca="false">IF(A338="N/A"," ",Inputs!$F$9/IF(AND('Pricing Inputs'!$AQ$3&gt;=4,'Pricing Inputs'!$AQ$3&lt;=6),16,IF(AND('Pricing Inputs'!$AQ$3&gt;=7,'Pricing Inputs'!$AQ$3&lt;=9),8,24))/(BA338/BW338))</f>
        <v> </v>
      </c>
      <c r="H338" s="278" t="str">
        <f aca="false">IF(A338="N/A"," ",(C338*D338)+F338+G338)</f>
        <v> </v>
      </c>
      <c r="I338" s="279" t="str">
        <f aca="false">VLOOKUP(A338,ScaledPrice,(IF(AND('Pricing Inputs'!$AQ$3&gt;=1,'Pricing Inputs'!$AQ$3&lt;=6),2,4)))</f>
        <v> </v>
      </c>
      <c r="J338" s="279" t="str">
        <f aca="false">IF(A338="N/A"," ",IF(AND('Pricing Inputs'!$AQ$3&gt;=1,'Pricing Inputs'!$AQ$3&lt;=6),I338,(VLOOKUP(A338,ScaledPrice,2))*(2-(VLOOKUP(A338,ScaledPrice,3)))))</f>
        <v> </v>
      </c>
      <c r="K338" s="279" t="str">
        <f aca="false">IF(A338="N/A"," ",IF(OR('Pricing Inputs'!$AQ$3=2,'Pricing Inputs'!$AQ$3=3,'Pricing Inputs'!$AQ$3=5,'Pricing Inputs'!$AQ$3=6,'Pricing Inputs'!$AQ$3=8,'Pricing Inputs'!$AQ$3=9),VLOOKUP(A338,ScaledPrice,IF(AND('Pricing Inputs'!$AQ$3&gt;=2,'Pricing Inputs'!$AQ$3&lt;=6),5,6)),0))</f>
        <v> </v>
      </c>
      <c r="L338" s="279" t="str">
        <f aca="false">IF(A338="N/A"," ",IF(OR('Pricing Inputs'!$AQ$3=2,'Pricing Inputs'!$AQ$3=3,'Pricing Inputs'!$AQ$3=5,'Pricing Inputs'!$AQ$3=6,'Pricing Inputs'!$AQ$3=8,'Pricing Inputs'!$AQ$3=9),IF(AND('Pricing Inputs'!$AQ$3&gt;=2,'Pricing Inputs'!$AQ$3&lt;=6),K338,(VLOOKUP(A338,ScaledPrice,5))*(2-(VLOOKUP(A338,ScaledPrice,3)))),0))</f>
        <v> </v>
      </c>
      <c r="M338" s="279" t="str">
        <f aca="false">IF(A338="N/A"," ",IF(OR('Pricing Inputs'!$AQ$3=3,'Pricing Inputs'!$AQ$3=6,'Pricing Inputs'!$AQ$3=9),(VLOOKUP(A338,ScaledPrice,IF(AND('Pricing Inputs'!$AQ$3&gt;=3,'Pricing Inputs'!$AQ$3&lt;=6),7,8))),0))</f>
        <v> </v>
      </c>
      <c r="N338" s="279" t="str">
        <f aca="false">IF(A338="N/A"," ",IF(OR('Pricing Inputs'!$AQ$3=3,'Pricing Inputs'!$AQ$3=6,'Pricing Inputs'!$AQ$3=9),IF(AND('Pricing Inputs'!$AQ$3&gt;=3,'Pricing Inputs'!$AQ$3&lt;=6),M338,(VLOOKUP(A338,ScaledPrice,7))*(2-(VLOOKUP(A338,ScaledPrice,3)))),0))</f>
        <v> </v>
      </c>
      <c r="O338" s="279" t="str">
        <f aca="false">IF(A338="N/A"," ",IF(AND('Pricing Inputs'!$AQ$3&gt;=1,'Pricing Inputs'!$AQ$3&lt;=3),VLOOKUP(A338,ScaledPrice,9),0))</f>
        <v> </v>
      </c>
      <c r="P338" s="280" t="str">
        <f aca="false">IF($A338="N/A"," ",IF('Pricing Inputs'!$AN$8=2,(I338-H338),IF('Pricing Inputs'!$AN$3=2,IF((I338-$H338)&gt;0,I338-$H338,0),(xSPRDOPT(I338,$E338,$BU338,0,$BP338,$BS338,$BT338,($A338-Inputs!$D$1)+15,1,0)))))</f>
        <v> </v>
      </c>
      <c r="Q338" s="280" t="str">
        <f aca="false">IF($A338="N/A"," ",IF('Pricing Inputs'!$AN$8=2,(J338-$H338),IF('Pricing Inputs'!$AN$3=2,IF((J338-$H338)&gt;0,J338-$H338,0),(xSPRDOPT(J338,$E338,$BU338,0,$BP338,$BS338,$BT338,($A338-Inputs!$D$1)+15,1,0)))))</f>
        <v> </v>
      </c>
      <c r="R338" s="280" t="str">
        <f aca="false">IF($A338="N/A"," ",IF('Pricing Inputs'!$AN$8=2,(K338-$H338),IF('Pricing Inputs'!$AN$3=2,IF((K338-$H338)&gt;0,K338-$H338,0),(xSPRDOPT(K338,$E338,$BU338,0,$BP338,$BS338,$BT338,($A338-Inputs!$D$1)+15,1,0)))))</f>
        <v> </v>
      </c>
      <c r="S338" s="280" t="str">
        <f aca="false">IF($A338="N/A"," ",IF('Pricing Inputs'!$AN$8=2,(L338-$H338),IF('Pricing Inputs'!$AN$3=2,IF((L338-$H338)&gt;0,L338-$H338,0),(xSPRDOPT(L338,$E338,$BU338,0,$BP338,$BS338,$BT338,($A338-Inputs!$D$1)+15,1,0)))))</f>
        <v> </v>
      </c>
      <c r="T338" s="280" t="str">
        <f aca="false">IF($A338="N/A"," ",IF('Pricing Inputs'!$AN$8=2,(M338-$H338),IF('Pricing Inputs'!$AN$3=2,IF((M338-$H338)&gt;0,M338-$H338,0),(xSPRDOPT(M338,$E338,$BU338,0,$BP338,$BS338,$BT338,($A338-Inputs!$D$1)+15,1,0)))))</f>
        <v> </v>
      </c>
      <c r="U338" s="280" t="str">
        <f aca="false">IF($A338="N/A"," ",IF('Pricing Inputs'!$AN$8=2,(N338-$H338),IF('Pricing Inputs'!$AN$3=2,IF((N338-$H338)&gt;0,N338-$H338,0),(xSPRDOPT(N338,$E338,$BU338,0,$BP338,$BS338,$BT338,($A338-Inputs!$D$1)+15,1,0)))))</f>
        <v> </v>
      </c>
      <c r="V338" s="281" t="str">
        <f aca="false">IF($A338="N/A"," ",(IF('Pricing Inputs'!$AN$8=2,(O338-$H338),IF((O338-$H338)&lt;=0,0,(O338-$H338)))))</f>
        <v> </v>
      </c>
      <c r="BA338" s="291" t="str">
        <f aca="false">IF($A338="N/A"," ",(IF(MONTH(A338)&gt;=4,IF(MONTH(A338)&lt;=10,Inputs!$F$13,Inputs!$F$14),Inputs!$F$14))*$BW338)</f>
        <v> </v>
      </c>
      <c r="BN338" s="294" t="str">
        <f aca="false">IF(A338="N/A"," ",(VLOOKUP(A338,PowerVolTable,(IF('Pricing Inputs'!$AT$3=2,7,IF('Pricing Inputs'!$AT$3=1,6,8))),FALSE())))</f>
        <v> </v>
      </c>
      <c r="BO338" s="294" t="str">
        <f aca="false">IF(A338="N/A"," ",(VLOOKUP(A338,IntraPowerVol,(IF('Pricing Inputs'!$AT$3=2,3,IF('Pricing Inputs'!$AT$3=1,2,4))),FALSE())*VLOOKUP(MONTH($A338),Inputs!$A$28:$B$39,2)))</f>
        <v> </v>
      </c>
      <c r="BP338" s="295" t="str">
        <f aca="false">IF($A338="N/A"," ",(IF(DateToday&gt;$A338,$BO338,((($BN338^2)*((($A338-1)-DateToday)/((EOMONTH($A338,0)+1)-DateToday-15)))+((($BO338)^2)*((15)/((EOMONTH($A338,0)+1)-DateToday-15))))^0.5)))</f>
        <v> </v>
      </c>
      <c r="BQ338" s="294" t="str">
        <f aca="false">IF($A338="N/A"," ",(VLOOKUP($A338,GasVolTable,(IF('Pricing Inputs'!$AT$3=2,6,IF('Pricing Inputs'!$AT$3=1,7,5))),FALSE())))</f>
        <v> </v>
      </c>
      <c r="BR338" s="294" t="str">
        <f aca="false">IF($A338="N/A"," ",(VLOOKUP($A338,OmicronVol,(IF('Pricing Inputs'!$AT$3=2,3,IF('Pricing Inputs'!$AT$3=1,4,2))),FALSE())))</f>
        <v> </v>
      </c>
      <c r="BS338" s="295" t="str">
        <f aca="false">IF($A338="N/A"," ",IF('Pricing Inputs'!$AN$3=1,(IF(DateToday&gt;$A338,$BR338,((($BQ338^2)*((($A338-1)-DateToday)/((EOMONTH($A338,0)+1)-DateToday-15)))+((($BR338)^2)*((15)/((EOMONTH($A338,0)+1)-DateToday-15))))^0.5)),0.0001))</f>
        <v> </v>
      </c>
      <c r="BT338" s="294" t="str">
        <f aca="false">IF($A338="N/A"," ",IF('Pricing Inputs'!$AN$3=1,(VLOOKUP($A338,CorrelationTable,2,FALSE())),0))</f>
        <v> </v>
      </c>
      <c r="BU338" s="296" t="str">
        <f aca="false">IF($A338="N/A"," ",F338+G338+(D338*(VLOOKUP($A338,'Gas Curves'!$B$17:$P$310,14,FALSE()))))</f>
        <v> </v>
      </c>
      <c r="BV338" s="294" t="str">
        <f aca="false">IF($A338="N/A"," ",IF('Pricing Inputs'!$AW$3=1,0,(VLOOKUP($A338,InterestRatesTable,2))))</f>
        <v> </v>
      </c>
      <c r="BW338" s="297" t="str">
        <f aca="false">IF($A338="N/A"," ",(1+BV338/2)^(-2*((EOMONTH(A338,0)+20)-DateToday)/365.25))</f>
        <v> </v>
      </c>
    </row>
    <row r="339" customFormat="false" ht="12.75" hidden="false" customHeight="false" outlineLevel="0" collapsed="false">
      <c r="A339" s="272" t="str">
        <f aca="false">IF(A338="N/A","N/A",IF(EDATE(A338,1)&gt;Inputs!$K$3,"N/A",EDATE(A338,1)))</f>
        <v>N/A</v>
      </c>
      <c r="B339" s="273" t="str">
        <f aca="false">IF(A339="N/A"," ",YEAR(A339))</f>
        <v> </v>
      </c>
      <c r="C339" s="274" t="str">
        <f aca="false">IF(A339="N/A"," ",VLOOKUP(A339,ScaledPrice,10))</f>
        <v> </v>
      </c>
      <c r="D339" s="275" t="str">
        <f aca="false">IF(A339="N/A"," ",(VLOOKUP(MONTH($A339),Inputs!$A$14:$B$25,2))/1000)</f>
        <v> </v>
      </c>
      <c r="E339" s="276" t="str">
        <f aca="false">IF($A339="N/A"," ",C339*D339)</f>
        <v> </v>
      </c>
      <c r="F339" s="277" t="str">
        <f aca="false">IF(A339="N/A"," ",Inputs!$F$6)</f>
        <v> </v>
      </c>
      <c r="G339" s="277" t="str">
        <f aca="false">IF(A339="N/A"," ",Inputs!$F$9/IF(AND('Pricing Inputs'!$AQ$3&gt;=4,'Pricing Inputs'!$AQ$3&lt;=6),16,IF(AND('Pricing Inputs'!$AQ$3&gt;=7,'Pricing Inputs'!$AQ$3&lt;=9),8,24))/(BA339/BW339))</f>
        <v> </v>
      </c>
      <c r="H339" s="278" t="str">
        <f aca="false">IF(A339="N/A"," ",(C339*D339)+F339+G339)</f>
        <v> </v>
      </c>
      <c r="I339" s="279" t="str">
        <f aca="false">VLOOKUP(A339,ScaledPrice,(IF(AND('Pricing Inputs'!$AQ$3&gt;=1,'Pricing Inputs'!$AQ$3&lt;=6),2,4)))</f>
        <v> </v>
      </c>
      <c r="J339" s="279" t="str">
        <f aca="false">IF(A339="N/A"," ",IF(AND('Pricing Inputs'!$AQ$3&gt;=1,'Pricing Inputs'!$AQ$3&lt;=6),I339,(VLOOKUP(A339,ScaledPrice,2))*(2-(VLOOKUP(A339,ScaledPrice,3)))))</f>
        <v> </v>
      </c>
      <c r="K339" s="279" t="str">
        <f aca="false">IF(A339="N/A"," ",IF(OR('Pricing Inputs'!$AQ$3=2,'Pricing Inputs'!$AQ$3=3,'Pricing Inputs'!$AQ$3=5,'Pricing Inputs'!$AQ$3=6,'Pricing Inputs'!$AQ$3=8,'Pricing Inputs'!$AQ$3=9),VLOOKUP(A339,ScaledPrice,IF(AND('Pricing Inputs'!$AQ$3&gt;=2,'Pricing Inputs'!$AQ$3&lt;=6),5,6)),0))</f>
        <v> </v>
      </c>
      <c r="L339" s="279" t="str">
        <f aca="false">IF(A339="N/A"," ",IF(OR('Pricing Inputs'!$AQ$3=2,'Pricing Inputs'!$AQ$3=3,'Pricing Inputs'!$AQ$3=5,'Pricing Inputs'!$AQ$3=6,'Pricing Inputs'!$AQ$3=8,'Pricing Inputs'!$AQ$3=9),IF(AND('Pricing Inputs'!$AQ$3&gt;=2,'Pricing Inputs'!$AQ$3&lt;=6),K339,(VLOOKUP(A339,ScaledPrice,5))*(2-(VLOOKUP(A339,ScaledPrice,3)))),0))</f>
        <v> </v>
      </c>
      <c r="M339" s="279" t="str">
        <f aca="false">IF(A339="N/A"," ",IF(OR('Pricing Inputs'!$AQ$3=3,'Pricing Inputs'!$AQ$3=6,'Pricing Inputs'!$AQ$3=9),(VLOOKUP(A339,ScaledPrice,IF(AND('Pricing Inputs'!$AQ$3&gt;=3,'Pricing Inputs'!$AQ$3&lt;=6),7,8))),0))</f>
        <v> </v>
      </c>
      <c r="N339" s="279" t="str">
        <f aca="false">IF(A339="N/A"," ",IF(OR('Pricing Inputs'!$AQ$3=3,'Pricing Inputs'!$AQ$3=6,'Pricing Inputs'!$AQ$3=9),IF(AND('Pricing Inputs'!$AQ$3&gt;=3,'Pricing Inputs'!$AQ$3&lt;=6),M339,(VLOOKUP(A339,ScaledPrice,7))*(2-(VLOOKUP(A339,ScaledPrice,3)))),0))</f>
        <v> </v>
      </c>
      <c r="O339" s="279" t="str">
        <f aca="false">IF(A339="N/A"," ",IF(AND('Pricing Inputs'!$AQ$3&gt;=1,'Pricing Inputs'!$AQ$3&lt;=3),VLOOKUP(A339,ScaledPrice,9),0))</f>
        <v> </v>
      </c>
      <c r="P339" s="280" t="str">
        <f aca="false">IF($A339="N/A"," ",IF('Pricing Inputs'!$AN$8=2,(I339-H339),IF('Pricing Inputs'!$AN$3=2,IF((I339-$H339)&gt;0,I339-$H339,0),(xSPRDOPT(I339,$E339,$BU339,0,$BP339,$BS339,$BT339,($A339-Inputs!$D$1)+15,1,0)))))</f>
        <v> </v>
      </c>
      <c r="Q339" s="280" t="str">
        <f aca="false">IF($A339="N/A"," ",IF('Pricing Inputs'!$AN$8=2,(J339-$H339),IF('Pricing Inputs'!$AN$3=2,IF((J339-$H339)&gt;0,J339-$H339,0),(xSPRDOPT(J339,$E339,$BU339,0,$BP339,$BS339,$BT339,($A339-Inputs!$D$1)+15,1,0)))))</f>
        <v> </v>
      </c>
      <c r="R339" s="280" t="str">
        <f aca="false">IF($A339="N/A"," ",IF('Pricing Inputs'!$AN$8=2,(K339-$H339),IF('Pricing Inputs'!$AN$3=2,IF((K339-$H339)&gt;0,K339-$H339,0),(xSPRDOPT(K339,$E339,$BU339,0,$BP339,$BS339,$BT339,($A339-Inputs!$D$1)+15,1,0)))))</f>
        <v> </v>
      </c>
      <c r="S339" s="280" t="str">
        <f aca="false">IF($A339="N/A"," ",IF('Pricing Inputs'!$AN$8=2,(L339-$H339),IF('Pricing Inputs'!$AN$3=2,IF((L339-$H339)&gt;0,L339-$H339,0),(xSPRDOPT(L339,$E339,$BU339,0,$BP339,$BS339,$BT339,($A339-Inputs!$D$1)+15,1,0)))))</f>
        <v> </v>
      </c>
      <c r="T339" s="280" t="str">
        <f aca="false">IF($A339="N/A"," ",IF('Pricing Inputs'!$AN$8=2,(M339-$H339),IF('Pricing Inputs'!$AN$3=2,IF((M339-$H339)&gt;0,M339-$H339,0),(xSPRDOPT(M339,$E339,$BU339,0,$BP339,$BS339,$BT339,($A339-Inputs!$D$1)+15,1,0)))))</f>
        <v> </v>
      </c>
      <c r="U339" s="280" t="str">
        <f aca="false">IF($A339="N/A"," ",IF('Pricing Inputs'!$AN$8=2,(N339-$H339),IF('Pricing Inputs'!$AN$3=2,IF((N339-$H339)&gt;0,N339-$H339,0),(xSPRDOPT(N339,$E339,$BU339,0,$BP339,$BS339,$BT339,($A339-Inputs!$D$1)+15,1,0)))))</f>
        <v> </v>
      </c>
      <c r="V339" s="281" t="str">
        <f aca="false">IF($A339="N/A"," ",(IF('Pricing Inputs'!$AN$8=2,(O339-$H339),IF((O339-$H339)&lt;=0,0,(O339-$H339)))))</f>
        <v> </v>
      </c>
      <c r="BA339" s="291" t="str">
        <f aca="false">IF($A339="N/A"," ",(IF(MONTH(A339)&gt;=4,IF(MONTH(A339)&lt;=10,Inputs!$F$13,Inputs!$F$14),Inputs!$F$14))*$BW339)</f>
        <v> </v>
      </c>
      <c r="BN339" s="294" t="str">
        <f aca="false">IF(A339="N/A"," ",(VLOOKUP(A339,PowerVolTable,(IF('Pricing Inputs'!$AT$3=2,7,IF('Pricing Inputs'!$AT$3=1,6,8))),FALSE())))</f>
        <v> </v>
      </c>
      <c r="BO339" s="294" t="str">
        <f aca="false">IF(A339="N/A"," ",(VLOOKUP(A339,IntraPowerVol,(IF('Pricing Inputs'!$AT$3=2,3,IF('Pricing Inputs'!$AT$3=1,2,4))),FALSE())*VLOOKUP(MONTH($A339),Inputs!$A$28:$B$39,2)))</f>
        <v> </v>
      </c>
      <c r="BP339" s="295" t="str">
        <f aca="false">IF($A339="N/A"," ",(IF(DateToday&gt;$A339,$BO339,((($BN339^2)*((($A339-1)-DateToday)/((EOMONTH($A339,0)+1)-DateToday-15)))+((($BO339)^2)*((15)/((EOMONTH($A339,0)+1)-DateToday-15))))^0.5)))</f>
        <v> </v>
      </c>
      <c r="BQ339" s="294" t="str">
        <f aca="false">IF($A339="N/A"," ",(VLOOKUP($A339,GasVolTable,(IF('Pricing Inputs'!$AT$3=2,6,IF('Pricing Inputs'!$AT$3=1,7,5))),FALSE())))</f>
        <v> </v>
      </c>
      <c r="BR339" s="294" t="str">
        <f aca="false">IF($A339="N/A"," ",(VLOOKUP($A339,OmicronVol,(IF('Pricing Inputs'!$AT$3=2,3,IF('Pricing Inputs'!$AT$3=1,4,2))),FALSE())))</f>
        <v> </v>
      </c>
      <c r="BS339" s="295" t="str">
        <f aca="false">IF($A339="N/A"," ",IF('Pricing Inputs'!$AN$3=1,(IF(DateToday&gt;$A339,$BR339,((($BQ339^2)*((($A339-1)-DateToday)/((EOMONTH($A339,0)+1)-DateToday-15)))+((($BR339)^2)*((15)/((EOMONTH($A339,0)+1)-DateToday-15))))^0.5)),0.0001))</f>
        <v> </v>
      </c>
      <c r="BT339" s="294" t="str">
        <f aca="false">IF($A339="N/A"," ",IF('Pricing Inputs'!$AN$3=1,(VLOOKUP($A339,CorrelationTable,2,FALSE())),0))</f>
        <v> </v>
      </c>
      <c r="BU339" s="296" t="str">
        <f aca="false">IF($A339="N/A"," ",F339+G339+(D339*(VLOOKUP($A339,'Gas Curves'!$B$17:$P$310,14,FALSE()))))</f>
        <v> </v>
      </c>
      <c r="BV339" s="294" t="str">
        <f aca="false">IF($A339="N/A"," ",IF('Pricing Inputs'!$AW$3=1,0,(VLOOKUP($A339,InterestRatesTable,2))))</f>
        <v> </v>
      </c>
      <c r="BW339" s="297" t="str">
        <f aca="false">IF($A339="N/A"," ",(1+BV339/2)^(-2*((EOMONTH(A339,0)+20)-DateToday)/365.25))</f>
        <v> </v>
      </c>
    </row>
    <row r="340" customFormat="false" ht="12.75" hidden="false" customHeight="false" outlineLevel="0" collapsed="false">
      <c r="A340" s="272" t="str">
        <f aca="false">IF(A339="N/A","N/A",IF(EDATE(A339,1)&gt;Inputs!$K$3,"N/A",EDATE(A339,1)))</f>
        <v>N/A</v>
      </c>
      <c r="B340" s="273" t="str">
        <f aca="false">IF(A340="N/A"," ",YEAR(A340))</f>
        <v> </v>
      </c>
      <c r="C340" s="274" t="str">
        <f aca="false">IF(A340="N/A"," ",VLOOKUP(A340,ScaledPrice,10))</f>
        <v> </v>
      </c>
      <c r="D340" s="275" t="str">
        <f aca="false">IF(A340="N/A"," ",(VLOOKUP(MONTH($A340),Inputs!$A$14:$B$25,2))/1000)</f>
        <v> </v>
      </c>
      <c r="E340" s="276" t="str">
        <f aca="false">IF($A340="N/A"," ",C340*D340)</f>
        <v> </v>
      </c>
      <c r="F340" s="277" t="str">
        <f aca="false">IF(A340="N/A"," ",Inputs!$F$6)</f>
        <v> </v>
      </c>
      <c r="G340" s="277" t="str">
        <f aca="false">IF(A340="N/A"," ",Inputs!$F$9/IF(AND('Pricing Inputs'!$AQ$3&gt;=4,'Pricing Inputs'!$AQ$3&lt;=6),16,IF(AND('Pricing Inputs'!$AQ$3&gt;=7,'Pricing Inputs'!$AQ$3&lt;=9),8,24))/(BA340/BW340))</f>
        <v> </v>
      </c>
      <c r="H340" s="278" t="str">
        <f aca="false">IF(A340="N/A"," ",(C340*D340)+F340+G340)</f>
        <v> </v>
      </c>
      <c r="I340" s="279" t="str">
        <f aca="false">VLOOKUP(A340,ScaledPrice,(IF(AND('Pricing Inputs'!$AQ$3&gt;=1,'Pricing Inputs'!$AQ$3&lt;=6),2,4)))</f>
        <v> </v>
      </c>
      <c r="J340" s="279" t="str">
        <f aca="false">IF(A340="N/A"," ",IF(AND('Pricing Inputs'!$AQ$3&gt;=1,'Pricing Inputs'!$AQ$3&lt;=6),I340,(VLOOKUP(A340,ScaledPrice,2))*(2-(VLOOKUP(A340,ScaledPrice,3)))))</f>
        <v> </v>
      </c>
      <c r="K340" s="279" t="str">
        <f aca="false">IF(A340="N/A"," ",IF(OR('Pricing Inputs'!$AQ$3=2,'Pricing Inputs'!$AQ$3=3,'Pricing Inputs'!$AQ$3=5,'Pricing Inputs'!$AQ$3=6,'Pricing Inputs'!$AQ$3=8,'Pricing Inputs'!$AQ$3=9),VLOOKUP(A340,ScaledPrice,IF(AND('Pricing Inputs'!$AQ$3&gt;=2,'Pricing Inputs'!$AQ$3&lt;=6),5,6)),0))</f>
        <v> </v>
      </c>
      <c r="L340" s="279" t="str">
        <f aca="false">IF(A340="N/A"," ",IF(OR('Pricing Inputs'!$AQ$3=2,'Pricing Inputs'!$AQ$3=3,'Pricing Inputs'!$AQ$3=5,'Pricing Inputs'!$AQ$3=6,'Pricing Inputs'!$AQ$3=8,'Pricing Inputs'!$AQ$3=9),IF(AND('Pricing Inputs'!$AQ$3&gt;=2,'Pricing Inputs'!$AQ$3&lt;=6),K340,(VLOOKUP(A340,ScaledPrice,5))*(2-(VLOOKUP(A340,ScaledPrice,3)))),0))</f>
        <v> </v>
      </c>
      <c r="M340" s="279" t="str">
        <f aca="false">IF(A340="N/A"," ",IF(OR('Pricing Inputs'!$AQ$3=3,'Pricing Inputs'!$AQ$3=6,'Pricing Inputs'!$AQ$3=9),(VLOOKUP(A340,ScaledPrice,IF(AND('Pricing Inputs'!$AQ$3&gt;=3,'Pricing Inputs'!$AQ$3&lt;=6),7,8))),0))</f>
        <v> </v>
      </c>
      <c r="N340" s="279" t="str">
        <f aca="false">IF(A340="N/A"," ",IF(OR('Pricing Inputs'!$AQ$3=3,'Pricing Inputs'!$AQ$3=6,'Pricing Inputs'!$AQ$3=9),IF(AND('Pricing Inputs'!$AQ$3&gt;=3,'Pricing Inputs'!$AQ$3&lt;=6),M340,(VLOOKUP(A340,ScaledPrice,7))*(2-(VLOOKUP(A340,ScaledPrice,3)))),0))</f>
        <v> </v>
      </c>
      <c r="O340" s="279" t="str">
        <f aca="false">IF(A340="N/A"," ",IF(AND('Pricing Inputs'!$AQ$3&gt;=1,'Pricing Inputs'!$AQ$3&lt;=3),VLOOKUP(A340,ScaledPrice,9),0))</f>
        <v> </v>
      </c>
      <c r="P340" s="280" t="str">
        <f aca="false">IF($A340="N/A"," ",IF('Pricing Inputs'!$AN$8=2,(I340-H340),IF('Pricing Inputs'!$AN$3=2,IF((I340-$H340)&gt;0,I340-$H340,0),(xSPRDOPT(I340,$E340,$BU340,0,$BP340,$BS340,$BT340,($A340-Inputs!$D$1)+15,1,0)))))</f>
        <v> </v>
      </c>
      <c r="Q340" s="280" t="str">
        <f aca="false">IF($A340="N/A"," ",IF('Pricing Inputs'!$AN$8=2,(J340-$H340),IF('Pricing Inputs'!$AN$3=2,IF((J340-$H340)&gt;0,J340-$H340,0),(xSPRDOPT(J340,$E340,$BU340,0,$BP340,$BS340,$BT340,($A340-Inputs!$D$1)+15,1,0)))))</f>
        <v> </v>
      </c>
      <c r="R340" s="280" t="str">
        <f aca="false">IF($A340="N/A"," ",IF('Pricing Inputs'!$AN$8=2,(K340-$H340),IF('Pricing Inputs'!$AN$3=2,IF((K340-$H340)&gt;0,K340-$H340,0),(xSPRDOPT(K340,$E340,$BU340,0,$BP340,$BS340,$BT340,($A340-Inputs!$D$1)+15,1,0)))))</f>
        <v> </v>
      </c>
      <c r="S340" s="280" t="str">
        <f aca="false">IF($A340="N/A"," ",IF('Pricing Inputs'!$AN$8=2,(L340-$H340),IF('Pricing Inputs'!$AN$3=2,IF((L340-$H340)&gt;0,L340-$H340,0),(xSPRDOPT(L340,$E340,$BU340,0,$BP340,$BS340,$BT340,($A340-Inputs!$D$1)+15,1,0)))))</f>
        <v> </v>
      </c>
      <c r="T340" s="280" t="str">
        <f aca="false">IF($A340="N/A"," ",IF('Pricing Inputs'!$AN$8=2,(M340-$H340),IF('Pricing Inputs'!$AN$3=2,IF((M340-$H340)&gt;0,M340-$H340,0),(xSPRDOPT(M340,$E340,$BU340,0,$BP340,$BS340,$BT340,($A340-Inputs!$D$1)+15,1,0)))))</f>
        <v> </v>
      </c>
      <c r="U340" s="280" t="str">
        <f aca="false">IF($A340="N/A"," ",IF('Pricing Inputs'!$AN$8=2,(N340-$H340),IF('Pricing Inputs'!$AN$3=2,IF((N340-$H340)&gt;0,N340-$H340,0),(xSPRDOPT(N340,$E340,$BU340,0,$BP340,$BS340,$BT340,($A340-Inputs!$D$1)+15,1,0)))))</f>
        <v> </v>
      </c>
      <c r="V340" s="281" t="str">
        <f aca="false">IF($A340="N/A"," ",(IF('Pricing Inputs'!$AN$8=2,(O340-$H340),IF((O340-$H340)&lt;=0,0,(O340-$H340)))))</f>
        <v> </v>
      </c>
      <c r="BA340" s="291" t="str">
        <f aca="false">IF($A340="N/A"," ",(IF(MONTH(A340)&gt;=4,IF(MONTH(A340)&lt;=10,Inputs!$F$13,Inputs!$F$14),Inputs!$F$14))*$BW340)</f>
        <v> </v>
      </c>
      <c r="BN340" s="294" t="str">
        <f aca="false">IF(A340="N/A"," ",(VLOOKUP(A340,PowerVolTable,(IF('Pricing Inputs'!$AT$3=2,7,IF('Pricing Inputs'!$AT$3=1,6,8))),FALSE())))</f>
        <v> </v>
      </c>
      <c r="BO340" s="294" t="str">
        <f aca="false">IF(A340="N/A"," ",(VLOOKUP(A340,IntraPowerVol,(IF('Pricing Inputs'!$AT$3=2,3,IF('Pricing Inputs'!$AT$3=1,2,4))),FALSE())*VLOOKUP(MONTH($A340),Inputs!$A$28:$B$39,2)))</f>
        <v> </v>
      </c>
      <c r="BP340" s="295" t="str">
        <f aca="false">IF($A340="N/A"," ",(IF(DateToday&gt;$A340,$BO340,((($BN340^2)*((($A340-1)-DateToday)/((EOMONTH($A340,0)+1)-DateToday-15)))+((($BO340)^2)*((15)/((EOMONTH($A340,0)+1)-DateToday-15))))^0.5)))</f>
        <v> </v>
      </c>
      <c r="BQ340" s="294" t="str">
        <f aca="false">IF($A340="N/A"," ",(VLOOKUP($A340,GasVolTable,(IF('Pricing Inputs'!$AT$3=2,6,IF('Pricing Inputs'!$AT$3=1,7,5))),FALSE())))</f>
        <v> </v>
      </c>
      <c r="BR340" s="294" t="str">
        <f aca="false">IF($A340="N/A"," ",(VLOOKUP($A340,OmicronVol,(IF('Pricing Inputs'!$AT$3=2,3,IF('Pricing Inputs'!$AT$3=1,4,2))),FALSE())))</f>
        <v> </v>
      </c>
      <c r="BS340" s="295" t="str">
        <f aca="false">IF($A340="N/A"," ",IF('Pricing Inputs'!$AN$3=1,(IF(DateToday&gt;$A340,$BR340,((($BQ340^2)*((($A340-1)-DateToday)/((EOMONTH($A340,0)+1)-DateToday-15)))+((($BR340)^2)*((15)/((EOMONTH($A340,0)+1)-DateToday-15))))^0.5)),0.0001))</f>
        <v> </v>
      </c>
      <c r="BT340" s="294" t="str">
        <f aca="false">IF($A340="N/A"," ",IF('Pricing Inputs'!$AN$3=1,(VLOOKUP($A340,CorrelationTable,2,FALSE())),0))</f>
        <v> </v>
      </c>
      <c r="BU340" s="296" t="str">
        <f aca="false">IF($A340="N/A"," ",F340+G340+(D340*(VLOOKUP($A340,'Gas Curves'!$B$17:$P$310,14,FALSE()))))</f>
        <v> </v>
      </c>
      <c r="BV340" s="294" t="str">
        <f aca="false">IF($A340="N/A"," ",IF('Pricing Inputs'!$AW$3=1,0,(VLOOKUP($A340,InterestRatesTable,2))))</f>
        <v> </v>
      </c>
      <c r="BW340" s="297" t="str">
        <f aca="false">IF($A340="N/A"," ",(1+BV340/2)^(-2*((EOMONTH(A340,0)+20)-DateToday)/365.25))</f>
        <v> </v>
      </c>
    </row>
    <row r="341" customFormat="false" ht="12.75" hidden="false" customHeight="false" outlineLevel="0" collapsed="false">
      <c r="A341" s="272" t="str">
        <f aca="false">IF(A340="N/A","N/A",IF(EDATE(A340,1)&gt;Inputs!$K$3,"N/A",EDATE(A340,1)))</f>
        <v>N/A</v>
      </c>
      <c r="B341" s="273" t="str">
        <f aca="false">IF(A341="N/A"," ",YEAR(A341))</f>
        <v> </v>
      </c>
      <c r="C341" s="274" t="str">
        <f aca="false">IF(A341="N/A"," ",VLOOKUP(A341,ScaledPrice,10))</f>
        <v> </v>
      </c>
      <c r="D341" s="275" t="str">
        <f aca="false">IF(A341="N/A"," ",(VLOOKUP(MONTH($A341),Inputs!$A$14:$B$25,2))/1000)</f>
        <v> </v>
      </c>
      <c r="E341" s="276" t="str">
        <f aca="false">IF($A341="N/A"," ",C341*D341)</f>
        <v> </v>
      </c>
      <c r="F341" s="277" t="str">
        <f aca="false">IF(A341="N/A"," ",Inputs!$F$6)</f>
        <v> </v>
      </c>
      <c r="G341" s="277" t="str">
        <f aca="false">IF(A341="N/A"," ",Inputs!$F$9/IF(AND('Pricing Inputs'!$AQ$3&gt;=4,'Pricing Inputs'!$AQ$3&lt;=6),16,IF(AND('Pricing Inputs'!$AQ$3&gt;=7,'Pricing Inputs'!$AQ$3&lt;=9),8,24))/(BA341/BW341))</f>
        <v> </v>
      </c>
      <c r="H341" s="278" t="str">
        <f aca="false">IF(A341="N/A"," ",(C341*D341)+F341+G341)</f>
        <v> </v>
      </c>
      <c r="I341" s="279" t="str">
        <f aca="false">VLOOKUP(A341,ScaledPrice,(IF(AND('Pricing Inputs'!$AQ$3&gt;=1,'Pricing Inputs'!$AQ$3&lt;=6),2,4)))</f>
        <v> </v>
      </c>
      <c r="J341" s="279" t="str">
        <f aca="false">IF(A341="N/A"," ",IF(AND('Pricing Inputs'!$AQ$3&gt;=1,'Pricing Inputs'!$AQ$3&lt;=6),I341,(VLOOKUP(A341,ScaledPrice,2))*(2-(VLOOKUP(A341,ScaledPrice,3)))))</f>
        <v> </v>
      </c>
      <c r="K341" s="279" t="str">
        <f aca="false">IF(A341="N/A"," ",IF(OR('Pricing Inputs'!$AQ$3=2,'Pricing Inputs'!$AQ$3=3,'Pricing Inputs'!$AQ$3=5,'Pricing Inputs'!$AQ$3=6,'Pricing Inputs'!$AQ$3=8,'Pricing Inputs'!$AQ$3=9),VLOOKUP(A341,ScaledPrice,IF(AND('Pricing Inputs'!$AQ$3&gt;=2,'Pricing Inputs'!$AQ$3&lt;=6),5,6)),0))</f>
        <v> </v>
      </c>
      <c r="L341" s="279" t="str">
        <f aca="false">IF(A341="N/A"," ",IF(OR('Pricing Inputs'!$AQ$3=2,'Pricing Inputs'!$AQ$3=3,'Pricing Inputs'!$AQ$3=5,'Pricing Inputs'!$AQ$3=6,'Pricing Inputs'!$AQ$3=8,'Pricing Inputs'!$AQ$3=9),IF(AND('Pricing Inputs'!$AQ$3&gt;=2,'Pricing Inputs'!$AQ$3&lt;=6),K341,(VLOOKUP(A341,ScaledPrice,5))*(2-(VLOOKUP(A341,ScaledPrice,3)))),0))</f>
        <v> </v>
      </c>
      <c r="M341" s="279" t="str">
        <f aca="false">IF(A341="N/A"," ",IF(OR('Pricing Inputs'!$AQ$3=3,'Pricing Inputs'!$AQ$3=6,'Pricing Inputs'!$AQ$3=9),(VLOOKUP(A341,ScaledPrice,IF(AND('Pricing Inputs'!$AQ$3&gt;=3,'Pricing Inputs'!$AQ$3&lt;=6),7,8))),0))</f>
        <v> </v>
      </c>
      <c r="N341" s="279" t="str">
        <f aca="false">IF(A341="N/A"," ",IF(OR('Pricing Inputs'!$AQ$3=3,'Pricing Inputs'!$AQ$3=6,'Pricing Inputs'!$AQ$3=9),IF(AND('Pricing Inputs'!$AQ$3&gt;=3,'Pricing Inputs'!$AQ$3&lt;=6),M341,(VLOOKUP(A341,ScaledPrice,7))*(2-(VLOOKUP(A341,ScaledPrice,3)))),0))</f>
        <v> </v>
      </c>
      <c r="O341" s="279" t="str">
        <f aca="false">IF(A341="N/A"," ",IF(AND('Pricing Inputs'!$AQ$3&gt;=1,'Pricing Inputs'!$AQ$3&lt;=3),VLOOKUP(A341,ScaledPrice,9),0))</f>
        <v> </v>
      </c>
      <c r="P341" s="280" t="str">
        <f aca="false">IF($A341="N/A"," ",IF('Pricing Inputs'!$AN$8=2,(I341-H341),IF('Pricing Inputs'!$AN$3=2,IF((I341-$H341)&gt;0,I341-$H341,0),(xSPRDOPT(I341,$E341,$BU341,0,$BP341,$BS341,$BT341,($A341-Inputs!$D$1)+15,1,0)))))</f>
        <v> </v>
      </c>
      <c r="Q341" s="280" t="str">
        <f aca="false">IF($A341="N/A"," ",IF('Pricing Inputs'!$AN$8=2,(J341-$H341),IF('Pricing Inputs'!$AN$3=2,IF((J341-$H341)&gt;0,J341-$H341,0),(xSPRDOPT(J341,$E341,$BU341,0,$BP341,$BS341,$BT341,($A341-Inputs!$D$1)+15,1,0)))))</f>
        <v> </v>
      </c>
      <c r="R341" s="280" t="str">
        <f aca="false">IF($A341="N/A"," ",IF('Pricing Inputs'!$AN$8=2,(K341-$H341),IF('Pricing Inputs'!$AN$3=2,IF((K341-$H341)&gt;0,K341-$H341,0),(xSPRDOPT(K341,$E341,$BU341,0,$BP341,$BS341,$BT341,($A341-Inputs!$D$1)+15,1,0)))))</f>
        <v> </v>
      </c>
      <c r="S341" s="280" t="str">
        <f aca="false">IF($A341="N/A"," ",IF('Pricing Inputs'!$AN$8=2,(L341-$H341),IF('Pricing Inputs'!$AN$3=2,IF((L341-$H341)&gt;0,L341-$H341,0),(xSPRDOPT(L341,$E341,$BU341,0,$BP341,$BS341,$BT341,($A341-Inputs!$D$1)+15,1,0)))))</f>
        <v> </v>
      </c>
      <c r="T341" s="280" t="str">
        <f aca="false">IF($A341="N/A"," ",IF('Pricing Inputs'!$AN$8=2,(M341-$H341),IF('Pricing Inputs'!$AN$3=2,IF((M341-$H341)&gt;0,M341-$H341,0),(xSPRDOPT(M341,$E341,$BU341,0,$BP341,$BS341,$BT341,($A341-Inputs!$D$1)+15,1,0)))))</f>
        <v> </v>
      </c>
      <c r="U341" s="280" t="str">
        <f aca="false">IF($A341="N/A"," ",IF('Pricing Inputs'!$AN$8=2,(N341-$H341),IF('Pricing Inputs'!$AN$3=2,IF((N341-$H341)&gt;0,N341-$H341,0),(xSPRDOPT(N341,$E341,$BU341,0,$BP341,$BS341,$BT341,($A341-Inputs!$D$1)+15,1,0)))))</f>
        <v> </v>
      </c>
      <c r="V341" s="281" t="str">
        <f aca="false">IF($A341="N/A"," ",(IF('Pricing Inputs'!$AN$8=2,(O341-$H341),IF((O341-$H341)&lt;=0,0,(O341-$H341)))))</f>
        <v> </v>
      </c>
      <c r="BA341" s="291" t="str">
        <f aca="false">IF($A341="N/A"," ",(IF(MONTH(A341)&gt;=4,IF(MONTH(A341)&lt;=10,Inputs!$F$13,Inputs!$F$14),Inputs!$F$14))*$BW341)</f>
        <v> </v>
      </c>
      <c r="BN341" s="294" t="str">
        <f aca="false">IF(A341="N/A"," ",(VLOOKUP(A341,PowerVolTable,(IF('Pricing Inputs'!$AT$3=2,7,IF('Pricing Inputs'!$AT$3=1,6,8))),FALSE())))</f>
        <v> </v>
      </c>
      <c r="BO341" s="294" t="str">
        <f aca="false">IF(A341="N/A"," ",(VLOOKUP(A341,IntraPowerVol,(IF('Pricing Inputs'!$AT$3=2,3,IF('Pricing Inputs'!$AT$3=1,2,4))),FALSE())*VLOOKUP(MONTH($A341),Inputs!$A$28:$B$39,2)))</f>
        <v> </v>
      </c>
      <c r="BP341" s="295" t="str">
        <f aca="false">IF($A341="N/A"," ",(IF(DateToday&gt;$A341,$BO341,((($BN341^2)*((($A341-1)-DateToday)/((EOMONTH($A341,0)+1)-DateToday-15)))+((($BO341)^2)*((15)/((EOMONTH($A341,0)+1)-DateToday-15))))^0.5)))</f>
        <v> </v>
      </c>
      <c r="BQ341" s="294" t="str">
        <f aca="false">IF($A341="N/A"," ",(VLOOKUP($A341,GasVolTable,(IF('Pricing Inputs'!$AT$3=2,6,IF('Pricing Inputs'!$AT$3=1,7,5))),FALSE())))</f>
        <v> </v>
      </c>
      <c r="BR341" s="294" t="str">
        <f aca="false">IF($A341="N/A"," ",(VLOOKUP($A341,OmicronVol,(IF('Pricing Inputs'!$AT$3=2,3,IF('Pricing Inputs'!$AT$3=1,4,2))),FALSE())))</f>
        <v> </v>
      </c>
      <c r="BS341" s="295" t="str">
        <f aca="false">IF($A341="N/A"," ",IF('Pricing Inputs'!$AN$3=1,(IF(DateToday&gt;$A341,$BR341,((($BQ341^2)*((($A341-1)-DateToday)/((EOMONTH($A341,0)+1)-DateToday-15)))+((($BR341)^2)*((15)/((EOMONTH($A341,0)+1)-DateToday-15))))^0.5)),0.0001))</f>
        <v> </v>
      </c>
      <c r="BT341" s="294" t="str">
        <f aca="false">IF($A341="N/A"," ",IF('Pricing Inputs'!$AN$3=1,(VLOOKUP($A341,CorrelationTable,2,FALSE())),0))</f>
        <v> </v>
      </c>
      <c r="BU341" s="296" t="str">
        <f aca="false">IF($A341="N/A"," ",F341+G341+(D341*(VLOOKUP($A341,'Gas Curves'!$B$17:$P$310,14,FALSE()))))</f>
        <v> </v>
      </c>
      <c r="BV341" s="294" t="str">
        <f aca="false">IF($A341="N/A"," ",IF('Pricing Inputs'!$AW$3=1,0,(VLOOKUP($A341,InterestRatesTable,2))))</f>
        <v> </v>
      </c>
      <c r="BW341" s="297" t="str">
        <f aca="false">IF($A341="N/A"," ",(1+BV341/2)^(-2*((EOMONTH(A341,0)+20)-DateToday)/365.25))</f>
        <v> </v>
      </c>
    </row>
    <row r="342" customFormat="false" ht="12.75" hidden="false" customHeight="false" outlineLevel="0" collapsed="false">
      <c r="A342" s="272" t="str">
        <f aca="false">IF(A341="N/A","N/A",IF(EDATE(A341,1)&gt;Inputs!$K$3,"N/A",EDATE(A341,1)))</f>
        <v>N/A</v>
      </c>
      <c r="B342" s="273" t="str">
        <f aca="false">IF(A342="N/A"," ",YEAR(A342))</f>
        <v> </v>
      </c>
      <c r="C342" s="274" t="str">
        <f aca="false">IF(A342="N/A"," ",VLOOKUP(A342,ScaledPrice,10))</f>
        <v> </v>
      </c>
      <c r="D342" s="275" t="str">
        <f aca="false">IF(A342="N/A"," ",(VLOOKUP(MONTH($A342),Inputs!$A$14:$B$25,2))/1000)</f>
        <v> </v>
      </c>
      <c r="E342" s="276" t="str">
        <f aca="false">IF($A342="N/A"," ",C342*D342)</f>
        <v> </v>
      </c>
      <c r="F342" s="277" t="str">
        <f aca="false">IF(A342="N/A"," ",Inputs!$F$6)</f>
        <v> </v>
      </c>
      <c r="G342" s="277" t="str">
        <f aca="false">IF(A342="N/A"," ",Inputs!$F$9/IF(AND('Pricing Inputs'!$AQ$3&gt;=4,'Pricing Inputs'!$AQ$3&lt;=6),16,IF(AND('Pricing Inputs'!$AQ$3&gt;=7,'Pricing Inputs'!$AQ$3&lt;=9),8,24))/(BA342/BW342))</f>
        <v> </v>
      </c>
      <c r="H342" s="278" t="str">
        <f aca="false">IF(A342="N/A"," ",(C342*D342)+F342+G342)</f>
        <v> </v>
      </c>
      <c r="I342" s="279" t="str">
        <f aca="false">VLOOKUP(A342,ScaledPrice,(IF(AND('Pricing Inputs'!$AQ$3&gt;=1,'Pricing Inputs'!$AQ$3&lt;=6),2,4)))</f>
        <v> </v>
      </c>
      <c r="J342" s="279" t="str">
        <f aca="false">IF(A342="N/A"," ",IF(AND('Pricing Inputs'!$AQ$3&gt;=1,'Pricing Inputs'!$AQ$3&lt;=6),I342,(VLOOKUP(A342,ScaledPrice,2))*(2-(VLOOKUP(A342,ScaledPrice,3)))))</f>
        <v> </v>
      </c>
      <c r="K342" s="279" t="str">
        <f aca="false">IF(A342="N/A"," ",IF(OR('Pricing Inputs'!$AQ$3=2,'Pricing Inputs'!$AQ$3=3,'Pricing Inputs'!$AQ$3=5,'Pricing Inputs'!$AQ$3=6,'Pricing Inputs'!$AQ$3=8,'Pricing Inputs'!$AQ$3=9),VLOOKUP(A342,ScaledPrice,IF(AND('Pricing Inputs'!$AQ$3&gt;=2,'Pricing Inputs'!$AQ$3&lt;=6),5,6)),0))</f>
        <v> </v>
      </c>
      <c r="L342" s="279" t="str">
        <f aca="false">IF(A342="N/A"," ",IF(OR('Pricing Inputs'!$AQ$3=2,'Pricing Inputs'!$AQ$3=3,'Pricing Inputs'!$AQ$3=5,'Pricing Inputs'!$AQ$3=6,'Pricing Inputs'!$AQ$3=8,'Pricing Inputs'!$AQ$3=9),IF(AND('Pricing Inputs'!$AQ$3&gt;=2,'Pricing Inputs'!$AQ$3&lt;=6),K342,(VLOOKUP(A342,ScaledPrice,5))*(2-(VLOOKUP(A342,ScaledPrice,3)))),0))</f>
        <v> </v>
      </c>
      <c r="M342" s="279" t="str">
        <f aca="false">IF(A342="N/A"," ",IF(OR('Pricing Inputs'!$AQ$3=3,'Pricing Inputs'!$AQ$3=6,'Pricing Inputs'!$AQ$3=9),(VLOOKUP(A342,ScaledPrice,IF(AND('Pricing Inputs'!$AQ$3&gt;=3,'Pricing Inputs'!$AQ$3&lt;=6),7,8))),0))</f>
        <v> </v>
      </c>
      <c r="N342" s="279" t="str">
        <f aca="false">IF(A342="N/A"," ",IF(OR('Pricing Inputs'!$AQ$3=3,'Pricing Inputs'!$AQ$3=6,'Pricing Inputs'!$AQ$3=9),IF(AND('Pricing Inputs'!$AQ$3&gt;=3,'Pricing Inputs'!$AQ$3&lt;=6),M342,(VLOOKUP(A342,ScaledPrice,7))*(2-(VLOOKUP(A342,ScaledPrice,3)))),0))</f>
        <v> </v>
      </c>
      <c r="O342" s="279" t="str">
        <f aca="false">IF(A342="N/A"," ",IF(AND('Pricing Inputs'!$AQ$3&gt;=1,'Pricing Inputs'!$AQ$3&lt;=3),VLOOKUP(A342,ScaledPrice,9),0))</f>
        <v> </v>
      </c>
      <c r="P342" s="280" t="str">
        <f aca="false">IF($A342="N/A"," ",IF('Pricing Inputs'!$AN$8=2,(I342-H342),IF('Pricing Inputs'!$AN$3=2,IF((I342-$H342)&gt;0,I342-$H342,0),(xSPRDOPT(I342,$E342,$BU342,0,$BP342,$BS342,$BT342,($A342-Inputs!$D$1)+15,1,0)))))</f>
        <v> </v>
      </c>
      <c r="Q342" s="280" t="str">
        <f aca="false">IF($A342="N/A"," ",IF('Pricing Inputs'!$AN$8=2,(J342-$H342),IF('Pricing Inputs'!$AN$3=2,IF((J342-$H342)&gt;0,J342-$H342,0),(xSPRDOPT(J342,$E342,$BU342,0,$BP342,$BS342,$BT342,($A342-Inputs!$D$1)+15,1,0)))))</f>
        <v> </v>
      </c>
      <c r="R342" s="280" t="str">
        <f aca="false">IF($A342="N/A"," ",IF('Pricing Inputs'!$AN$8=2,(K342-$H342),IF('Pricing Inputs'!$AN$3=2,IF((K342-$H342)&gt;0,K342-$H342,0),(xSPRDOPT(K342,$E342,$BU342,0,$BP342,$BS342,$BT342,($A342-Inputs!$D$1)+15,1,0)))))</f>
        <v> </v>
      </c>
      <c r="S342" s="280" t="str">
        <f aca="false">IF($A342="N/A"," ",IF('Pricing Inputs'!$AN$8=2,(L342-$H342),IF('Pricing Inputs'!$AN$3=2,IF((L342-$H342)&gt;0,L342-$H342,0),(xSPRDOPT(L342,$E342,$BU342,0,$BP342,$BS342,$BT342,($A342-Inputs!$D$1)+15,1,0)))))</f>
        <v> </v>
      </c>
      <c r="T342" s="280" t="str">
        <f aca="false">IF($A342="N/A"," ",IF('Pricing Inputs'!$AN$8=2,(M342-$H342),IF('Pricing Inputs'!$AN$3=2,IF((M342-$H342)&gt;0,M342-$H342,0),(xSPRDOPT(M342,$E342,$BU342,0,$BP342,$BS342,$BT342,($A342-Inputs!$D$1)+15,1,0)))))</f>
        <v> </v>
      </c>
      <c r="U342" s="280" t="str">
        <f aca="false">IF($A342="N/A"," ",IF('Pricing Inputs'!$AN$8=2,(N342-$H342),IF('Pricing Inputs'!$AN$3=2,IF((N342-$H342)&gt;0,N342-$H342,0),(xSPRDOPT(N342,$E342,$BU342,0,$BP342,$BS342,$BT342,($A342-Inputs!$D$1)+15,1,0)))))</f>
        <v> </v>
      </c>
      <c r="V342" s="281" t="str">
        <f aca="false">IF($A342="N/A"," ",(IF('Pricing Inputs'!$AN$8=2,(O342-$H342),IF((O342-$H342)&lt;=0,0,(O342-$H342)))))</f>
        <v> </v>
      </c>
      <c r="BA342" s="291" t="str">
        <f aca="false">IF($A342="N/A"," ",(IF(MONTH(A342)&gt;=4,IF(MONTH(A342)&lt;=10,Inputs!$F$13,Inputs!$F$14),Inputs!$F$14))*$BW342)</f>
        <v> </v>
      </c>
      <c r="BN342" s="294" t="str">
        <f aca="false">IF(A342="N/A"," ",(VLOOKUP(A342,PowerVolTable,(IF('Pricing Inputs'!$AT$3=2,7,IF('Pricing Inputs'!$AT$3=1,6,8))),FALSE())))</f>
        <v> </v>
      </c>
      <c r="BO342" s="294" t="str">
        <f aca="false">IF(A342="N/A"," ",(VLOOKUP(A342,IntraPowerVol,(IF('Pricing Inputs'!$AT$3=2,3,IF('Pricing Inputs'!$AT$3=1,2,4))),FALSE())*VLOOKUP(MONTH($A342),Inputs!$A$28:$B$39,2)))</f>
        <v> </v>
      </c>
      <c r="BP342" s="295" t="str">
        <f aca="false">IF($A342="N/A"," ",(IF(DateToday&gt;$A342,$BO342,((($BN342^2)*((($A342-1)-DateToday)/((EOMONTH($A342,0)+1)-DateToday-15)))+((($BO342)^2)*((15)/((EOMONTH($A342,0)+1)-DateToday-15))))^0.5)))</f>
        <v> </v>
      </c>
      <c r="BQ342" s="294" t="str">
        <f aca="false">IF($A342="N/A"," ",(VLOOKUP($A342,GasVolTable,(IF('Pricing Inputs'!$AT$3=2,6,IF('Pricing Inputs'!$AT$3=1,7,5))),FALSE())))</f>
        <v> </v>
      </c>
      <c r="BR342" s="294" t="str">
        <f aca="false">IF($A342="N/A"," ",(VLOOKUP($A342,OmicronVol,(IF('Pricing Inputs'!$AT$3=2,3,IF('Pricing Inputs'!$AT$3=1,4,2))),FALSE())))</f>
        <v> </v>
      </c>
      <c r="BS342" s="295" t="str">
        <f aca="false">IF($A342="N/A"," ",IF('Pricing Inputs'!$AN$3=1,(IF(DateToday&gt;$A342,$BR342,((($BQ342^2)*((($A342-1)-DateToday)/((EOMONTH($A342,0)+1)-DateToday-15)))+((($BR342)^2)*((15)/((EOMONTH($A342,0)+1)-DateToday-15))))^0.5)),0.0001))</f>
        <v> </v>
      </c>
      <c r="BT342" s="294" t="str">
        <f aca="false">IF($A342="N/A"," ",IF('Pricing Inputs'!$AN$3=1,(VLOOKUP($A342,CorrelationTable,2,FALSE())),0))</f>
        <v> </v>
      </c>
      <c r="BU342" s="296" t="str">
        <f aca="false">IF($A342="N/A"," ",F342+G342+(D342*(VLOOKUP($A342,'Gas Curves'!$B$17:$P$310,14,FALSE()))))</f>
        <v> </v>
      </c>
      <c r="BV342" s="294" t="str">
        <f aca="false">IF($A342="N/A"," ",IF('Pricing Inputs'!$AW$3=1,0,(VLOOKUP($A342,InterestRatesTable,2))))</f>
        <v> </v>
      </c>
      <c r="BW342" s="297" t="str">
        <f aca="false">IF($A342="N/A"," ",(1+BV342/2)^(-2*((EOMONTH(A342,0)+20)-DateToday)/365.25))</f>
        <v> </v>
      </c>
    </row>
    <row r="343" customFormat="false" ht="12.75" hidden="false" customHeight="false" outlineLevel="0" collapsed="false">
      <c r="A343" s="272" t="str">
        <f aca="false">IF(A342="N/A","N/A",IF(EDATE(A342,1)&gt;Inputs!$K$3,"N/A",EDATE(A342,1)))</f>
        <v>N/A</v>
      </c>
      <c r="B343" s="273" t="str">
        <f aca="false">IF(A343="N/A"," ",YEAR(A343))</f>
        <v> </v>
      </c>
      <c r="C343" s="274" t="str">
        <f aca="false">IF(A343="N/A"," ",VLOOKUP(A343,ScaledPrice,10))</f>
        <v> </v>
      </c>
      <c r="D343" s="275" t="str">
        <f aca="false">IF(A343="N/A"," ",(VLOOKUP(MONTH($A343),Inputs!$A$14:$B$25,2))/1000)</f>
        <v> </v>
      </c>
      <c r="E343" s="276" t="str">
        <f aca="false">IF($A343="N/A"," ",C343*D343)</f>
        <v> </v>
      </c>
      <c r="F343" s="277" t="str">
        <f aca="false">IF(A343="N/A"," ",Inputs!$F$6)</f>
        <v> </v>
      </c>
      <c r="G343" s="277" t="str">
        <f aca="false">IF(A343="N/A"," ",Inputs!$F$9/IF(AND('Pricing Inputs'!$AQ$3&gt;=4,'Pricing Inputs'!$AQ$3&lt;=6),16,IF(AND('Pricing Inputs'!$AQ$3&gt;=7,'Pricing Inputs'!$AQ$3&lt;=9),8,24))/(BA343/BW343))</f>
        <v> </v>
      </c>
      <c r="H343" s="278" t="str">
        <f aca="false">IF(A343="N/A"," ",(C343*D343)+F343+G343)</f>
        <v> </v>
      </c>
      <c r="I343" s="279" t="str">
        <f aca="false">VLOOKUP(A343,ScaledPrice,(IF(AND('Pricing Inputs'!$AQ$3&gt;=1,'Pricing Inputs'!$AQ$3&lt;=6),2,4)))</f>
        <v> </v>
      </c>
      <c r="J343" s="279" t="str">
        <f aca="false">IF(A343="N/A"," ",IF(AND('Pricing Inputs'!$AQ$3&gt;=1,'Pricing Inputs'!$AQ$3&lt;=6),I343,(VLOOKUP(A343,ScaledPrice,2))*(2-(VLOOKUP(A343,ScaledPrice,3)))))</f>
        <v> </v>
      </c>
      <c r="K343" s="279" t="str">
        <f aca="false">IF(A343="N/A"," ",IF(OR('Pricing Inputs'!$AQ$3=2,'Pricing Inputs'!$AQ$3=3,'Pricing Inputs'!$AQ$3=5,'Pricing Inputs'!$AQ$3=6,'Pricing Inputs'!$AQ$3=8,'Pricing Inputs'!$AQ$3=9),VLOOKUP(A343,ScaledPrice,IF(AND('Pricing Inputs'!$AQ$3&gt;=2,'Pricing Inputs'!$AQ$3&lt;=6),5,6)),0))</f>
        <v> </v>
      </c>
      <c r="L343" s="279" t="str">
        <f aca="false">IF(A343="N/A"," ",IF(OR('Pricing Inputs'!$AQ$3=2,'Pricing Inputs'!$AQ$3=3,'Pricing Inputs'!$AQ$3=5,'Pricing Inputs'!$AQ$3=6,'Pricing Inputs'!$AQ$3=8,'Pricing Inputs'!$AQ$3=9),IF(AND('Pricing Inputs'!$AQ$3&gt;=2,'Pricing Inputs'!$AQ$3&lt;=6),K343,(VLOOKUP(A343,ScaledPrice,5))*(2-(VLOOKUP(A343,ScaledPrice,3)))),0))</f>
        <v> </v>
      </c>
      <c r="M343" s="279" t="str">
        <f aca="false">IF(A343="N/A"," ",IF(OR('Pricing Inputs'!$AQ$3=3,'Pricing Inputs'!$AQ$3=6,'Pricing Inputs'!$AQ$3=9),(VLOOKUP(A343,ScaledPrice,IF(AND('Pricing Inputs'!$AQ$3&gt;=3,'Pricing Inputs'!$AQ$3&lt;=6),7,8))),0))</f>
        <v> </v>
      </c>
      <c r="N343" s="279" t="str">
        <f aca="false">IF(A343="N/A"," ",IF(OR('Pricing Inputs'!$AQ$3=3,'Pricing Inputs'!$AQ$3=6,'Pricing Inputs'!$AQ$3=9),IF(AND('Pricing Inputs'!$AQ$3&gt;=3,'Pricing Inputs'!$AQ$3&lt;=6),M343,(VLOOKUP(A343,ScaledPrice,7))*(2-(VLOOKUP(A343,ScaledPrice,3)))),0))</f>
        <v> </v>
      </c>
      <c r="O343" s="279" t="str">
        <f aca="false">IF(A343="N/A"," ",IF(AND('Pricing Inputs'!$AQ$3&gt;=1,'Pricing Inputs'!$AQ$3&lt;=3),VLOOKUP(A343,ScaledPrice,9),0))</f>
        <v> </v>
      </c>
      <c r="P343" s="280" t="str">
        <f aca="false">IF($A343="N/A"," ",IF('Pricing Inputs'!$AN$8=2,(I343-H343),IF('Pricing Inputs'!$AN$3=2,IF((I343-$H343)&gt;0,I343-$H343,0),(xSPRDOPT(I343,$E343,$BU343,0,$BP343,$BS343,$BT343,($A343-Inputs!$D$1)+15,1,0)))))</f>
        <v> </v>
      </c>
      <c r="Q343" s="280" t="str">
        <f aca="false">IF($A343="N/A"," ",IF('Pricing Inputs'!$AN$8=2,(J343-$H343),IF('Pricing Inputs'!$AN$3=2,IF((J343-$H343)&gt;0,J343-$H343,0),(xSPRDOPT(J343,$E343,$BU343,0,$BP343,$BS343,$BT343,($A343-Inputs!$D$1)+15,1,0)))))</f>
        <v> </v>
      </c>
      <c r="R343" s="280" t="str">
        <f aca="false">IF($A343="N/A"," ",IF('Pricing Inputs'!$AN$8=2,(K343-$H343),IF('Pricing Inputs'!$AN$3=2,IF((K343-$H343)&gt;0,K343-$H343,0),(xSPRDOPT(K343,$E343,$BU343,0,$BP343,$BS343,$BT343,($A343-Inputs!$D$1)+15,1,0)))))</f>
        <v> </v>
      </c>
      <c r="S343" s="280" t="str">
        <f aca="false">IF($A343="N/A"," ",IF('Pricing Inputs'!$AN$8=2,(L343-$H343),IF('Pricing Inputs'!$AN$3=2,IF((L343-$H343)&gt;0,L343-$H343,0),(xSPRDOPT(L343,$E343,$BU343,0,$BP343,$BS343,$BT343,($A343-Inputs!$D$1)+15,1,0)))))</f>
        <v> </v>
      </c>
      <c r="T343" s="280" t="str">
        <f aca="false">IF($A343="N/A"," ",IF('Pricing Inputs'!$AN$8=2,(M343-$H343),IF('Pricing Inputs'!$AN$3=2,IF((M343-$H343)&gt;0,M343-$H343,0),(xSPRDOPT(M343,$E343,$BU343,0,$BP343,$BS343,$BT343,($A343-Inputs!$D$1)+15,1,0)))))</f>
        <v> </v>
      </c>
      <c r="U343" s="280" t="str">
        <f aca="false">IF($A343="N/A"," ",IF('Pricing Inputs'!$AN$8=2,(N343-$H343),IF('Pricing Inputs'!$AN$3=2,IF((N343-$H343)&gt;0,N343-$H343,0),(xSPRDOPT(N343,$E343,$BU343,0,$BP343,$BS343,$BT343,($A343-Inputs!$D$1)+15,1,0)))))</f>
        <v> </v>
      </c>
      <c r="V343" s="281" t="str">
        <f aca="false">IF($A343="N/A"," ",(IF('Pricing Inputs'!$AN$8=2,(O343-$H343),IF((O343-$H343)&lt;=0,0,(O343-$H343)))))</f>
        <v> </v>
      </c>
      <c r="BA343" s="291" t="str">
        <f aca="false">IF($A343="N/A"," ",(IF(MONTH(A343)&gt;=4,IF(MONTH(A343)&lt;=10,Inputs!$F$13,Inputs!$F$14),Inputs!$F$14))*$BW343)</f>
        <v> </v>
      </c>
      <c r="BN343" s="294" t="str">
        <f aca="false">IF(A343="N/A"," ",(VLOOKUP(A343,PowerVolTable,(IF('Pricing Inputs'!$AT$3=2,7,IF('Pricing Inputs'!$AT$3=1,6,8))),FALSE())))</f>
        <v> </v>
      </c>
      <c r="BO343" s="294" t="str">
        <f aca="false">IF(A343="N/A"," ",(VLOOKUP(A343,IntraPowerVol,(IF('Pricing Inputs'!$AT$3=2,3,IF('Pricing Inputs'!$AT$3=1,2,4))),FALSE())*VLOOKUP(MONTH($A343),Inputs!$A$28:$B$39,2)))</f>
        <v> </v>
      </c>
      <c r="BP343" s="295" t="str">
        <f aca="false">IF($A343="N/A"," ",(IF(DateToday&gt;$A343,$BO343,((($BN343^2)*((($A343-1)-DateToday)/((EOMONTH($A343,0)+1)-DateToday-15)))+((($BO343)^2)*((15)/((EOMONTH($A343,0)+1)-DateToday-15))))^0.5)))</f>
        <v> </v>
      </c>
      <c r="BQ343" s="294" t="str">
        <f aca="false">IF($A343="N/A"," ",(VLOOKUP($A343,GasVolTable,(IF('Pricing Inputs'!$AT$3=2,6,IF('Pricing Inputs'!$AT$3=1,7,5))),FALSE())))</f>
        <v> </v>
      </c>
      <c r="BR343" s="294" t="str">
        <f aca="false">IF($A343="N/A"," ",(VLOOKUP($A343,OmicronVol,(IF('Pricing Inputs'!$AT$3=2,3,IF('Pricing Inputs'!$AT$3=1,4,2))),FALSE())))</f>
        <v> </v>
      </c>
      <c r="BS343" s="295" t="str">
        <f aca="false">IF($A343="N/A"," ",IF('Pricing Inputs'!$AN$3=1,(IF(DateToday&gt;$A343,$BR343,((($BQ343^2)*((($A343-1)-DateToday)/((EOMONTH($A343,0)+1)-DateToday-15)))+((($BR343)^2)*((15)/((EOMONTH($A343,0)+1)-DateToday-15))))^0.5)),0.0001))</f>
        <v> </v>
      </c>
      <c r="BT343" s="294" t="str">
        <f aca="false">IF($A343="N/A"," ",IF('Pricing Inputs'!$AN$3=1,(VLOOKUP($A343,CorrelationTable,2,FALSE())),0))</f>
        <v> </v>
      </c>
      <c r="BU343" s="296" t="str">
        <f aca="false">IF($A343="N/A"," ",F343+G343+(D343*(VLOOKUP($A343,'Gas Curves'!$B$17:$P$310,14,FALSE()))))</f>
        <v> </v>
      </c>
      <c r="BV343" s="294" t="str">
        <f aca="false">IF($A343="N/A"," ",IF('Pricing Inputs'!$AW$3=1,0,(VLOOKUP($A343,InterestRatesTable,2))))</f>
        <v> </v>
      </c>
      <c r="BW343" s="297" t="str">
        <f aca="false">IF($A343="N/A"," ",(1+BV343/2)^(-2*((EOMONTH(A343,0)+20)-DateToday)/365.25))</f>
        <v> </v>
      </c>
    </row>
    <row r="344" customFormat="false" ht="12.75" hidden="false" customHeight="false" outlineLevel="0" collapsed="false">
      <c r="A344" s="272" t="str">
        <f aca="false">IF(A343="N/A","N/A",IF(EDATE(A343,1)&gt;Inputs!$K$3,"N/A",EDATE(A343,1)))</f>
        <v>N/A</v>
      </c>
      <c r="B344" s="273" t="str">
        <f aca="false">IF(A344="N/A"," ",YEAR(A344))</f>
        <v> </v>
      </c>
      <c r="C344" s="274" t="str">
        <f aca="false">IF(A344="N/A"," ",VLOOKUP(A344,ScaledPrice,10))</f>
        <v> </v>
      </c>
      <c r="D344" s="275" t="str">
        <f aca="false">IF(A344="N/A"," ",(VLOOKUP(MONTH($A344),Inputs!$A$14:$B$25,2))/1000)</f>
        <v> </v>
      </c>
      <c r="E344" s="276" t="str">
        <f aca="false">IF($A344="N/A"," ",C344*D344)</f>
        <v> </v>
      </c>
      <c r="F344" s="277" t="str">
        <f aca="false">IF(A344="N/A"," ",Inputs!$F$6)</f>
        <v> </v>
      </c>
      <c r="G344" s="277" t="str">
        <f aca="false">IF(A344="N/A"," ",Inputs!$F$9/IF(AND('Pricing Inputs'!$AQ$3&gt;=4,'Pricing Inputs'!$AQ$3&lt;=6),16,IF(AND('Pricing Inputs'!$AQ$3&gt;=7,'Pricing Inputs'!$AQ$3&lt;=9),8,24))/(BA344/BW344))</f>
        <v> </v>
      </c>
      <c r="H344" s="278" t="str">
        <f aca="false">IF(A344="N/A"," ",(C344*D344)+F344+G344)</f>
        <v> </v>
      </c>
      <c r="I344" s="279" t="str">
        <f aca="false">VLOOKUP(A344,ScaledPrice,(IF(AND('Pricing Inputs'!$AQ$3&gt;=1,'Pricing Inputs'!$AQ$3&lt;=6),2,4)))</f>
        <v> </v>
      </c>
      <c r="J344" s="279" t="str">
        <f aca="false">IF(A344="N/A"," ",IF(AND('Pricing Inputs'!$AQ$3&gt;=1,'Pricing Inputs'!$AQ$3&lt;=6),I344,(VLOOKUP(A344,ScaledPrice,2))*(2-(VLOOKUP(A344,ScaledPrice,3)))))</f>
        <v> </v>
      </c>
      <c r="K344" s="279" t="str">
        <f aca="false">IF(A344="N/A"," ",IF(OR('Pricing Inputs'!$AQ$3=2,'Pricing Inputs'!$AQ$3=3,'Pricing Inputs'!$AQ$3=5,'Pricing Inputs'!$AQ$3=6,'Pricing Inputs'!$AQ$3=8,'Pricing Inputs'!$AQ$3=9),VLOOKUP(A344,ScaledPrice,IF(AND('Pricing Inputs'!$AQ$3&gt;=2,'Pricing Inputs'!$AQ$3&lt;=6),5,6)),0))</f>
        <v> </v>
      </c>
      <c r="L344" s="279" t="str">
        <f aca="false">IF(A344="N/A"," ",IF(OR('Pricing Inputs'!$AQ$3=2,'Pricing Inputs'!$AQ$3=3,'Pricing Inputs'!$AQ$3=5,'Pricing Inputs'!$AQ$3=6,'Pricing Inputs'!$AQ$3=8,'Pricing Inputs'!$AQ$3=9),IF(AND('Pricing Inputs'!$AQ$3&gt;=2,'Pricing Inputs'!$AQ$3&lt;=6),K344,(VLOOKUP(A344,ScaledPrice,5))*(2-(VLOOKUP(A344,ScaledPrice,3)))),0))</f>
        <v> </v>
      </c>
      <c r="M344" s="279" t="str">
        <f aca="false">IF(A344="N/A"," ",IF(OR('Pricing Inputs'!$AQ$3=3,'Pricing Inputs'!$AQ$3=6,'Pricing Inputs'!$AQ$3=9),(VLOOKUP(A344,ScaledPrice,IF(AND('Pricing Inputs'!$AQ$3&gt;=3,'Pricing Inputs'!$AQ$3&lt;=6),7,8))),0))</f>
        <v> </v>
      </c>
      <c r="N344" s="279" t="str">
        <f aca="false">IF(A344="N/A"," ",IF(OR('Pricing Inputs'!$AQ$3=3,'Pricing Inputs'!$AQ$3=6,'Pricing Inputs'!$AQ$3=9),IF(AND('Pricing Inputs'!$AQ$3&gt;=3,'Pricing Inputs'!$AQ$3&lt;=6),M344,(VLOOKUP(A344,ScaledPrice,7))*(2-(VLOOKUP(A344,ScaledPrice,3)))),0))</f>
        <v> </v>
      </c>
      <c r="O344" s="279" t="str">
        <f aca="false">IF(A344="N/A"," ",IF(AND('Pricing Inputs'!$AQ$3&gt;=1,'Pricing Inputs'!$AQ$3&lt;=3),VLOOKUP(A344,ScaledPrice,9),0))</f>
        <v> </v>
      </c>
      <c r="P344" s="280" t="str">
        <f aca="false">IF($A344="N/A"," ",IF('Pricing Inputs'!$AN$8=2,(I344-H344),IF('Pricing Inputs'!$AN$3=2,IF((I344-$H344)&gt;0,I344-$H344,0),(xSPRDOPT(I344,$E344,$BU344,0,$BP344,$BS344,$BT344,($A344-Inputs!$D$1)+15,1,0)))))</f>
        <v> </v>
      </c>
      <c r="Q344" s="280" t="str">
        <f aca="false">IF($A344="N/A"," ",IF('Pricing Inputs'!$AN$8=2,(J344-$H344),IF('Pricing Inputs'!$AN$3=2,IF((J344-$H344)&gt;0,J344-$H344,0),(xSPRDOPT(J344,$E344,$BU344,0,$BP344,$BS344,$BT344,($A344-Inputs!$D$1)+15,1,0)))))</f>
        <v> </v>
      </c>
      <c r="R344" s="280" t="str">
        <f aca="false">IF($A344="N/A"," ",IF('Pricing Inputs'!$AN$8=2,(K344-$H344),IF('Pricing Inputs'!$AN$3=2,IF((K344-$H344)&gt;0,K344-$H344,0),(xSPRDOPT(K344,$E344,$BU344,0,$BP344,$BS344,$BT344,($A344-Inputs!$D$1)+15,1,0)))))</f>
        <v> </v>
      </c>
      <c r="S344" s="280" t="str">
        <f aca="false">IF($A344="N/A"," ",IF('Pricing Inputs'!$AN$8=2,(L344-$H344),IF('Pricing Inputs'!$AN$3=2,IF((L344-$H344)&gt;0,L344-$H344,0),(xSPRDOPT(L344,$E344,$BU344,0,$BP344,$BS344,$BT344,($A344-Inputs!$D$1)+15,1,0)))))</f>
        <v> </v>
      </c>
      <c r="T344" s="280" t="str">
        <f aca="false">IF($A344="N/A"," ",IF('Pricing Inputs'!$AN$8=2,(M344-$H344),IF('Pricing Inputs'!$AN$3=2,IF((M344-$H344)&gt;0,M344-$H344,0),(xSPRDOPT(M344,$E344,$BU344,0,$BP344,$BS344,$BT344,($A344-Inputs!$D$1)+15,1,0)))))</f>
        <v> </v>
      </c>
      <c r="U344" s="280" t="str">
        <f aca="false">IF($A344="N/A"," ",IF('Pricing Inputs'!$AN$8=2,(N344-$H344),IF('Pricing Inputs'!$AN$3=2,IF((N344-$H344)&gt;0,N344-$H344,0),(xSPRDOPT(N344,$E344,$BU344,0,$BP344,$BS344,$BT344,($A344-Inputs!$D$1)+15,1,0)))))</f>
        <v> </v>
      </c>
      <c r="V344" s="281" t="str">
        <f aca="false">IF($A344="N/A"," ",(IF('Pricing Inputs'!$AN$8=2,(O344-$H344),IF((O344-$H344)&lt;=0,0,(O344-$H344)))))</f>
        <v> </v>
      </c>
      <c r="BA344" s="291" t="str">
        <f aca="false">IF($A344="N/A"," ",(IF(MONTH(A344)&gt;=4,IF(MONTH(A344)&lt;=10,Inputs!$F$13,Inputs!$F$14),Inputs!$F$14))*$BW344)</f>
        <v> </v>
      </c>
      <c r="BN344" s="294" t="str">
        <f aca="false">IF(A344="N/A"," ",(VLOOKUP(A344,PowerVolTable,(IF('Pricing Inputs'!$AT$3=2,7,IF('Pricing Inputs'!$AT$3=1,6,8))),FALSE())))</f>
        <v> </v>
      </c>
      <c r="BO344" s="294" t="str">
        <f aca="false">IF(A344="N/A"," ",(VLOOKUP(A344,IntraPowerVol,(IF('Pricing Inputs'!$AT$3=2,3,IF('Pricing Inputs'!$AT$3=1,2,4))),FALSE())*VLOOKUP(MONTH($A344),Inputs!$A$28:$B$39,2)))</f>
        <v> </v>
      </c>
      <c r="BP344" s="295" t="str">
        <f aca="false">IF($A344="N/A"," ",(IF(DateToday&gt;$A344,$BO344,((($BN344^2)*((($A344-1)-DateToday)/((EOMONTH($A344,0)+1)-DateToday-15)))+((($BO344)^2)*((15)/((EOMONTH($A344,0)+1)-DateToday-15))))^0.5)))</f>
        <v> </v>
      </c>
      <c r="BQ344" s="294" t="str">
        <f aca="false">IF($A344="N/A"," ",(VLOOKUP($A344,GasVolTable,(IF('Pricing Inputs'!$AT$3=2,6,IF('Pricing Inputs'!$AT$3=1,7,5))),FALSE())))</f>
        <v> </v>
      </c>
      <c r="BR344" s="294" t="str">
        <f aca="false">IF($A344="N/A"," ",(VLOOKUP($A344,OmicronVol,(IF('Pricing Inputs'!$AT$3=2,3,IF('Pricing Inputs'!$AT$3=1,4,2))),FALSE())))</f>
        <v> </v>
      </c>
      <c r="BS344" s="295" t="str">
        <f aca="false">IF($A344="N/A"," ",IF('Pricing Inputs'!$AN$3=1,(IF(DateToday&gt;$A344,$BR344,((($BQ344^2)*((($A344-1)-DateToday)/((EOMONTH($A344,0)+1)-DateToday-15)))+((($BR344)^2)*((15)/((EOMONTH($A344,0)+1)-DateToday-15))))^0.5)),0.0001))</f>
        <v> </v>
      </c>
      <c r="BT344" s="294" t="str">
        <f aca="false">IF($A344="N/A"," ",IF('Pricing Inputs'!$AN$3=1,(VLOOKUP($A344,CorrelationTable,2,FALSE())),0))</f>
        <v> </v>
      </c>
      <c r="BU344" s="296" t="str">
        <f aca="false">IF($A344="N/A"," ",F344+G344+(D344*(VLOOKUP($A344,'Gas Curves'!$B$17:$P$310,14,FALSE()))))</f>
        <v> </v>
      </c>
      <c r="BV344" s="294" t="str">
        <f aca="false">IF($A344="N/A"," ",IF('Pricing Inputs'!$AW$3=1,0,(VLOOKUP($A344,InterestRatesTable,2))))</f>
        <v> </v>
      </c>
      <c r="BW344" s="297" t="str">
        <f aca="false">IF($A344="N/A"," ",(1+BV344/2)^(-2*((EOMONTH(A344,0)+20)-DateToday)/365.25))</f>
        <v> </v>
      </c>
    </row>
    <row r="345" customFormat="false" ht="12.75" hidden="false" customHeight="false" outlineLevel="0" collapsed="false">
      <c r="A345" s="272" t="str">
        <f aca="false">IF(A344="N/A","N/A",IF(EDATE(A344,1)&gt;Inputs!$K$3,"N/A",EDATE(A344,1)))</f>
        <v>N/A</v>
      </c>
      <c r="B345" s="273" t="str">
        <f aca="false">IF(A345="N/A"," ",YEAR(A345))</f>
        <v> </v>
      </c>
      <c r="C345" s="274" t="str">
        <f aca="false">IF(A345="N/A"," ",VLOOKUP(A345,ScaledPrice,10))</f>
        <v> </v>
      </c>
      <c r="D345" s="275" t="str">
        <f aca="false">IF(A345="N/A"," ",(VLOOKUP(MONTH($A345),Inputs!$A$14:$B$25,2))/1000)</f>
        <v> </v>
      </c>
      <c r="E345" s="276" t="str">
        <f aca="false">IF($A345="N/A"," ",C345*D345)</f>
        <v> </v>
      </c>
      <c r="F345" s="277" t="str">
        <f aca="false">IF(A345="N/A"," ",Inputs!$F$6)</f>
        <v> </v>
      </c>
      <c r="G345" s="277" t="str">
        <f aca="false">IF(A345="N/A"," ",Inputs!$F$9/IF(AND('Pricing Inputs'!$AQ$3&gt;=4,'Pricing Inputs'!$AQ$3&lt;=6),16,IF(AND('Pricing Inputs'!$AQ$3&gt;=7,'Pricing Inputs'!$AQ$3&lt;=9),8,24))/(BA345/BW345))</f>
        <v> </v>
      </c>
      <c r="H345" s="278" t="str">
        <f aca="false">IF(A345="N/A"," ",(C345*D345)+F345+G345)</f>
        <v> </v>
      </c>
      <c r="I345" s="279" t="str">
        <f aca="false">VLOOKUP(A345,ScaledPrice,(IF(AND('Pricing Inputs'!$AQ$3&gt;=1,'Pricing Inputs'!$AQ$3&lt;=6),2,4)))</f>
        <v> </v>
      </c>
      <c r="J345" s="279" t="str">
        <f aca="false">IF(A345="N/A"," ",IF(AND('Pricing Inputs'!$AQ$3&gt;=1,'Pricing Inputs'!$AQ$3&lt;=6),I345,(VLOOKUP(A345,ScaledPrice,2))*(2-(VLOOKUP(A345,ScaledPrice,3)))))</f>
        <v> </v>
      </c>
      <c r="K345" s="279" t="str">
        <f aca="false">IF(A345="N/A"," ",IF(OR('Pricing Inputs'!$AQ$3=2,'Pricing Inputs'!$AQ$3=3,'Pricing Inputs'!$AQ$3=5,'Pricing Inputs'!$AQ$3=6,'Pricing Inputs'!$AQ$3=8,'Pricing Inputs'!$AQ$3=9),VLOOKUP(A345,ScaledPrice,IF(AND('Pricing Inputs'!$AQ$3&gt;=2,'Pricing Inputs'!$AQ$3&lt;=6),5,6)),0))</f>
        <v> </v>
      </c>
      <c r="L345" s="279" t="str">
        <f aca="false">IF(A345="N/A"," ",IF(OR('Pricing Inputs'!$AQ$3=2,'Pricing Inputs'!$AQ$3=3,'Pricing Inputs'!$AQ$3=5,'Pricing Inputs'!$AQ$3=6,'Pricing Inputs'!$AQ$3=8,'Pricing Inputs'!$AQ$3=9),IF(AND('Pricing Inputs'!$AQ$3&gt;=2,'Pricing Inputs'!$AQ$3&lt;=6),K345,(VLOOKUP(A345,ScaledPrice,5))*(2-(VLOOKUP(A345,ScaledPrice,3)))),0))</f>
        <v> </v>
      </c>
      <c r="M345" s="279" t="str">
        <f aca="false">IF(A345="N/A"," ",IF(OR('Pricing Inputs'!$AQ$3=3,'Pricing Inputs'!$AQ$3=6,'Pricing Inputs'!$AQ$3=9),(VLOOKUP(A345,ScaledPrice,IF(AND('Pricing Inputs'!$AQ$3&gt;=3,'Pricing Inputs'!$AQ$3&lt;=6),7,8))),0))</f>
        <v> </v>
      </c>
      <c r="N345" s="279" t="str">
        <f aca="false">IF(A345="N/A"," ",IF(OR('Pricing Inputs'!$AQ$3=3,'Pricing Inputs'!$AQ$3=6,'Pricing Inputs'!$AQ$3=9),IF(AND('Pricing Inputs'!$AQ$3&gt;=3,'Pricing Inputs'!$AQ$3&lt;=6),M345,(VLOOKUP(A345,ScaledPrice,7))*(2-(VLOOKUP(A345,ScaledPrice,3)))),0))</f>
        <v> </v>
      </c>
      <c r="O345" s="279" t="str">
        <f aca="false">IF(A345="N/A"," ",IF(AND('Pricing Inputs'!$AQ$3&gt;=1,'Pricing Inputs'!$AQ$3&lt;=3),VLOOKUP(A345,ScaledPrice,9),0))</f>
        <v> </v>
      </c>
      <c r="P345" s="280" t="str">
        <f aca="false">IF($A345="N/A"," ",IF('Pricing Inputs'!$AN$8=2,(I345-H345),IF('Pricing Inputs'!$AN$3=2,IF((I345-$H345)&gt;0,I345-$H345,0),(xSPRDOPT(I345,$E345,$BU345,0,$BP345,$BS345,$BT345,($A345-Inputs!$D$1)+15,1,0)))))</f>
        <v> </v>
      </c>
      <c r="Q345" s="280" t="str">
        <f aca="false">IF($A345="N/A"," ",IF('Pricing Inputs'!$AN$8=2,(J345-$H345),IF('Pricing Inputs'!$AN$3=2,IF((J345-$H345)&gt;0,J345-$H345,0),(xSPRDOPT(J345,$E345,$BU345,0,$BP345,$BS345,$BT345,($A345-Inputs!$D$1)+15,1,0)))))</f>
        <v> </v>
      </c>
      <c r="R345" s="280" t="str">
        <f aca="false">IF($A345="N/A"," ",IF('Pricing Inputs'!$AN$8=2,(K345-$H345),IF('Pricing Inputs'!$AN$3=2,IF((K345-$H345)&gt;0,K345-$H345,0),(xSPRDOPT(K345,$E345,$BU345,0,$BP345,$BS345,$BT345,($A345-Inputs!$D$1)+15,1,0)))))</f>
        <v> </v>
      </c>
      <c r="S345" s="280" t="str">
        <f aca="false">IF($A345="N/A"," ",IF('Pricing Inputs'!$AN$8=2,(L345-$H345),IF('Pricing Inputs'!$AN$3=2,IF((L345-$H345)&gt;0,L345-$H345,0),(xSPRDOPT(L345,$E345,$BU345,0,$BP345,$BS345,$BT345,($A345-Inputs!$D$1)+15,1,0)))))</f>
        <v> </v>
      </c>
      <c r="T345" s="280" t="str">
        <f aca="false">IF($A345="N/A"," ",IF('Pricing Inputs'!$AN$8=2,(M345-$H345),IF('Pricing Inputs'!$AN$3=2,IF((M345-$H345)&gt;0,M345-$H345,0),(xSPRDOPT(M345,$E345,$BU345,0,$BP345,$BS345,$BT345,($A345-Inputs!$D$1)+15,1,0)))))</f>
        <v> </v>
      </c>
      <c r="U345" s="280" t="str">
        <f aca="false">IF($A345="N/A"," ",IF('Pricing Inputs'!$AN$8=2,(N345-$H345),IF('Pricing Inputs'!$AN$3=2,IF((N345-$H345)&gt;0,N345-$H345,0),(xSPRDOPT(N345,$E345,$BU345,0,$BP345,$BS345,$BT345,($A345-Inputs!$D$1)+15,1,0)))))</f>
        <v> </v>
      </c>
      <c r="V345" s="281" t="str">
        <f aca="false">IF($A345="N/A"," ",(IF('Pricing Inputs'!$AN$8=2,(O345-$H345),IF((O345-$H345)&lt;=0,0,(O345-$H345)))))</f>
        <v> </v>
      </c>
      <c r="BA345" s="291" t="str">
        <f aca="false">IF($A345="N/A"," ",(IF(MONTH(A345)&gt;=4,IF(MONTH(A345)&lt;=10,Inputs!$F$13,Inputs!$F$14),Inputs!$F$14))*$BW345)</f>
        <v> </v>
      </c>
      <c r="BN345" s="294" t="str">
        <f aca="false">IF(A345="N/A"," ",(VLOOKUP(A345,PowerVolTable,(IF('Pricing Inputs'!$AT$3=2,7,IF('Pricing Inputs'!$AT$3=1,6,8))),FALSE())))</f>
        <v> </v>
      </c>
      <c r="BO345" s="294" t="str">
        <f aca="false">IF(A345="N/A"," ",(VLOOKUP(A345,IntraPowerVol,(IF('Pricing Inputs'!$AT$3=2,3,IF('Pricing Inputs'!$AT$3=1,2,4))),FALSE())*VLOOKUP(MONTH($A345),Inputs!$A$28:$B$39,2)))</f>
        <v> </v>
      </c>
      <c r="BP345" s="295" t="str">
        <f aca="false">IF($A345="N/A"," ",(IF(DateToday&gt;$A345,$BO345,((($BN345^2)*((($A345-1)-DateToday)/((EOMONTH($A345,0)+1)-DateToday-15)))+((($BO345)^2)*((15)/((EOMONTH($A345,0)+1)-DateToday-15))))^0.5)))</f>
        <v> </v>
      </c>
      <c r="BQ345" s="294" t="str">
        <f aca="false">IF($A345="N/A"," ",(VLOOKUP($A345,GasVolTable,(IF('Pricing Inputs'!$AT$3=2,6,IF('Pricing Inputs'!$AT$3=1,7,5))),FALSE())))</f>
        <v> </v>
      </c>
      <c r="BR345" s="294" t="str">
        <f aca="false">IF($A345="N/A"," ",(VLOOKUP($A345,OmicronVol,(IF('Pricing Inputs'!$AT$3=2,3,IF('Pricing Inputs'!$AT$3=1,4,2))),FALSE())))</f>
        <v> </v>
      </c>
      <c r="BS345" s="295" t="str">
        <f aca="false">IF($A345="N/A"," ",IF('Pricing Inputs'!$AN$3=1,(IF(DateToday&gt;$A345,$BR345,((($BQ345^2)*((($A345-1)-DateToday)/((EOMONTH($A345,0)+1)-DateToday-15)))+((($BR345)^2)*((15)/((EOMONTH($A345,0)+1)-DateToday-15))))^0.5)),0.0001))</f>
        <v> </v>
      </c>
      <c r="BT345" s="294" t="str">
        <f aca="false">IF($A345="N/A"," ",IF('Pricing Inputs'!$AN$3=1,(VLOOKUP($A345,CorrelationTable,2,FALSE())),0))</f>
        <v> </v>
      </c>
      <c r="BU345" s="296" t="str">
        <f aca="false">IF($A345="N/A"," ",F345+G345+(D345*(VLOOKUP($A345,'Gas Curves'!$B$17:$P$310,14,FALSE()))))</f>
        <v> </v>
      </c>
      <c r="BV345" s="294" t="str">
        <f aca="false">IF($A345="N/A"," ",IF('Pricing Inputs'!$AW$3=1,0,(VLOOKUP($A345,InterestRatesTable,2))))</f>
        <v> </v>
      </c>
      <c r="BW345" s="297" t="str">
        <f aca="false">IF($A345="N/A"," ",(1+BV345/2)^(-2*((EOMONTH(A345,0)+20)-DateToday)/365.25))</f>
        <v> </v>
      </c>
    </row>
    <row r="346" customFormat="false" ht="12.75" hidden="false" customHeight="false" outlineLevel="0" collapsed="false">
      <c r="A346" s="272" t="str">
        <f aca="false">IF(A345="N/A","N/A",IF(EDATE(A345,1)&gt;Inputs!$K$3,"N/A",EDATE(A345,1)))</f>
        <v>N/A</v>
      </c>
      <c r="B346" s="273" t="str">
        <f aca="false">IF(A346="N/A"," ",YEAR(A346))</f>
        <v> </v>
      </c>
      <c r="C346" s="274" t="str">
        <f aca="false">IF(A346="N/A"," ",VLOOKUP(A346,ScaledPrice,10))</f>
        <v> </v>
      </c>
      <c r="D346" s="275" t="str">
        <f aca="false">IF(A346="N/A"," ",(VLOOKUP(MONTH($A346),Inputs!$A$14:$B$25,2))/1000)</f>
        <v> </v>
      </c>
      <c r="E346" s="276" t="str">
        <f aca="false">IF($A346="N/A"," ",C346*D346)</f>
        <v> </v>
      </c>
      <c r="F346" s="277" t="str">
        <f aca="false">IF(A346="N/A"," ",Inputs!$F$6)</f>
        <v> </v>
      </c>
      <c r="G346" s="277" t="str">
        <f aca="false">IF(A346="N/A"," ",Inputs!$F$9/IF(AND('Pricing Inputs'!$AQ$3&gt;=4,'Pricing Inputs'!$AQ$3&lt;=6),16,IF(AND('Pricing Inputs'!$AQ$3&gt;=7,'Pricing Inputs'!$AQ$3&lt;=9),8,24))/(BA346/BW346))</f>
        <v> </v>
      </c>
      <c r="H346" s="278" t="str">
        <f aca="false">IF(A346="N/A"," ",(C346*D346)+F346+G346)</f>
        <v> </v>
      </c>
      <c r="I346" s="279" t="str">
        <f aca="false">VLOOKUP(A346,ScaledPrice,(IF(AND('Pricing Inputs'!$AQ$3&gt;=1,'Pricing Inputs'!$AQ$3&lt;=6),2,4)))</f>
        <v> </v>
      </c>
      <c r="J346" s="279" t="str">
        <f aca="false">IF(A346="N/A"," ",IF(AND('Pricing Inputs'!$AQ$3&gt;=1,'Pricing Inputs'!$AQ$3&lt;=6),I346,(VLOOKUP(A346,ScaledPrice,2))*(2-(VLOOKUP(A346,ScaledPrice,3)))))</f>
        <v> </v>
      </c>
      <c r="K346" s="279" t="str">
        <f aca="false">IF(A346="N/A"," ",IF(OR('Pricing Inputs'!$AQ$3=2,'Pricing Inputs'!$AQ$3=3,'Pricing Inputs'!$AQ$3=5,'Pricing Inputs'!$AQ$3=6,'Pricing Inputs'!$AQ$3=8,'Pricing Inputs'!$AQ$3=9),VLOOKUP(A346,ScaledPrice,IF(AND('Pricing Inputs'!$AQ$3&gt;=2,'Pricing Inputs'!$AQ$3&lt;=6),5,6)),0))</f>
        <v> </v>
      </c>
      <c r="L346" s="279" t="str">
        <f aca="false">IF(A346="N/A"," ",IF(OR('Pricing Inputs'!$AQ$3=2,'Pricing Inputs'!$AQ$3=3,'Pricing Inputs'!$AQ$3=5,'Pricing Inputs'!$AQ$3=6,'Pricing Inputs'!$AQ$3=8,'Pricing Inputs'!$AQ$3=9),IF(AND('Pricing Inputs'!$AQ$3&gt;=2,'Pricing Inputs'!$AQ$3&lt;=6),K346,(VLOOKUP(A346,ScaledPrice,5))*(2-(VLOOKUP(A346,ScaledPrice,3)))),0))</f>
        <v> </v>
      </c>
      <c r="M346" s="279" t="str">
        <f aca="false">IF(A346="N/A"," ",IF(OR('Pricing Inputs'!$AQ$3=3,'Pricing Inputs'!$AQ$3=6,'Pricing Inputs'!$AQ$3=9),(VLOOKUP(A346,ScaledPrice,IF(AND('Pricing Inputs'!$AQ$3&gt;=3,'Pricing Inputs'!$AQ$3&lt;=6),7,8))),0))</f>
        <v> </v>
      </c>
      <c r="N346" s="279" t="str">
        <f aca="false">IF(A346="N/A"," ",IF(OR('Pricing Inputs'!$AQ$3=3,'Pricing Inputs'!$AQ$3=6,'Pricing Inputs'!$AQ$3=9),IF(AND('Pricing Inputs'!$AQ$3&gt;=3,'Pricing Inputs'!$AQ$3&lt;=6),M346,(VLOOKUP(A346,ScaledPrice,7))*(2-(VLOOKUP(A346,ScaledPrice,3)))),0))</f>
        <v> </v>
      </c>
      <c r="O346" s="279" t="str">
        <f aca="false">IF(A346="N/A"," ",IF(AND('Pricing Inputs'!$AQ$3&gt;=1,'Pricing Inputs'!$AQ$3&lt;=3),VLOOKUP(A346,ScaledPrice,9),0))</f>
        <v> </v>
      </c>
      <c r="P346" s="280" t="str">
        <f aca="false">IF($A346="N/A"," ",IF('Pricing Inputs'!$AN$8=2,(I346-H346),IF('Pricing Inputs'!$AN$3=2,IF((I346-$H346)&gt;0,I346-$H346,0),(xSPRDOPT(I346,$E346,$BU346,0,$BP346,$BS346,$BT346,($A346-Inputs!$D$1)+15,1,0)))))</f>
        <v> </v>
      </c>
      <c r="Q346" s="280" t="str">
        <f aca="false">IF($A346="N/A"," ",IF('Pricing Inputs'!$AN$8=2,(J346-$H346),IF('Pricing Inputs'!$AN$3=2,IF((J346-$H346)&gt;0,J346-$H346,0),(xSPRDOPT(J346,$E346,$BU346,0,$BP346,$BS346,$BT346,($A346-Inputs!$D$1)+15,1,0)))))</f>
        <v> </v>
      </c>
      <c r="R346" s="280" t="str">
        <f aca="false">IF($A346="N/A"," ",IF('Pricing Inputs'!$AN$8=2,(K346-$H346),IF('Pricing Inputs'!$AN$3=2,IF((K346-$H346)&gt;0,K346-$H346,0),(xSPRDOPT(K346,$E346,$BU346,0,$BP346,$BS346,$BT346,($A346-Inputs!$D$1)+15,1,0)))))</f>
        <v> </v>
      </c>
      <c r="S346" s="280" t="str">
        <f aca="false">IF($A346="N/A"," ",IF('Pricing Inputs'!$AN$8=2,(L346-$H346),IF('Pricing Inputs'!$AN$3=2,IF((L346-$H346)&gt;0,L346-$H346,0),(xSPRDOPT(L346,$E346,$BU346,0,$BP346,$BS346,$BT346,($A346-Inputs!$D$1)+15,1,0)))))</f>
        <v> </v>
      </c>
      <c r="T346" s="280" t="str">
        <f aca="false">IF($A346="N/A"," ",IF('Pricing Inputs'!$AN$8=2,(M346-$H346),IF('Pricing Inputs'!$AN$3=2,IF((M346-$H346)&gt;0,M346-$H346,0),(xSPRDOPT(M346,$E346,$BU346,0,$BP346,$BS346,$BT346,($A346-Inputs!$D$1)+15,1,0)))))</f>
        <v> </v>
      </c>
      <c r="U346" s="280" t="str">
        <f aca="false">IF($A346="N/A"," ",IF('Pricing Inputs'!$AN$8=2,(N346-$H346),IF('Pricing Inputs'!$AN$3=2,IF((N346-$H346)&gt;0,N346-$H346,0),(xSPRDOPT(N346,$E346,$BU346,0,$BP346,$BS346,$BT346,($A346-Inputs!$D$1)+15,1,0)))))</f>
        <v> </v>
      </c>
      <c r="V346" s="281" t="str">
        <f aca="false">IF($A346="N/A"," ",(IF('Pricing Inputs'!$AN$8=2,(O346-$H346),IF((O346-$H346)&lt;=0,0,(O346-$H346)))))</f>
        <v> </v>
      </c>
      <c r="BA346" s="291" t="str">
        <f aca="false">IF($A346="N/A"," ",(IF(MONTH(A346)&gt;=4,IF(MONTH(A346)&lt;=10,Inputs!$F$13,Inputs!$F$14),Inputs!$F$14))*$BW346)</f>
        <v> </v>
      </c>
      <c r="BN346" s="294" t="str">
        <f aca="false">IF(A346="N/A"," ",(VLOOKUP(A346,PowerVolTable,(IF('Pricing Inputs'!$AT$3=2,7,IF('Pricing Inputs'!$AT$3=1,6,8))),FALSE())))</f>
        <v> </v>
      </c>
      <c r="BO346" s="294" t="str">
        <f aca="false">IF(A346="N/A"," ",(VLOOKUP(A346,IntraPowerVol,(IF('Pricing Inputs'!$AT$3=2,3,IF('Pricing Inputs'!$AT$3=1,2,4))),FALSE())*VLOOKUP(MONTH($A346),Inputs!$A$28:$B$39,2)))</f>
        <v> </v>
      </c>
      <c r="BP346" s="295" t="str">
        <f aca="false">IF($A346="N/A"," ",(IF(DateToday&gt;$A346,$BO346,((($BN346^2)*((($A346-1)-DateToday)/((EOMONTH($A346,0)+1)-DateToday-15)))+((($BO346)^2)*((15)/((EOMONTH($A346,0)+1)-DateToday-15))))^0.5)))</f>
        <v> </v>
      </c>
      <c r="BQ346" s="294" t="str">
        <f aca="false">IF($A346="N/A"," ",(VLOOKUP($A346,GasVolTable,(IF('Pricing Inputs'!$AT$3=2,6,IF('Pricing Inputs'!$AT$3=1,7,5))),FALSE())))</f>
        <v> </v>
      </c>
      <c r="BR346" s="294" t="str">
        <f aca="false">IF($A346="N/A"," ",(VLOOKUP($A346,OmicronVol,(IF('Pricing Inputs'!$AT$3=2,3,IF('Pricing Inputs'!$AT$3=1,4,2))),FALSE())))</f>
        <v> </v>
      </c>
      <c r="BS346" s="295" t="str">
        <f aca="false">IF($A346="N/A"," ",IF('Pricing Inputs'!$AN$3=1,(IF(DateToday&gt;$A346,$BR346,((($BQ346^2)*((($A346-1)-DateToday)/((EOMONTH($A346,0)+1)-DateToday-15)))+((($BR346)^2)*((15)/((EOMONTH($A346,0)+1)-DateToday-15))))^0.5)),0.0001))</f>
        <v> </v>
      </c>
      <c r="BT346" s="294" t="str">
        <f aca="false">IF($A346="N/A"," ",IF('Pricing Inputs'!$AN$3=1,(VLOOKUP($A346,CorrelationTable,2,FALSE())),0))</f>
        <v> </v>
      </c>
      <c r="BU346" s="296" t="str">
        <f aca="false">IF($A346="N/A"," ",F346+G346+(D346*(VLOOKUP($A346,'Gas Curves'!$B$17:$P$310,14,FALSE()))))</f>
        <v> </v>
      </c>
      <c r="BV346" s="294" t="str">
        <f aca="false">IF($A346="N/A"," ",IF('Pricing Inputs'!$AW$3=1,0,(VLOOKUP($A346,InterestRatesTable,2))))</f>
        <v> </v>
      </c>
      <c r="BW346" s="297" t="str">
        <f aca="false">IF($A346="N/A"," ",(1+BV346/2)^(-2*((EOMONTH(A346,0)+20)-DateToday)/365.25))</f>
        <v> </v>
      </c>
    </row>
    <row r="347" customFormat="false" ht="12.75" hidden="false" customHeight="false" outlineLevel="0" collapsed="false">
      <c r="A347" s="272" t="str">
        <f aca="false">IF(A346="N/A","N/A",IF(EDATE(A346,1)&gt;Inputs!$K$3,"N/A",EDATE(A346,1)))</f>
        <v>N/A</v>
      </c>
      <c r="B347" s="273" t="str">
        <f aca="false">IF(A347="N/A"," ",YEAR(A347))</f>
        <v> </v>
      </c>
      <c r="C347" s="274" t="str">
        <f aca="false">IF(A347="N/A"," ",VLOOKUP(A347,ScaledPrice,10))</f>
        <v> </v>
      </c>
      <c r="D347" s="275" t="str">
        <f aca="false">IF(A347="N/A"," ",(VLOOKUP(MONTH($A347),Inputs!$A$14:$B$25,2))/1000)</f>
        <v> </v>
      </c>
      <c r="E347" s="276" t="str">
        <f aca="false">IF($A347="N/A"," ",C347*D347)</f>
        <v> </v>
      </c>
      <c r="F347" s="277" t="str">
        <f aca="false">IF(A347="N/A"," ",Inputs!$F$6)</f>
        <v> </v>
      </c>
      <c r="G347" s="277" t="str">
        <f aca="false">IF(A347="N/A"," ",Inputs!$F$9/IF(AND('Pricing Inputs'!$AQ$3&gt;=4,'Pricing Inputs'!$AQ$3&lt;=6),16,IF(AND('Pricing Inputs'!$AQ$3&gt;=7,'Pricing Inputs'!$AQ$3&lt;=9),8,24))/(BA347/BW347))</f>
        <v> </v>
      </c>
      <c r="H347" s="278" t="str">
        <f aca="false">IF(A347="N/A"," ",(C347*D347)+F347+G347)</f>
        <v> </v>
      </c>
      <c r="I347" s="279" t="str">
        <f aca="false">VLOOKUP(A347,ScaledPrice,(IF(AND('Pricing Inputs'!$AQ$3&gt;=1,'Pricing Inputs'!$AQ$3&lt;=6),2,4)))</f>
        <v> </v>
      </c>
      <c r="J347" s="279" t="str">
        <f aca="false">IF(A347="N/A"," ",IF(AND('Pricing Inputs'!$AQ$3&gt;=1,'Pricing Inputs'!$AQ$3&lt;=6),I347,(VLOOKUP(A347,ScaledPrice,2))*(2-(VLOOKUP(A347,ScaledPrice,3)))))</f>
        <v> </v>
      </c>
      <c r="K347" s="279" t="str">
        <f aca="false">IF(A347="N/A"," ",IF(OR('Pricing Inputs'!$AQ$3=2,'Pricing Inputs'!$AQ$3=3,'Pricing Inputs'!$AQ$3=5,'Pricing Inputs'!$AQ$3=6,'Pricing Inputs'!$AQ$3=8,'Pricing Inputs'!$AQ$3=9),VLOOKUP(A347,ScaledPrice,IF(AND('Pricing Inputs'!$AQ$3&gt;=2,'Pricing Inputs'!$AQ$3&lt;=6),5,6)),0))</f>
        <v> </v>
      </c>
      <c r="L347" s="279" t="str">
        <f aca="false">IF(A347="N/A"," ",IF(OR('Pricing Inputs'!$AQ$3=2,'Pricing Inputs'!$AQ$3=3,'Pricing Inputs'!$AQ$3=5,'Pricing Inputs'!$AQ$3=6,'Pricing Inputs'!$AQ$3=8,'Pricing Inputs'!$AQ$3=9),IF(AND('Pricing Inputs'!$AQ$3&gt;=2,'Pricing Inputs'!$AQ$3&lt;=6),K347,(VLOOKUP(A347,ScaledPrice,5))*(2-(VLOOKUP(A347,ScaledPrice,3)))),0))</f>
        <v> </v>
      </c>
      <c r="M347" s="279" t="str">
        <f aca="false">IF(A347="N/A"," ",IF(OR('Pricing Inputs'!$AQ$3=3,'Pricing Inputs'!$AQ$3=6,'Pricing Inputs'!$AQ$3=9),(VLOOKUP(A347,ScaledPrice,IF(AND('Pricing Inputs'!$AQ$3&gt;=3,'Pricing Inputs'!$AQ$3&lt;=6),7,8))),0))</f>
        <v> </v>
      </c>
      <c r="N347" s="279" t="str">
        <f aca="false">IF(A347="N/A"," ",IF(OR('Pricing Inputs'!$AQ$3=3,'Pricing Inputs'!$AQ$3=6,'Pricing Inputs'!$AQ$3=9),IF(AND('Pricing Inputs'!$AQ$3&gt;=3,'Pricing Inputs'!$AQ$3&lt;=6),M347,(VLOOKUP(A347,ScaledPrice,7))*(2-(VLOOKUP(A347,ScaledPrice,3)))),0))</f>
        <v> </v>
      </c>
      <c r="O347" s="279" t="str">
        <f aca="false">IF(A347="N/A"," ",IF(AND('Pricing Inputs'!$AQ$3&gt;=1,'Pricing Inputs'!$AQ$3&lt;=3),VLOOKUP(A347,ScaledPrice,9),0))</f>
        <v> </v>
      </c>
      <c r="P347" s="280" t="str">
        <f aca="false">IF($A347="N/A"," ",IF('Pricing Inputs'!$AN$8=2,(I347-H347),IF('Pricing Inputs'!$AN$3=2,IF((I347-$H347)&gt;0,I347-$H347,0),(xSPRDOPT(I347,$E347,$BU347,0,$BP347,$BS347,$BT347,($A347-Inputs!$D$1)+15,1,0)))))</f>
        <v> </v>
      </c>
      <c r="Q347" s="280" t="str">
        <f aca="false">IF($A347="N/A"," ",IF('Pricing Inputs'!$AN$8=2,(J347-$H347),IF('Pricing Inputs'!$AN$3=2,IF((J347-$H347)&gt;0,J347-$H347,0),(xSPRDOPT(J347,$E347,$BU347,0,$BP347,$BS347,$BT347,($A347-Inputs!$D$1)+15,1,0)))))</f>
        <v> </v>
      </c>
      <c r="R347" s="280" t="str">
        <f aca="false">IF($A347="N/A"," ",IF('Pricing Inputs'!$AN$8=2,(K347-$H347),IF('Pricing Inputs'!$AN$3=2,IF((K347-$H347)&gt;0,K347-$H347,0),(xSPRDOPT(K347,$E347,$BU347,0,$BP347,$BS347,$BT347,($A347-Inputs!$D$1)+15,1,0)))))</f>
        <v> </v>
      </c>
      <c r="S347" s="280" t="str">
        <f aca="false">IF($A347="N/A"," ",IF('Pricing Inputs'!$AN$8=2,(L347-$H347),IF('Pricing Inputs'!$AN$3=2,IF((L347-$H347)&gt;0,L347-$H347,0),(xSPRDOPT(L347,$E347,$BU347,0,$BP347,$BS347,$BT347,($A347-Inputs!$D$1)+15,1,0)))))</f>
        <v> </v>
      </c>
      <c r="T347" s="280" t="str">
        <f aca="false">IF($A347="N/A"," ",IF('Pricing Inputs'!$AN$8=2,(M347-$H347),IF('Pricing Inputs'!$AN$3=2,IF((M347-$H347)&gt;0,M347-$H347,0),(xSPRDOPT(M347,$E347,$BU347,0,$BP347,$BS347,$BT347,($A347-Inputs!$D$1)+15,1,0)))))</f>
        <v> </v>
      </c>
      <c r="U347" s="280" t="str">
        <f aca="false">IF($A347="N/A"," ",IF('Pricing Inputs'!$AN$8=2,(N347-$H347),IF('Pricing Inputs'!$AN$3=2,IF((N347-$H347)&gt;0,N347-$H347,0),(xSPRDOPT(N347,$E347,$BU347,0,$BP347,$BS347,$BT347,($A347-Inputs!$D$1)+15,1,0)))))</f>
        <v> </v>
      </c>
      <c r="V347" s="281" t="str">
        <f aca="false">IF($A347="N/A"," ",(IF('Pricing Inputs'!$AN$8=2,(O347-$H347),IF((O347-$H347)&lt;=0,0,(O347-$H347)))))</f>
        <v> </v>
      </c>
      <c r="BA347" s="291" t="str">
        <f aca="false">IF($A347="N/A"," ",(IF(MONTH(A347)&gt;=4,IF(MONTH(A347)&lt;=10,Inputs!$F$13,Inputs!$F$14),Inputs!$F$14))*$BW347)</f>
        <v> </v>
      </c>
      <c r="BN347" s="294" t="str">
        <f aca="false">IF(A347="N/A"," ",(VLOOKUP(A347,PowerVolTable,(IF('Pricing Inputs'!$AT$3=2,7,IF('Pricing Inputs'!$AT$3=1,6,8))),FALSE())))</f>
        <v> </v>
      </c>
      <c r="BO347" s="294" t="str">
        <f aca="false">IF(A347="N/A"," ",(VLOOKUP(A347,IntraPowerVol,(IF('Pricing Inputs'!$AT$3=2,3,IF('Pricing Inputs'!$AT$3=1,2,4))),FALSE())*VLOOKUP(MONTH($A347),Inputs!$A$28:$B$39,2)))</f>
        <v> </v>
      </c>
      <c r="BP347" s="295" t="str">
        <f aca="false">IF($A347="N/A"," ",(IF(DateToday&gt;$A347,$BO347,((($BN347^2)*((($A347-1)-DateToday)/((EOMONTH($A347,0)+1)-DateToday-15)))+((($BO347)^2)*((15)/((EOMONTH($A347,0)+1)-DateToday-15))))^0.5)))</f>
        <v> </v>
      </c>
      <c r="BQ347" s="294" t="str">
        <f aca="false">IF($A347="N/A"," ",(VLOOKUP($A347,GasVolTable,(IF('Pricing Inputs'!$AT$3=2,6,IF('Pricing Inputs'!$AT$3=1,7,5))),FALSE())))</f>
        <v> </v>
      </c>
      <c r="BR347" s="294" t="str">
        <f aca="false">IF($A347="N/A"," ",(VLOOKUP($A347,OmicronVol,(IF('Pricing Inputs'!$AT$3=2,3,IF('Pricing Inputs'!$AT$3=1,4,2))),FALSE())))</f>
        <v> </v>
      </c>
      <c r="BS347" s="295" t="str">
        <f aca="false">IF($A347="N/A"," ",IF('Pricing Inputs'!$AN$3=1,(IF(DateToday&gt;$A347,$BR347,((($BQ347^2)*((($A347-1)-DateToday)/((EOMONTH($A347,0)+1)-DateToday-15)))+((($BR347)^2)*((15)/((EOMONTH($A347,0)+1)-DateToday-15))))^0.5)),0.0001))</f>
        <v> </v>
      </c>
      <c r="BT347" s="294" t="str">
        <f aca="false">IF($A347="N/A"," ",IF('Pricing Inputs'!$AN$3=1,(VLOOKUP($A347,CorrelationTable,2,FALSE())),0))</f>
        <v> </v>
      </c>
      <c r="BU347" s="296" t="str">
        <f aca="false">IF($A347="N/A"," ",F347+G347+(D347*(VLOOKUP($A347,'Gas Curves'!$B$17:$P$310,14,FALSE()))))</f>
        <v> </v>
      </c>
      <c r="BV347" s="294" t="str">
        <f aca="false">IF($A347="N/A"," ",IF('Pricing Inputs'!$AW$3=1,0,(VLOOKUP($A347,InterestRatesTable,2))))</f>
        <v> </v>
      </c>
      <c r="BW347" s="297" t="str">
        <f aca="false">IF($A347="N/A"," ",(1+BV347/2)^(-2*((EOMONTH(A347,0)+20)-DateToday)/365.25))</f>
        <v> </v>
      </c>
    </row>
    <row r="348" customFormat="false" ht="12.75" hidden="false" customHeight="false" outlineLevel="0" collapsed="false">
      <c r="A348" s="272" t="str">
        <f aca="false">IF(A347="N/A","N/A",IF(EDATE(A347,1)&gt;Inputs!$K$3,"N/A",EDATE(A347,1)))</f>
        <v>N/A</v>
      </c>
      <c r="B348" s="273" t="str">
        <f aca="false">IF(A348="N/A"," ",YEAR(A348))</f>
        <v> </v>
      </c>
      <c r="C348" s="274" t="str">
        <f aca="false">IF(A348="N/A"," ",VLOOKUP(A348,ScaledPrice,10))</f>
        <v> </v>
      </c>
      <c r="D348" s="275" t="str">
        <f aca="false">IF(A348="N/A"," ",(VLOOKUP(MONTH($A348),Inputs!$A$14:$B$25,2))/1000)</f>
        <v> </v>
      </c>
      <c r="E348" s="276" t="str">
        <f aca="false">IF($A348="N/A"," ",C348*D348)</f>
        <v> </v>
      </c>
      <c r="F348" s="277" t="str">
        <f aca="false">IF(A348="N/A"," ",Inputs!$F$6)</f>
        <v> </v>
      </c>
      <c r="G348" s="277" t="str">
        <f aca="false">IF(A348="N/A"," ",Inputs!$F$9/IF(AND('Pricing Inputs'!$AQ$3&gt;=4,'Pricing Inputs'!$AQ$3&lt;=6),16,IF(AND('Pricing Inputs'!$AQ$3&gt;=7,'Pricing Inputs'!$AQ$3&lt;=9),8,24))/(BA348/BW348))</f>
        <v> </v>
      </c>
      <c r="H348" s="278" t="str">
        <f aca="false">IF(A348="N/A"," ",(C348*D348)+F348+G348)</f>
        <v> </v>
      </c>
      <c r="I348" s="279" t="str">
        <f aca="false">VLOOKUP(A348,ScaledPrice,(IF(AND('Pricing Inputs'!$AQ$3&gt;=1,'Pricing Inputs'!$AQ$3&lt;=6),2,4)))</f>
        <v> </v>
      </c>
      <c r="J348" s="279" t="str">
        <f aca="false">IF(A348="N/A"," ",IF(AND('Pricing Inputs'!$AQ$3&gt;=1,'Pricing Inputs'!$AQ$3&lt;=6),I348,(VLOOKUP(A348,ScaledPrice,2))*(2-(VLOOKUP(A348,ScaledPrice,3)))))</f>
        <v> </v>
      </c>
      <c r="K348" s="279" t="str">
        <f aca="false">IF(A348="N/A"," ",IF(OR('Pricing Inputs'!$AQ$3=2,'Pricing Inputs'!$AQ$3=3,'Pricing Inputs'!$AQ$3=5,'Pricing Inputs'!$AQ$3=6,'Pricing Inputs'!$AQ$3=8,'Pricing Inputs'!$AQ$3=9),VLOOKUP(A348,ScaledPrice,IF(AND('Pricing Inputs'!$AQ$3&gt;=2,'Pricing Inputs'!$AQ$3&lt;=6),5,6)),0))</f>
        <v> </v>
      </c>
      <c r="L348" s="279" t="str">
        <f aca="false">IF(A348="N/A"," ",IF(OR('Pricing Inputs'!$AQ$3=2,'Pricing Inputs'!$AQ$3=3,'Pricing Inputs'!$AQ$3=5,'Pricing Inputs'!$AQ$3=6,'Pricing Inputs'!$AQ$3=8,'Pricing Inputs'!$AQ$3=9),IF(AND('Pricing Inputs'!$AQ$3&gt;=2,'Pricing Inputs'!$AQ$3&lt;=6),K348,(VLOOKUP(A348,ScaledPrice,5))*(2-(VLOOKUP(A348,ScaledPrice,3)))),0))</f>
        <v> </v>
      </c>
      <c r="M348" s="279" t="str">
        <f aca="false">IF(A348="N/A"," ",IF(OR('Pricing Inputs'!$AQ$3=3,'Pricing Inputs'!$AQ$3=6,'Pricing Inputs'!$AQ$3=9),(VLOOKUP(A348,ScaledPrice,IF(AND('Pricing Inputs'!$AQ$3&gt;=3,'Pricing Inputs'!$AQ$3&lt;=6),7,8))),0))</f>
        <v> </v>
      </c>
      <c r="N348" s="279" t="str">
        <f aca="false">IF(A348="N/A"," ",IF(OR('Pricing Inputs'!$AQ$3=3,'Pricing Inputs'!$AQ$3=6,'Pricing Inputs'!$AQ$3=9),IF(AND('Pricing Inputs'!$AQ$3&gt;=3,'Pricing Inputs'!$AQ$3&lt;=6),M348,(VLOOKUP(A348,ScaledPrice,7))*(2-(VLOOKUP(A348,ScaledPrice,3)))),0))</f>
        <v> </v>
      </c>
      <c r="O348" s="279" t="str">
        <f aca="false">IF(A348="N/A"," ",IF(AND('Pricing Inputs'!$AQ$3&gt;=1,'Pricing Inputs'!$AQ$3&lt;=3),VLOOKUP(A348,ScaledPrice,9),0))</f>
        <v> </v>
      </c>
      <c r="P348" s="280" t="str">
        <f aca="false">IF($A348="N/A"," ",IF('Pricing Inputs'!$AN$8=2,(I348-H348),IF('Pricing Inputs'!$AN$3=2,IF((I348-$H348)&gt;0,I348-$H348,0),(xSPRDOPT(I348,$E348,$BU348,0,$BP348,$BS348,$BT348,($A348-Inputs!$D$1)+15,1,0)))))</f>
        <v> </v>
      </c>
      <c r="Q348" s="280" t="str">
        <f aca="false">IF($A348="N/A"," ",IF('Pricing Inputs'!$AN$8=2,(J348-$H348),IF('Pricing Inputs'!$AN$3=2,IF((J348-$H348)&gt;0,J348-$H348,0),(xSPRDOPT(J348,$E348,$BU348,0,$BP348,$BS348,$BT348,($A348-Inputs!$D$1)+15,1,0)))))</f>
        <v> </v>
      </c>
      <c r="R348" s="280" t="str">
        <f aca="false">IF($A348="N/A"," ",IF('Pricing Inputs'!$AN$8=2,(K348-$H348),IF('Pricing Inputs'!$AN$3=2,IF((K348-$H348)&gt;0,K348-$H348,0),(xSPRDOPT(K348,$E348,$BU348,0,$BP348,$BS348,$BT348,($A348-Inputs!$D$1)+15,1,0)))))</f>
        <v> </v>
      </c>
      <c r="S348" s="280" t="str">
        <f aca="false">IF($A348="N/A"," ",IF('Pricing Inputs'!$AN$8=2,(L348-$H348),IF('Pricing Inputs'!$AN$3=2,IF((L348-$H348)&gt;0,L348-$H348,0),(xSPRDOPT(L348,$E348,$BU348,0,$BP348,$BS348,$BT348,($A348-Inputs!$D$1)+15,1,0)))))</f>
        <v> </v>
      </c>
      <c r="T348" s="280" t="str">
        <f aca="false">IF($A348="N/A"," ",IF('Pricing Inputs'!$AN$8=2,(M348-$H348),IF('Pricing Inputs'!$AN$3=2,IF((M348-$H348)&gt;0,M348-$H348,0),(xSPRDOPT(M348,$E348,$BU348,0,$BP348,$BS348,$BT348,($A348-Inputs!$D$1)+15,1,0)))))</f>
        <v> </v>
      </c>
      <c r="U348" s="280" t="str">
        <f aca="false">IF($A348="N/A"," ",IF('Pricing Inputs'!$AN$8=2,(N348-$H348),IF('Pricing Inputs'!$AN$3=2,IF((N348-$H348)&gt;0,N348-$H348,0),(xSPRDOPT(N348,$E348,$BU348,0,$BP348,$BS348,$BT348,($A348-Inputs!$D$1)+15,1,0)))))</f>
        <v> </v>
      </c>
      <c r="V348" s="281" t="str">
        <f aca="false">IF($A348="N/A"," ",(IF('Pricing Inputs'!$AN$8=2,(O348-$H348),IF((O348-$H348)&lt;=0,0,(O348-$H348)))))</f>
        <v> </v>
      </c>
      <c r="BA348" s="291" t="str">
        <f aca="false">IF($A348="N/A"," ",(IF(MONTH(A348)&gt;=4,IF(MONTH(A348)&lt;=10,Inputs!$F$13,Inputs!$F$14),Inputs!$F$14))*$BW348)</f>
        <v> </v>
      </c>
      <c r="BN348" s="294" t="str">
        <f aca="false">IF(A348="N/A"," ",(VLOOKUP(A348,PowerVolTable,(IF('Pricing Inputs'!$AT$3=2,7,IF('Pricing Inputs'!$AT$3=1,6,8))),FALSE())))</f>
        <v> </v>
      </c>
      <c r="BO348" s="294" t="str">
        <f aca="false">IF(A348="N/A"," ",(VLOOKUP(A348,IntraPowerVol,(IF('Pricing Inputs'!$AT$3=2,3,IF('Pricing Inputs'!$AT$3=1,2,4))),FALSE())*VLOOKUP(MONTH($A348),Inputs!$A$28:$B$39,2)))</f>
        <v> </v>
      </c>
      <c r="BP348" s="295" t="str">
        <f aca="false">IF($A348="N/A"," ",(IF(DateToday&gt;$A348,$BO348,((($BN348^2)*((($A348-1)-DateToday)/((EOMONTH($A348,0)+1)-DateToday-15)))+((($BO348)^2)*((15)/((EOMONTH($A348,0)+1)-DateToday-15))))^0.5)))</f>
        <v> </v>
      </c>
      <c r="BQ348" s="294" t="str">
        <f aca="false">IF($A348="N/A"," ",(VLOOKUP($A348,GasVolTable,(IF('Pricing Inputs'!$AT$3=2,6,IF('Pricing Inputs'!$AT$3=1,7,5))),FALSE())))</f>
        <v> </v>
      </c>
      <c r="BR348" s="294" t="str">
        <f aca="false">IF($A348="N/A"," ",(VLOOKUP($A348,OmicronVol,(IF('Pricing Inputs'!$AT$3=2,3,IF('Pricing Inputs'!$AT$3=1,4,2))),FALSE())))</f>
        <v> </v>
      </c>
      <c r="BS348" s="295" t="str">
        <f aca="false">IF($A348="N/A"," ",IF('Pricing Inputs'!$AN$3=1,(IF(DateToday&gt;$A348,$BR348,((($BQ348^2)*((($A348-1)-DateToday)/((EOMONTH($A348,0)+1)-DateToday-15)))+((($BR348)^2)*((15)/((EOMONTH($A348,0)+1)-DateToday-15))))^0.5)),0.0001))</f>
        <v> </v>
      </c>
      <c r="BT348" s="294" t="str">
        <f aca="false">IF($A348="N/A"," ",IF('Pricing Inputs'!$AN$3=1,(VLOOKUP($A348,CorrelationTable,2,FALSE())),0))</f>
        <v> </v>
      </c>
      <c r="BU348" s="296" t="str">
        <f aca="false">IF($A348="N/A"," ",F348+G348+(D348*(VLOOKUP($A348,'Gas Curves'!$B$17:$P$310,14,FALSE()))))</f>
        <v> </v>
      </c>
      <c r="BV348" s="294" t="str">
        <f aca="false">IF($A348="N/A"," ",IF('Pricing Inputs'!$AW$3=1,0,(VLOOKUP($A348,InterestRatesTable,2))))</f>
        <v> </v>
      </c>
      <c r="BW348" s="297" t="str">
        <f aca="false">IF($A348="N/A"," ",(1+BV348/2)^(-2*((EOMONTH(A348,0)+20)-DateToday)/365.25))</f>
        <v> </v>
      </c>
    </row>
    <row r="349" customFormat="false" ht="12.75" hidden="false" customHeight="false" outlineLevel="0" collapsed="false">
      <c r="A349" s="272" t="str">
        <f aca="false">IF(A348="N/A","N/A",IF(EDATE(A348,1)&gt;Inputs!$K$3,"N/A",EDATE(A348,1)))</f>
        <v>N/A</v>
      </c>
      <c r="B349" s="273" t="str">
        <f aca="false">IF(A349="N/A"," ",YEAR(A349))</f>
        <v> </v>
      </c>
      <c r="C349" s="274" t="str">
        <f aca="false">IF(A349="N/A"," ",VLOOKUP(A349,ScaledPrice,10))</f>
        <v> </v>
      </c>
      <c r="D349" s="275" t="str">
        <f aca="false">IF(A349="N/A"," ",(VLOOKUP(MONTH($A349),Inputs!$A$14:$B$25,2))/1000)</f>
        <v> </v>
      </c>
      <c r="E349" s="276" t="str">
        <f aca="false">IF($A349="N/A"," ",C349*D349)</f>
        <v> </v>
      </c>
      <c r="F349" s="277" t="str">
        <f aca="false">IF(A349="N/A"," ",Inputs!$F$6)</f>
        <v> </v>
      </c>
      <c r="G349" s="277" t="str">
        <f aca="false">IF(A349="N/A"," ",Inputs!$F$9/IF(AND('Pricing Inputs'!$AQ$3&gt;=4,'Pricing Inputs'!$AQ$3&lt;=6),16,IF(AND('Pricing Inputs'!$AQ$3&gt;=7,'Pricing Inputs'!$AQ$3&lt;=9),8,24))/(BA349/BW349))</f>
        <v> </v>
      </c>
      <c r="H349" s="278" t="str">
        <f aca="false">IF(A349="N/A"," ",(C349*D349)+F349+G349)</f>
        <v> </v>
      </c>
      <c r="I349" s="279" t="str">
        <f aca="false">VLOOKUP(A349,ScaledPrice,(IF(AND('Pricing Inputs'!$AQ$3&gt;=1,'Pricing Inputs'!$AQ$3&lt;=6),2,4)))</f>
        <v> </v>
      </c>
      <c r="J349" s="279" t="str">
        <f aca="false">IF(A349="N/A"," ",IF(AND('Pricing Inputs'!$AQ$3&gt;=1,'Pricing Inputs'!$AQ$3&lt;=6),I349,(VLOOKUP(A349,ScaledPrice,2))*(2-(VLOOKUP(A349,ScaledPrice,3)))))</f>
        <v> </v>
      </c>
      <c r="K349" s="279" t="str">
        <f aca="false">IF(A349="N/A"," ",IF(OR('Pricing Inputs'!$AQ$3=2,'Pricing Inputs'!$AQ$3=3,'Pricing Inputs'!$AQ$3=5,'Pricing Inputs'!$AQ$3=6,'Pricing Inputs'!$AQ$3=8,'Pricing Inputs'!$AQ$3=9),VLOOKUP(A349,ScaledPrice,IF(AND('Pricing Inputs'!$AQ$3&gt;=2,'Pricing Inputs'!$AQ$3&lt;=6),5,6)),0))</f>
        <v> </v>
      </c>
      <c r="L349" s="279" t="str">
        <f aca="false">IF(A349="N/A"," ",IF(OR('Pricing Inputs'!$AQ$3=2,'Pricing Inputs'!$AQ$3=3,'Pricing Inputs'!$AQ$3=5,'Pricing Inputs'!$AQ$3=6,'Pricing Inputs'!$AQ$3=8,'Pricing Inputs'!$AQ$3=9),IF(AND('Pricing Inputs'!$AQ$3&gt;=2,'Pricing Inputs'!$AQ$3&lt;=6),K349,(VLOOKUP(A349,ScaledPrice,5))*(2-(VLOOKUP(A349,ScaledPrice,3)))),0))</f>
        <v> </v>
      </c>
      <c r="M349" s="279" t="str">
        <f aca="false">IF(A349="N/A"," ",IF(OR('Pricing Inputs'!$AQ$3=3,'Pricing Inputs'!$AQ$3=6,'Pricing Inputs'!$AQ$3=9),(VLOOKUP(A349,ScaledPrice,IF(AND('Pricing Inputs'!$AQ$3&gt;=3,'Pricing Inputs'!$AQ$3&lt;=6),7,8))),0))</f>
        <v> </v>
      </c>
      <c r="N349" s="279" t="str">
        <f aca="false">IF(A349="N/A"," ",IF(OR('Pricing Inputs'!$AQ$3=3,'Pricing Inputs'!$AQ$3=6,'Pricing Inputs'!$AQ$3=9),IF(AND('Pricing Inputs'!$AQ$3&gt;=3,'Pricing Inputs'!$AQ$3&lt;=6),M349,(VLOOKUP(A349,ScaledPrice,7))*(2-(VLOOKUP(A349,ScaledPrice,3)))),0))</f>
        <v> </v>
      </c>
      <c r="O349" s="279" t="str">
        <f aca="false">IF(A349="N/A"," ",IF(AND('Pricing Inputs'!$AQ$3&gt;=1,'Pricing Inputs'!$AQ$3&lt;=3),VLOOKUP(A349,ScaledPrice,9),0))</f>
        <v> </v>
      </c>
      <c r="P349" s="280" t="str">
        <f aca="false">IF($A349="N/A"," ",IF('Pricing Inputs'!$AN$8=2,(I349-H349),IF('Pricing Inputs'!$AN$3=2,IF((I349-$H349)&gt;0,I349-$H349,0),(xSPRDOPT(I349,$E349,$BU349,0,$BP349,$BS349,$BT349,($A349-Inputs!$D$1)+15,1,0)))))</f>
        <v> </v>
      </c>
      <c r="Q349" s="280" t="str">
        <f aca="false">IF($A349="N/A"," ",IF('Pricing Inputs'!$AN$8=2,(J349-$H349),IF('Pricing Inputs'!$AN$3=2,IF((J349-$H349)&gt;0,J349-$H349,0),(xSPRDOPT(J349,$E349,$BU349,0,$BP349,$BS349,$BT349,($A349-Inputs!$D$1)+15,1,0)))))</f>
        <v> </v>
      </c>
      <c r="R349" s="280" t="str">
        <f aca="false">IF($A349="N/A"," ",IF('Pricing Inputs'!$AN$8=2,(K349-$H349),IF('Pricing Inputs'!$AN$3=2,IF((K349-$H349)&gt;0,K349-$H349,0),(xSPRDOPT(K349,$E349,$BU349,0,$BP349,$BS349,$BT349,($A349-Inputs!$D$1)+15,1,0)))))</f>
        <v> </v>
      </c>
      <c r="S349" s="280" t="str">
        <f aca="false">IF($A349="N/A"," ",IF('Pricing Inputs'!$AN$8=2,(L349-$H349),IF('Pricing Inputs'!$AN$3=2,IF((L349-$H349)&gt;0,L349-$H349,0),(xSPRDOPT(L349,$E349,$BU349,0,$BP349,$BS349,$BT349,($A349-Inputs!$D$1)+15,1,0)))))</f>
        <v> </v>
      </c>
      <c r="T349" s="280" t="str">
        <f aca="false">IF($A349="N/A"," ",IF('Pricing Inputs'!$AN$8=2,(M349-$H349),IF('Pricing Inputs'!$AN$3=2,IF((M349-$H349)&gt;0,M349-$H349,0),(xSPRDOPT(M349,$E349,$BU349,0,$BP349,$BS349,$BT349,($A349-Inputs!$D$1)+15,1,0)))))</f>
        <v> </v>
      </c>
      <c r="U349" s="280" t="str">
        <f aca="false">IF($A349="N/A"," ",IF('Pricing Inputs'!$AN$8=2,(N349-$H349),IF('Pricing Inputs'!$AN$3=2,IF((N349-$H349)&gt;0,N349-$H349,0),(xSPRDOPT(N349,$E349,$BU349,0,$BP349,$BS349,$BT349,($A349-Inputs!$D$1)+15,1,0)))))</f>
        <v> </v>
      </c>
      <c r="V349" s="281" t="str">
        <f aca="false">IF($A349="N/A"," ",(IF('Pricing Inputs'!$AN$8=2,(O349-$H349),IF((O349-$H349)&lt;=0,0,(O349-$H349)))))</f>
        <v> </v>
      </c>
      <c r="BA349" s="291" t="str">
        <f aca="false">IF($A349="N/A"," ",(IF(MONTH(A349)&gt;=4,IF(MONTH(A349)&lt;=10,Inputs!$F$13,Inputs!$F$14),Inputs!$F$14))*$BW349)</f>
        <v> </v>
      </c>
      <c r="BN349" s="294" t="str">
        <f aca="false">IF(A349="N/A"," ",(VLOOKUP(A349,PowerVolTable,(IF('Pricing Inputs'!$AT$3=2,7,IF('Pricing Inputs'!$AT$3=1,6,8))),FALSE())))</f>
        <v> </v>
      </c>
      <c r="BO349" s="294" t="str">
        <f aca="false">IF(A349="N/A"," ",(VLOOKUP(A349,IntraPowerVol,(IF('Pricing Inputs'!$AT$3=2,3,IF('Pricing Inputs'!$AT$3=1,2,4))),FALSE())*VLOOKUP(MONTH($A349),Inputs!$A$28:$B$39,2)))</f>
        <v> </v>
      </c>
      <c r="BP349" s="295" t="str">
        <f aca="false">IF($A349="N/A"," ",(IF(DateToday&gt;$A349,$BO349,((($BN349^2)*((($A349-1)-DateToday)/((EOMONTH($A349,0)+1)-DateToday-15)))+((($BO349)^2)*((15)/((EOMONTH($A349,0)+1)-DateToday-15))))^0.5)))</f>
        <v> </v>
      </c>
      <c r="BQ349" s="294" t="str">
        <f aca="false">IF($A349="N/A"," ",(VLOOKUP($A349,GasVolTable,(IF('Pricing Inputs'!$AT$3=2,6,IF('Pricing Inputs'!$AT$3=1,7,5))),FALSE())))</f>
        <v> </v>
      </c>
      <c r="BR349" s="294" t="str">
        <f aca="false">IF($A349="N/A"," ",(VLOOKUP($A349,OmicronVol,(IF('Pricing Inputs'!$AT$3=2,3,IF('Pricing Inputs'!$AT$3=1,4,2))),FALSE())))</f>
        <v> </v>
      </c>
      <c r="BS349" s="295" t="str">
        <f aca="false">IF($A349="N/A"," ",IF('Pricing Inputs'!$AN$3=1,(IF(DateToday&gt;$A349,$BR349,((($BQ349^2)*((($A349-1)-DateToday)/((EOMONTH($A349,0)+1)-DateToday-15)))+((($BR349)^2)*((15)/((EOMONTH($A349,0)+1)-DateToday-15))))^0.5)),0.0001))</f>
        <v> </v>
      </c>
      <c r="BT349" s="294" t="str">
        <f aca="false">IF($A349="N/A"," ",IF('Pricing Inputs'!$AN$3=1,(VLOOKUP($A349,CorrelationTable,2,FALSE())),0))</f>
        <v> </v>
      </c>
      <c r="BU349" s="296" t="str">
        <f aca="false">IF($A349="N/A"," ",F349+G349+(D349*(VLOOKUP($A349,'Gas Curves'!$B$17:$P$310,14,FALSE()))))</f>
        <v> </v>
      </c>
      <c r="BV349" s="294" t="str">
        <f aca="false">IF($A349="N/A"," ",IF('Pricing Inputs'!$AW$3=1,0,(VLOOKUP($A349,InterestRatesTable,2))))</f>
        <v> </v>
      </c>
      <c r="BW349" s="297" t="str">
        <f aca="false">IF($A349="N/A"," ",(1+BV349/2)^(-2*((EOMONTH(A349,0)+20)-DateToday)/365.25))</f>
        <v> </v>
      </c>
    </row>
    <row r="350" customFormat="false" ht="12.75" hidden="false" customHeight="false" outlineLevel="0" collapsed="false">
      <c r="A350" s="272" t="str">
        <f aca="false">IF(A349="N/A","N/A",IF(EDATE(A349,1)&gt;Inputs!$K$3,"N/A",EDATE(A349,1)))</f>
        <v>N/A</v>
      </c>
      <c r="B350" s="273" t="str">
        <f aca="false">IF(A350="N/A"," ",YEAR(A350))</f>
        <v> </v>
      </c>
      <c r="C350" s="274" t="str">
        <f aca="false">IF(A350="N/A"," ",VLOOKUP(A350,ScaledPrice,10))</f>
        <v> </v>
      </c>
      <c r="D350" s="275" t="str">
        <f aca="false">IF(A350="N/A"," ",(VLOOKUP(MONTH($A350),Inputs!$A$14:$B$25,2))/1000)</f>
        <v> </v>
      </c>
      <c r="E350" s="276" t="str">
        <f aca="false">IF($A350="N/A"," ",C350*D350)</f>
        <v> </v>
      </c>
      <c r="F350" s="277" t="str">
        <f aca="false">IF(A350="N/A"," ",Inputs!$F$6)</f>
        <v> </v>
      </c>
      <c r="G350" s="277" t="str">
        <f aca="false">IF(A350="N/A"," ",Inputs!$F$9/IF(AND('Pricing Inputs'!$AQ$3&gt;=4,'Pricing Inputs'!$AQ$3&lt;=6),16,IF(AND('Pricing Inputs'!$AQ$3&gt;=7,'Pricing Inputs'!$AQ$3&lt;=9),8,24))/(BA350/BW350))</f>
        <v> </v>
      </c>
      <c r="H350" s="278" t="str">
        <f aca="false">IF(A350="N/A"," ",(C350*D350)+F350+G350)</f>
        <v> </v>
      </c>
      <c r="I350" s="279" t="str">
        <f aca="false">VLOOKUP(A350,ScaledPrice,(IF(AND('Pricing Inputs'!$AQ$3&gt;=1,'Pricing Inputs'!$AQ$3&lt;=6),2,4)))</f>
        <v> </v>
      </c>
      <c r="J350" s="279" t="str">
        <f aca="false">IF(A350="N/A"," ",IF(AND('Pricing Inputs'!$AQ$3&gt;=1,'Pricing Inputs'!$AQ$3&lt;=6),I350,(VLOOKUP(A350,ScaledPrice,2))*(2-(VLOOKUP(A350,ScaledPrice,3)))))</f>
        <v> </v>
      </c>
      <c r="K350" s="279" t="str">
        <f aca="false">IF(A350="N/A"," ",IF(OR('Pricing Inputs'!$AQ$3=2,'Pricing Inputs'!$AQ$3=3,'Pricing Inputs'!$AQ$3=5,'Pricing Inputs'!$AQ$3=6,'Pricing Inputs'!$AQ$3=8,'Pricing Inputs'!$AQ$3=9),VLOOKUP(A350,ScaledPrice,IF(AND('Pricing Inputs'!$AQ$3&gt;=2,'Pricing Inputs'!$AQ$3&lt;=6),5,6)),0))</f>
        <v> </v>
      </c>
      <c r="L350" s="279" t="str">
        <f aca="false">IF(A350="N/A"," ",IF(OR('Pricing Inputs'!$AQ$3=2,'Pricing Inputs'!$AQ$3=3,'Pricing Inputs'!$AQ$3=5,'Pricing Inputs'!$AQ$3=6,'Pricing Inputs'!$AQ$3=8,'Pricing Inputs'!$AQ$3=9),IF(AND('Pricing Inputs'!$AQ$3&gt;=2,'Pricing Inputs'!$AQ$3&lt;=6),K350,(VLOOKUP(A350,ScaledPrice,5))*(2-(VLOOKUP(A350,ScaledPrice,3)))),0))</f>
        <v> </v>
      </c>
      <c r="M350" s="279" t="str">
        <f aca="false">IF(A350="N/A"," ",IF(OR('Pricing Inputs'!$AQ$3=3,'Pricing Inputs'!$AQ$3=6,'Pricing Inputs'!$AQ$3=9),(VLOOKUP(A350,ScaledPrice,IF(AND('Pricing Inputs'!$AQ$3&gt;=3,'Pricing Inputs'!$AQ$3&lt;=6),7,8))),0))</f>
        <v> </v>
      </c>
      <c r="N350" s="279" t="str">
        <f aca="false">IF(A350="N/A"," ",IF(OR('Pricing Inputs'!$AQ$3=3,'Pricing Inputs'!$AQ$3=6,'Pricing Inputs'!$AQ$3=9),IF(AND('Pricing Inputs'!$AQ$3&gt;=3,'Pricing Inputs'!$AQ$3&lt;=6),M350,(VLOOKUP(A350,ScaledPrice,7))*(2-(VLOOKUP(A350,ScaledPrice,3)))),0))</f>
        <v> </v>
      </c>
      <c r="O350" s="279" t="str">
        <f aca="false">IF(A350="N/A"," ",IF(AND('Pricing Inputs'!$AQ$3&gt;=1,'Pricing Inputs'!$AQ$3&lt;=3),VLOOKUP(A350,ScaledPrice,9),0))</f>
        <v> </v>
      </c>
      <c r="P350" s="280" t="str">
        <f aca="false">IF($A350="N/A"," ",IF('Pricing Inputs'!$AN$8=2,(I350-H350),IF('Pricing Inputs'!$AN$3=2,IF((I350-$H350)&gt;0,I350-$H350,0),(xSPRDOPT(I350,$E350,$BU350,0,$BP350,$BS350,$BT350,($A350-Inputs!$D$1)+15,1,0)))))</f>
        <v> </v>
      </c>
      <c r="Q350" s="280" t="str">
        <f aca="false">IF($A350="N/A"," ",IF('Pricing Inputs'!$AN$8=2,(J350-$H350),IF('Pricing Inputs'!$AN$3=2,IF((J350-$H350)&gt;0,J350-$H350,0),(xSPRDOPT(J350,$E350,$BU350,0,$BP350,$BS350,$BT350,($A350-Inputs!$D$1)+15,1,0)))))</f>
        <v> </v>
      </c>
      <c r="R350" s="280" t="str">
        <f aca="false">IF($A350="N/A"," ",IF('Pricing Inputs'!$AN$8=2,(K350-$H350),IF('Pricing Inputs'!$AN$3=2,IF((K350-$H350)&gt;0,K350-$H350,0),(xSPRDOPT(K350,$E350,$BU350,0,$BP350,$BS350,$BT350,($A350-Inputs!$D$1)+15,1,0)))))</f>
        <v> </v>
      </c>
      <c r="S350" s="280" t="str">
        <f aca="false">IF($A350="N/A"," ",IF('Pricing Inputs'!$AN$8=2,(L350-$H350),IF('Pricing Inputs'!$AN$3=2,IF((L350-$H350)&gt;0,L350-$H350,0),(xSPRDOPT(L350,$E350,$BU350,0,$BP350,$BS350,$BT350,($A350-Inputs!$D$1)+15,1,0)))))</f>
        <v> </v>
      </c>
      <c r="T350" s="280" t="str">
        <f aca="false">IF($A350="N/A"," ",IF('Pricing Inputs'!$AN$8=2,(M350-$H350),IF('Pricing Inputs'!$AN$3=2,IF((M350-$H350)&gt;0,M350-$H350,0),(xSPRDOPT(M350,$E350,$BU350,0,$BP350,$BS350,$BT350,($A350-Inputs!$D$1)+15,1,0)))))</f>
        <v> </v>
      </c>
      <c r="U350" s="280" t="str">
        <f aca="false">IF($A350="N/A"," ",IF('Pricing Inputs'!$AN$8=2,(N350-$H350),IF('Pricing Inputs'!$AN$3=2,IF((N350-$H350)&gt;0,N350-$H350,0),(xSPRDOPT(N350,$E350,$BU350,0,$BP350,$BS350,$BT350,($A350-Inputs!$D$1)+15,1,0)))))</f>
        <v> </v>
      </c>
      <c r="V350" s="281" t="str">
        <f aca="false">IF($A350="N/A"," ",(IF('Pricing Inputs'!$AN$8=2,(O350-$H350),IF((O350-$H350)&lt;=0,0,(O350-$H350)))))</f>
        <v> </v>
      </c>
      <c r="BA350" s="291" t="str">
        <f aca="false">IF($A350="N/A"," ",(IF(MONTH(A350)&gt;=4,IF(MONTH(A350)&lt;=10,Inputs!$F$13,Inputs!$F$14),Inputs!$F$14))*$BW350)</f>
        <v> </v>
      </c>
      <c r="BN350" s="294" t="str">
        <f aca="false">IF(A350="N/A"," ",(VLOOKUP(A350,PowerVolTable,(IF('Pricing Inputs'!$AT$3=2,7,IF('Pricing Inputs'!$AT$3=1,6,8))),FALSE())))</f>
        <v> </v>
      </c>
      <c r="BO350" s="294" t="str">
        <f aca="false">IF(A350="N/A"," ",(VLOOKUP(A350,IntraPowerVol,(IF('Pricing Inputs'!$AT$3=2,3,IF('Pricing Inputs'!$AT$3=1,2,4))),FALSE())*VLOOKUP(MONTH($A350),Inputs!$A$28:$B$39,2)))</f>
        <v> </v>
      </c>
      <c r="BP350" s="295" t="str">
        <f aca="false">IF($A350="N/A"," ",(IF(DateToday&gt;$A350,$BO350,((($BN350^2)*((($A350-1)-DateToday)/((EOMONTH($A350,0)+1)-DateToday-15)))+((($BO350)^2)*((15)/((EOMONTH($A350,0)+1)-DateToday-15))))^0.5)))</f>
        <v> </v>
      </c>
      <c r="BQ350" s="294" t="str">
        <f aca="false">IF($A350="N/A"," ",(VLOOKUP($A350,GasVolTable,(IF('Pricing Inputs'!$AT$3=2,6,IF('Pricing Inputs'!$AT$3=1,7,5))),FALSE())))</f>
        <v> </v>
      </c>
      <c r="BR350" s="294" t="str">
        <f aca="false">IF($A350="N/A"," ",(VLOOKUP($A350,OmicronVol,(IF('Pricing Inputs'!$AT$3=2,3,IF('Pricing Inputs'!$AT$3=1,4,2))),FALSE())))</f>
        <v> </v>
      </c>
      <c r="BS350" s="295" t="str">
        <f aca="false">IF($A350="N/A"," ",IF('Pricing Inputs'!$AN$3=1,(IF(DateToday&gt;$A350,$BR350,((($BQ350^2)*((($A350-1)-DateToday)/((EOMONTH($A350,0)+1)-DateToday-15)))+((($BR350)^2)*((15)/((EOMONTH($A350,0)+1)-DateToday-15))))^0.5)),0.0001))</f>
        <v> </v>
      </c>
      <c r="BT350" s="294" t="str">
        <f aca="false">IF($A350="N/A"," ",IF('Pricing Inputs'!$AN$3=1,(VLOOKUP($A350,CorrelationTable,2,FALSE())),0))</f>
        <v> </v>
      </c>
      <c r="BU350" s="296" t="str">
        <f aca="false">IF($A350="N/A"," ",F350+G350+(D350*(VLOOKUP($A350,'Gas Curves'!$B$17:$P$310,14,FALSE()))))</f>
        <v> </v>
      </c>
      <c r="BV350" s="294" t="str">
        <f aca="false">IF($A350="N/A"," ",IF('Pricing Inputs'!$AW$3=1,0,(VLOOKUP($A350,InterestRatesTable,2))))</f>
        <v> </v>
      </c>
      <c r="BW350" s="297" t="str">
        <f aca="false">IF($A350="N/A"," ",(1+BV350/2)^(-2*((EOMONTH(A350,0)+20)-DateToday)/365.25))</f>
        <v> </v>
      </c>
    </row>
    <row r="351" customFormat="false" ht="12.75" hidden="false" customHeight="false" outlineLevel="0" collapsed="false">
      <c r="A351" s="272" t="str">
        <f aca="false">IF(A350="N/A","N/A",IF(EDATE(A350,1)&gt;Inputs!$K$3,"N/A",EDATE(A350,1)))</f>
        <v>N/A</v>
      </c>
      <c r="B351" s="273" t="str">
        <f aca="false">IF(A351="N/A"," ",YEAR(A351))</f>
        <v> </v>
      </c>
      <c r="C351" s="274" t="str">
        <f aca="false">IF(A351="N/A"," ",VLOOKUP(A351,ScaledPrice,10))</f>
        <v> </v>
      </c>
      <c r="D351" s="275" t="str">
        <f aca="false">IF(A351="N/A"," ",(VLOOKUP(MONTH($A351),Inputs!$A$14:$B$25,2))/1000)</f>
        <v> </v>
      </c>
      <c r="E351" s="276" t="str">
        <f aca="false">IF($A351="N/A"," ",C351*D351)</f>
        <v> </v>
      </c>
      <c r="F351" s="277" t="str">
        <f aca="false">IF(A351="N/A"," ",Inputs!$F$6)</f>
        <v> </v>
      </c>
      <c r="G351" s="277" t="str">
        <f aca="false">IF(A351="N/A"," ",Inputs!$F$9/IF(AND('Pricing Inputs'!$AQ$3&gt;=4,'Pricing Inputs'!$AQ$3&lt;=6),16,IF(AND('Pricing Inputs'!$AQ$3&gt;=7,'Pricing Inputs'!$AQ$3&lt;=9),8,24))/(BA351/BW351))</f>
        <v> </v>
      </c>
      <c r="H351" s="278" t="str">
        <f aca="false">IF(A351="N/A"," ",(C351*D351)+F351+G351)</f>
        <v> </v>
      </c>
      <c r="I351" s="279" t="str">
        <f aca="false">VLOOKUP(A351,ScaledPrice,(IF(AND('Pricing Inputs'!$AQ$3&gt;=1,'Pricing Inputs'!$AQ$3&lt;=6),2,4)))</f>
        <v> </v>
      </c>
      <c r="J351" s="279" t="str">
        <f aca="false">IF(A351="N/A"," ",IF(AND('Pricing Inputs'!$AQ$3&gt;=1,'Pricing Inputs'!$AQ$3&lt;=6),I351,(VLOOKUP(A351,ScaledPrice,2))*(2-(VLOOKUP(A351,ScaledPrice,3)))))</f>
        <v> </v>
      </c>
      <c r="K351" s="279" t="str">
        <f aca="false">IF(A351="N/A"," ",IF(OR('Pricing Inputs'!$AQ$3=2,'Pricing Inputs'!$AQ$3=3,'Pricing Inputs'!$AQ$3=5,'Pricing Inputs'!$AQ$3=6,'Pricing Inputs'!$AQ$3=8,'Pricing Inputs'!$AQ$3=9),VLOOKUP(A351,ScaledPrice,IF(AND('Pricing Inputs'!$AQ$3&gt;=2,'Pricing Inputs'!$AQ$3&lt;=6),5,6)),0))</f>
        <v> </v>
      </c>
      <c r="L351" s="279" t="str">
        <f aca="false">IF(A351="N/A"," ",IF(OR('Pricing Inputs'!$AQ$3=2,'Pricing Inputs'!$AQ$3=3,'Pricing Inputs'!$AQ$3=5,'Pricing Inputs'!$AQ$3=6,'Pricing Inputs'!$AQ$3=8,'Pricing Inputs'!$AQ$3=9),IF(AND('Pricing Inputs'!$AQ$3&gt;=2,'Pricing Inputs'!$AQ$3&lt;=6),K351,(VLOOKUP(A351,ScaledPrice,5))*(2-(VLOOKUP(A351,ScaledPrice,3)))),0))</f>
        <v> </v>
      </c>
      <c r="M351" s="279" t="str">
        <f aca="false">IF(A351="N/A"," ",IF(OR('Pricing Inputs'!$AQ$3=3,'Pricing Inputs'!$AQ$3=6,'Pricing Inputs'!$AQ$3=9),(VLOOKUP(A351,ScaledPrice,IF(AND('Pricing Inputs'!$AQ$3&gt;=3,'Pricing Inputs'!$AQ$3&lt;=6),7,8))),0))</f>
        <v> </v>
      </c>
      <c r="N351" s="279" t="str">
        <f aca="false">IF(A351="N/A"," ",IF(OR('Pricing Inputs'!$AQ$3=3,'Pricing Inputs'!$AQ$3=6,'Pricing Inputs'!$AQ$3=9),IF(AND('Pricing Inputs'!$AQ$3&gt;=3,'Pricing Inputs'!$AQ$3&lt;=6),M351,(VLOOKUP(A351,ScaledPrice,7))*(2-(VLOOKUP(A351,ScaledPrice,3)))),0))</f>
        <v> </v>
      </c>
      <c r="O351" s="279" t="str">
        <f aca="false">IF(A351="N/A"," ",IF(AND('Pricing Inputs'!$AQ$3&gt;=1,'Pricing Inputs'!$AQ$3&lt;=3),VLOOKUP(A351,ScaledPrice,9),0))</f>
        <v> </v>
      </c>
      <c r="P351" s="280" t="str">
        <f aca="false">IF($A351="N/A"," ",IF('Pricing Inputs'!$AN$8=2,(I351-H351),IF('Pricing Inputs'!$AN$3=2,IF((I351-$H351)&gt;0,I351-$H351,0),(xSPRDOPT(I351,$E351,$BU351,0,$BP351,$BS351,$BT351,($A351-Inputs!$D$1)+15,1,0)))))</f>
        <v> </v>
      </c>
      <c r="Q351" s="280" t="str">
        <f aca="false">IF($A351="N/A"," ",IF('Pricing Inputs'!$AN$8=2,(J351-$H351),IF('Pricing Inputs'!$AN$3=2,IF((J351-$H351)&gt;0,J351-$H351,0),(xSPRDOPT(J351,$E351,$BU351,0,$BP351,$BS351,$BT351,($A351-Inputs!$D$1)+15,1,0)))))</f>
        <v> </v>
      </c>
      <c r="R351" s="280" t="str">
        <f aca="false">IF($A351="N/A"," ",IF('Pricing Inputs'!$AN$8=2,(K351-$H351),IF('Pricing Inputs'!$AN$3=2,IF((K351-$H351)&gt;0,K351-$H351,0),(xSPRDOPT(K351,$E351,$BU351,0,$BP351,$BS351,$BT351,($A351-Inputs!$D$1)+15,1,0)))))</f>
        <v> </v>
      </c>
      <c r="S351" s="280" t="str">
        <f aca="false">IF($A351="N/A"," ",IF('Pricing Inputs'!$AN$8=2,(L351-$H351),IF('Pricing Inputs'!$AN$3=2,IF((L351-$H351)&gt;0,L351-$H351,0),(xSPRDOPT(L351,$E351,$BU351,0,$BP351,$BS351,$BT351,($A351-Inputs!$D$1)+15,1,0)))))</f>
        <v> </v>
      </c>
      <c r="T351" s="280" t="str">
        <f aca="false">IF($A351="N/A"," ",IF('Pricing Inputs'!$AN$8=2,(M351-$H351),IF('Pricing Inputs'!$AN$3=2,IF((M351-$H351)&gt;0,M351-$H351,0),(xSPRDOPT(M351,$E351,$BU351,0,$BP351,$BS351,$BT351,($A351-Inputs!$D$1)+15,1,0)))))</f>
        <v> </v>
      </c>
      <c r="U351" s="280" t="str">
        <f aca="false">IF($A351="N/A"," ",IF('Pricing Inputs'!$AN$8=2,(N351-$H351),IF('Pricing Inputs'!$AN$3=2,IF((N351-$H351)&gt;0,N351-$H351,0),(xSPRDOPT(N351,$E351,$BU351,0,$BP351,$BS351,$BT351,($A351-Inputs!$D$1)+15,1,0)))))</f>
        <v> </v>
      </c>
      <c r="V351" s="281" t="str">
        <f aca="false">IF($A351="N/A"," ",(IF('Pricing Inputs'!$AN$8=2,(O351-$H351),IF((O351-$H351)&lt;=0,0,(O351-$H351)))))</f>
        <v> </v>
      </c>
      <c r="BA351" s="291" t="str">
        <f aca="false">IF($A351="N/A"," ",(IF(MONTH(A351)&gt;=4,IF(MONTH(A351)&lt;=10,Inputs!$F$13,Inputs!$F$14),Inputs!$F$14))*$BW351)</f>
        <v> </v>
      </c>
      <c r="BN351" s="294" t="str">
        <f aca="false">IF(A351="N/A"," ",(VLOOKUP(A351,PowerVolTable,(IF('Pricing Inputs'!$AT$3=2,7,IF('Pricing Inputs'!$AT$3=1,6,8))),FALSE())))</f>
        <v> </v>
      </c>
      <c r="BO351" s="294" t="str">
        <f aca="false">IF(A351="N/A"," ",(VLOOKUP(A351,IntraPowerVol,(IF('Pricing Inputs'!$AT$3=2,3,IF('Pricing Inputs'!$AT$3=1,2,4))),FALSE())*VLOOKUP(MONTH($A351),Inputs!$A$28:$B$39,2)))</f>
        <v> </v>
      </c>
      <c r="BP351" s="295" t="str">
        <f aca="false">IF($A351="N/A"," ",(IF(DateToday&gt;$A351,$BO351,((($BN351^2)*((($A351-1)-DateToday)/((EOMONTH($A351,0)+1)-DateToday-15)))+((($BO351)^2)*((15)/((EOMONTH($A351,0)+1)-DateToday-15))))^0.5)))</f>
        <v> </v>
      </c>
      <c r="BQ351" s="294" t="str">
        <f aca="false">IF($A351="N/A"," ",(VLOOKUP($A351,GasVolTable,(IF('Pricing Inputs'!$AT$3=2,6,IF('Pricing Inputs'!$AT$3=1,7,5))),FALSE())))</f>
        <v> </v>
      </c>
      <c r="BR351" s="294" t="str">
        <f aca="false">IF($A351="N/A"," ",(VLOOKUP($A351,OmicronVol,(IF('Pricing Inputs'!$AT$3=2,3,IF('Pricing Inputs'!$AT$3=1,4,2))),FALSE())))</f>
        <v> </v>
      </c>
      <c r="BS351" s="295" t="str">
        <f aca="false">IF($A351="N/A"," ",IF('Pricing Inputs'!$AN$3=1,(IF(DateToday&gt;$A351,$BR351,((($BQ351^2)*((($A351-1)-DateToday)/((EOMONTH($A351,0)+1)-DateToday-15)))+((($BR351)^2)*((15)/((EOMONTH($A351,0)+1)-DateToday-15))))^0.5)),0.0001))</f>
        <v> </v>
      </c>
      <c r="BT351" s="294" t="str">
        <f aca="false">IF($A351="N/A"," ",IF('Pricing Inputs'!$AN$3=1,(VLOOKUP($A351,CorrelationTable,2,FALSE())),0))</f>
        <v> </v>
      </c>
      <c r="BU351" s="296" t="str">
        <f aca="false">IF($A351="N/A"," ",F351+G351+(D351*(VLOOKUP($A351,'Gas Curves'!$B$17:$P$310,14,FALSE()))))</f>
        <v> </v>
      </c>
      <c r="BV351" s="294" t="str">
        <f aca="false">IF($A351="N/A"," ",IF('Pricing Inputs'!$AW$3=1,0,(VLOOKUP($A351,InterestRatesTable,2))))</f>
        <v> </v>
      </c>
      <c r="BW351" s="297" t="str">
        <f aca="false">IF($A351="N/A"," ",(1+BV351/2)^(-2*((EOMONTH(A351,0)+20)-DateToday)/365.25))</f>
        <v> </v>
      </c>
    </row>
    <row r="352" customFormat="false" ht="12.75" hidden="false" customHeight="false" outlineLevel="0" collapsed="false">
      <c r="A352" s="272" t="str">
        <f aca="false">IF(A351="N/A","N/A",IF(EDATE(A351,1)&gt;Inputs!$K$3,"N/A",EDATE(A351,1)))</f>
        <v>N/A</v>
      </c>
      <c r="B352" s="273" t="str">
        <f aca="false">IF(A352="N/A"," ",YEAR(A352))</f>
        <v> </v>
      </c>
      <c r="C352" s="274" t="str">
        <f aca="false">IF(A352="N/A"," ",VLOOKUP(A352,ScaledPrice,10))</f>
        <v> </v>
      </c>
      <c r="D352" s="275" t="str">
        <f aca="false">IF(A352="N/A"," ",(VLOOKUP(MONTH($A352),Inputs!$A$14:$B$25,2))/1000)</f>
        <v> </v>
      </c>
      <c r="E352" s="276" t="str">
        <f aca="false">IF($A352="N/A"," ",C352*D352)</f>
        <v> </v>
      </c>
      <c r="F352" s="277" t="str">
        <f aca="false">IF(A352="N/A"," ",Inputs!$F$6)</f>
        <v> </v>
      </c>
      <c r="G352" s="277" t="str">
        <f aca="false">IF(A352="N/A"," ",Inputs!$F$9/IF(AND('Pricing Inputs'!$AQ$3&gt;=4,'Pricing Inputs'!$AQ$3&lt;=6),16,IF(AND('Pricing Inputs'!$AQ$3&gt;=7,'Pricing Inputs'!$AQ$3&lt;=9),8,24))/(BA352/BW352))</f>
        <v> </v>
      </c>
      <c r="H352" s="278" t="str">
        <f aca="false">IF(A352="N/A"," ",(C352*D352)+F352+G352)</f>
        <v> </v>
      </c>
      <c r="I352" s="279" t="str">
        <f aca="false">VLOOKUP(A352,ScaledPrice,(IF(AND('Pricing Inputs'!$AQ$3&gt;=1,'Pricing Inputs'!$AQ$3&lt;=6),2,4)))</f>
        <v> </v>
      </c>
      <c r="J352" s="279" t="str">
        <f aca="false">IF(A352="N/A"," ",IF(AND('Pricing Inputs'!$AQ$3&gt;=1,'Pricing Inputs'!$AQ$3&lt;=6),I352,(VLOOKUP(A352,ScaledPrice,2))*(2-(VLOOKUP(A352,ScaledPrice,3)))))</f>
        <v> </v>
      </c>
      <c r="K352" s="279" t="str">
        <f aca="false">IF(A352="N/A"," ",IF(OR('Pricing Inputs'!$AQ$3=2,'Pricing Inputs'!$AQ$3=3,'Pricing Inputs'!$AQ$3=5,'Pricing Inputs'!$AQ$3=6,'Pricing Inputs'!$AQ$3=8,'Pricing Inputs'!$AQ$3=9),VLOOKUP(A352,ScaledPrice,IF(AND('Pricing Inputs'!$AQ$3&gt;=2,'Pricing Inputs'!$AQ$3&lt;=6),5,6)),0))</f>
        <v> </v>
      </c>
      <c r="L352" s="279" t="str">
        <f aca="false">IF(A352="N/A"," ",IF(OR('Pricing Inputs'!$AQ$3=2,'Pricing Inputs'!$AQ$3=3,'Pricing Inputs'!$AQ$3=5,'Pricing Inputs'!$AQ$3=6,'Pricing Inputs'!$AQ$3=8,'Pricing Inputs'!$AQ$3=9),IF(AND('Pricing Inputs'!$AQ$3&gt;=2,'Pricing Inputs'!$AQ$3&lt;=6),K352,(VLOOKUP(A352,ScaledPrice,5))*(2-(VLOOKUP(A352,ScaledPrice,3)))),0))</f>
        <v> </v>
      </c>
      <c r="M352" s="279" t="str">
        <f aca="false">IF(A352="N/A"," ",IF(OR('Pricing Inputs'!$AQ$3=3,'Pricing Inputs'!$AQ$3=6,'Pricing Inputs'!$AQ$3=9),(VLOOKUP(A352,ScaledPrice,IF(AND('Pricing Inputs'!$AQ$3&gt;=3,'Pricing Inputs'!$AQ$3&lt;=6),7,8))),0))</f>
        <v> </v>
      </c>
      <c r="N352" s="279" t="str">
        <f aca="false">IF(A352="N/A"," ",IF(OR('Pricing Inputs'!$AQ$3=3,'Pricing Inputs'!$AQ$3=6,'Pricing Inputs'!$AQ$3=9),IF(AND('Pricing Inputs'!$AQ$3&gt;=3,'Pricing Inputs'!$AQ$3&lt;=6),M352,(VLOOKUP(A352,ScaledPrice,7))*(2-(VLOOKUP(A352,ScaledPrice,3)))),0))</f>
        <v> </v>
      </c>
      <c r="O352" s="279" t="str">
        <f aca="false">IF(A352="N/A"," ",IF(AND('Pricing Inputs'!$AQ$3&gt;=1,'Pricing Inputs'!$AQ$3&lt;=3),VLOOKUP(A352,ScaledPrice,9),0))</f>
        <v> </v>
      </c>
      <c r="P352" s="280" t="str">
        <f aca="false">IF($A352="N/A"," ",IF('Pricing Inputs'!$AN$8=2,(I352-H352),IF('Pricing Inputs'!$AN$3=2,IF((I352-$H352)&gt;0,I352-$H352,0),(xSPRDOPT(I352,$E352,$BU352,0,$BP352,$BS352,$BT352,($A352-Inputs!$D$1)+15,1,0)))))</f>
        <v> </v>
      </c>
      <c r="Q352" s="280" t="str">
        <f aca="false">IF($A352="N/A"," ",IF('Pricing Inputs'!$AN$8=2,(J352-$H352),IF('Pricing Inputs'!$AN$3=2,IF((J352-$H352)&gt;0,J352-$H352,0),(xSPRDOPT(J352,$E352,$BU352,0,$BP352,$BS352,$BT352,($A352-Inputs!$D$1)+15,1,0)))))</f>
        <v> </v>
      </c>
      <c r="R352" s="280" t="str">
        <f aca="false">IF($A352="N/A"," ",IF('Pricing Inputs'!$AN$8=2,(K352-$H352),IF('Pricing Inputs'!$AN$3=2,IF((K352-$H352)&gt;0,K352-$H352,0),(xSPRDOPT(K352,$E352,$BU352,0,$BP352,$BS352,$BT352,($A352-Inputs!$D$1)+15,1,0)))))</f>
        <v> </v>
      </c>
      <c r="S352" s="280" t="str">
        <f aca="false">IF($A352="N/A"," ",IF('Pricing Inputs'!$AN$8=2,(L352-$H352),IF('Pricing Inputs'!$AN$3=2,IF((L352-$H352)&gt;0,L352-$H352,0),(xSPRDOPT(L352,$E352,$BU352,0,$BP352,$BS352,$BT352,($A352-Inputs!$D$1)+15,1,0)))))</f>
        <v> </v>
      </c>
      <c r="T352" s="280" t="str">
        <f aca="false">IF($A352="N/A"," ",IF('Pricing Inputs'!$AN$8=2,(M352-$H352),IF('Pricing Inputs'!$AN$3=2,IF((M352-$H352)&gt;0,M352-$H352,0),(xSPRDOPT(M352,$E352,$BU352,0,$BP352,$BS352,$BT352,($A352-Inputs!$D$1)+15,1,0)))))</f>
        <v> </v>
      </c>
      <c r="U352" s="280" t="str">
        <f aca="false">IF($A352="N/A"," ",IF('Pricing Inputs'!$AN$8=2,(N352-$H352),IF('Pricing Inputs'!$AN$3=2,IF((N352-$H352)&gt;0,N352-$H352,0),(xSPRDOPT(N352,$E352,$BU352,0,$BP352,$BS352,$BT352,($A352-Inputs!$D$1)+15,1,0)))))</f>
        <v> </v>
      </c>
      <c r="V352" s="281" t="str">
        <f aca="false">IF($A352="N/A"," ",(IF('Pricing Inputs'!$AN$8=2,(O352-$H352),IF((O352-$H352)&lt;=0,0,(O352-$H352)))))</f>
        <v> </v>
      </c>
      <c r="BA352" s="291" t="str">
        <f aca="false">IF($A352="N/A"," ",(IF(MONTH(A352)&gt;=4,IF(MONTH(A352)&lt;=10,Inputs!$F$13,Inputs!$F$14),Inputs!$F$14))*$BW352)</f>
        <v> </v>
      </c>
      <c r="BN352" s="294" t="str">
        <f aca="false">IF(A352="N/A"," ",(VLOOKUP(A352,PowerVolTable,(IF('Pricing Inputs'!$AT$3=2,7,IF('Pricing Inputs'!$AT$3=1,6,8))),FALSE())))</f>
        <v> </v>
      </c>
      <c r="BO352" s="294" t="str">
        <f aca="false">IF(A352="N/A"," ",(VLOOKUP(A352,IntraPowerVol,(IF('Pricing Inputs'!$AT$3=2,3,IF('Pricing Inputs'!$AT$3=1,2,4))),FALSE())*VLOOKUP(MONTH($A352),Inputs!$A$28:$B$39,2)))</f>
        <v> </v>
      </c>
      <c r="BP352" s="295" t="str">
        <f aca="false">IF($A352="N/A"," ",(IF(DateToday&gt;$A352,$BO352,((($BN352^2)*((($A352-1)-DateToday)/((EOMONTH($A352,0)+1)-DateToday-15)))+((($BO352)^2)*((15)/((EOMONTH($A352,0)+1)-DateToday-15))))^0.5)))</f>
        <v> </v>
      </c>
      <c r="BQ352" s="294" t="str">
        <f aca="false">IF($A352="N/A"," ",(VLOOKUP($A352,GasVolTable,(IF('Pricing Inputs'!$AT$3=2,6,IF('Pricing Inputs'!$AT$3=1,7,5))),FALSE())))</f>
        <v> </v>
      </c>
      <c r="BR352" s="294" t="str">
        <f aca="false">IF($A352="N/A"," ",(VLOOKUP($A352,OmicronVol,(IF('Pricing Inputs'!$AT$3=2,3,IF('Pricing Inputs'!$AT$3=1,4,2))),FALSE())))</f>
        <v> </v>
      </c>
      <c r="BS352" s="295" t="str">
        <f aca="false">IF($A352="N/A"," ",IF('Pricing Inputs'!$AN$3=1,(IF(DateToday&gt;$A352,$BR352,((($BQ352^2)*((($A352-1)-DateToday)/((EOMONTH($A352,0)+1)-DateToday-15)))+((($BR352)^2)*((15)/((EOMONTH($A352,0)+1)-DateToday-15))))^0.5)),0.0001))</f>
        <v> </v>
      </c>
      <c r="BT352" s="294" t="str">
        <f aca="false">IF($A352="N/A"," ",IF('Pricing Inputs'!$AN$3=1,(VLOOKUP($A352,CorrelationTable,2,FALSE())),0))</f>
        <v> </v>
      </c>
      <c r="BU352" s="296" t="str">
        <f aca="false">IF($A352="N/A"," ",F352+G352+(D352*(VLOOKUP($A352,'Gas Curves'!$B$17:$P$310,14,FALSE()))))</f>
        <v> </v>
      </c>
      <c r="BV352" s="294" t="str">
        <f aca="false">IF($A352="N/A"," ",IF('Pricing Inputs'!$AW$3=1,0,(VLOOKUP($A352,InterestRatesTable,2))))</f>
        <v> </v>
      </c>
      <c r="BW352" s="297" t="str">
        <f aca="false">IF($A352="N/A"," ",(1+BV352/2)^(-2*((EOMONTH(A352,0)+20)-DateToday)/365.25))</f>
        <v> </v>
      </c>
    </row>
    <row r="353" customFormat="false" ht="12.75" hidden="false" customHeight="false" outlineLevel="0" collapsed="false">
      <c r="A353" s="272" t="str">
        <f aca="false">IF(A352="N/A","N/A",IF(EDATE(A352,1)&gt;Inputs!$K$3,"N/A",EDATE(A352,1)))</f>
        <v>N/A</v>
      </c>
      <c r="B353" s="273" t="str">
        <f aca="false">IF(A353="N/A"," ",YEAR(A353))</f>
        <v> </v>
      </c>
      <c r="C353" s="274" t="str">
        <f aca="false">IF(A353="N/A"," ",VLOOKUP(A353,ScaledPrice,10))</f>
        <v> </v>
      </c>
      <c r="D353" s="275" t="str">
        <f aca="false">IF(A353="N/A"," ",(VLOOKUP(MONTH($A353),Inputs!$A$14:$B$25,2))/1000)</f>
        <v> </v>
      </c>
      <c r="E353" s="276" t="str">
        <f aca="false">IF($A353="N/A"," ",C353*D353)</f>
        <v> </v>
      </c>
      <c r="F353" s="277" t="str">
        <f aca="false">IF(A353="N/A"," ",Inputs!$F$6)</f>
        <v> </v>
      </c>
      <c r="G353" s="277" t="str">
        <f aca="false">IF(A353="N/A"," ",Inputs!$F$9/IF(AND('Pricing Inputs'!$AQ$3&gt;=4,'Pricing Inputs'!$AQ$3&lt;=6),16,IF(AND('Pricing Inputs'!$AQ$3&gt;=7,'Pricing Inputs'!$AQ$3&lt;=9),8,24))/(BA353/BW353))</f>
        <v> </v>
      </c>
      <c r="H353" s="278" t="str">
        <f aca="false">IF(A353="N/A"," ",(C353*D353)+F353+G353)</f>
        <v> </v>
      </c>
      <c r="I353" s="279" t="str">
        <f aca="false">VLOOKUP(A353,ScaledPrice,(IF(AND('Pricing Inputs'!$AQ$3&gt;=1,'Pricing Inputs'!$AQ$3&lt;=6),2,4)))</f>
        <v> </v>
      </c>
      <c r="J353" s="279" t="str">
        <f aca="false">IF(A353="N/A"," ",IF(AND('Pricing Inputs'!$AQ$3&gt;=1,'Pricing Inputs'!$AQ$3&lt;=6),I353,(VLOOKUP(A353,ScaledPrice,2))*(2-(VLOOKUP(A353,ScaledPrice,3)))))</f>
        <v> </v>
      </c>
      <c r="K353" s="279" t="str">
        <f aca="false">IF(A353="N/A"," ",IF(OR('Pricing Inputs'!$AQ$3=2,'Pricing Inputs'!$AQ$3=3,'Pricing Inputs'!$AQ$3=5,'Pricing Inputs'!$AQ$3=6,'Pricing Inputs'!$AQ$3=8,'Pricing Inputs'!$AQ$3=9),VLOOKUP(A353,ScaledPrice,IF(AND('Pricing Inputs'!$AQ$3&gt;=2,'Pricing Inputs'!$AQ$3&lt;=6),5,6)),0))</f>
        <v> </v>
      </c>
      <c r="L353" s="279" t="str">
        <f aca="false">IF(A353="N/A"," ",IF(OR('Pricing Inputs'!$AQ$3=2,'Pricing Inputs'!$AQ$3=3,'Pricing Inputs'!$AQ$3=5,'Pricing Inputs'!$AQ$3=6,'Pricing Inputs'!$AQ$3=8,'Pricing Inputs'!$AQ$3=9),IF(AND('Pricing Inputs'!$AQ$3&gt;=2,'Pricing Inputs'!$AQ$3&lt;=6),K353,(VLOOKUP(A353,ScaledPrice,5))*(2-(VLOOKUP(A353,ScaledPrice,3)))),0))</f>
        <v> </v>
      </c>
      <c r="M353" s="279" t="str">
        <f aca="false">IF(A353="N/A"," ",IF(OR('Pricing Inputs'!$AQ$3=3,'Pricing Inputs'!$AQ$3=6,'Pricing Inputs'!$AQ$3=9),(VLOOKUP(A353,ScaledPrice,IF(AND('Pricing Inputs'!$AQ$3&gt;=3,'Pricing Inputs'!$AQ$3&lt;=6),7,8))),0))</f>
        <v> </v>
      </c>
      <c r="N353" s="279" t="str">
        <f aca="false">IF(A353="N/A"," ",IF(OR('Pricing Inputs'!$AQ$3=3,'Pricing Inputs'!$AQ$3=6,'Pricing Inputs'!$AQ$3=9),IF(AND('Pricing Inputs'!$AQ$3&gt;=3,'Pricing Inputs'!$AQ$3&lt;=6),M353,(VLOOKUP(A353,ScaledPrice,7))*(2-(VLOOKUP(A353,ScaledPrice,3)))),0))</f>
        <v> </v>
      </c>
      <c r="O353" s="279" t="str">
        <f aca="false">IF(A353="N/A"," ",IF(AND('Pricing Inputs'!$AQ$3&gt;=1,'Pricing Inputs'!$AQ$3&lt;=3),VLOOKUP(A353,ScaledPrice,9),0))</f>
        <v> </v>
      </c>
      <c r="P353" s="280" t="str">
        <f aca="false">IF($A353="N/A"," ",IF('Pricing Inputs'!$AN$8=2,(I353-H353),IF('Pricing Inputs'!$AN$3=2,IF((I353-$H353)&gt;0,I353-$H353,0),(xSPRDOPT(I353,$E353,$BU353,0,$BP353,$BS353,$BT353,($A353-Inputs!$D$1)+15,1,0)))))</f>
        <v> </v>
      </c>
      <c r="Q353" s="280" t="str">
        <f aca="false">IF($A353="N/A"," ",IF('Pricing Inputs'!$AN$8=2,(J353-$H353),IF('Pricing Inputs'!$AN$3=2,IF((J353-$H353)&gt;0,J353-$H353,0),(xSPRDOPT(J353,$E353,$BU353,0,$BP353,$BS353,$BT353,($A353-Inputs!$D$1)+15,1,0)))))</f>
        <v> </v>
      </c>
      <c r="R353" s="280" t="str">
        <f aca="false">IF($A353="N/A"," ",IF('Pricing Inputs'!$AN$8=2,(K353-$H353),IF('Pricing Inputs'!$AN$3=2,IF((K353-$H353)&gt;0,K353-$H353,0),(xSPRDOPT(K353,$E353,$BU353,0,$BP353,$BS353,$BT353,($A353-Inputs!$D$1)+15,1,0)))))</f>
        <v> </v>
      </c>
      <c r="S353" s="280" t="str">
        <f aca="false">IF($A353="N/A"," ",IF('Pricing Inputs'!$AN$8=2,(L353-$H353),IF('Pricing Inputs'!$AN$3=2,IF((L353-$H353)&gt;0,L353-$H353,0),(xSPRDOPT(L353,$E353,$BU353,0,$BP353,$BS353,$BT353,($A353-Inputs!$D$1)+15,1,0)))))</f>
        <v> </v>
      </c>
      <c r="T353" s="280" t="str">
        <f aca="false">IF($A353="N/A"," ",IF('Pricing Inputs'!$AN$8=2,(M353-$H353),IF('Pricing Inputs'!$AN$3=2,IF((M353-$H353)&gt;0,M353-$H353,0),(xSPRDOPT(M353,$E353,$BU353,0,$BP353,$BS353,$BT353,($A353-Inputs!$D$1)+15,1,0)))))</f>
        <v> </v>
      </c>
      <c r="U353" s="280" t="str">
        <f aca="false">IF($A353="N/A"," ",IF('Pricing Inputs'!$AN$8=2,(N353-$H353),IF('Pricing Inputs'!$AN$3=2,IF((N353-$H353)&gt;0,N353-$H353,0),(xSPRDOPT(N353,$E353,$BU353,0,$BP353,$BS353,$BT353,($A353-Inputs!$D$1)+15,1,0)))))</f>
        <v> </v>
      </c>
      <c r="V353" s="281" t="str">
        <f aca="false">IF($A353="N/A"," ",(IF('Pricing Inputs'!$AN$8=2,(O353-$H353),IF((O353-$H353)&lt;=0,0,(O353-$H353)))))</f>
        <v> </v>
      </c>
      <c r="BA353" s="291" t="str">
        <f aca="false">IF($A353="N/A"," ",(IF(MONTH(A353)&gt;=4,IF(MONTH(A353)&lt;=10,Inputs!$F$13,Inputs!$F$14),Inputs!$F$14))*$BW353)</f>
        <v> </v>
      </c>
      <c r="BN353" s="294" t="str">
        <f aca="false">IF(A353="N/A"," ",(VLOOKUP(A353,PowerVolTable,(IF('Pricing Inputs'!$AT$3=2,7,IF('Pricing Inputs'!$AT$3=1,6,8))),FALSE())))</f>
        <v> </v>
      </c>
      <c r="BO353" s="294" t="str">
        <f aca="false">IF(A353="N/A"," ",(VLOOKUP(A353,IntraPowerVol,(IF('Pricing Inputs'!$AT$3=2,3,IF('Pricing Inputs'!$AT$3=1,2,4))),FALSE())*VLOOKUP(MONTH($A353),Inputs!$A$28:$B$39,2)))</f>
        <v> </v>
      </c>
      <c r="BP353" s="295" t="str">
        <f aca="false">IF($A353="N/A"," ",(IF(DateToday&gt;$A353,$BO353,((($BN353^2)*((($A353-1)-DateToday)/((EOMONTH($A353,0)+1)-DateToday-15)))+((($BO353)^2)*((15)/((EOMONTH($A353,0)+1)-DateToday-15))))^0.5)))</f>
        <v> </v>
      </c>
      <c r="BQ353" s="294" t="str">
        <f aca="false">IF($A353="N/A"," ",(VLOOKUP($A353,GasVolTable,(IF('Pricing Inputs'!$AT$3=2,6,IF('Pricing Inputs'!$AT$3=1,7,5))),FALSE())))</f>
        <v> </v>
      </c>
      <c r="BR353" s="294" t="str">
        <f aca="false">IF($A353="N/A"," ",(VLOOKUP($A353,OmicronVol,(IF('Pricing Inputs'!$AT$3=2,3,IF('Pricing Inputs'!$AT$3=1,4,2))),FALSE())))</f>
        <v> </v>
      </c>
      <c r="BS353" s="295" t="str">
        <f aca="false">IF($A353="N/A"," ",IF('Pricing Inputs'!$AN$3=1,(IF(DateToday&gt;$A353,$BR353,((($BQ353^2)*((($A353-1)-DateToday)/((EOMONTH($A353,0)+1)-DateToday-15)))+((($BR353)^2)*((15)/((EOMONTH($A353,0)+1)-DateToday-15))))^0.5)),0.0001))</f>
        <v> </v>
      </c>
      <c r="BT353" s="294" t="str">
        <f aca="false">IF($A353="N/A"," ",IF('Pricing Inputs'!$AN$3=1,(VLOOKUP($A353,CorrelationTable,2,FALSE())),0))</f>
        <v> </v>
      </c>
      <c r="BU353" s="296" t="str">
        <f aca="false">IF($A353="N/A"," ",F353+G353+(D353*(VLOOKUP($A353,'Gas Curves'!$B$17:$P$310,14,FALSE()))))</f>
        <v> </v>
      </c>
      <c r="BV353" s="294" t="str">
        <f aca="false">IF($A353="N/A"," ",IF('Pricing Inputs'!$AW$3=1,0,(VLOOKUP($A353,InterestRatesTable,2))))</f>
        <v> </v>
      </c>
      <c r="BW353" s="297" t="str">
        <f aca="false">IF($A353="N/A"," ",(1+BV353/2)^(-2*((EOMONTH(A353,0)+20)-DateToday)/365.25))</f>
        <v> </v>
      </c>
    </row>
    <row r="354" customFormat="false" ht="12.75" hidden="false" customHeight="false" outlineLevel="0" collapsed="false">
      <c r="A354" s="272" t="str">
        <f aca="false">IF(A353="N/A","N/A",IF(EDATE(A353,1)&gt;Inputs!$K$3,"N/A",EDATE(A353,1)))</f>
        <v>N/A</v>
      </c>
      <c r="B354" s="273" t="str">
        <f aca="false">IF(A354="N/A"," ",YEAR(A354))</f>
        <v> </v>
      </c>
      <c r="C354" s="274" t="str">
        <f aca="false">IF(A354="N/A"," ",VLOOKUP(A354,ScaledPrice,10))</f>
        <v> </v>
      </c>
      <c r="D354" s="275" t="str">
        <f aca="false">IF(A354="N/A"," ",(VLOOKUP(MONTH($A354),Inputs!$A$14:$B$25,2))/1000)</f>
        <v> </v>
      </c>
      <c r="E354" s="276" t="str">
        <f aca="false">IF($A354="N/A"," ",C354*D354)</f>
        <v> </v>
      </c>
      <c r="F354" s="277" t="str">
        <f aca="false">IF(A354="N/A"," ",Inputs!$F$6)</f>
        <v> </v>
      </c>
      <c r="G354" s="277" t="str">
        <f aca="false">IF(A354="N/A"," ",Inputs!$F$9/IF(AND('Pricing Inputs'!$AQ$3&gt;=4,'Pricing Inputs'!$AQ$3&lt;=6),16,IF(AND('Pricing Inputs'!$AQ$3&gt;=7,'Pricing Inputs'!$AQ$3&lt;=9),8,24))/(BA354/BW354))</f>
        <v> </v>
      </c>
      <c r="H354" s="278" t="str">
        <f aca="false">IF(A354="N/A"," ",(C354*D354)+F354+G354)</f>
        <v> </v>
      </c>
      <c r="I354" s="279" t="str">
        <f aca="false">VLOOKUP(A354,ScaledPrice,(IF(AND('Pricing Inputs'!$AQ$3&gt;=1,'Pricing Inputs'!$AQ$3&lt;=6),2,4)))</f>
        <v> </v>
      </c>
      <c r="J354" s="279" t="str">
        <f aca="false">IF(A354="N/A"," ",IF(AND('Pricing Inputs'!$AQ$3&gt;=1,'Pricing Inputs'!$AQ$3&lt;=6),I354,(VLOOKUP(A354,ScaledPrice,2))*(2-(VLOOKUP(A354,ScaledPrice,3)))))</f>
        <v> </v>
      </c>
      <c r="K354" s="279" t="str">
        <f aca="false">IF(A354="N/A"," ",IF(OR('Pricing Inputs'!$AQ$3=2,'Pricing Inputs'!$AQ$3=3,'Pricing Inputs'!$AQ$3=5,'Pricing Inputs'!$AQ$3=6,'Pricing Inputs'!$AQ$3=8,'Pricing Inputs'!$AQ$3=9),VLOOKUP(A354,ScaledPrice,IF(AND('Pricing Inputs'!$AQ$3&gt;=2,'Pricing Inputs'!$AQ$3&lt;=6),5,6)),0))</f>
        <v> </v>
      </c>
      <c r="L354" s="279" t="str">
        <f aca="false">IF(A354="N/A"," ",IF(OR('Pricing Inputs'!$AQ$3=2,'Pricing Inputs'!$AQ$3=3,'Pricing Inputs'!$AQ$3=5,'Pricing Inputs'!$AQ$3=6,'Pricing Inputs'!$AQ$3=8,'Pricing Inputs'!$AQ$3=9),IF(AND('Pricing Inputs'!$AQ$3&gt;=2,'Pricing Inputs'!$AQ$3&lt;=6),K354,(VLOOKUP(A354,ScaledPrice,5))*(2-(VLOOKUP(A354,ScaledPrice,3)))),0))</f>
        <v> </v>
      </c>
      <c r="M354" s="279" t="str">
        <f aca="false">IF(A354="N/A"," ",IF(OR('Pricing Inputs'!$AQ$3=3,'Pricing Inputs'!$AQ$3=6,'Pricing Inputs'!$AQ$3=9),(VLOOKUP(A354,ScaledPrice,IF(AND('Pricing Inputs'!$AQ$3&gt;=3,'Pricing Inputs'!$AQ$3&lt;=6),7,8))),0))</f>
        <v> </v>
      </c>
      <c r="N354" s="279" t="str">
        <f aca="false">IF(A354="N/A"," ",IF(OR('Pricing Inputs'!$AQ$3=3,'Pricing Inputs'!$AQ$3=6,'Pricing Inputs'!$AQ$3=9),IF(AND('Pricing Inputs'!$AQ$3&gt;=3,'Pricing Inputs'!$AQ$3&lt;=6),M354,(VLOOKUP(A354,ScaledPrice,7))*(2-(VLOOKUP(A354,ScaledPrice,3)))),0))</f>
        <v> </v>
      </c>
      <c r="O354" s="279" t="str">
        <f aca="false">IF(A354="N/A"," ",IF(AND('Pricing Inputs'!$AQ$3&gt;=1,'Pricing Inputs'!$AQ$3&lt;=3),VLOOKUP(A354,ScaledPrice,9),0))</f>
        <v> </v>
      </c>
      <c r="P354" s="280" t="str">
        <f aca="false">IF($A354="N/A"," ",IF('Pricing Inputs'!$AN$8=2,(I354-H354),IF('Pricing Inputs'!$AN$3=2,IF((I354-$H354)&gt;0,I354-$H354,0),(xSPRDOPT(I354,$E354,$BU354,0,$BP354,$BS354,$BT354,($A354-Inputs!$D$1)+15,1,0)))))</f>
        <v> </v>
      </c>
      <c r="Q354" s="280" t="str">
        <f aca="false">IF($A354="N/A"," ",IF('Pricing Inputs'!$AN$8=2,(J354-$H354),IF('Pricing Inputs'!$AN$3=2,IF((J354-$H354)&gt;0,J354-$H354,0),(xSPRDOPT(J354,$E354,$BU354,0,$BP354,$BS354,$BT354,($A354-Inputs!$D$1)+15,1,0)))))</f>
        <v> </v>
      </c>
      <c r="R354" s="280" t="str">
        <f aca="false">IF($A354="N/A"," ",IF('Pricing Inputs'!$AN$8=2,(K354-$H354),IF('Pricing Inputs'!$AN$3=2,IF((K354-$H354)&gt;0,K354-$H354,0),(xSPRDOPT(K354,$E354,$BU354,0,$BP354,$BS354,$BT354,($A354-Inputs!$D$1)+15,1,0)))))</f>
        <v> </v>
      </c>
      <c r="S354" s="280" t="str">
        <f aca="false">IF($A354="N/A"," ",IF('Pricing Inputs'!$AN$8=2,(L354-$H354),IF('Pricing Inputs'!$AN$3=2,IF((L354-$H354)&gt;0,L354-$H354,0),(xSPRDOPT(L354,$E354,$BU354,0,$BP354,$BS354,$BT354,($A354-Inputs!$D$1)+15,1,0)))))</f>
        <v> </v>
      </c>
      <c r="T354" s="280" t="str">
        <f aca="false">IF($A354="N/A"," ",IF('Pricing Inputs'!$AN$8=2,(M354-$H354),IF('Pricing Inputs'!$AN$3=2,IF((M354-$H354)&gt;0,M354-$H354,0),(xSPRDOPT(M354,$E354,$BU354,0,$BP354,$BS354,$BT354,($A354-Inputs!$D$1)+15,1,0)))))</f>
        <v> </v>
      </c>
      <c r="U354" s="280" t="str">
        <f aca="false">IF($A354="N/A"," ",IF('Pricing Inputs'!$AN$8=2,(N354-$H354),IF('Pricing Inputs'!$AN$3=2,IF((N354-$H354)&gt;0,N354-$H354,0),(xSPRDOPT(N354,$E354,$BU354,0,$BP354,$BS354,$BT354,($A354-Inputs!$D$1)+15,1,0)))))</f>
        <v> </v>
      </c>
      <c r="V354" s="281" t="str">
        <f aca="false">IF($A354="N/A"," ",(IF('Pricing Inputs'!$AN$8=2,(O354-$H354),IF((O354-$H354)&lt;=0,0,(O354-$H354)))))</f>
        <v> </v>
      </c>
      <c r="BA354" s="291" t="str">
        <f aca="false">IF($A354="N/A"," ",(IF(MONTH(A354)&gt;=4,IF(MONTH(A354)&lt;=10,Inputs!$F$13,Inputs!$F$14),Inputs!$F$14))*$BW354)</f>
        <v> </v>
      </c>
      <c r="BN354" s="294" t="str">
        <f aca="false">IF(A354="N/A"," ",(VLOOKUP(A354,PowerVolTable,(IF('Pricing Inputs'!$AT$3=2,7,IF('Pricing Inputs'!$AT$3=1,6,8))),FALSE())))</f>
        <v> </v>
      </c>
      <c r="BO354" s="294" t="str">
        <f aca="false">IF(A354="N/A"," ",(VLOOKUP(A354,IntraPowerVol,(IF('Pricing Inputs'!$AT$3=2,3,IF('Pricing Inputs'!$AT$3=1,2,4))),FALSE())*VLOOKUP(MONTH($A354),Inputs!$A$28:$B$39,2)))</f>
        <v> </v>
      </c>
      <c r="BP354" s="295" t="str">
        <f aca="false">IF($A354="N/A"," ",(IF(DateToday&gt;$A354,$BO354,((($BN354^2)*((($A354-1)-DateToday)/((EOMONTH($A354,0)+1)-DateToday-15)))+((($BO354)^2)*((15)/((EOMONTH($A354,0)+1)-DateToday-15))))^0.5)))</f>
        <v> </v>
      </c>
      <c r="BQ354" s="294" t="str">
        <f aca="false">IF($A354="N/A"," ",(VLOOKUP($A354,GasVolTable,(IF('Pricing Inputs'!$AT$3=2,6,IF('Pricing Inputs'!$AT$3=1,7,5))),FALSE())))</f>
        <v> </v>
      </c>
      <c r="BR354" s="294" t="str">
        <f aca="false">IF($A354="N/A"," ",(VLOOKUP($A354,OmicronVol,(IF('Pricing Inputs'!$AT$3=2,3,IF('Pricing Inputs'!$AT$3=1,4,2))),FALSE())))</f>
        <v> </v>
      </c>
      <c r="BS354" s="295" t="str">
        <f aca="false">IF($A354="N/A"," ",IF('Pricing Inputs'!$AN$3=1,(IF(DateToday&gt;$A354,$BR354,((($BQ354^2)*((($A354-1)-DateToday)/((EOMONTH($A354,0)+1)-DateToday-15)))+((($BR354)^2)*((15)/((EOMONTH($A354,0)+1)-DateToday-15))))^0.5)),0.0001))</f>
        <v> </v>
      </c>
      <c r="BT354" s="294" t="str">
        <f aca="false">IF($A354="N/A"," ",IF('Pricing Inputs'!$AN$3=1,(VLOOKUP($A354,CorrelationTable,2,FALSE())),0))</f>
        <v> </v>
      </c>
      <c r="BU354" s="296" t="str">
        <f aca="false">IF($A354="N/A"," ",F354+G354+(D354*(VLOOKUP($A354,'Gas Curves'!$B$17:$P$310,14,FALSE()))))</f>
        <v> </v>
      </c>
      <c r="BV354" s="294" t="str">
        <f aca="false">IF($A354="N/A"," ",IF('Pricing Inputs'!$AW$3=1,0,(VLOOKUP($A354,InterestRatesTable,2))))</f>
        <v> </v>
      </c>
      <c r="BW354" s="297" t="str">
        <f aca="false">IF($A354="N/A"," ",(1+BV354/2)^(-2*((EOMONTH(A354,0)+20)-DateToday)/365.25))</f>
        <v> </v>
      </c>
    </row>
    <row r="355" customFormat="false" ht="12.75" hidden="false" customHeight="false" outlineLevel="0" collapsed="false">
      <c r="A355" s="272" t="str">
        <f aca="false">IF(A354="N/A","N/A",IF(EDATE(A354,1)&gt;Inputs!$K$3,"N/A",EDATE(A354,1)))</f>
        <v>N/A</v>
      </c>
      <c r="B355" s="273" t="str">
        <f aca="false">IF(A355="N/A"," ",YEAR(A355))</f>
        <v> </v>
      </c>
      <c r="C355" s="274" t="str">
        <f aca="false">IF(A355="N/A"," ",VLOOKUP(A355,ScaledPrice,10))</f>
        <v> </v>
      </c>
      <c r="D355" s="275" t="str">
        <f aca="false">IF(A355="N/A"," ",(VLOOKUP(MONTH($A355),Inputs!$A$14:$B$25,2))/1000)</f>
        <v> </v>
      </c>
      <c r="E355" s="276" t="str">
        <f aca="false">IF($A355="N/A"," ",C355*D355)</f>
        <v> </v>
      </c>
      <c r="F355" s="277" t="str">
        <f aca="false">IF(A355="N/A"," ",Inputs!$F$6)</f>
        <v> </v>
      </c>
      <c r="G355" s="277" t="str">
        <f aca="false">IF(A355="N/A"," ",Inputs!$F$9/IF(AND('Pricing Inputs'!$AQ$3&gt;=4,'Pricing Inputs'!$AQ$3&lt;=6),16,IF(AND('Pricing Inputs'!$AQ$3&gt;=7,'Pricing Inputs'!$AQ$3&lt;=9),8,24))/(BA355/BW355))</f>
        <v> </v>
      </c>
      <c r="H355" s="278" t="str">
        <f aca="false">IF(A355="N/A"," ",(C355*D355)+F355+G355)</f>
        <v> </v>
      </c>
      <c r="I355" s="279" t="str">
        <f aca="false">VLOOKUP(A355,ScaledPrice,(IF(AND('Pricing Inputs'!$AQ$3&gt;=1,'Pricing Inputs'!$AQ$3&lt;=6),2,4)))</f>
        <v> </v>
      </c>
      <c r="J355" s="279" t="str">
        <f aca="false">IF(A355="N/A"," ",IF(AND('Pricing Inputs'!$AQ$3&gt;=1,'Pricing Inputs'!$AQ$3&lt;=6),I355,(VLOOKUP(A355,ScaledPrice,2))*(2-(VLOOKUP(A355,ScaledPrice,3)))))</f>
        <v> </v>
      </c>
      <c r="K355" s="279" t="str">
        <f aca="false">IF(A355="N/A"," ",IF(OR('Pricing Inputs'!$AQ$3=2,'Pricing Inputs'!$AQ$3=3,'Pricing Inputs'!$AQ$3=5,'Pricing Inputs'!$AQ$3=6,'Pricing Inputs'!$AQ$3=8,'Pricing Inputs'!$AQ$3=9),VLOOKUP(A355,ScaledPrice,IF(AND('Pricing Inputs'!$AQ$3&gt;=2,'Pricing Inputs'!$AQ$3&lt;=6),5,6)),0))</f>
        <v> </v>
      </c>
      <c r="L355" s="279" t="str">
        <f aca="false">IF(A355="N/A"," ",IF(OR('Pricing Inputs'!$AQ$3=2,'Pricing Inputs'!$AQ$3=3,'Pricing Inputs'!$AQ$3=5,'Pricing Inputs'!$AQ$3=6,'Pricing Inputs'!$AQ$3=8,'Pricing Inputs'!$AQ$3=9),IF(AND('Pricing Inputs'!$AQ$3&gt;=2,'Pricing Inputs'!$AQ$3&lt;=6),K355,(VLOOKUP(A355,ScaledPrice,5))*(2-(VLOOKUP(A355,ScaledPrice,3)))),0))</f>
        <v> </v>
      </c>
      <c r="M355" s="279" t="str">
        <f aca="false">IF(A355="N/A"," ",IF(OR('Pricing Inputs'!$AQ$3=3,'Pricing Inputs'!$AQ$3=6,'Pricing Inputs'!$AQ$3=9),(VLOOKUP(A355,ScaledPrice,IF(AND('Pricing Inputs'!$AQ$3&gt;=3,'Pricing Inputs'!$AQ$3&lt;=6),7,8))),0))</f>
        <v> </v>
      </c>
      <c r="N355" s="279" t="str">
        <f aca="false">IF(A355="N/A"," ",IF(OR('Pricing Inputs'!$AQ$3=3,'Pricing Inputs'!$AQ$3=6,'Pricing Inputs'!$AQ$3=9),IF(AND('Pricing Inputs'!$AQ$3&gt;=3,'Pricing Inputs'!$AQ$3&lt;=6),M355,(VLOOKUP(A355,ScaledPrice,7))*(2-(VLOOKUP(A355,ScaledPrice,3)))),0))</f>
        <v> </v>
      </c>
      <c r="O355" s="279" t="str">
        <f aca="false">IF(A355="N/A"," ",IF(AND('Pricing Inputs'!$AQ$3&gt;=1,'Pricing Inputs'!$AQ$3&lt;=3),VLOOKUP(A355,ScaledPrice,9),0))</f>
        <v> </v>
      </c>
      <c r="P355" s="280" t="str">
        <f aca="false">IF($A355="N/A"," ",IF('Pricing Inputs'!$AN$8=2,(I355-H355),IF('Pricing Inputs'!$AN$3=2,IF((I355-$H355)&gt;0,I355-$H355,0),(xSPRDOPT(I355,$E355,$BU355,0,$BP355,$BS355,$BT355,($A355-Inputs!$D$1)+15,1,0)))))</f>
        <v> </v>
      </c>
      <c r="Q355" s="280" t="str">
        <f aca="false">IF($A355="N/A"," ",IF('Pricing Inputs'!$AN$8=2,(J355-$H355),IF('Pricing Inputs'!$AN$3=2,IF((J355-$H355)&gt;0,J355-$H355,0),(xSPRDOPT(J355,$E355,$BU355,0,$BP355,$BS355,$BT355,($A355-Inputs!$D$1)+15,1,0)))))</f>
        <v> </v>
      </c>
      <c r="R355" s="280" t="str">
        <f aca="false">IF($A355="N/A"," ",IF('Pricing Inputs'!$AN$8=2,(K355-$H355),IF('Pricing Inputs'!$AN$3=2,IF((K355-$H355)&gt;0,K355-$H355,0),(xSPRDOPT(K355,$E355,$BU355,0,$BP355,$BS355,$BT355,($A355-Inputs!$D$1)+15,1,0)))))</f>
        <v> </v>
      </c>
      <c r="S355" s="280" t="str">
        <f aca="false">IF($A355="N/A"," ",IF('Pricing Inputs'!$AN$8=2,(L355-$H355),IF('Pricing Inputs'!$AN$3=2,IF((L355-$H355)&gt;0,L355-$H355,0),(xSPRDOPT(L355,$E355,$BU355,0,$BP355,$BS355,$BT355,($A355-Inputs!$D$1)+15,1,0)))))</f>
        <v> </v>
      </c>
      <c r="T355" s="280" t="str">
        <f aca="false">IF($A355="N/A"," ",IF('Pricing Inputs'!$AN$8=2,(M355-$H355),IF('Pricing Inputs'!$AN$3=2,IF((M355-$H355)&gt;0,M355-$H355,0),(xSPRDOPT(M355,$E355,$BU355,0,$BP355,$BS355,$BT355,($A355-Inputs!$D$1)+15,1,0)))))</f>
        <v> </v>
      </c>
      <c r="U355" s="280" t="str">
        <f aca="false">IF($A355="N/A"," ",IF('Pricing Inputs'!$AN$8=2,(N355-$H355),IF('Pricing Inputs'!$AN$3=2,IF((N355-$H355)&gt;0,N355-$H355,0),(xSPRDOPT(N355,$E355,$BU355,0,$BP355,$BS355,$BT355,($A355-Inputs!$D$1)+15,1,0)))))</f>
        <v> </v>
      </c>
      <c r="V355" s="281" t="str">
        <f aca="false">IF($A355="N/A"," ",(IF('Pricing Inputs'!$AN$8=2,(O355-$H355),IF((O355-$H355)&lt;=0,0,(O355-$H355)))))</f>
        <v> </v>
      </c>
      <c r="BA355" s="291" t="str">
        <f aca="false">IF($A355="N/A"," ",(IF(MONTH(A355)&gt;=4,IF(MONTH(A355)&lt;=10,Inputs!$F$13,Inputs!$F$14),Inputs!$F$14))*$BW355)</f>
        <v> </v>
      </c>
      <c r="BN355" s="294" t="str">
        <f aca="false">IF(A355="N/A"," ",(VLOOKUP(A355,PowerVolTable,(IF('Pricing Inputs'!$AT$3=2,7,IF('Pricing Inputs'!$AT$3=1,6,8))),FALSE())))</f>
        <v> </v>
      </c>
      <c r="BO355" s="294" t="str">
        <f aca="false">IF(A355="N/A"," ",(VLOOKUP(A355,IntraPowerVol,(IF('Pricing Inputs'!$AT$3=2,3,IF('Pricing Inputs'!$AT$3=1,2,4))),FALSE())*VLOOKUP(MONTH($A355),Inputs!$A$28:$B$39,2)))</f>
        <v> </v>
      </c>
      <c r="BP355" s="295" t="str">
        <f aca="false">IF($A355="N/A"," ",(IF(DateToday&gt;$A355,$BO355,((($BN355^2)*((($A355-1)-DateToday)/((EOMONTH($A355,0)+1)-DateToday-15)))+((($BO355)^2)*((15)/((EOMONTH($A355,0)+1)-DateToday-15))))^0.5)))</f>
        <v> </v>
      </c>
      <c r="BQ355" s="294" t="str">
        <f aca="false">IF($A355="N/A"," ",(VLOOKUP($A355,GasVolTable,(IF('Pricing Inputs'!$AT$3=2,6,IF('Pricing Inputs'!$AT$3=1,7,5))),FALSE())))</f>
        <v> </v>
      </c>
      <c r="BR355" s="294" t="str">
        <f aca="false">IF($A355="N/A"," ",(VLOOKUP($A355,OmicronVol,(IF('Pricing Inputs'!$AT$3=2,3,IF('Pricing Inputs'!$AT$3=1,4,2))),FALSE())))</f>
        <v> </v>
      </c>
      <c r="BS355" s="295" t="str">
        <f aca="false">IF($A355="N/A"," ",IF('Pricing Inputs'!$AN$3=1,(IF(DateToday&gt;$A355,$BR355,((($BQ355^2)*((($A355-1)-DateToday)/((EOMONTH($A355,0)+1)-DateToday-15)))+((($BR355)^2)*((15)/((EOMONTH($A355,0)+1)-DateToday-15))))^0.5)),0.0001))</f>
        <v> </v>
      </c>
      <c r="BT355" s="294" t="str">
        <f aca="false">IF($A355="N/A"," ",IF('Pricing Inputs'!$AN$3=1,(VLOOKUP($A355,CorrelationTable,2,FALSE())),0))</f>
        <v> </v>
      </c>
      <c r="BU355" s="296" t="str">
        <f aca="false">IF($A355="N/A"," ",F355+G355+(D355*(VLOOKUP($A355,'Gas Curves'!$B$17:$P$310,14,FALSE()))))</f>
        <v> </v>
      </c>
      <c r="BV355" s="294" t="str">
        <f aca="false">IF($A355="N/A"," ",IF('Pricing Inputs'!$AW$3=1,0,(VLOOKUP($A355,InterestRatesTable,2))))</f>
        <v> </v>
      </c>
      <c r="BW355" s="297" t="str">
        <f aca="false">IF($A355="N/A"," ",(1+BV355/2)^(-2*((EOMONTH(A355,0)+20)-DateToday)/365.25))</f>
        <v> </v>
      </c>
    </row>
    <row r="356" customFormat="false" ht="12.75" hidden="false" customHeight="false" outlineLevel="0" collapsed="false">
      <c r="A356" s="272" t="str">
        <f aca="false">IF(A355="N/A","N/A",IF(EDATE(A355,1)&gt;Inputs!$K$3,"N/A",EDATE(A355,1)))</f>
        <v>N/A</v>
      </c>
      <c r="B356" s="273" t="str">
        <f aca="false">IF(A356="N/A"," ",YEAR(A356))</f>
        <v> </v>
      </c>
      <c r="C356" s="274" t="str">
        <f aca="false">IF(A356="N/A"," ",VLOOKUP(A356,ScaledPrice,10))</f>
        <v> </v>
      </c>
      <c r="D356" s="275" t="str">
        <f aca="false">IF(A356="N/A"," ",(VLOOKUP(MONTH($A356),Inputs!$A$14:$B$25,2))/1000)</f>
        <v> </v>
      </c>
      <c r="E356" s="276" t="str">
        <f aca="false">IF($A356="N/A"," ",C356*D356)</f>
        <v> </v>
      </c>
      <c r="F356" s="277" t="str">
        <f aca="false">IF(A356="N/A"," ",Inputs!$F$6)</f>
        <v> </v>
      </c>
      <c r="G356" s="277" t="str">
        <f aca="false">IF(A356="N/A"," ",Inputs!$F$9/IF(AND('Pricing Inputs'!$AQ$3&gt;=4,'Pricing Inputs'!$AQ$3&lt;=6),16,IF(AND('Pricing Inputs'!$AQ$3&gt;=7,'Pricing Inputs'!$AQ$3&lt;=9),8,24))/(BA356/BW356))</f>
        <v> </v>
      </c>
      <c r="H356" s="278" t="str">
        <f aca="false">IF(A356="N/A"," ",(C356*D356)+F356+G356)</f>
        <v> </v>
      </c>
      <c r="I356" s="279" t="str">
        <f aca="false">VLOOKUP(A356,ScaledPrice,(IF(AND('Pricing Inputs'!$AQ$3&gt;=1,'Pricing Inputs'!$AQ$3&lt;=6),2,4)))</f>
        <v> </v>
      </c>
      <c r="J356" s="279" t="str">
        <f aca="false">IF(A356="N/A"," ",IF(AND('Pricing Inputs'!$AQ$3&gt;=1,'Pricing Inputs'!$AQ$3&lt;=6),I356,(VLOOKUP(A356,ScaledPrice,2))*(2-(VLOOKUP(A356,ScaledPrice,3)))))</f>
        <v> </v>
      </c>
      <c r="K356" s="279" t="str">
        <f aca="false">IF(A356="N/A"," ",IF(OR('Pricing Inputs'!$AQ$3=2,'Pricing Inputs'!$AQ$3=3,'Pricing Inputs'!$AQ$3=5,'Pricing Inputs'!$AQ$3=6,'Pricing Inputs'!$AQ$3=8,'Pricing Inputs'!$AQ$3=9),VLOOKUP(A356,ScaledPrice,IF(AND('Pricing Inputs'!$AQ$3&gt;=2,'Pricing Inputs'!$AQ$3&lt;=6),5,6)),0))</f>
        <v> </v>
      </c>
      <c r="L356" s="279" t="str">
        <f aca="false">IF(A356="N/A"," ",IF(OR('Pricing Inputs'!$AQ$3=2,'Pricing Inputs'!$AQ$3=3,'Pricing Inputs'!$AQ$3=5,'Pricing Inputs'!$AQ$3=6,'Pricing Inputs'!$AQ$3=8,'Pricing Inputs'!$AQ$3=9),IF(AND('Pricing Inputs'!$AQ$3&gt;=2,'Pricing Inputs'!$AQ$3&lt;=6),K356,(VLOOKUP(A356,ScaledPrice,5))*(2-(VLOOKUP(A356,ScaledPrice,3)))),0))</f>
        <v> </v>
      </c>
      <c r="M356" s="279" t="str">
        <f aca="false">IF(A356="N/A"," ",IF(OR('Pricing Inputs'!$AQ$3=3,'Pricing Inputs'!$AQ$3=6,'Pricing Inputs'!$AQ$3=9),(VLOOKUP(A356,ScaledPrice,IF(AND('Pricing Inputs'!$AQ$3&gt;=3,'Pricing Inputs'!$AQ$3&lt;=6),7,8))),0))</f>
        <v> </v>
      </c>
      <c r="N356" s="279" t="str">
        <f aca="false">IF(A356="N/A"," ",IF(OR('Pricing Inputs'!$AQ$3=3,'Pricing Inputs'!$AQ$3=6,'Pricing Inputs'!$AQ$3=9),IF(AND('Pricing Inputs'!$AQ$3&gt;=3,'Pricing Inputs'!$AQ$3&lt;=6),M356,(VLOOKUP(A356,ScaledPrice,7))*(2-(VLOOKUP(A356,ScaledPrice,3)))),0))</f>
        <v> </v>
      </c>
      <c r="O356" s="279" t="str">
        <f aca="false">IF(A356="N/A"," ",IF(AND('Pricing Inputs'!$AQ$3&gt;=1,'Pricing Inputs'!$AQ$3&lt;=3),VLOOKUP(A356,ScaledPrice,9),0))</f>
        <v> </v>
      </c>
      <c r="P356" s="280" t="str">
        <f aca="false">IF($A356="N/A"," ",IF('Pricing Inputs'!$AN$8=2,(I356-H356),IF('Pricing Inputs'!$AN$3=2,IF((I356-$H356)&gt;0,I356-$H356,0),(xSPRDOPT(I356,$E356,$BU356,0,$BP356,$BS356,$BT356,($A356-Inputs!$D$1)+15,1,0)))))</f>
        <v> </v>
      </c>
      <c r="Q356" s="280" t="str">
        <f aca="false">IF($A356="N/A"," ",IF('Pricing Inputs'!$AN$8=2,(J356-$H356),IF('Pricing Inputs'!$AN$3=2,IF((J356-$H356)&gt;0,J356-$H356,0),(xSPRDOPT(J356,$E356,$BU356,0,$BP356,$BS356,$BT356,($A356-Inputs!$D$1)+15,1,0)))))</f>
        <v> </v>
      </c>
      <c r="R356" s="280" t="str">
        <f aca="false">IF($A356="N/A"," ",IF('Pricing Inputs'!$AN$8=2,(K356-$H356),IF('Pricing Inputs'!$AN$3=2,IF((K356-$H356)&gt;0,K356-$H356,0),(xSPRDOPT(K356,$E356,$BU356,0,$BP356,$BS356,$BT356,($A356-Inputs!$D$1)+15,1,0)))))</f>
        <v> </v>
      </c>
      <c r="S356" s="280" t="str">
        <f aca="false">IF($A356="N/A"," ",IF('Pricing Inputs'!$AN$8=2,(L356-$H356),IF('Pricing Inputs'!$AN$3=2,IF((L356-$H356)&gt;0,L356-$H356,0),(xSPRDOPT(L356,$E356,$BU356,0,$BP356,$BS356,$BT356,($A356-Inputs!$D$1)+15,1,0)))))</f>
        <v> </v>
      </c>
      <c r="T356" s="280" t="str">
        <f aca="false">IF($A356="N/A"," ",IF('Pricing Inputs'!$AN$8=2,(M356-$H356),IF('Pricing Inputs'!$AN$3=2,IF((M356-$H356)&gt;0,M356-$H356,0),(xSPRDOPT(M356,$E356,$BU356,0,$BP356,$BS356,$BT356,($A356-Inputs!$D$1)+15,1,0)))))</f>
        <v> </v>
      </c>
      <c r="U356" s="280" t="str">
        <f aca="false">IF($A356="N/A"," ",IF('Pricing Inputs'!$AN$8=2,(N356-$H356),IF('Pricing Inputs'!$AN$3=2,IF((N356-$H356)&gt;0,N356-$H356,0),(xSPRDOPT(N356,$E356,$BU356,0,$BP356,$BS356,$BT356,($A356-Inputs!$D$1)+15,1,0)))))</f>
        <v> </v>
      </c>
      <c r="V356" s="281" t="str">
        <f aca="false">IF($A356="N/A"," ",(IF('Pricing Inputs'!$AN$8=2,(O356-$H356),IF((O356-$H356)&lt;=0,0,(O356-$H356)))))</f>
        <v> </v>
      </c>
      <c r="BA356" s="291" t="str">
        <f aca="false">IF($A356="N/A"," ",(IF(MONTH(A356)&gt;=4,IF(MONTH(A356)&lt;=10,Inputs!$F$13,Inputs!$F$14),Inputs!$F$14))*$BW356)</f>
        <v> </v>
      </c>
      <c r="BN356" s="294" t="str">
        <f aca="false">IF(A356="N/A"," ",(VLOOKUP(A356,PowerVolTable,(IF('Pricing Inputs'!$AT$3=2,7,IF('Pricing Inputs'!$AT$3=1,6,8))),FALSE())))</f>
        <v> </v>
      </c>
      <c r="BO356" s="294" t="str">
        <f aca="false">IF(A356="N/A"," ",(VLOOKUP(A356,IntraPowerVol,(IF('Pricing Inputs'!$AT$3=2,3,IF('Pricing Inputs'!$AT$3=1,2,4))),FALSE())*VLOOKUP(MONTH($A356),Inputs!$A$28:$B$39,2)))</f>
        <v> </v>
      </c>
      <c r="BP356" s="295" t="str">
        <f aca="false">IF($A356="N/A"," ",(IF(DateToday&gt;$A356,$BO356,((($BN356^2)*((($A356-1)-DateToday)/((EOMONTH($A356,0)+1)-DateToday-15)))+((($BO356)^2)*((15)/((EOMONTH($A356,0)+1)-DateToday-15))))^0.5)))</f>
        <v> </v>
      </c>
      <c r="BQ356" s="294" t="str">
        <f aca="false">IF($A356="N/A"," ",(VLOOKUP($A356,GasVolTable,(IF('Pricing Inputs'!$AT$3=2,6,IF('Pricing Inputs'!$AT$3=1,7,5))),FALSE())))</f>
        <v> </v>
      </c>
      <c r="BR356" s="294" t="str">
        <f aca="false">IF($A356="N/A"," ",(VLOOKUP($A356,OmicronVol,(IF('Pricing Inputs'!$AT$3=2,3,IF('Pricing Inputs'!$AT$3=1,4,2))),FALSE())))</f>
        <v> </v>
      </c>
      <c r="BS356" s="295" t="str">
        <f aca="false">IF($A356="N/A"," ",IF('Pricing Inputs'!$AN$3=1,(IF(DateToday&gt;$A356,$BR356,((($BQ356^2)*((($A356-1)-DateToday)/((EOMONTH($A356,0)+1)-DateToday-15)))+((($BR356)^2)*((15)/((EOMONTH($A356,0)+1)-DateToday-15))))^0.5)),0.0001))</f>
        <v> </v>
      </c>
      <c r="BT356" s="294" t="str">
        <f aca="false">IF($A356="N/A"," ",IF('Pricing Inputs'!$AN$3=1,(VLOOKUP($A356,CorrelationTable,2,FALSE())),0))</f>
        <v> </v>
      </c>
      <c r="BU356" s="296" t="str">
        <f aca="false">IF($A356="N/A"," ",F356+G356+(D356*(VLOOKUP($A356,'Gas Curves'!$B$17:$P$310,14,FALSE()))))</f>
        <v> </v>
      </c>
      <c r="BV356" s="294" t="str">
        <f aca="false">IF($A356="N/A"," ",IF('Pricing Inputs'!$AW$3=1,0,(VLOOKUP($A356,InterestRatesTable,2))))</f>
        <v> </v>
      </c>
      <c r="BW356" s="297" t="str">
        <f aca="false">IF($A356="N/A"," ",(1+BV356/2)^(-2*((EOMONTH(A356,0)+20)-DateToday)/365.25))</f>
        <v> </v>
      </c>
    </row>
    <row r="357" customFormat="false" ht="12.75" hidden="false" customHeight="false" outlineLevel="0" collapsed="false">
      <c r="A357" s="272" t="str">
        <f aca="false">IF(A356="N/A","N/A",IF(EDATE(A356,1)&gt;Inputs!$K$3,"N/A",EDATE(A356,1)))</f>
        <v>N/A</v>
      </c>
      <c r="B357" s="273" t="str">
        <f aca="false">IF(A357="N/A"," ",YEAR(A357))</f>
        <v> </v>
      </c>
      <c r="C357" s="274" t="str">
        <f aca="false">IF(A357="N/A"," ",VLOOKUP(A357,ScaledPrice,10))</f>
        <v> </v>
      </c>
      <c r="D357" s="275" t="str">
        <f aca="false">IF(A357="N/A"," ",(VLOOKUP(MONTH($A357),Inputs!$A$14:$B$25,2))/1000)</f>
        <v> </v>
      </c>
      <c r="E357" s="276" t="str">
        <f aca="false">IF($A357="N/A"," ",C357*D357)</f>
        <v> </v>
      </c>
      <c r="F357" s="277" t="str">
        <f aca="false">IF(A357="N/A"," ",Inputs!$F$6)</f>
        <v> </v>
      </c>
      <c r="G357" s="277" t="str">
        <f aca="false">IF(A357="N/A"," ",Inputs!$F$9/IF(AND('Pricing Inputs'!$AQ$3&gt;=4,'Pricing Inputs'!$AQ$3&lt;=6),16,IF(AND('Pricing Inputs'!$AQ$3&gt;=7,'Pricing Inputs'!$AQ$3&lt;=9),8,24))/(BA357/BW357))</f>
        <v> </v>
      </c>
      <c r="H357" s="278" t="str">
        <f aca="false">IF(A357="N/A"," ",(C357*D357)+F357+G357)</f>
        <v> </v>
      </c>
      <c r="I357" s="279" t="str">
        <f aca="false">VLOOKUP(A357,ScaledPrice,(IF(AND('Pricing Inputs'!$AQ$3&gt;=1,'Pricing Inputs'!$AQ$3&lt;=6),2,4)))</f>
        <v> </v>
      </c>
      <c r="J357" s="279" t="str">
        <f aca="false">IF(A357="N/A"," ",IF(AND('Pricing Inputs'!$AQ$3&gt;=1,'Pricing Inputs'!$AQ$3&lt;=6),I357,(VLOOKUP(A357,ScaledPrice,2))*(2-(VLOOKUP(A357,ScaledPrice,3)))))</f>
        <v> </v>
      </c>
      <c r="K357" s="279" t="str">
        <f aca="false">IF(A357="N/A"," ",IF(OR('Pricing Inputs'!$AQ$3=2,'Pricing Inputs'!$AQ$3=3,'Pricing Inputs'!$AQ$3=5,'Pricing Inputs'!$AQ$3=6,'Pricing Inputs'!$AQ$3=8,'Pricing Inputs'!$AQ$3=9),VLOOKUP(A357,ScaledPrice,IF(AND('Pricing Inputs'!$AQ$3&gt;=2,'Pricing Inputs'!$AQ$3&lt;=6),5,6)),0))</f>
        <v> </v>
      </c>
      <c r="L357" s="279" t="str">
        <f aca="false">IF(A357="N/A"," ",IF(OR('Pricing Inputs'!$AQ$3=2,'Pricing Inputs'!$AQ$3=3,'Pricing Inputs'!$AQ$3=5,'Pricing Inputs'!$AQ$3=6,'Pricing Inputs'!$AQ$3=8,'Pricing Inputs'!$AQ$3=9),IF(AND('Pricing Inputs'!$AQ$3&gt;=2,'Pricing Inputs'!$AQ$3&lt;=6),K357,(VLOOKUP(A357,ScaledPrice,5))*(2-(VLOOKUP(A357,ScaledPrice,3)))),0))</f>
        <v> </v>
      </c>
      <c r="M357" s="279" t="str">
        <f aca="false">IF(A357="N/A"," ",IF(OR('Pricing Inputs'!$AQ$3=3,'Pricing Inputs'!$AQ$3=6,'Pricing Inputs'!$AQ$3=9),(VLOOKUP(A357,ScaledPrice,IF(AND('Pricing Inputs'!$AQ$3&gt;=3,'Pricing Inputs'!$AQ$3&lt;=6),7,8))),0))</f>
        <v> </v>
      </c>
      <c r="N357" s="279" t="str">
        <f aca="false">IF(A357="N/A"," ",IF(OR('Pricing Inputs'!$AQ$3=3,'Pricing Inputs'!$AQ$3=6,'Pricing Inputs'!$AQ$3=9),IF(AND('Pricing Inputs'!$AQ$3&gt;=3,'Pricing Inputs'!$AQ$3&lt;=6),M357,(VLOOKUP(A357,ScaledPrice,7))*(2-(VLOOKUP(A357,ScaledPrice,3)))),0))</f>
        <v> </v>
      </c>
      <c r="O357" s="279" t="str">
        <f aca="false">IF(A357="N/A"," ",IF(AND('Pricing Inputs'!$AQ$3&gt;=1,'Pricing Inputs'!$AQ$3&lt;=3),VLOOKUP(A357,ScaledPrice,9),0))</f>
        <v> </v>
      </c>
      <c r="P357" s="280" t="str">
        <f aca="false">IF($A357="N/A"," ",IF('Pricing Inputs'!$AN$8=2,(I357-H357),IF('Pricing Inputs'!$AN$3=2,IF((I357-$H357)&gt;0,I357-$H357,0),(xSPRDOPT(I357,$E357,$BU357,0,$BP357,$BS357,$BT357,($A357-Inputs!$D$1)+15,1,0)))))</f>
        <v> </v>
      </c>
      <c r="Q357" s="280" t="str">
        <f aca="false">IF($A357="N/A"," ",IF('Pricing Inputs'!$AN$8=2,(J357-$H357),IF('Pricing Inputs'!$AN$3=2,IF((J357-$H357)&gt;0,J357-$H357,0),(xSPRDOPT(J357,$E357,$BU357,0,$BP357,$BS357,$BT357,($A357-Inputs!$D$1)+15,1,0)))))</f>
        <v> </v>
      </c>
      <c r="R357" s="280" t="str">
        <f aca="false">IF($A357="N/A"," ",IF('Pricing Inputs'!$AN$8=2,(K357-$H357),IF('Pricing Inputs'!$AN$3=2,IF((K357-$H357)&gt;0,K357-$H357,0),(xSPRDOPT(K357,$E357,$BU357,0,$BP357,$BS357,$BT357,($A357-Inputs!$D$1)+15,1,0)))))</f>
        <v> </v>
      </c>
      <c r="S357" s="280" t="str">
        <f aca="false">IF($A357="N/A"," ",IF('Pricing Inputs'!$AN$8=2,(L357-$H357),IF('Pricing Inputs'!$AN$3=2,IF((L357-$H357)&gt;0,L357-$H357,0),(xSPRDOPT(L357,$E357,$BU357,0,$BP357,$BS357,$BT357,($A357-Inputs!$D$1)+15,1,0)))))</f>
        <v> </v>
      </c>
      <c r="T357" s="280" t="str">
        <f aca="false">IF($A357="N/A"," ",IF('Pricing Inputs'!$AN$8=2,(M357-$H357),IF('Pricing Inputs'!$AN$3=2,IF((M357-$H357)&gt;0,M357-$H357,0),(xSPRDOPT(M357,$E357,$BU357,0,$BP357,$BS357,$BT357,($A357-Inputs!$D$1)+15,1,0)))))</f>
        <v> </v>
      </c>
      <c r="U357" s="280" t="str">
        <f aca="false">IF($A357="N/A"," ",IF('Pricing Inputs'!$AN$8=2,(N357-$H357),IF('Pricing Inputs'!$AN$3=2,IF((N357-$H357)&gt;0,N357-$H357,0),(xSPRDOPT(N357,$E357,$BU357,0,$BP357,$BS357,$BT357,($A357-Inputs!$D$1)+15,1,0)))))</f>
        <v> </v>
      </c>
      <c r="V357" s="281" t="str">
        <f aca="false">IF($A357="N/A"," ",(IF('Pricing Inputs'!$AN$8=2,(O357-$H357),IF((O357-$H357)&lt;=0,0,(O357-$H357)))))</f>
        <v> </v>
      </c>
      <c r="BA357" s="291" t="str">
        <f aca="false">IF($A357="N/A"," ",(IF(MONTH(A357)&gt;=4,IF(MONTH(A357)&lt;=10,Inputs!$F$13,Inputs!$F$14),Inputs!$F$14))*$BW357)</f>
        <v> </v>
      </c>
      <c r="BN357" s="294" t="str">
        <f aca="false">IF(A357="N/A"," ",(VLOOKUP(A357,PowerVolTable,(IF('Pricing Inputs'!$AT$3=2,7,IF('Pricing Inputs'!$AT$3=1,6,8))),FALSE())))</f>
        <v> </v>
      </c>
      <c r="BO357" s="294" t="str">
        <f aca="false">IF(A357="N/A"," ",(VLOOKUP(A357,IntraPowerVol,(IF('Pricing Inputs'!$AT$3=2,3,IF('Pricing Inputs'!$AT$3=1,2,4))),FALSE())*VLOOKUP(MONTH($A357),Inputs!$A$28:$B$39,2)))</f>
        <v> </v>
      </c>
      <c r="BP357" s="295" t="str">
        <f aca="false">IF($A357="N/A"," ",(IF(DateToday&gt;$A357,$BO357,((($BN357^2)*((($A357-1)-DateToday)/((EOMONTH($A357,0)+1)-DateToday-15)))+((($BO357)^2)*((15)/((EOMONTH($A357,0)+1)-DateToday-15))))^0.5)))</f>
        <v> </v>
      </c>
      <c r="BQ357" s="294" t="str">
        <f aca="false">IF($A357="N/A"," ",(VLOOKUP($A357,GasVolTable,(IF('Pricing Inputs'!$AT$3=2,6,IF('Pricing Inputs'!$AT$3=1,7,5))),FALSE())))</f>
        <v> </v>
      </c>
      <c r="BR357" s="294" t="str">
        <f aca="false">IF($A357="N/A"," ",(VLOOKUP($A357,OmicronVol,(IF('Pricing Inputs'!$AT$3=2,3,IF('Pricing Inputs'!$AT$3=1,4,2))),FALSE())))</f>
        <v> </v>
      </c>
      <c r="BS357" s="295" t="str">
        <f aca="false">IF($A357="N/A"," ",IF('Pricing Inputs'!$AN$3=1,(IF(DateToday&gt;$A357,$BR357,((($BQ357^2)*((($A357-1)-DateToday)/((EOMONTH($A357,0)+1)-DateToday-15)))+((($BR357)^2)*((15)/((EOMONTH($A357,0)+1)-DateToday-15))))^0.5)),0.0001))</f>
        <v> </v>
      </c>
      <c r="BT357" s="294" t="str">
        <f aca="false">IF($A357="N/A"," ",IF('Pricing Inputs'!$AN$3=1,(VLOOKUP($A357,CorrelationTable,2,FALSE())),0))</f>
        <v> </v>
      </c>
      <c r="BU357" s="296" t="str">
        <f aca="false">IF($A357="N/A"," ",F357+G357+(D357*(VLOOKUP($A357,'Gas Curves'!$B$17:$P$310,14,FALSE()))))</f>
        <v> </v>
      </c>
      <c r="BV357" s="294" t="str">
        <f aca="false">IF($A357="N/A"," ",IF('Pricing Inputs'!$AW$3=1,0,(VLOOKUP($A357,InterestRatesTable,2))))</f>
        <v> </v>
      </c>
      <c r="BW357" s="297" t="str">
        <f aca="false">IF($A357="N/A"," ",(1+BV357/2)^(-2*((EOMONTH(A357,0)+20)-DateToday)/365.25))</f>
        <v> </v>
      </c>
    </row>
    <row r="358" customFormat="false" ht="12.75" hidden="false" customHeight="false" outlineLevel="0" collapsed="false">
      <c r="A358" s="272" t="str">
        <f aca="false">IF(A357="N/A","N/A",IF(EDATE(A357,1)&gt;Inputs!$K$3,"N/A",EDATE(A357,1)))</f>
        <v>N/A</v>
      </c>
      <c r="B358" s="273" t="str">
        <f aca="false">IF(A358="N/A"," ",YEAR(A358))</f>
        <v> </v>
      </c>
      <c r="C358" s="274" t="str">
        <f aca="false">IF(A358="N/A"," ",VLOOKUP(A358,ScaledPrice,10))</f>
        <v> </v>
      </c>
      <c r="D358" s="275" t="str">
        <f aca="false">IF(A358="N/A"," ",(VLOOKUP(MONTH($A358),Inputs!$A$14:$B$25,2))/1000)</f>
        <v> </v>
      </c>
      <c r="E358" s="276" t="str">
        <f aca="false">IF($A358="N/A"," ",C358*D358)</f>
        <v> </v>
      </c>
      <c r="F358" s="277" t="str">
        <f aca="false">IF(A358="N/A"," ",Inputs!$F$6)</f>
        <v> </v>
      </c>
      <c r="G358" s="277" t="str">
        <f aca="false">IF(A358="N/A"," ",Inputs!$F$9/IF(AND('Pricing Inputs'!$AQ$3&gt;=4,'Pricing Inputs'!$AQ$3&lt;=6),16,IF(AND('Pricing Inputs'!$AQ$3&gt;=7,'Pricing Inputs'!$AQ$3&lt;=9),8,24))/(BA358/BW358))</f>
        <v> </v>
      </c>
      <c r="H358" s="278" t="str">
        <f aca="false">IF(A358="N/A"," ",(C358*D358)+F358+G358)</f>
        <v> </v>
      </c>
      <c r="I358" s="279" t="str">
        <f aca="false">VLOOKUP(A358,ScaledPrice,(IF(AND('Pricing Inputs'!$AQ$3&gt;=1,'Pricing Inputs'!$AQ$3&lt;=6),2,4)))</f>
        <v> </v>
      </c>
      <c r="J358" s="279" t="str">
        <f aca="false">IF(A358="N/A"," ",IF(AND('Pricing Inputs'!$AQ$3&gt;=1,'Pricing Inputs'!$AQ$3&lt;=6),I358,(VLOOKUP(A358,ScaledPrice,2))*(2-(VLOOKUP(A358,ScaledPrice,3)))))</f>
        <v> </v>
      </c>
      <c r="K358" s="279" t="str">
        <f aca="false">IF(A358="N/A"," ",IF(OR('Pricing Inputs'!$AQ$3=2,'Pricing Inputs'!$AQ$3=3,'Pricing Inputs'!$AQ$3=5,'Pricing Inputs'!$AQ$3=6,'Pricing Inputs'!$AQ$3=8,'Pricing Inputs'!$AQ$3=9),VLOOKUP(A358,ScaledPrice,IF(AND('Pricing Inputs'!$AQ$3&gt;=2,'Pricing Inputs'!$AQ$3&lt;=6),5,6)),0))</f>
        <v> </v>
      </c>
      <c r="L358" s="279" t="str">
        <f aca="false">IF(A358="N/A"," ",IF(OR('Pricing Inputs'!$AQ$3=2,'Pricing Inputs'!$AQ$3=3,'Pricing Inputs'!$AQ$3=5,'Pricing Inputs'!$AQ$3=6,'Pricing Inputs'!$AQ$3=8,'Pricing Inputs'!$AQ$3=9),IF(AND('Pricing Inputs'!$AQ$3&gt;=2,'Pricing Inputs'!$AQ$3&lt;=6),K358,(VLOOKUP(A358,ScaledPrice,5))*(2-(VLOOKUP(A358,ScaledPrice,3)))),0))</f>
        <v> </v>
      </c>
      <c r="M358" s="279" t="str">
        <f aca="false">IF(A358="N/A"," ",IF(OR('Pricing Inputs'!$AQ$3=3,'Pricing Inputs'!$AQ$3=6,'Pricing Inputs'!$AQ$3=9),(VLOOKUP(A358,ScaledPrice,IF(AND('Pricing Inputs'!$AQ$3&gt;=3,'Pricing Inputs'!$AQ$3&lt;=6),7,8))),0))</f>
        <v> </v>
      </c>
      <c r="N358" s="279" t="str">
        <f aca="false">IF(A358="N/A"," ",IF(OR('Pricing Inputs'!$AQ$3=3,'Pricing Inputs'!$AQ$3=6,'Pricing Inputs'!$AQ$3=9),IF(AND('Pricing Inputs'!$AQ$3&gt;=3,'Pricing Inputs'!$AQ$3&lt;=6),M358,(VLOOKUP(A358,ScaledPrice,7))*(2-(VLOOKUP(A358,ScaledPrice,3)))),0))</f>
        <v> </v>
      </c>
      <c r="O358" s="279" t="str">
        <f aca="false">IF(A358="N/A"," ",IF(AND('Pricing Inputs'!$AQ$3&gt;=1,'Pricing Inputs'!$AQ$3&lt;=3),VLOOKUP(A358,ScaledPrice,9),0))</f>
        <v> </v>
      </c>
      <c r="P358" s="280" t="str">
        <f aca="false">IF($A358="N/A"," ",IF('Pricing Inputs'!$AN$8=2,(I358-H358),IF('Pricing Inputs'!$AN$3=2,IF((I358-$H358)&gt;0,I358-$H358,0),(xSPRDOPT(I358,$E358,$BU358,0,$BP358,$BS358,$BT358,($A358-Inputs!$D$1)+15,1,0)))))</f>
        <v> </v>
      </c>
      <c r="Q358" s="280" t="str">
        <f aca="false">IF($A358="N/A"," ",IF('Pricing Inputs'!$AN$8=2,(J358-$H358),IF('Pricing Inputs'!$AN$3=2,IF((J358-$H358)&gt;0,J358-$H358,0),(xSPRDOPT(J358,$E358,$BU358,0,$BP358,$BS358,$BT358,($A358-Inputs!$D$1)+15,1,0)))))</f>
        <v> </v>
      </c>
      <c r="R358" s="280" t="str">
        <f aca="false">IF($A358="N/A"," ",IF('Pricing Inputs'!$AN$8=2,(K358-$H358),IF('Pricing Inputs'!$AN$3=2,IF((K358-$H358)&gt;0,K358-$H358,0),(xSPRDOPT(K358,$E358,$BU358,0,$BP358,$BS358,$BT358,($A358-Inputs!$D$1)+15,1,0)))))</f>
        <v> </v>
      </c>
      <c r="S358" s="280" t="str">
        <f aca="false">IF($A358="N/A"," ",IF('Pricing Inputs'!$AN$8=2,(L358-$H358),IF('Pricing Inputs'!$AN$3=2,IF((L358-$H358)&gt;0,L358-$H358,0),(xSPRDOPT(L358,$E358,$BU358,0,$BP358,$BS358,$BT358,($A358-Inputs!$D$1)+15,1,0)))))</f>
        <v> </v>
      </c>
      <c r="T358" s="280" t="str">
        <f aca="false">IF($A358="N/A"," ",IF('Pricing Inputs'!$AN$8=2,(M358-$H358),IF('Pricing Inputs'!$AN$3=2,IF((M358-$H358)&gt;0,M358-$H358,0),(xSPRDOPT(M358,$E358,$BU358,0,$BP358,$BS358,$BT358,($A358-Inputs!$D$1)+15,1,0)))))</f>
        <v> </v>
      </c>
      <c r="U358" s="280" t="str">
        <f aca="false">IF($A358="N/A"," ",IF('Pricing Inputs'!$AN$8=2,(N358-$H358),IF('Pricing Inputs'!$AN$3=2,IF((N358-$H358)&gt;0,N358-$H358,0),(xSPRDOPT(N358,$E358,$BU358,0,$BP358,$BS358,$BT358,($A358-Inputs!$D$1)+15,1,0)))))</f>
        <v> </v>
      </c>
      <c r="V358" s="281" t="str">
        <f aca="false">IF($A358="N/A"," ",(IF('Pricing Inputs'!$AN$8=2,(O358-$H358),IF((O358-$H358)&lt;=0,0,(O358-$H358)))))</f>
        <v> </v>
      </c>
      <c r="BA358" s="291" t="str">
        <f aca="false">IF($A358="N/A"," ",(IF(MONTH(A358)&gt;=4,IF(MONTH(A358)&lt;=10,Inputs!$F$13,Inputs!$F$14),Inputs!$F$14))*$BW358)</f>
        <v> </v>
      </c>
      <c r="BN358" s="294" t="str">
        <f aca="false">IF(A358="N/A"," ",(VLOOKUP(A358,PowerVolTable,(IF('Pricing Inputs'!$AT$3=2,7,IF('Pricing Inputs'!$AT$3=1,6,8))),FALSE())))</f>
        <v> </v>
      </c>
      <c r="BO358" s="294" t="str">
        <f aca="false">IF(A358="N/A"," ",(VLOOKUP(A358,IntraPowerVol,(IF('Pricing Inputs'!$AT$3=2,3,IF('Pricing Inputs'!$AT$3=1,2,4))),FALSE())*VLOOKUP(MONTH($A358),Inputs!$A$28:$B$39,2)))</f>
        <v> </v>
      </c>
      <c r="BP358" s="295" t="str">
        <f aca="false">IF($A358="N/A"," ",(IF(DateToday&gt;$A358,$BO358,((($BN358^2)*((($A358-1)-DateToday)/((EOMONTH($A358,0)+1)-DateToday-15)))+((($BO358)^2)*((15)/((EOMONTH($A358,0)+1)-DateToday-15))))^0.5)))</f>
        <v> </v>
      </c>
      <c r="BQ358" s="294" t="str">
        <f aca="false">IF($A358="N/A"," ",(VLOOKUP($A358,GasVolTable,(IF('Pricing Inputs'!$AT$3=2,6,IF('Pricing Inputs'!$AT$3=1,7,5))),FALSE())))</f>
        <v> </v>
      </c>
      <c r="BR358" s="294" t="str">
        <f aca="false">IF($A358="N/A"," ",(VLOOKUP($A358,OmicronVol,(IF('Pricing Inputs'!$AT$3=2,3,IF('Pricing Inputs'!$AT$3=1,4,2))),FALSE())))</f>
        <v> </v>
      </c>
      <c r="BS358" s="295" t="str">
        <f aca="false">IF($A358="N/A"," ",IF('Pricing Inputs'!$AN$3=1,(IF(DateToday&gt;$A358,$BR358,((($BQ358^2)*((($A358-1)-DateToday)/((EOMONTH($A358,0)+1)-DateToday-15)))+((($BR358)^2)*((15)/((EOMONTH($A358,0)+1)-DateToday-15))))^0.5)),0.0001))</f>
        <v> </v>
      </c>
      <c r="BT358" s="294" t="str">
        <f aca="false">IF($A358="N/A"," ",IF('Pricing Inputs'!$AN$3=1,(VLOOKUP($A358,CorrelationTable,2,FALSE())),0))</f>
        <v> </v>
      </c>
      <c r="BU358" s="296" t="str">
        <f aca="false">IF($A358="N/A"," ",F358+G358+(D358*(VLOOKUP($A358,'Gas Curves'!$B$17:$P$310,14,FALSE()))))</f>
        <v> </v>
      </c>
      <c r="BV358" s="294" t="str">
        <f aca="false">IF($A358="N/A"," ",IF('Pricing Inputs'!$AW$3=1,0,(VLOOKUP($A358,InterestRatesTable,2))))</f>
        <v> </v>
      </c>
      <c r="BW358" s="297" t="str">
        <f aca="false">IF($A358="N/A"," ",(1+BV358/2)^(-2*((EOMONTH(A358,0)+20)-DateToday)/365.25))</f>
        <v> </v>
      </c>
    </row>
    <row r="359" customFormat="false" ht="12.75" hidden="false" customHeight="false" outlineLevel="0" collapsed="false">
      <c r="A359" s="272" t="str">
        <f aca="false">IF(A358="N/A","N/A",IF(EDATE(A358,1)&gt;Inputs!$K$3,"N/A",EDATE(A358,1)))</f>
        <v>N/A</v>
      </c>
      <c r="B359" s="273" t="str">
        <f aca="false">IF(A359="N/A"," ",YEAR(A359))</f>
        <v> </v>
      </c>
      <c r="C359" s="274" t="str">
        <f aca="false">IF(A359="N/A"," ",VLOOKUP(A359,ScaledPrice,10))</f>
        <v> </v>
      </c>
      <c r="D359" s="275" t="str">
        <f aca="false">IF(A359="N/A"," ",(VLOOKUP(MONTH($A359),Inputs!$A$14:$B$25,2))/1000)</f>
        <v> </v>
      </c>
      <c r="E359" s="276" t="str">
        <f aca="false">IF($A359="N/A"," ",C359*D359)</f>
        <v> </v>
      </c>
      <c r="F359" s="277" t="str">
        <f aca="false">IF(A359="N/A"," ",Inputs!$F$6)</f>
        <v> </v>
      </c>
      <c r="G359" s="277" t="str">
        <f aca="false">IF(A359="N/A"," ",Inputs!$F$9/IF(AND('Pricing Inputs'!$AQ$3&gt;=4,'Pricing Inputs'!$AQ$3&lt;=6),16,IF(AND('Pricing Inputs'!$AQ$3&gt;=7,'Pricing Inputs'!$AQ$3&lt;=9),8,24))/(BA359/BW359))</f>
        <v> </v>
      </c>
      <c r="H359" s="278" t="str">
        <f aca="false">IF(A359="N/A"," ",(C359*D359)+F359+G359)</f>
        <v> </v>
      </c>
      <c r="I359" s="279" t="str">
        <f aca="false">VLOOKUP(A359,ScaledPrice,(IF(AND('Pricing Inputs'!$AQ$3&gt;=1,'Pricing Inputs'!$AQ$3&lt;=6),2,4)))</f>
        <v> </v>
      </c>
      <c r="J359" s="279" t="str">
        <f aca="false">IF(A359="N/A"," ",IF(AND('Pricing Inputs'!$AQ$3&gt;=1,'Pricing Inputs'!$AQ$3&lt;=6),I359,(VLOOKUP(A359,ScaledPrice,2))*(2-(VLOOKUP(A359,ScaledPrice,3)))))</f>
        <v> </v>
      </c>
      <c r="K359" s="279" t="str">
        <f aca="false">IF(A359="N/A"," ",IF(OR('Pricing Inputs'!$AQ$3=2,'Pricing Inputs'!$AQ$3=3,'Pricing Inputs'!$AQ$3=5,'Pricing Inputs'!$AQ$3=6,'Pricing Inputs'!$AQ$3=8,'Pricing Inputs'!$AQ$3=9),VLOOKUP(A359,ScaledPrice,IF(AND('Pricing Inputs'!$AQ$3&gt;=2,'Pricing Inputs'!$AQ$3&lt;=6),5,6)),0))</f>
        <v> </v>
      </c>
      <c r="L359" s="279" t="str">
        <f aca="false">IF(A359="N/A"," ",IF(OR('Pricing Inputs'!$AQ$3=2,'Pricing Inputs'!$AQ$3=3,'Pricing Inputs'!$AQ$3=5,'Pricing Inputs'!$AQ$3=6,'Pricing Inputs'!$AQ$3=8,'Pricing Inputs'!$AQ$3=9),IF(AND('Pricing Inputs'!$AQ$3&gt;=2,'Pricing Inputs'!$AQ$3&lt;=6),K359,(VLOOKUP(A359,ScaledPrice,5))*(2-(VLOOKUP(A359,ScaledPrice,3)))),0))</f>
        <v> </v>
      </c>
      <c r="M359" s="279" t="str">
        <f aca="false">IF(A359="N/A"," ",IF(OR('Pricing Inputs'!$AQ$3=3,'Pricing Inputs'!$AQ$3=6,'Pricing Inputs'!$AQ$3=9),(VLOOKUP(A359,ScaledPrice,IF(AND('Pricing Inputs'!$AQ$3&gt;=3,'Pricing Inputs'!$AQ$3&lt;=6),7,8))),0))</f>
        <v> </v>
      </c>
      <c r="N359" s="279" t="str">
        <f aca="false">IF(A359="N/A"," ",IF(OR('Pricing Inputs'!$AQ$3=3,'Pricing Inputs'!$AQ$3=6,'Pricing Inputs'!$AQ$3=9),IF(AND('Pricing Inputs'!$AQ$3&gt;=3,'Pricing Inputs'!$AQ$3&lt;=6),M359,(VLOOKUP(A359,ScaledPrice,7))*(2-(VLOOKUP(A359,ScaledPrice,3)))),0))</f>
        <v> </v>
      </c>
      <c r="O359" s="279" t="str">
        <f aca="false">IF(A359="N/A"," ",IF(AND('Pricing Inputs'!$AQ$3&gt;=1,'Pricing Inputs'!$AQ$3&lt;=3),VLOOKUP(A359,ScaledPrice,9),0))</f>
        <v> </v>
      </c>
      <c r="P359" s="280" t="str">
        <f aca="false">IF($A359="N/A"," ",IF('Pricing Inputs'!$AN$8=2,(I359-H359),IF('Pricing Inputs'!$AN$3=2,IF((I359-$H359)&gt;0,I359-$H359,0),(xSPRDOPT(I359,$E359,$BU359,0,$BP359,$BS359,$BT359,($A359-Inputs!$D$1)+15,1,0)))))</f>
        <v> </v>
      </c>
      <c r="Q359" s="280" t="str">
        <f aca="false">IF($A359="N/A"," ",IF('Pricing Inputs'!$AN$8=2,(J359-$H359),IF('Pricing Inputs'!$AN$3=2,IF((J359-$H359)&gt;0,J359-$H359,0),(xSPRDOPT(J359,$E359,$BU359,0,$BP359,$BS359,$BT359,($A359-Inputs!$D$1)+15,1,0)))))</f>
        <v> </v>
      </c>
      <c r="R359" s="280" t="str">
        <f aca="false">IF($A359="N/A"," ",IF('Pricing Inputs'!$AN$8=2,(K359-$H359),IF('Pricing Inputs'!$AN$3=2,IF((K359-$H359)&gt;0,K359-$H359,0),(xSPRDOPT(K359,$E359,$BU359,0,$BP359,$BS359,$BT359,($A359-Inputs!$D$1)+15,1,0)))))</f>
        <v> </v>
      </c>
      <c r="S359" s="280" t="str">
        <f aca="false">IF($A359="N/A"," ",IF('Pricing Inputs'!$AN$8=2,(L359-$H359),IF('Pricing Inputs'!$AN$3=2,IF((L359-$H359)&gt;0,L359-$H359,0),(xSPRDOPT(L359,$E359,$BU359,0,$BP359,$BS359,$BT359,($A359-Inputs!$D$1)+15,1,0)))))</f>
        <v> </v>
      </c>
      <c r="T359" s="280" t="str">
        <f aca="false">IF($A359="N/A"," ",IF('Pricing Inputs'!$AN$8=2,(M359-$H359),IF('Pricing Inputs'!$AN$3=2,IF((M359-$H359)&gt;0,M359-$H359,0),(xSPRDOPT(M359,$E359,$BU359,0,$BP359,$BS359,$BT359,($A359-Inputs!$D$1)+15,1,0)))))</f>
        <v> </v>
      </c>
      <c r="U359" s="280" t="str">
        <f aca="false">IF($A359="N/A"," ",IF('Pricing Inputs'!$AN$8=2,(N359-$H359),IF('Pricing Inputs'!$AN$3=2,IF((N359-$H359)&gt;0,N359-$H359,0),(xSPRDOPT(N359,$E359,$BU359,0,$BP359,$BS359,$BT359,($A359-Inputs!$D$1)+15,1,0)))))</f>
        <v> </v>
      </c>
      <c r="V359" s="281" t="str">
        <f aca="false">IF($A359="N/A"," ",(IF('Pricing Inputs'!$AN$8=2,(O359-$H359),IF((O359-$H359)&lt;=0,0,(O359-$H359)))))</f>
        <v> </v>
      </c>
      <c r="BA359" s="291" t="str">
        <f aca="false">IF($A359="N/A"," ",(IF(MONTH(A359)&gt;=4,IF(MONTH(A359)&lt;=10,Inputs!$F$13,Inputs!$F$14),Inputs!$F$14))*$BW359)</f>
        <v> </v>
      </c>
      <c r="BN359" s="294" t="str">
        <f aca="false">IF(A359="N/A"," ",(VLOOKUP(A359,PowerVolTable,(IF('Pricing Inputs'!$AT$3=2,7,IF('Pricing Inputs'!$AT$3=1,6,8))),FALSE())))</f>
        <v> </v>
      </c>
      <c r="BO359" s="294" t="str">
        <f aca="false">IF(A359="N/A"," ",(VLOOKUP(A359,IntraPowerVol,(IF('Pricing Inputs'!$AT$3=2,3,IF('Pricing Inputs'!$AT$3=1,2,4))),FALSE())*VLOOKUP(MONTH($A359),Inputs!$A$28:$B$39,2)))</f>
        <v> </v>
      </c>
      <c r="BP359" s="295" t="str">
        <f aca="false">IF($A359="N/A"," ",(IF(DateToday&gt;$A359,$BO359,((($BN359^2)*((($A359-1)-DateToday)/((EOMONTH($A359,0)+1)-DateToday-15)))+((($BO359)^2)*((15)/((EOMONTH($A359,0)+1)-DateToday-15))))^0.5)))</f>
        <v> </v>
      </c>
      <c r="BQ359" s="294" t="str">
        <f aca="false">IF($A359="N/A"," ",(VLOOKUP($A359,GasVolTable,(IF('Pricing Inputs'!$AT$3=2,6,IF('Pricing Inputs'!$AT$3=1,7,5))),FALSE())))</f>
        <v> </v>
      </c>
      <c r="BR359" s="294" t="str">
        <f aca="false">IF($A359="N/A"," ",(VLOOKUP($A359,OmicronVol,(IF('Pricing Inputs'!$AT$3=2,3,IF('Pricing Inputs'!$AT$3=1,4,2))),FALSE())))</f>
        <v> </v>
      </c>
      <c r="BS359" s="295" t="str">
        <f aca="false">IF($A359="N/A"," ",IF('Pricing Inputs'!$AN$3=1,(IF(DateToday&gt;$A359,$BR359,((($BQ359^2)*((($A359-1)-DateToday)/((EOMONTH($A359,0)+1)-DateToday-15)))+((($BR359)^2)*((15)/((EOMONTH($A359,0)+1)-DateToday-15))))^0.5)),0.0001))</f>
        <v> </v>
      </c>
      <c r="BT359" s="294" t="str">
        <f aca="false">IF($A359="N/A"," ",IF('Pricing Inputs'!$AN$3=1,(VLOOKUP($A359,CorrelationTable,2,FALSE())),0))</f>
        <v> </v>
      </c>
      <c r="BU359" s="296" t="str">
        <f aca="false">IF($A359="N/A"," ",F359+G359+(D359*(VLOOKUP($A359,'Gas Curves'!$B$17:$P$310,14,FALSE()))))</f>
        <v> </v>
      </c>
      <c r="BV359" s="294" t="str">
        <f aca="false">IF($A359="N/A"," ",IF('Pricing Inputs'!$AW$3=1,0,(VLOOKUP($A359,InterestRatesTable,2))))</f>
        <v> </v>
      </c>
      <c r="BW359" s="297" t="str">
        <f aca="false">IF($A359="N/A"," ",(1+BV359/2)^(-2*((EOMONTH(A359,0)+20)-DateToday)/365.25))</f>
        <v> </v>
      </c>
    </row>
    <row r="360" customFormat="false" ht="12.75" hidden="false" customHeight="false" outlineLevel="0" collapsed="false">
      <c r="A360" s="272" t="str">
        <f aca="false">IF(A359="N/A","N/A",IF(EDATE(A359,1)&gt;Inputs!$K$3,"N/A",EDATE(A359,1)))</f>
        <v>N/A</v>
      </c>
      <c r="B360" s="273" t="str">
        <f aca="false">IF(A360="N/A"," ",YEAR(A360))</f>
        <v> </v>
      </c>
      <c r="C360" s="274" t="str">
        <f aca="false">IF(A360="N/A"," ",VLOOKUP(A360,ScaledPrice,10))</f>
        <v> </v>
      </c>
      <c r="D360" s="275" t="str">
        <f aca="false">IF(A360="N/A"," ",(VLOOKUP(MONTH($A360),Inputs!$A$14:$B$25,2))/1000)</f>
        <v> </v>
      </c>
      <c r="E360" s="276" t="str">
        <f aca="false">IF($A360="N/A"," ",C360*D360)</f>
        <v> </v>
      </c>
      <c r="F360" s="277" t="str">
        <f aca="false">IF(A360="N/A"," ",Inputs!$F$6)</f>
        <v> </v>
      </c>
      <c r="G360" s="277" t="str">
        <f aca="false">IF(A360="N/A"," ",Inputs!$F$9/IF(AND('Pricing Inputs'!$AQ$3&gt;=4,'Pricing Inputs'!$AQ$3&lt;=6),16,IF(AND('Pricing Inputs'!$AQ$3&gt;=7,'Pricing Inputs'!$AQ$3&lt;=9),8,24))/(BA360/BW360))</f>
        <v> </v>
      </c>
      <c r="H360" s="278" t="str">
        <f aca="false">IF(A360="N/A"," ",(C360*D360)+F360+G360)</f>
        <v> </v>
      </c>
      <c r="I360" s="279" t="str">
        <f aca="false">VLOOKUP(A360,ScaledPrice,(IF(AND('Pricing Inputs'!$AQ$3&gt;=1,'Pricing Inputs'!$AQ$3&lt;=6),2,4)))</f>
        <v> </v>
      </c>
      <c r="J360" s="279" t="str">
        <f aca="false">IF(A360="N/A"," ",IF(AND('Pricing Inputs'!$AQ$3&gt;=1,'Pricing Inputs'!$AQ$3&lt;=6),I360,(VLOOKUP(A360,ScaledPrice,2))*(2-(VLOOKUP(A360,ScaledPrice,3)))))</f>
        <v> </v>
      </c>
      <c r="K360" s="279" t="str">
        <f aca="false">IF(A360="N/A"," ",IF(OR('Pricing Inputs'!$AQ$3=2,'Pricing Inputs'!$AQ$3=3,'Pricing Inputs'!$AQ$3=5,'Pricing Inputs'!$AQ$3=6,'Pricing Inputs'!$AQ$3=8,'Pricing Inputs'!$AQ$3=9),VLOOKUP(A360,ScaledPrice,IF(AND('Pricing Inputs'!$AQ$3&gt;=2,'Pricing Inputs'!$AQ$3&lt;=6),5,6)),0))</f>
        <v> </v>
      </c>
      <c r="L360" s="279" t="str">
        <f aca="false">IF(A360="N/A"," ",IF(OR('Pricing Inputs'!$AQ$3=2,'Pricing Inputs'!$AQ$3=3,'Pricing Inputs'!$AQ$3=5,'Pricing Inputs'!$AQ$3=6,'Pricing Inputs'!$AQ$3=8,'Pricing Inputs'!$AQ$3=9),IF(AND('Pricing Inputs'!$AQ$3&gt;=2,'Pricing Inputs'!$AQ$3&lt;=6),K360,(VLOOKUP(A360,ScaledPrice,5))*(2-(VLOOKUP(A360,ScaledPrice,3)))),0))</f>
        <v> </v>
      </c>
      <c r="M360" s="279" t="str">
        <f aca="false">IF(A360="N/A"," ",IF(OR('Pricing Inputs'!$AQ$3=3,'Pricing Inputs'!$AQ$3=6,'Pricing Inputs'!$AQ$3=9),(VLOOKUP(A360,ScaledPrice,IF(AND('Pricing Inputs'!$AQ$3&gt;=3,'Pricing Inputs'!$AQ$3&lt;=6),7,8))),0))</f>
        <v> </v>
      </c>
      <c r="N360" s="279" t="str">
        <f aca="false">IF(A360="N/A"," ",IF(OR('Pricing Inputs'!$AQ$3=3,'Pricing Inputs'!$AQ$3=6,'Pricing Inputs'!$AQ$3=9),IF(AND('Pricing Inputs'!$AQ$3&gt;=3,'Pricing Inputs'!$AQ$3&lt;=6),M360,(VLOOKUP(A360,ScaledPrice,7))*(2-(VLOOKUP(A360,ScaledPrice,3)))),0))</f>
        <v> </v>
      </c>
      <c r="O360" s="279" t="str">
        <f aca="false">IF(A360="N/A"," ",IF(AND('Pricing Inputs'!$AQ$3&gt;=1,'Pricing Inputs'!$AQ$3&lt;=3),VLOOKUP(A360,ScaledPrice,9),0))</f>
        <v> </v>
      </c>
      <c r="P360" s="280" t="str">
        <f aca="false">IF($A360="N/A"," ",IF('Pricing Inputs'!$AN$8=2,(I360-H360),IF('Pricing Inputs'!$AN$3=2,IF((I360-$H360)&gt;0,I360-$H360,0),(xSPRDOPT(I360,$E360,$BU360,0,$BP360,$BS360,$BT360,($A360-Inputs!$D$1)+15,1,0)))))</f>
        <v> </v>
      </c>
      <c r="Q360" s="280" t="str">
        <f aca="false">IF($A360="N/A"," ",IF('Pricing Inputs'!$AN$8=2,(J360-$H360),IF('Pricing Inputs'!$AN$3=2,IF((J360-$H360)&gt;0,J360-$H360,0),(xSPRDOPT(J360,$E360,$BU360,0,$BP360,$BS360,$BT360,($A360-Inputs!$D$1)+15,1,0)))))</f>
        <v> </v>
      </c>
      <c r="R360" s="280" t="str">
        <f aca="false">IF($A360="N/A"," ",IF('Pricing Inputs'!$AN$8=2,(K360-$H360),IF('Pricing Inputs'!$AN$3=2,IF((K360-$H360)&gt;0,K360-$H360,0),(xSPRDOPT(K360,$E360,$BU360,0,$BP360,$BS360,$BT360,($A360-Inputs!$D$1)+15,1,0)))))</f>
        <v> </v>
      </c>
      <c r="S360" s="280" t="str">
        <f aca="false">IF($A360="N/A"," ",IF('Pricing Inputs'!$AN$8=2,(L360-$H360),IF('Pricing Inputs'!$AN$3=2,IF((L360-$H360)&gt;0,L360-$H360,0),(xSPRDOPT(L360,$E360,$BU360,0,$BP360,$BS360,$BT360,($A360-Inputs!$D$1)+15,1,0)))))</f>
        <v> </v>
      </c>
      <c r="T360" s="280" t="str">
        <f aca="false">IF($A360="N/A"," ",IF('Pricing Inputs'!$AN$8=2,(M360-$H360),IF('Pricing Inputs'!$AN$3=2,IF((M360-$H360)&gt;0,M360-$H360,0),(xSPRDOPT(M360,$E360,$BU360,0,$BP360,$BS360,$BT360,($A360-Inputs!$D$1)+15,1,0)))))</f>
        <v> </v>
      </c>
      <c r="U360" s="280" t="str">
        <f aca="false">IF($A360="N/A"," ",IF('Pricing Inputs'!$AN$8=2,(N360-$H360),IF('Pricing Inputs'!$AN$3=2,IF((N360-$H360)&gt;0,N360-$H360,0),(xSPRDOPT(N360,$E360,$BU360,0,$BP360,$BS360,$BT360,($A360-Inputs!$D$1)+15,1,0)))))</f>
        <v> </v>
      </c>
      <c r="V360" s="281" t="str">
        <f aca="false">IF($A360="N/A"," ",(IF('Pricing Inputs'!$AN$8=2,(O360-$H360),IF((O360-$H360)&lt;=0,0,(O360-$H360)))))</f>
        <v> </v>
      </c>
      <c r="BA360" s="291" t="str">
        <f aca="false">IF($A360="N/A"," ",(IF(MONTH(A360)&gt;=4,IF(MONTH(A360)&lt;=10,Inputs!$F$13,Inputs!$F$14),Inputs!$F$14))*$BW360)</f>
        <v> </v>
      </c>
      <c r="BN360" s="294" t="str">
        <f aca="false">IF(A360="N/A"," ",(VLOOKUP(A360,PowerVolTable,(IF('Pricing Inputs'!$AT$3=2,7,IF('Pricing Inputs'!$AT$3=1,6,8))),FALSE())))</f>
        <v> </v>
      </c>
      <c r="BO360" s="294" t="str">
        <f aca="false">IF(A360="N/A"," ",(VLOOKUP(A360,IntraPowerVol,(IF('Pricing Inputs'!$AT$3=2,3,IF('Pricing Inputs'!$AT$3=1,2,4))),FALSE())*VLOOKUP(MONTH($A360),Inputs!$A$28:$B$39,2)))</f>
        <v> </v>
      </c>
      <c r="BP360" s="295" t="str">
        <f aca="false">IF($A360="N/A"," ",(IF(DateToday&gt;$A360,$BO360,((($BN360^2)*((($A360-1)-DateToday)/((EOMONTH($A360,0)+1)-DateToday-15)))+((($BO360)^2)*((15)/((EOMONTH($A360,0)+1)-DateToday-15))))^0.5)))</f>
        <v> </v>
      </c>
      <c r="BQ360" s="294" t="str">
        <f aca="false">IF($A360="N/A"," ",(VLOOKUP($A360,GasVolTable,(IF('Pricing Inputs'!$AT$3=2,6,IF('Pricing Inputs'!$AT$3=1,7,5))),FALSE())))</f>
        <v> </v>
      </c>
      <c r="BR360" s="294" t="str">
        <f aca="false">IF($A360="N/A"," ",(VLOOKUP($A360,OmicronVol,(IF('Pricing Inputs'!$AT$3=2,3,IF('Pricing Inputs'!$AT$3=1,4,2))),FALSE())))</f>
        <v> </v>
      </c>
      <c r="BS360" s="295" t="str">
        <f aca="false">IF($A360="N/A"," ",IF('Pricing Inputs'!$AN$3=1,(IF(DateToday&gt;$A360,$BR360,((($BQ360^2)*((($A360-1)-DateToday)/((EOMONTH($A360,0)+1)-DateToday-15)))+((($BR360)^2)*((15)/((EOMONTH($A360,0)+1)-DateToday-15))))^0.5)),0.0001))</f>
        <v> </v>
      </c>
      <c r="BT360" s="294" t="str">
        <f aca="false">IF($A360="N/A"," ",IF('Pricing Inputs'!$AN$3=1,(VLOOKUP($A360,CorrelationTable,2,FALSE())),0))</f>
        <v> </v>
      </c>
      <c r="BU360" s="296" t="str">
        <f aca="false">IF($A360="N/A"," ",F360+G360+(D360*(VLOOKUP($A360,'Gas Curves'!$B$17:$P$310,14,FALSE()))))</f>
        <v> </v>
      </c>
      <c r="BV360" s="294" t="str">
        <f aca="false">IF($A360="N/A"," ",IF('Pricing Inputs'!$AW$3=1,0,(VLOOKUP($A360,InterestRatesTable,2))))</f>
        <v> </v>
      </c>
      <c r="BW360" s="297" t="str">
        <f aca="false">IF($A360="N/A"," ",(1+BV360/2)^(-2*((EOMONTH(A360,0)+20)-DateToday)/365.25))</f>
        <v> </v>
      </c>
    </row>
    <row r="361" customFormat="false" ht="12.75" hidden="false" customHeight="false" outlineLevel="0" collapsed="false">
      <c r="A361" s="272" t="str">
        <f aca="false">IF(A360="N/A","N/A",IF(EDATE(A360,1)&gt;Inputs!$K$3,"N/A",EDATE(A360,1)))</f>
        <v>N/A</v>
      </c>
      <c r="B361" s="273" t="str">
        <f aca="false">IF(A361="N/A"," ",YEAR(A361))</f>
        <v> </v>
      </c>
      <c r="C361" s="274" t="str">
        <f aca="false">IF(A361="N/A"," ",VLOOKUP(A361,ScaledPrice,10))</f>
        <v> </v>
      </c>
      <c r="D361" s="275" t="str">
        <f aca="false">IF(A361="N/A"," ",(VLOOKUP(MONTH($A361),Inputs!$A$14:$B$25,2))/1000)</f>
        <v> </v>
      </c>
      <c r="E361" s="276" t="str">
        <f aca="false">IF($A361="N/A"," ",C361*D361)</f>
        <v> </v>
      </c>
      <c r="F361" s="277" t="str">
        <f aca="false">IF(A361="N/A"," ",Inputs!$F$6)</f>
        <v> </v>
      </c>
      <c r="G361" s="277" t="str">
        <f aca="false">IF(A361="N/A"," ",Inputs!$F$9/IF(AND('Pricing Inputs'!$AQ$3&gt;=4,'Pricing Inputs'!$AQ$3&lt;=6),16,IF(AND('Pricing Inputs'!$AQ$3&gt;=7,'Pricing Inputs'!$AQ$3&lt;=9),8,24))/(BA361/BW361))</f>
        <v> </v>
      </c>
      <c r="H361" s="278" t="str">
        <f aca="false">IF(A361="N/A"," ",(C361*D361)+F361+G361)</f>
        <v> </v>
      </c>
      <c r="I361" s="279" t="str">
        <f aca="false">VLOOKUP(A361,ScaledPrice,(IF(AND('Pricing Inputs'!$AQ$3&gt;=1,'Pricing Inputs'!$AQ$3&lt;=6),2,4)))</f>
        <v> </v>
      </c>
      <c r="J361" s="279" t="str">
        <f aca="false">IF(A361="N/A"," ",IF(AND('Pricing Inputs'!$AQ$3&gt;=1,'Pricing Inputs'!$AQ$3&lt;=6),I361,(VLOOKUP(A361,ScaledPrice,2))*(2-(VLOOKUP(A361,ScaledPrice,3)))))</f>
        <v> </v>
      </c>
      <c r="K361" s="279" t="str">
        <f aca="false">IF(A361="N/A"," ",IF(OR('Pricing Inputs'!$AQ$3=2,'Pricing Inputs'!$AQ$3=3,'Pricing Inputs'!$AQ$3=5,'Pricing Inputs'!$AQ$3=6,'Pricing Inputs'!$AQ$3=8,'Pricing Inputs'!$AQ$3=9),VLOOKUP(A361,ScaledPrice,IF(AND('Pricing Inputs'!$AQ$3&gt;=2,'Pricing Inputs'!$AQ$3&lt;=6),5,6)),0))</f>
        <v> </v>
      </c>
      <c r="L361" s="279" t="str">
        <f aca="false">IF(A361="N/A"," ",IF(OR('Pricing Inputs'!$AQ$3=2,'Pricing Inputs'!$AQ$3=3,'Pricing Inputs'!$AQ$3=5,'Pricing Inputs'!$AQ$3=6,'Pricing Inputs'!$AQ$3=8,'Pricing Inputs'!$AQ$3=9),IF(AND('Pricing Inputs'!$AQ$3&gt;=2,'Pricing Inputs'!$AQ$3&lt;=6),K361,(VLOOKUP(A361,ScaledPrice,5))*(2-(VLOOKUP(A361,ScaledPrice,3)))),0))</f>
        <v> </v>
      </c>
      <c r="M361" s="279" t="str">
        <f aca="false">IF(A361="N/A"," ",IF(OR('Pricing Inputs'!$AQ$3=3,'Pricing Inputs'!$AQ$3=6,'Pricing Inputs'!$AQ$3=9),(VLOOKUP(A361,ScaledPrice,IF(AND('Pricing Inputs'!$AQ$3&gt;=3,'Pricing Inputs'!$AQ$3&lt;=6),7,8))),0))</f>
        <v> </v>
      </c>
      <c r="N361" s="279" t="str">
        <f aca="false">IF(A361="N/A"," ",IF(OR('Pricing Inputs'!$AQ$3=3,'Pricing Inputs'!$AQ$3=6,'Pricing Inputs'!$AQ$3=9),IF(AND('Pricing Inputs'!$AQ$3&gt;=3,'Pricing Inputs'!$AQ$3&lt;=6),M361,(VLOOKUP(A361,ScaledPrice,7))*(2-(VLOOKUP(A361,ScaledPrice,3)))),0))</f>
        <v> </v>
      </c>
      <c r="O361" s="279" t="str">
        <f aca="false">IF(A361="N/A"," ",IF(AND('Pricing Inputs'!$AQ$3&gt;=1,'Pricing Inputs'!$AQ$3&lt;=3),VLOOKUP(A361,ScaledPrice,9),0))</f>
        <v> </v>
      </c>
      <c r="P361" s="280" t="str">
        <f aca="false">IF($A361="N/A"," ",IF('Pricing Inputs'!$AN$8=2,(I361-H361),IF('Pricing Inputs'!$AN$3=2,IF((I361-$H361)&gt;0,I361-$H361,0),(xSPRDOPT(I361,$E361,$BU361,0,$BP361,$BS361,$BT361,($A361-Inputs!$D$1)+15,1,0)))))</f>
        <v> </v>
      </c>
      <c r="Q361" s="280" t="str">
        <f aca="false">IF($A361="N/A"," ",IF('Pricing Inputs'!$AN$8=2,(J361-$H361),IF('Pricing Inputs'!$AN$3=2,IF((J361-$H361)&gt;0,J361-$H361,0),(xSPRDOPT(J361,$E361,$BU361,0,$BP361,$BS361,$BT361,($A361-Inputs!$D$1)+15,1,0)))))</f>
        <v> </v>
      </c>
      <c r="R361" s="280" t="str">
        <f aca="false">IF($A361="N/A"," ",IF('Pricing Inputs'!$AN$8=2,(K361-$H361),IF('Pricing Inputs'!$AN$3=2,IF((K361-$H361)&gt;0,K361-$H361,0),(xSPRDOPT(K361,$E361,$BU361,0,$BP361,$BS361,$BT361,($A361-Inputs!$D$1)+15,1,0)))))</f>
        <v> </v>
      </c>
      <c r="S361" s="280" t="str">
        <f aca="false">IF($A361="N/A"," ",IF('Pricing Inputs'!$AN$8=2,(L361-$H361),IF('Pricing Inputs'!$AN$3=2,IF((L361-$H361)&gt;0,L361-$H361,0),(xSPRDOPT(L361,$E361,$BU361,0,$BP361,$BS361,$BT361,($A361-Inputs!$D$1)+15,1,0)))))</f>
        <v> </v>
      </c>
      <c r="T361" s="280" t="str">
        <f aca="false">IF($A361="N/A"," ",IF('Pricing Inputs'!$AN$8=2,(M361-$H361),IF('Pricing Inputs'!$AN$3=2,IF((M361-$H361)&gt;0,M361-$H361,0),(xSPRDOPT(M361,$E361,$BU361,0,$BP361,$BS361,$BT361,($A361-Inputs!$D$1)+15,1,0)))))</f>
        <v> </v>
      </c>
      <c r="U361" s="280" t="str">
        <f aca="false">IF($A361="N/A"," ",IF('Pricing Inputs'!$AN$8=2,(N361-$H361),IF('Pricing Inputs'!$AN$3=2,IF((N361-$H361)&gt;0,N361-$H361,0),(xSPRDOPT(N361,$E361,$BU361,0,$BP361,$BS361,$BT361,($A361-Inputs!$D$1)+15,1,0)))))</f>
        <v> </v>
      </c>
      <c r="V361" s="281" t="str">
        <f aca="false">IF($A361="N/A"," ",(IF('Pricing Inputs'!$AN$8=2,(O361-$H361),IF((O361-$H361)&lt;=0,0,(O361-$H361)))))</f>
        <v> </v>
      </c>
      <c r="BA361" s="291" t="str">
        <f aca="false">IF($A361="N/A"," ",(IF(MONTH(A361)&gt;=4,IF(MONTH(A361)&lt;=10,Inputs!$F$13,Inputs!$F$14),Inputs!$F$14))*$BW361)</f>
        <v> </v>
      </c>
      <c r="BN361" s="294" t="str">
        <f aca="false">IF(A361="N/A"," ",(VLOOKUP(A361,PowerVolTable,(IF('Pricing Inputs'!$AT$3=2,7,IF('Pricing Inputs'!$AT$3=1,6,8))),FALSE())))</f>
        <v> </v>
      </c>
      <c r="BO361" s="294" t="str">
        <f aca="false">IF(A361="N/A"," ",(VLOOKUP(A361,IntraPowerVol,(IF('Pricing Inputs'!$AT$3=2,3,IF('Pricing Inputs'!$AT$3=1,2,4))),FALSE())*VLOOKUP(MONTH($A361),Inputs!$A$28:$B$39,2)))</f>
        <v> </v>
      </c>
      <c r="BP361" s="295" t="str">
        <f aca="false">IF($A361="N/A"," ",(IF(DateToday&gt;$A361,$BO361,((($BN361^2)*((($A361-1)-DateToday)/((EOMONTH($A361,0)+1)-DateToday-15)))+((($BO361)^2)*((15)/((EOMONTH($A361,0)+1)-DateToday-15))))^0.5)))</f>
        <v> </v>
      </c>
      <c r="BQ361" s="294" t="str">
        <f aca="false">IF($A361="N/A"," ",(VLOOKUP($A361,GasVolTable,(IF('Pricing Inputs'!$AT$3=2,6,IF('Pricing Inputs'!$AT$3=1,7,5))),FALSE())))</f>
        <v> </v>
      </c>
      <c r="BR361" s="294" t="str">
        <f aca="false">IF($A361="N/A"," ",(VLOOKUP($A361,OmicronVol,(IF('Pricing Inputs'!$AT$3=2,3,IF('Pricing Inputs'!$AT$3=1,4,2))),FALSE())))</f>
        <v> </v>
      </c>
      <c r="BS361" s="295" t="str">
        <f aca="false">IF($A361="N/A"," ",IF('Pricing Inputs'!$AN$3=1,(IF(DateToday&gt;$A361,$BR361,((($BQ361^2)*((($A361-1)-DateToday)/((EOMONTH($A361,0)+1)-DateToday-15)))+((($BR361)^2)*((15)/((EOMONTH($A361,0)+1)-DateToday-15))))^0.5)),0.0001))</f>
        <v> </v>
      </c>
      <c r="BT361" s="294" t="str">
        <f aca="false">IF($A361="N/A"," ",IF('Pricing Inputs'!$AN$3=1,(VLOOKUP($A361,CorrelationTable,2,FALSE())),0))</f>
        <v> </v>
      </c>
      <c r="BU361" s="296" t="str">
        <f aca="false">IF($A361="N/A"," ",F361+G361+(D361*(VLOOKUP($A361,'Gas Curves'!$B$17:$P$310,14,FALSE()))))</f>
        <v> </v>
      </c>
      <c r="BV361" s="294" t="str">
        <f aca="false">IF($A361="N/A"," ",IF('Pricing Inputs'!$AW$3=1,0,(VLOOKUP($A361,InterestRatesTable,2))))</f>
        <v> </v>
      </c>
      <c r="BW361" s="297" t="str">
        <f aca="false">IF($A361="N/A"," ",(1+BV361/2)^(-2*((EOMONTH(A361,0)+20)-DateToday)/365.25))</f>
        <v> </v>
      </c>
    </row>
    <row r="362" customFormat="false" ht="12.75" hidden="false" customHeight="false" outlineLevel="0" collapsed="false">
      <c r="A362" s="272" t="str">
        <f aca="false">IF(A361="N/A","N/A",IF(EDATE(A361,1)&gt;Inputs!$K$3,"N/A",EDATE(A361,1)))</f>
        <v>N/A</v>
      </c>
      <c r="B362" s="273" t="str">
        <f aca="false">IF(A362="N/A"," ",YEAR(A362))</f>
        <v> </v>
      </c>
      <c r="C362" s="274" t="str">
        <f aca="false">IF(A362="N/A"," ",VLOOKUP(A362,ScaledPrice,10))</f>
        <v> </v>
      </c>
      <c r="D362" s="275" t="str">
        <f aca="false">IF(A362="N/A"," ",(VLOOKUP(MONTH($A362),Inputs!$A$14:$B$25,2))/1000)</f>
        <v> </v>
      </c>
      <c r="E362" s="276" t="str">
        <f aca="false">IF($A362="N/A"," ",C362*D362)</f>
        <v> </v>
      </c>
      <c r="F362" s="277" t="str">
        <f aca="false">IF(A362="N/A"," ",Inputs!$F$6)</f>
        <v> </v>
      </c>
      <c r="G362" s="277" t="str">
        <f aca="false">IF(A362="N/A"," ",Inputs!$F$9/IF(AND('Pricing Inputs'!$AQ$3&gt;=4,'Pricing Inputs'!$AQ$3&lt;=6),16,IF(AND('Pricing Inputs'!$AQ$3&gt;=7,'Pricing Inputs'!$AQ$3&lt;=9),8,24))/(BA362/BW362))</f>
        <v> </v>
      </c>
      <c r="H362" s="278" t="str">
        <f aca="false">IF(A362="N/A"," ",(C362*D362)+F362+G362)</f>
        <v> </v>
      </c>
      <c r="I362" s="279" t="str">
        <f aca="false">VLOOKUP(A362,ScaledPrice,(IF(AND('Pricing Inputs'!$AQ$3&gt;=1,'Pricing Inputs'!$AQ$3&lt;=6),2,4)))</f>
        <v> </v>
      </c>
      <c r="J362" s="279" t="str">
        <f aca="false">IF(A362="N/A"," ",IF(AND('Pricing Inputs'!$AQ$3&gt;=1,'Pricing Inputs'!$AQ$3&lt;=6),I362,(VLOOKUP(A362,ScaledPrice,2))*(2-(VLOOKUP(A362,ScaledPrice,3)))))</f>
        <v> </v>
      </c>
      <c r="K362" s="279" t="str">
        <f aca="false">IF(A362="N/A"," ",IF(OR('Pricing Inputs'!$AQ$3=2,'Pricing Inputs'!$AQ$3=3,'Pricing Inputs'!$AQ$3=5,'Pricing Inputs'!$AQ$3=6,'Pricing Inputs'!$AQ$3=8,'Pricing Inputs'!$AQ$3=9),VLOOKUP(A362,ScaledPrice,IF(AND('Pricing Inputs'!$AQ$3&gt;=2,'Pricing Inputs'!$AQ$3&lt;=6),5,6)),0))</f>
        <v> </v>
      </c>
      <c r="L362" s="279" t="str">
        <f aca="false">IF(A362="N/A"," ",IF(OR('Pricing Inputs'!$AQ$3=2,'Pricing Inputs'!$AQ$3=3,'Pricing Inputs'!$AQ$3=5,'Pricing Inputs'!$AQ$3=6,'Pricing Inputs'!$AQ$3=8,'Pricing Inputs'!$AQ$3=9),IF(AND('Pricing Inputs'!$AQ$3&gt;=2,'Pricing Inputs'!$AQ$3&lt;=6),K362,(VLOOKUP(A362,ScaledPrice,5))*(2-(VLOOKUP(A362,ScaledPrice,3)))),0))</f>
        <v> </v>
      </c>
      <c r="M362" s="279" t="str">
        <f aca="false">IF(A362="N/A"," ",IF(OR('Pricing Inputs'!$AQ$3=3,'Pricing Inputs'!$AQ$3=6,'Pricing Inputs'!$AQ$3=9),(VLOOKUP(A362,ScaledPrice,IF(AND('Pricing Inputs'!$AQ$3&gt;=3,'Pricing Inputs'!$AQ$3&lt;=6),7,8))),0))</f>
        <v> </v>
      </c>
      <c r="N362" s="279" t="str">
        <f aca="false">IF(A362="N/A"," ",IF(OR('Pricing Inputs'!$AQ$3=3,'Pricing Inputs'!$AQ$3=6,'Pricing Inputs'!$AQ$3=9),IF(AND('Pricing Inputs'!$AQ$3&gt;=3,'Pricing Inputs'!$AQ$3&lt;=6),M362,(VLOOKUP(A362,ScaledPrice,7))*(2-(VLOOKUP(A362,ScaledPrice,3)))),0))</f>
        <v> </v>
      </c>
      <c r="O362" s="279" t="str">
        <f aca="false">IF(A362="N/A"," ",IF(AND('Pricing Inputs'!$AQ$3&gt;=1,'Pricing Inputs'!$AQ$3&lt;=3),VLOOKUP(A362,ScaledPrice,9),0))</f>
        <v> </v>
      </c>
      <c r="P362" s="280" t="str">
        <f aca="false">IF($A362="N/A"," ",IF('Pricing Inputs'!$AN$8=2,(I362-H362),IF('Pricing Inputs'!$AN$3=2,IF((I362-$H362)&gt;0,I362-$H362,0),(xSPRDOPT(I362,$E362,$BU362,0,$BP362,$BS362,$BT362,($A362-Inputs!$D$1)+15,1,0)))))</f>
        <v> </v>
      </c>
      <c r="Q362" s="280" t="str">
        <f aca="false">IF($A362="N/A"," ",IF('Pricing Inputs'!$AN$8=2,(J362-$H362),IF('Pricing Inputs'!$AN$3=2,IF((J362-$H362)&gt;0,J362-$H362,0),(xSPRDOPT(J362,$E362,$BU362,0,$BP362,$BS362,$BT362,($A362-Inputs!$D$1)+15,1,0)))))</f>
        <v> </v>
      </c>
      <c r="R362" s="280" t="str">
        <f aca="false">IF($A362="N/A"," ",IF('Pricing Inputs'!$AN$8=2,(K362-$H362),IF('Pricing Inputs'!$AN$3=2,IF((K362-$H362)&gt;0,K362-$H362,0),(xSPRDOPT(K362,$E362,$BU362,0,$BP362,$BS362,$BT362,($A362-Inputs!$D$1)+15,1,0)))))</f>
        <v> </v>
      </c>
      <c r="S362" s="280" t="str">
        <f aca="false">IF($A362="N/A"," ",IF('Pricing Inputs'!$AN$8=2,(L362-$H362),IF('Pricing Inputs'!$AN$3=2,IF((L362-$H362)&gt;0,L362-$H362,0),(xSPRDOPT(L362,$E362,$BU362,0,$BP362,$BS362,$BT362,($A362-Inputs!$D$1)+15,1,0)))))</f>
        <v> </v>
      </c>
      <c r="T362" s="280" t="str">
        <f aca="false">IF($A362="N/A"," ",IF('Pricing Inputs'!$AN$8=2,(M362-$H362),IF('Pricing Inputs'!$AN$3=2,IF((M362-$H362)&gt;0,M362-$H362,0),(xSPRDOPT(M362,$E362,$BU362,0,$BP362,$BS362,$BT362,($A362-Inputs!$D$1)+15,1,0)))))</f>
        <v> </v>
      </c>
      <c r="U362" s="280" t="str">
        <f aca="false">IF($A362="N/A"," ",IF('Pricing Inputs'!$AN$8=2,(N362-$H362),IF('Pricing Inputs'!$AN$3=2,IF((N362-$H362)&gt;0,N362-$H362,0),(xSPRDOPT(N362,$E362,$BU362,0,$BP362,$BS362,$BT362,($A362-Inputs!$D$1)+15,1,0)))))</f>
        <v> </v>
      </c>
      <c r="V362" s="281" t="str">
        <f aca="false">IF($A362="N/A"," ",(IF('Pricing Inputs'!$AN$8=2,(O362-$H362),IF((O362-$H362)&lt;=0,0,(O362-$H362)))))</f>
        <v> </v>
      </c>
      <c r="BA362" s="291" t="str">
        <f aca="false">IF($A362="N/A"," ",(IF(MONTH(A362)&gt;=4,IF(MONTH(A362)&lt;=10,Inputs!$F$13,Inputs!$F$14),Inputs!$F$14))*$BW362)</f>
        <v> </v>
      </c>
      <c r="BN362" s="294" t="str">
        <f aca="false">IF(A362="N/A"," ",(VLOOKUP(A362,PowerVolTable,(IF('Pricing Inputs'!$AT$3=2,7,IF('Pricing Inputs'!$AT$3=1,6,8))),FALSE())))</f>
        <v> </v>
      </c>
      <c r="BO362" s="294" t="str">
        <f aca="false">IF(A362="N/A"," ",(VLOOKUP(A362,IntraPowerVol,(IF('Pricing Inputs'!$AT$3=2,3,IF('Pricing Inputs'!$AT$3=1,2,4))),FALSE())*VLOOKUP(MONTH($A362),Inputs!$A$28:$B$39,2)))</f>
        <v> </v>
      </c>
      <c r="BP362" s="295" t="str">
        <f aca="false">IF($A362="N/A"," ",(IF(DateToday&gt;$A362,$BO362,((($BN362^2)*((($A362-1)-DateToday)/((EOMONTH($A362,0)+1)-DateToday-15)))+((($BO362)^2)*((15)/((EOMONTH($A362,0)+1)-DateToday-15))))^0.5)))</f>
        <v> </v>
      </c>
      <c r="BQ362" s="294" t="str">
        <f aca="false">IF($A362="N/A"," ",(VLOOKUP($A362,GasVolTable,(IF('Pricing Inputs'!$AT$3=2,6,IF('Pricing Inputs'!$AT$3=1,7,5))),FALSE())))</f>
        <v> </v>
      </c>
      <c r="BR362" s="294" t="str">
        <f aca="false">IF($A362="N/A"," ",(VLOOKUP($A362,OmicronVol,(IF('Pricing Inputs'!$AT$3=2,3,IF('Pricing Inputs'!$AT$3=1,4,2))),FALSE())))</f>
        <v> </v>
      </c>
      <c r="BS362" s="295" t="str">
        <f aca="false">IF($A362="N/A"," ",IF('Pricing Inputs'!$AN$3=1,(IF(DateToday&gt;$A362,$BR362,((($BQ362^2)*((($A362-1)-DateToday)/((EOMONTH($A362,0)+1)-DateToday-15)))+((($BR362)^2)*((15)/((EOMONTH($A362,0)+1)-DateToday-15))))^0.5)),0.0001))</f>
        <v> </v>
      </c>
      <c r="BT362" s="294" t="str">
        <f aca="false">IF($A362="N/A"," ",IF('Pricing Inputs'!$AN$3=1,(VLOOKUP($A362,CorrelationTable,2,FALSE())),0))</f>
        <v> </v>
      </c>
      <c r="BU362" s="296" t="str">
        <f aca="false">IF($A362="N/A"," ",F362+G362+(D362*(VLOOKUP($A362,'Gas Curves'!$B$17:$P$310,14,FALSE()))))</f>
        <v> </v>
      </c>
      <c r="BV362" s="294" t="str">
        <f aca="false">IF($A362="N/A"," ",IF('Pricing Inputs'!$AW$3=1,0,(VLOOKUP($A362,InterestRatesTable,2))))</f>
        <v> </v>
      </c>
      <c r="BW362" s="297" t="str">
        <f aca="false">IF($A362="N/A"," ",(1+BV362/2)^(-2*((EOMONTH(A362,0)+20)-DateToday)/365.25))</f>
        <v> </v>
      </c>
    </row>
    <row r="363" customFormat="false" ht="12.75" hidden="false" customHeight="false" outlineLevel="0" collapsed="false">
      <c r="A363" s="272" t="str">
        <f aca="false">IF(A362="N/A","N/A",IF(EDATE(A362,1)&gt;Inputs!$K$3,"N/A",EDATE(A362,1)))</f>
        <v>N/A</v>
      </c>
      <c r="B363" s="273" t="str">
        <f aca="false">IF(A363="N/A"," ",YEAR(A363))</f>
        <v> </v>
      </c>
      <c r="C363" s="274" t="str">
        <f aca="false">IF(A363="N/A"," ",VLOOKUP(A363,ScaledPrice,10))</f>
        <v> </v>
      </c>
      <c r="D363" s="275" t="str">
        <f aca="false">IF(A363="N/A"," ",(VLOOKUP(MONTH($A363),Inputs!$A$14:$B$25,2))/1000)</f>
        <v> </v>
      </c>
      <c r="E363" s="276" t="str">
        <f aca="false">IF($A363="N/A"," ",C363*D363)</f>
        <v> </v>
      </c>
      <c r="F363" s="277" t="str">
        <f aca="false">IF(A363="N/A"," ",Inputs!$F$6)</f>
        <v> </v>
      </c>
      <c r="G363" s="277" t="str">
        <f aca="false">IF(A363="N/A"," ",Inputs!$F$9/IF(AND('Pricing Inputs'!$AQ$3&gt;=4,'Pricing Inputs'!$AQ$3&lt;=6),16,IF(AND('Pricing Inputs'!$AQ$3&gt;=7,'Pricing Inputs'!$AQ$3&lt;=9),8,24))/(BA363/BW363))</f>
        <v> </v>
      </c>
      <c r="H363" s="278" t="str">
        <f aca="false">IF(A363="N/A"," ",(C363*D363)+F363+G363)</f>
        <v> </v>
      </c>
      <c r="I363" s="279" t="str">
        <f aca="false">VLOOKUP(A363,ScaledPrice,(IF(AND('Pricing Inputs'!$AQ$3&gt;=1,'Pricing Inputs'!$AQ$3&lt;=6),2,4)))</f>
        <v> </v>
      </c>
      <c r="J363" s="279" t="str">
        <f aca="false">IF(A363="N/A"," ",IF(AND('Pricing Inputs'!$AQ$3&gt;=1,'Pricing Inputs'!$AQ$3&lt;=6),I363,(VLOOKUP(A363,ScaledPrice,2))*(2-(VLOOKUP(A363,ScaledPrice,3)))))</f>
        <v> </v>
      </c>
      <c r="K363" s="279" t="str">
        <f aca="false">IF(A363="N/A"," ",IF(OR('Pricing Inputs'!$AQ$3=2,'Pricing Inputs'!$AQ$3=3,'Pricing Inputs'!$AQ$3=5,'Pricing Inputs'!$AQ$3=6,'Pricing Inputs'!$AQ$3=8,'Pricing Inputs'!$AQ$3=9),VLOOKUP(A363,ScaledPrice,IF(AND('Pricing Inputs'!$AQ$3&gt;=2,'Pricing Inputs'!$AQ$3&lt;=6),5,6)),0))</f>
        <v> </v>
      </c>
      <c r="L363" s="279" t="str">
        <f aca="false">IF(A363="N/A"," ",IF(OR('Pricing Inputs'!$AQ$3=2,'Pricing Inputs'!$AQ$3=3,'Pricing Inputs'!$AQ$3=5,'Pricing Inputs'!$AQ$3=6,'Pricing Inputs'!$AQ$3=8,'Pricing Inputs'!$AQ$3=9),IF(AND('Pricing Inputs'!$AQ$3&gt;=2,'Pricing Inputs'!$AQ$3&lt;=6),K363,(VLOOKUP(A363,ScaledPrice,5))*(2-(VLOOKUP(A363,ScaledPrice,3)))),0))</f>
        <v> </v>
      </c>
      <c r="M363" s="279" t="str">
        <f aca="false">IF(A363="N/A"," ",IF(OR('Pricing Inputs'!$AQ$3=3,'Pricing Inputs'!$AQ$3=6,'Pricing Inputs'!$AQ$3=9),(VLOOKUP(A363,ScaledPrice,IF(AND('Pricing Inputs'!$AQ$3&gt;=3,'Pricing Inputs'!$AQ$3&lt;=6),7,8))),0))</f>
        <v> </v>
      </c>
      <c r="N363" s="279" t="str">
        <f aca="false">IF(A363="N/A"," ",IF(OR('Pricing Inputs'!$AQ$3=3,'Pricing Inputs'!$AQ$3=6,'Pricing Inputs'!$AQ$3=9),IF(AND('Pricing Inputs'!$AQ$3&gt;=3,'Pricing Inputs'!$AQ$3&lt;=6),M363,(VLOOKUP(A363,ScaledPrice,7))*(2-(VLOOKUP(A363,ScaledPrice,3)))),0))</f>
        <v> </v>
      </c>
      <c r="O363" s="279" t="str">
        <f aca="false">IF(A363="N/A"," ",IF(AND('Pricing Inputs'!$AQ$3&gt;=1,'Pricing Inputs'!$AQ$3&lt;=3),VLOOKUP(A363,ScaledPrice,9),0))</f>
        <v> </v>
      </c>
      <c r="P363" s="280" t="str">
        <f aca="false">IF($A363="N/A"," ",IF('Pricing Inputs'!$AN$8=2,(I363-H363),IF('Pricing Inputs'!$AN$3=2,IF((I363-$H363)&gt;0,I363-$H363,0),(xSPRDOPT(I363,$E363,$BU363,0,$BP363,$BS363,$BT363,($A363-Inputs!$D$1)+15,1,0)))))</f>
        <v> </v>
      </c>
      <c r="Q363" s="280" t="str">
        <f aca="false">IF($A363="N/A"," ",IF('Pricing Inputs'!$AN$8=2,(J363-$H363),IF('Pricing Inputs'!$AN$3=2,IF((J363-$H363)&gt;0,J363-$H363,0),(xSPRDOPT(J363,$E363,$BU363,0,$BP363,$BS363,$BT363,($A363-Inputs!$D$1)+15,1,0)))))</f>
        <v> </v>
      </c>
      <c r="R363" s="280" t="str">
        <f aca="false">IF($A363="N/A"," ",IF('Pricing Inputs'!$AN$8=2,(K363-$H363),IF('Pricing Inputs'!$AN$3=2,IF((K363-$H363)&gt;0,K363-$H363,0),(xSPRDOPT(K363,$E363,$BU363,0,$BP363,$BS363,$BT363,($A363-Inputs!$D$1)+15,1,0)))))</f>
        <v> </v>
      </c>
      <c r="S363" s="280" t="str">
        <f aca="false">IF($A363="N/A"," ",IF('Pricing Inputs'!$AN$8=2,(L363-$H363),IF('Pricing Inputs'!$AN$3=2,IF((L363-$H363)&gt;0,L363-$H363,0),(xSPRDOPT(L363,$E363,$BU363,0,$BP363,$BS363,$BT363,($A363-Inputs!$D$1)+15,1,0)))))</f>
        <v> </v>
      </c>
      <c r="T363" s="280" t="str">
        <f aca="false">IF($A363="N/A"," ",IF('Pricing Inputs'!$AN$8=2,(M363-$H363),IF('Pricing Inputs'!$AN$3=2,IF((M363-$H363)&gt;0,M363-$H363,0),(xSPRDOPT(M363,$E363,$BU363,0,$BP363,$BS363,$BT363,($A363-Inputs!$D$1)+15,1,0)))))</f>
        <v> </v>
      </c>
      <c r="U363" s="280" t="str">
        <f aca="false">IF($A363="N/A"," ",IF('Pricing Inputs'!$AN$8=2,(N363-$H363),IF('Pricing Inputs'!$AN$3=2,IF((N363-$H363)&gt;0,N363-$H363,0),(xSPRDOPT(N363,$E363,$BU363,0,$BP363,$BS363,$BT363,($A363-Inputs!$D$1)+15,1,0)))))</f>
        <v> </v>
      </c>
      <c r="V363" s="281" t="str">
        <f aca="false">IF($A363="N/A"," ",(IF('Pricing Inputs'!$AN$8=2,(O363-$H363),IF((O363-$H363)&lt;=0,0,(O363-$H363)))))</f>
        <v> </v>
      </c>
      <c r="BA363" s="291" t="str">
        <f aca="false">IF($A363="N/A"," ",(IF(MONTH(A363)&gt;=4,IF(MONTH(A363)&lt;=10,Inputs!$F$13,Inputs!$F$14),Inputs!$F$14))*$BW363)</f>
        <v> </v>
      </c>
      <c r="BN363" s="294" t="str">
        <f aca="false">IF(A363="N/A"," ",(VLOOKUP(A363,PowerVolTable,(IF('Pricing Inputs'!$AT$3=2,7,IF('Pricing Inputs'!$AT$3=1,6,8))),FALSE())))</f>
        <v> </v>
      </c>
      <c r="BO363" s="294" t="str">
        <f aca="false">IF(A363="N/A"," ",(VLOOKUP(A363,IntraPowerVol,(IF('Pricing Inputs'!$AT$3=2,3,IF('Pricing Inputs'!$AT$3=1,2,4))),FALSE())*VLOOKUP(MONTH($A363),Inputs!$A$28:$B$39,2)))</f>
        <v> </v>
      </c>
      <c r="BP363" s="295" t="str">
        <f aca="false">IF($A363="N/A"," ",(IF(DateToday&gt;$A363,$BO363,((($BN363^2)*((($A363-1)-DateToday)/((EOMONTH($A363,0)+1)-DateToday-15)))+((($BO363)^2)*((15)/((EOMONTH($A363,0)+1)-DateToday-15))))^0.5)))</f>
        <v> </v>
      </c>
      <c r="BQ363" s="294" t="str">
        <f aca="false">IF($A363="N/A"," ",(VLOOKUP($A363,GasVolTable,(IF('Pricing Inputs'!$AT$3=2,6,IF('Pricing Inputs'!$AT$3=1,7,5))),FALSE())))</f>
        <v> </v>
      </c>
      <c r="BR363" s="294" t="str">
        <f aca="false">IF($A363="N/A"," ",(VLOOKUP($A363,OmicronVol,(IF('Pricing Inputs'!$AT$3=2,3,IF('Pricing Inputs'!$AT$3=1,4,2))),FALSE())))</f>
        <v> </v>
      </c>
      <c r="BS363" s="295" t="str">
        <f aca="false">IF($A363="N/A"," ",IF('Pricing Inputs'!$AN$3=1,(IF(DateToday&gt;$A363,$BR363,((($BQ363^2)*((($A363-1)-DateToday)/((EOMONTH($A363,0)+1)-DateToday-15)))+((($BR363)^2)*((15)/((EOMONTH($A363,0)+1)-DateToday-15))))^0.5)),0.0001))</f>
        <v> </v>
      </c>
      <c r="BT363" s="294" t="str">
        <f aca="false">IF($A363="N/A"," ",IF('Pricing Inputs'!$AN$3=1,(VLOOKUP($A363,CorrelationTable,2,FALSE())),0))</f>
        <v> </v>
      </c>
      <c r="BU363" s="296" t="str">
        <f aca="false">IF($A363="N/A"," ",F363+G363+(D363*(VLOOKUP($A363,'Gas Curves'!$B$17:$P$310,14,FALSE()))))</f>
        <v> </v>
      </c>
      <c r="BV363" s="294" t="str">
        <f aca="false">IF($A363="N/A"," ",IF('Pricing Inputs'!$AW$3=1,0,(VLOOKUP($A363,InterestRatesTable,2))))</f>
        <v> </v>
      </c>
      <c r="BW363" s="297" t="str">
        <f aca="false">IF($A363="N/A"," ",(1+BV363/2)^(-2*((EOMONTH(A363,0)+20)-DateToday)/365.25))</f>
        <v> </v>
      </c>
    </row>
    <row r="364" customFormat="false" ht="12.75" hidden="false" customHeight="false" outlineLevel="0" collapsed="false">
      <c r="A364" s="272" t="str">
        <f aca="false">IF(A363="N/A","N/A",IF(EDATE(A363,1)&gt;Inputs!$K$3,"N/A",EDATE(A363,1)))</f>
        <v>N/A</v>
      </c>
      <c r="B364" s="273" t="str">
        <f aca="false">IF(A364="N/A"," ",YEAR(A364))</f>
        <v> </v>
      </c>
      <c r="C364" s="274" t="str">
        <f aca="false">IF(A364="N/A"," ",VLOOKUP(A364,ScaledPrice,10))</f>
        <v> </v>
      </c>
      <c r="D364" s="275" t="str">
        <f aca="false">IF(A364="N/A"," ",(VLOOKUP(MONTH($A364),Inputs!$A$14:$B$25,2))/1000)</f>
        <v> </v>
      </c>
      <c r="E364" s="276" t="str">
        <f aca="false">IF($A364="N/A"," ",C364*D364)</f>
        <v> </v>
      </c>
      <c r="F364" s="277" t="str">
        <f aca="false">IF(A364="N/A"," ",Inputs!$F$6)</f>
        <v> </v>
      </c>
      <c r="G364" s="277" t="str">
        <f aca="false">IF(A364="N/A"," ",Inputs!$F$9/IF(AND('Pricing Inputs'!$AQ$3&gt;=4,'Pricing Inputs'!$AQ$3&lt;=6),16,IF(AND('Pricing Inputs'!$AQ$3&gt;=7,'Pricing Inputs'!$AQ$3&lt;=9),8,24))/(BA364/BW364))</f>
        <v> </v>
      </c>
      <c r="H364" s="278" t="str">
        <f aca="false">IF(A364="N/A"," ",(C364*D364)+F364+G364)</f>
        <v> </v>
      </c>
      <c r="I364" s="279" t="str">
        <f aca="false">VLOOKUP(A364,ScaledPrice,(IF(AND('Pricing Inputs'!$AQ$3&gt;=1,'Pricing Inputs'!$AQ$3&lt;=6),2,4)))</f>
        <v> </v>
      </c>
      <c r="J364" s="279" t="str">
        <f aca="false">IF(A364="N/A"," ",IF(AND('Pricing Inputs'!$AQ$3&gt;=1,'Pricing Inputs'!$AQ$3&lt;=6),I364,(VLOOKUP(A364,ScaledPrice,2))*(2-(VLOOKUP(A364,ScaledPrice,3)))))</f>
        <v> </v>
      </c>
      <c r="K364" s="279" t="str">
        <f aca="false">IF(A364="N/A"," ",IF(OR('Pricing Inputs'!$AQ$3=2,'Pricing Inputs'!$AQ$3=3,'Pricing Inputs'!$AQ$3=5,'Pricing Inputs'!$AQ$3=6,'Pricing Inputs'!$AQ$3=8,'Pricing Inputs'!$AQ$3=9),VLOOKUP(A364,ScaledPrice,IF(AND('Pricing Inputs'!$AQ$3&gt;=2,'Pricing Inputs'!$AQ$3&lt;=6),5,6)),0))</f>
        <v> </v>
      </c>
      <c r="L364" s="279" t="str">
        <f aca="false">IF(A364="N/A"," ",IF(OR('Pricing Inputs'!$AQ$3=2,'Pricing Inputs'!$AQ$3=3,'Pricing Inputs'!$AQ$3=5,'Pricing Inputs'!$AQ$3=6,'Pricing Inputs'!$AQ$3=8,'Pricing Inputs'!$AQ$3=9),IF(AND('Pricing Inputs'!$AQ$3&gt;=2,'Pricing Inputs'!$AQ$3&lt;=6),K364,(VLOOKUP(A364,ScaledPrice,5))*(2-(VLOOKUP(A364,ScaledPrice,3)))),0))</f>
        <v> </v>
      </c>
      <c r="M364" s="279" t="str">
        <f aca="false">IF(A364="N/A"," ",IF(OR('Pricing Inputs'!$AQ$3=3,'Pricing Inputs'!$AQ$3=6,'Pricing Inputs'!$AQ$3=9),(VLOOKUP(A364,ScaledPrice,IF(AND('Pricing Inputs'!$AQ$3&gt;=3,'Pricing Inputs'!$AQ$3&lt;=6),7,8))),0))</f>
        <v> </v>
      </c>
      <c r="N364" s="279" t="str">
        <f aca="false">IF(A364="N/A"," ",IF(OR('Pricing Inputs'!$AQ$3=3,'Pricing Inputs'!$AQ$3=6,'Pricing Inputs'!$AQ$3=9),IF(AND('Pricing Inputs'!$AQ$3&gt;=3,'Pricing Inputs'!$AQ$3&lt;=6),M364,(VLOOKUP(A364,ScaledPrice,7))*(2-(VLOOKUP(A364,ScaledPrice,3)))),0))</f>
        <v> </v>
      </c>
      <c r="O364" s="279" t="str">
        <f aca="false">IF(A364="N/A"," ",IF(AND('Pricing Inputs'!$AQ$3&gt;=1,'Pricing Inputs'!$AQ$3&lt;=3),VLOOKUP(A364,ScaledPrice,9),0))</f>
        <v> </v>
      </c>
      <c r="P364" s="280" t="str">
        <f aca="false">IF($A364="N/A"," ",IF('Pricing Inputs'!$AN$8=2,(I364-H364),IF('Pricing Inputs'!$AN$3=2,IF((I364-$H364)&gt;0,I364-$H364,0),(xSPRDOPT(I364,$E364,$BU364,0,$BP364,$BS364,$BT364,($A364-Inputs!$D$1)+15,1,0)))))</f>
        <v> </v>
      </c>
      <c r="Q364" s="280" t="str">
        <f aca="false">IF($A364="N/A"," ",IF('Pricing Inputs'!$AN$8=2,(J364-$H364),IF('Pricing Inputs'!$AN$3=2,IF((J364-$H364)&gt;0,J364-$H364,0),(xSPRDOPT(J364,$E364,$BU364,0,$BP364,$BS364,$BT364,($A364-Inputs!$D$1)+15,1,0)))))</f>
        <v> </v>
      </c>
      <c r="R364" s="280" t="str">
        <f aca="false">IF($A364="N/A"," ",IF('Pricing Inputs'!$AN$8=2,(K364-$H364),IF('Pricing Inputs'!$AN$3=2,IF((K364-$H364)&gt;0,K364-$H364,0),(xSPRDOPT(K364,$E364,$BU364,0,$BP364,$BS364,$BT364,($A364-Inputs!$D$1)+15,1,0)))))</f>
        <v> </v>
      </c>
      <c r="S364" s="280" t="str">
        <f aca="false">IF($A364="N/A"," ",IF('Pricing Inputs'!$AN$8=2,(L364-$H364),IF('Pricing Inputs'!$AN$3=2,IF((L364-$H364)&gt;0,L364-$H364,0),(xSPRDOPT(L364,$E364,$BU364,0,$BP364,$BS364,$BT364,($A364-Inputs!$D$1)+15,1,0)))))</f>
        <v> </v>
      </c>
      <c r="T364" s="280" t="str">
        <f aca="false">IF($A364="N/A"," ",IF('Pricing Inputs'!$AN$8=2,(M364-$H364),IF('Pricing Inputs'!$AN$3=2,IF((M364-$H364)&gt;0,M364-$H364,0),(xSPRDOPT(M364,$E364,$BU364,0,$BP364,$BS364,$BT364,($A364-Inputs!$D$1)+15,1,0)))))</f>
        <v> </v>
      </c>
      <c r="U364" s="280" t="str">
        <f aca="false">IF($A364="N/A"," ",IF('Pricing Inputs'!$AN$8=2,(N364-$H364),IF('Pricing Inputs'!$AN$3=2,IF((N364-$H364)&gt;0,N364-$H364,0),(xSPRDOPT(N364,$E364,$BU364,0,$BP364,$BS364,$BT364,($A364-Inputs!$D$1)+15,1,0)))))</f>
        <v> </v>
      </c>
      <c r="V364" s="281" t="str">
        <f aca="false">IF($A364="N/A"," ",(IF('Pricing Inputs'!$AN$8=2,(O364-$H364),IF((O364-$H364)&lt;=0,0,(O364-$H364)))))</f>
        <v> </v>
      </c>
      <c r="BA364" s="291" t="str">
        <f aca="false">IF($A364="N/A"," ",(IF(MONTH(A364)&gt;=4,IF(MONTH(A364)&lt;=10,Inputs!$F$13,Inputs!$F$14),Inputs!$F$14))*$BW364)</f>
        <v> </v>
      </c>
      <c r="BN364" s="294" t="str">
        <f aca="false">IF(A364="N/A"," ",(VLOOKUP(A364,PowerVolTable,(IF('Pricing Inputs'!$AT$3=2,7,IF('Pricing Inputs'!$AT$3=1,6,8))),FALSE())))</f>
        <v> </v>
      </c>
      <c r="BO364" s="294" t="str">
        <f aca="false">IF(A364="N/A"," ",(VLOOKUP(A364,IntraPowerVol,(IF('Pricing Inputs'!$AT$3=2,3,IF('Pricing Inputs'!$AT$3=1,2,4))),FALSE())*VLOOKUP(MONTH($A364),Inputs!$A$28:$B$39,2)))</f>
        <v> </v>
      </c>
      <c r="BP364" s="295" t="str">
        <f aca="false">IF($A364="N/A"," ",(IF(DateToday&gt;$A364,$BO364,((($BN364^2)*((($A364-1)-DateToday)/((EOMONTH($A364,0)+1)-DateToday-15)))+((($BO364)^2)*((15)/((EOMONTH($A364,0)+1)-DateToday-15))))^0.5)))</f>
        <v> </v>
      </c>
      <c r="BQ364" s="294" t="str">
        <f aca="false">IF($A364="N/A"," ",(VLOOKUP($A364,GasVolTable,(IF('Pricing Inputs'!$AT$3=2,6,IF('Pricing Inputs'!$AT$3=1,7,5))),FALSE())))</f>
        <v> </v>
      </c>
      <c r="BR364" s="294" t="str">
        <f aca="false">IF($A364="N/A"," ",(VLOOKUP($A364,OmicronVol,(IF('Pricing Inputs'!$AT$3=2,3,IF('Pricing Inputs'!$AT$3=1,4,2))),FALSE())))</f>
        <v> </v>
      </c>
      <c r="BS364" s="295" t="str">
        <f aca="false">IF($A364="N/A"," ",IF('Pricing Inputs'!$AN$3=1,(IF(DateToday&gt;$A364,$BR364,((($BQ364^2)*((($A364-1)-DateToday)/((EOMONTH($A364,0)+1)-DateToday-15)))+((($BR364)^2)*((15)/((EOMONTH($A364,0)+1)-DateToday-15))))^0.5)),0.0001))</f>
        <v> </v>
      </c>
      <c r="BT364" s="294" t="str">
        <f aca="false">IF($A364="N/A"," ",IF('Pricing Inputs'!$AN$3=1,(VLOOKUP($A364,CorrelationTable,2,FALSE())),0))</f>
        <v> </v>
      </c>
      <c r="BU364" s="296" t="str">
        <f aca="false">IF($A364="N/A"," ",F364+G364+(D364*(VLOOKUP($A364,'Gas Curves'!$B$17:$P$310,14,FALSE()))))</f>
        <v> </v>
      </c>
      <c r="BV364" s="294" t="str">
        <f aca="false">IF($A364="N/A"," ",IF('Pricing Inputs'!$AW$3=1,0,(VLOOKUP($A364,InterestRatesTable,2))))</f>
        <v> </v>
      </c>
      <c r="BW364" s="297" t="str">
        <f aca="false">IF($A364="N/A"," ",(1+BV364/2)^(-2*((EOMONTH(A364,0)+20)-DateToday)/365.25))</f>
        <v> </v>
      </c>
    </row>
    <row r="365" customFormat="false" ht="12.75" hidden="false" customHeight="false" outlineLevel="0" collapsed="false">
      <c r="A365" s="272" t="str">
        <f aca="false">IF(A364="N/A","N/A",IF(EDATE(A364,1)&gt;Inputs!$K$3,"N/A",EDATE(A364,1)))</f>
        <v>N/A</v>
      </c>
      <c r="B365" s="273" t="str">
        <f aca="false">IF(A365="N/A"," ",YEAR(A365))</f>
        <v> </v>
      </c>
      <c r="C365" s="274" t="str">
        <f aca="false">IF(A365="N/A"," ",VLOOKUP(A365,ScaledPrice,10))</f>
        <v> </v>
      </c>
      <c r="D365" s="275" t="str">
        <f aca="false">IF(A365="N/A"," ",(VLOOKUP(MONTH($A365),Inputs!$A$14:$B$25,2))/1000)</f>
        <v> </v>
      </c>
      <c r="E365" s="276" t="str">
        <f aca="false">IF($A365="N/A"," ",C365*D365)</f>
        <v> </v>
      </c>
      <c r="F365" s="277" t="str">
        <f aca="false">IF(A365="N/A"," ",Inputs!$F$6)</f>
        <v> </v>
      </c>
      <c r="G365" s="277" t="str">
        <f aca="false">IF(A365="N/A"," ",Inputs!$F$9/IF(AND('Pricing Inputs'!$AQ$3&gt;=4,'Pricing Inputs'!$AQ$3&lt;=6),16,IF(AND('Pricing Inputs'!$AQ$3&gt;=7,'Pricing Inputs'!$AQ$3&lt;=9),8,24))/(BA365/BW365))</f>
        <v> </v>
      </c>
      <c r="H365" s="278" t="str">
        <f aca="false">IF(A365="N/A"," ",(C365*D365)+F365+G365)</f>
        <v> </v>
      </c>
      <c r="I365" s="279" t="str">
        <f aca="false">VLOOKUP(A365,ScaledPrice,(IF(AND('Pricing Inputs'!$AQ$3&gt;=1,'Pricing Inputs'!$AQ$3&lt;=6),2,4)))</f>
        <v> </v>
      </c>
      <c r="J365" s="279" t="str">
        <f aca="false">IF(A365="N/A"," ",IF(AND('Pricing Inputs'!$AQ$3&gt;=1,'Pricing Inputs'!$AQ$3&lt;=6),I365,(VLOOKUP(A365,ScaledPrice,2))*(2-(VLOOKUP(A365,ScaledPrice,3)))))</f>
        <v> </v>
      </c>
      <c r="K365" s="279" t="str">
        <f aca="false">IF(A365="N/A"," ",IF(OR('Pricing Inputs'!$AQ$3=2,'Pricing Inputs'!$AQ$3=3,'Pricing Inputs'!$AQ$3=5,'Pricing Inputs'!$AQ$3=6,'Pricing Inputs'!$AQ$3=8,'Pricing Inputs'!$AQ$3=9),VLOOKUP(A365,ScaledPrice,IF(AND('Pricing Inputs'!$AQ$3&gt;=2,'Pricing Inputs'!$AQ$3&lt;=6),5,6)),0))</f>
        <v> </v>
      </c>
      <c r="L365" s="279" t="str">
        <f aca="false">IF(A365="N/A"," ",IF(OR('Pricing Inputs'!$AQ$3=2,'Pricing Inputs'!$AQ$3=3,'Pricing Inputs'!$AQ$3=5,'Pricing Inputs'!$AQ$3=6,'Pricing Inputs'!$AQ$3=8,'Pricing Inputs'!$AQ$3=9),IF(AND('Pricing Inputs'!$AQ$3&gt;=2,'Pricing Inputs'!$AQ$3&lt;=6),K365,(VLOOKUP(A365,ScaledPrice,5))*(2-(VLOOKUP(A365,ScaledPrice,3)))),0))</f>
        <v> </v>
      </c>
      <c r="M365" s="279" t="str">
        <f aca="false">IF(A365="N/A"," ",IF(OR('Pricing Inputs'!$AQ$3=3,'Pricing Inputs'!$AQ$3=6,'Pricing Inputs'!$AQ$3=9),(VLOOKUP(A365,ScaledPrice,IF(AND('Pricing Inputs'!$AQ$3&gt;=3,'Pricing Inputs'!$AQ$3&lt;=6),7,8))),0))</f>
        <v> </v>
      </c>
      <c r="N365" s="279" t="str">
        <f aca="false">IF(A365="N/A"," ",IF(OR('Pricing Inputs'!$AQ$3=3,'Pricing Inputs'!$AQ$3=6,'Pricing Inputs'!$AQ$3=9),IF(AND('Pricing Inputs'!$AQ$3&gt;=3,'Pricing Inputs'!$AQ$3&lt;=6),M365,(VLOOKUP(A365,ScaledPrice,7))*(2-(VLOOKUP(A365,ScaledPrice,3)))),0))</f>
        <v> </v>
      </c>
      <c r="O365" s="279" t="str">
        <f aca="false">IF(A365="N/A"," ",IF(AND('Pricing Inputs'!$AQ$3&gt;=1,'Pricing Inputs'!$AQ$3&lt;=3),VLOOKUP(A365,ScaledPrice,9),0))</f>
        <v> </v>
      </c>
      <c r="P365" s="280" t="str">
        <f aca="false">IF($A365="N/A"," ",IF('Pricing Inputs'!$AN$8=2,(I365-H365),IF('Pricing Inputs'!$AN$3=2,IF((I365-$H365)&gt;0,I365-$H365,0),(xSPRDOPT(I365,$E365,$BU365,0,$BP365,$BS365,$BT365,($A365-Inputs!$D$1)+15,1,0)))))</f>
        <v> </v>
      </c>
      <c r="Q365" s="280" t="str">
        <f aca="false">IF($A365="N/A"," ",IF('Pricing Inputs'!$AN$8=2,(J365-$H365),IF('Pricing Inputs'!$AN$3=2,IF((J365-$H365)&gt;0,J365-$H365,0),(xSPRDOPT(J365,$E365,$BU365,0,$BP365,$BS365,$BT365,($A365-Inputs!$D$1)+15,1,0)))))</f>
        <v> </v>
      </c>
      <c r="R365" s="280" t="str">
        <f aca="false">IF($A365="N/A"," ",IF('Pricing Inputs'!$AN$8=2,(K365-$H365),IF('Pricing Inputs'!$AN$3=2,IF((K365-$H365)&gt;0,K365-$H365,0),(xSPRDOPT(K365,$E365,$BU365,0,$BP365,$BS365,$BT365,($A365-Inputs!$D$1)+15,1,0)))))</f>
        <v> </v>
      </c>
      <c r="S365" s="280" t="str">
        <f aca="false">IF($A365="N/A"," ",IF('Pricing Inputs'!$AN$8=2,(L365-$H365),IF('Pricing Inputs'!$AN$3=2,IF((L365-$H365)&gt;0,L365-$H365,0),(xSPRDOPT(L365,$E365,$BU365,0,$BP365,$BS365,$BT365,($A365-Inputs!$D$1)+15,1,0)))))</f>
        <v> </v>
      </c>
      <c r="T365" s="280" t="str">
        <f aca="false">IF($A365="N/A"," ",IF('Pricing Inputs'!$AN$8=2,(M365-$H365),IF('Pricing Inputs'!$AN$3=2,IF((M365-$H365)&gt;0,M365-$H365,0),(xSPRDOPT(M365,$E365,$BU365,0,$BP365,$BS365,$BT365,($A365-Inputs!$D$1)+15,1,0)))))</f>
        <v> </v>
      </c>
      <c r="U365" s="280" t="str">
        <f aca="false">IF($A365="N/A"," ",IF('Pricing Inputs'!$AN$8=2,(N365-$H365),IF('Pricing Inputs'!$AN$3=2,IF((N365-$H365)&gt;0,N365-$H365,0),(xSPRDOPT(N365,$E365,$BU365,0,$BP365,$BS365,$BT365,($A365-Inputs!$D$1)+15,1,0)))))</f>
        <v> </v>
      </c>
      <c r="V365" s="281" t="str">
        <f aca="false">IF($A365="N/A"," ",(IF('Pricing Inputs'!$AN$8=2,(O365-$H365),IF((O365-$H365)&lt;=0,0,(O365-$H365)))))</f>
        <v> </v>
      </c>
      <c r="BA365" s="291" t="str">
        <f aca="false">IF($A365="N/A"," ",(IF(MONTH(A365)&gt;=4,IF(MONTH(A365)&lt;=10,Inputs!$F$13,Inputs!$F$14),Inputs!$F$14))*$BW365)</f>
        <v> </v>
      </c>
      <c r="BN365" s="294" t="str">
        <f aca="false">IF(A365="N/A"," ",(VLOOKUP(A365,PowerVolTable,(IF('Pricing Inputs'!$AT$3=2,7,IF('Pricing Inputs'!$AT$3=1,6,8))),FALSE())))</f>
        <v> </v>
      </c>
      <c r="BO365" s="294" t="str">
        <f aca="false">IF(A365="N/A"," ",(VLOOKUP(A365,IntraPowerVol,(IF('Pricing Inputs'!$AT$3=2,3,IF('Pricing Inputs'!$AT$3=1,2,4))),FALSE())*VLOOKUP(MONTH($A365),Inputs!$A$28:$B$39,2)))</f>
        <v> </v>
      </c>
      <c r="BP365" s="295" t="str">
        <f aca="false">IF($A365="N/A"," ",(IF(DateToday&gt;$A365,$BO365,((($BN365^2)*((($A365-1)-DateToday)/((EOMONTH($A365,0)+1)-DateToday-15)))+((($BO365)^2)*((15)/((EOMONTH($A365,0)+1)-DateToday-15))))^0.5)))</f>
        <v> </v>
      </c>
      <c r="BQ365" s="294" t="str">
        <f aca="false">IF($A365="N/A"," ",(VLOOKUP($A365,GasVolTable,(IF('Pricing Inputs'!$AT$3=2,6,IF('Pricing Inputs'!$AT$3=1,7,5))),FALSE())))</f>
        <v> </v>
      </c>
      <c r="BR365" s="294" t="str">
        <f aca="false">IF($A365="N/A"," ",(VLOOKUP($A365,OmicronVol,(IF('Pricing Inputs'!$AT$3=2,3,IF('Pricing Inputs'!$AT$3=1,4,2))),FALSE())))</f>
        <v> </v>
      </c>
      <c r="BS365" s="295" t="str">
        <f aca="false">IF($A365="N/A"," ",IF('Pricing Inputs'!$AN$3=1,(IF(DateToday&gt;$A365,$BR365,((($BQ365^2)*((($A365-1)-DateToday)/((EOMONTH($A365,0)+1)-DateToday-15)))+((($BR365)^2)*((15)/((EOMONTH($A365,0)+1)-DateToday-15))))^0.5)),0.0001))</f>
        <v> </v>
      </c>
      <c r="BT365" s="294" t="str">
        <f aca="false">IF($A365="N/A"," ",IF('Pricing Inputs'!$AN$3=1,(VLOOKUP($A365,CorrelationTable,2,FALSE())),0))</f>
        <v> </v>
      </c>
      <c r="BU365" s="296" t="str">
        <f aca="false">IF($A365="N/A"," ",F365+G365+(D365*(VLOOKUP($A365,'Gas Curves'!$B$17:$P$310,14,FALSE()))))</f>
        <v> </v>
      </c>
      <c r="BV365" s="294" t="str">
        <f aca="false">IF($A365="N/A"," ",IF('Pricing Inputs'!$AW$3=1,0,(VLOOKUP($A365,InterestRatesTable,2))))</f>
        <v> </v>
      </c>
      <c r="BW365" s="297" t="str">
        <f aca="false">IF($A365="N/A"," ",(1+BV365/2)^(-2*((EOMONTH(A365,0)+20)-DateToday)/365.25))</f>
        <v> </v>
      </c>
    </row>
    <row r="366" customFormat="false" ht="12.75" hidden="false" customHeight="false" outlineLevel="0" collapsed="false">
      <c r="A366" s="272" t="str">
        <f aca="false">IF(A365="N/A","N/A",IF(EDATE(A365,1)&gt;Inputs!$K$3,"N/A",EDATE(A365,1)))</f>
        <v>N/A</v>
      </c>
      <c r="B366" s="273" t="str">
        <f aca="false">IF(A366="N/A"," ",YEAR(A366))</f>
        <v> </v>
      </c>
      <c r="C366" s="274" t="str">
        <f aca="false">IF(A366="N/A"," ",VLOOKUP(A366,ScaledPrice,10))</f>
        <v> </v>
      </c>
      <c r="D366" s="275" t="str">
        <f aca="false">IF(A366="N/A"," ",(VLOOKUP(MONTH($A366),Inputs!$A$14:$B$25,2))/1000)</f>
        <v> </v>
      </c>
      <c r="E366" s="276" t="str">
        <f aca="false">IF($A366="N/A"," ",C366*D366)</f>
        <v> </v>
      </c>
      <c r="F366" s="277" t="str">
        <f aca="false">IF(A366="N/A"," ",Inputs!$F$6)</f>
        <v> </v>
      </c>
      <c r="G366" s="277" t="str">
        <f aca="false">IF(A366="N/A"," ",Inputs!$F$9/IF(AND('Pricing Inputs'!$AQ$3&gt;=4,'Pricing Inputs'!$AQ$3&lt;=6),16,IF(AND('Pricing Inputs'!$AQ$3&gt;=7,'Pricing Inputs'!$AQ$3&lt;=9),8,24))/(BA366/BW366))</f>
        <v> </v>
      </c>
      <c r="H366" s="278" t="str">
        <f aca="false">IF(A366="N/A"," ",(C366*D366)+F366+G366)</f>
        <v> </v>
      </c>
      <c r="I366" s="279" t="str">
        <f aca="false">VLOOKUP(A366,ScaledPrice,(IF(AND('Pricing Inputs'!$AQ$3&gt;=1,'Pricing Inputs'!$AQ$3&lt;=6),2,4)))</f>
        <v> </v>
      </c>
      <c r="J366" s="279" t="str">
        <f aca="false">IF(A366="N/A"," ",IF(AND('Pricing Inputs'!$AQ$3&gt;=1,'Pricing Inputs'!$AQ$3&lt;=6),I366,(VLOOKUP(A366,ScaledPrice,2))*(2-(VLOOKUP(A366,ScaledPrice,3)))))</f>
        <v> </v>
      </c>
      <c r="K366" s="279" t="str">
        <f aca="false">IF(A366="N/A"," ",IF(OR('Pricing Inputs'!$AQ$3=2,'Pricing Inputs'!$AQ$3=3,'Pricing Inputs'!$AQ$3=5,'Pricing Inputs'!$AQ$3=6,'Pricing Inputs'!$AQ$3=8,'Pricing Inputs'!$AQ$3=9),VLOOKUP(A366,ScaledPrice,IF(AND('Pricing Inputs'!$AQ$3&gt;=2,'Pricing Inputs'!$AQ$3&lt;=6),5,6)),0))</f>
        <v> </v>
      </c>
      <c r="L366" s="279" t="str">
        <f aca="false">IF(A366="N/A"," ",IF(OR('Pricing Inputs'!$AQ$3=2,'Pricing Inputs'!$AQ$3=3,'Pricing Inputs'!$AQ$3=5,'Pricing Inputs'!$AQ$3=6,'Pricing Inputs'!$AQ$3=8,'Pricing Inputs'!$AQ$3=9),IF(AND('Pricing Inputs'!$AQ$3&gt;=2,'Pricing Inputs'!$AQ$3&lt;=6),K366,(VLOOKUP(A366,ScaledPrice,5))*(2-(VLOOKUP(A366,ScaledPrice,3)))),0))</f>
        <v> </v>
      </c>
      <c r="M366" s="279" t="str">
        <f aca="false">IF(A366="N/A"," ",IF(OR('Pricing Inputs'!$AQ$3=3,'Pricing Inputs'!$AQ$3=6,'Pricing Inputs'!$AQ$3=9),(VLOOKUP(A366,ScaledPrice,IF(AND('Pricing Inputs'!$AQ$3&gt;=3,'Pricing Inputs'!$AQ$3&lt;=6),7,8))),0))</f>
        <v> </v>
      </c>
      <c r="N366" s="279" t="str">
        <f aca="false">IF(A366="N/A"," ",IF(OR('Pricing Inputs'!$AQ$3=3,'Pricing Inputs'!$AQ$3=6,'Pricing Inputs'!$AQ$3=9),IF(AND('Pricing Inputs'!$AQ$3&gt;=3,'Pricing Inputs'!$AQ$3&lt;=6),M366,(VLOOKUP(A366,ScaledPrice,7))*(2-(VLOOKUP(A366,ScaledPrice,3)))),0))</f>
        <v> </v>
      </c>
      <c r="O366" s="279" t="str">
        <f aca="false">IF(A366="N/A"," ",IF(AND('Pricing Inputs'!$AQ$3&gt;=1,'Pricing Inputs'!$AQ$3&lt;=3),VLOOKUP(A366,ScaledPrice,9),0))</f>
        <v> </v>
      </c>
      <c r="P366" s="280" t="str">
        <f aca="false">IF($A366="N/A"," ",IF('Pricing Inputs'!$AN$8=2,(I366-H366),IF('Pricing Inputs'!$AN$3=2,IF((I366-$H366)&gt;0,I366-$H366,0),(xSPRDOPT(I366,$E366,$BU366,0,$BP366,$BS366,$BT366,($A366-Inputs!$D$1)+15,1,0)))))</f>
        <v> </v>
      </c>
      <c r="Q366" s="280" t="str">
        <f aca="false">IF($A366="N/A"," ",IF('Pricing Inputs'!$AN$8=2,(J366-$H366),IF('Pricing Inputs'!$AN$3=2,IF((J366-$H366)&gt;0,J366-$H366,0),(xSPRDOPT(J366,$E366,$BU366,0,$BP366,$BS366,$BT366,($A366-Inputs!$D$1)+15,1,0)))))</f>
        <v> </v>
      </c>
      <c r="R366" s="280" t="str">
        <f aca="false">IF($A366="N/A"," ",IF('Pricing Inputs'!$AN$8=2,(K366-$H366),IF('Pricing Inputs'!$AN$3=2,IF((K366-$H366)&gt;0,K366-$H366,0),(xSPRDOPT(K366,$E366,$BU366,0,$BP366,$BS366,$BT366,($A366-Inputs!$D$1)+15,1,0)))))</f>
        <v> </v>
      </c>
      <c r="S366" s="280" t="str">
        <f aca="false">IF($A366="N/A"," ",IF('Pricing Inputs'!$AN$8=2,(L366-$H366),IF('Pricing Inputs'!$AN$3=2,IF((L366-$H366)&gt;0,L366-$H366,0),(xSPRDOPT(L366,$E366,$BU366,0,$BP366,$BS366,$BT366,($A366-Inputs!$D$1)+15,1,0)))))</f>
        <v> </v>
      </c>
      <c r="T366" s="280" t="str">
        <f aca="false">IF($A366="N/A"," ",IF('Pricing Inputs'!$AN$8=2,(M366-$H366),IF('Pricing Inputs'!$AN$3=2,IF((M366-$H366)&gt;0,M366-$H366,0),(xSPRDOPT(M366,$E366,$BU366,0,$BP366,$BS366,$BT366,($A366-Inputs!$D$1)+15,1,0)))))</f>
        <v> </v>
      </c>
      <c r="U366" s="280" t="str">
        <f aca="false">IF($A366="N/A"," ",IF('Pricing Inputs'!$AN$8=2,(N366-$H366),IF('Pricing Inputs'!$AN$3=2,IF((N366-$H366)&gt;0,N366-$H366,0),(xSPRDOPT(N366,$E366,$BU366,0,$BP366,$BS366,$BT366,($A366-Inputs!$D$1)+15,1,0)))))</f>
        <v> </v>
      </c>
      <c r="V366" s="281" t="str">
        <f aca="false">IF($A366="N/A"," ",(IF('Pricing Inputs'!$AN$8=2,(O366-$H366),IF((O366-$H366)&lt;=0,0,(O366-$H366)))))</f>
        <v> </v>
      </c>
      <c r="BA366" s="291" t="str">
        <f aca="false">IF($A366="N/A"," ",(IF(MONTH(A366)&gt;=4,IF(MONTH(A366)&lt;=10,Inputs!$F$13,Inputs!$F$14),Inputs!$F$14))*$BW366)</f>
        <v> </v>
      </c>
      <c r="BN366" s="294" t="str">
        <f aca="false">IF(A366="N/A"," ",(VLOOKUP(A366,PowerVolTable,(IF('Pricing Inputs'!$AT$3=2,7,IF('Pricing Inputs'!$AT$3=1,6,8))),FALSE())))</f>
        <v> </v>
      </c>
      <c r="BO366" s="294" t="str">
        <f aca="false">IF(A366="N/A"," ",(VLOOKUP(A366,IntraPowerVol,(IF('Pricing Inputs'!$AT$3=2,3,IF('Pricing Inputs'!$AT$3=1,2,4))),FALSE())*VLOOKUP(MONTH($A366),Inputs!$A$28:$B$39,2)))</f>
        <v> </v>
      </c>
      <c r="BP366" s="295" t="str">
        <f aca="false">IF($A366="N/A"," ",(IF(DateToday&gt;$A366,$BO366,((($BN366^2)*((($A366-1)-DateToday)/((EOMONTH($A366,0)+1)-DateToday-15)))+((($BO366)^2)*((15)/((EOMONTH($A366,0)+1)-DateToday-15))))^0.5)))</f>
        <v> </v>
      </c>
      <c r="BQ366" s="294" t="str">
        <f aca="false">IF($A366="N/A"," ",(VLOOKUP($A366,GasVolTable,(IF('Pricing Inputs'!$AT$3=2,6,IF('Pricing Inputs'!$AT$3=1,7,5))),FALSE())))</f>
        <v> </v>
      </c>
      <c r="BR366" s="294" t="str">
        <f aca="false">IF($A366="N/A"," ",(VLOOKUP($A366,OmicronVol,(IF('Pricing Inputs'!$AT$3=2,3,IF('Pricing Inputs'!$AT$3=1,4,2))),FALSE())))</f>
        <v> </v>
      </c>
      <c r="BS366" s="295" t="str">
        <f aca="false">IF($A366="N/A"," ",IF('Pricing Inputs'!$AN$3=1,(IF(DateToday&gt;$A366,$BR366,((($BQ366^2)*((($A366-1)-DateToday)/((EOMONTH($A366,0)+1)-DateToday-15)))+((($BR366)^2)*((15)/((EOMONTH($A366,0)+1)-DateToday-15))))^0.5)),0.0001))</f>
        <v> </v>
      </c>
      <c r="BT366" s="294" t="str">
        <f aca="false">IF($A366="N/A"," ",IF('Pricing Inputs'!$AN$3=1,(VLOOKUP($A366,CorrelationTable,2,FALSE())),0))</f>
        <v> </v>
      </c>
      <c r="BU366" s="296" t="str">
        <f aca="false">IF($A366="N/A"," ",F366+G366+(D366*(VLOOKUP($A366,'Gas Curves'!$B$17:$P$310,14,FALSE()))))</f>
        <v> </v>
      </c>
      <c r="BV366" s="294" t="str">
        <f aca="false">IF($A366="N/A"," ",IF('Pricing Inputs'!$AW$3=1,0,(VLOOKUP($A366,InterestRatesTable,2))))</f>
        <v> </v>
      </c>
      <c r="BW366" s="297" t="str">
        <f aca="false">IF($A366="N/A"," ",(1+BV366/2)^(-2*((EOMONTH(A366,0)+20)-DateToday)/365.25))</f>
        <v> </v>
      </c>
    </row>
    <row r="367" customFormat="false" ht="12.75" hidden="false" customHeight="false" outlineLevel="0" collapsed="false">
      <c r="A367" s="272" t="str">
        <f aca="false">IF(A366="N/A","N/A",IF(EDATE(A366,1)&gt;Inputs!$K$3,"N/A",EDATE(A366,1)))</f>
        <v>N/A</v>
      </c>
      <c r="B367" s="273" t="str">
        <f aca="false">IF(A367="N/A"," ",YEAR(A367))</f>
        <v> </v>
      </c>
      <c r="C367" s="274" t="str">
        <f aca="false">IF(A367="N/A"," ",VLOOKUP(A367,ScaledPrice,10))</f>
        <v> </v>
      </c>
      <c r="D367" s="275" t="str">
        <f aca="false">IF(A367="N/A"," ",(VLOOKUP(MONTH($A367),Inputs!$A$14:$B$25,2))/1000)</f>
        <v> </v>
      </c>
      <c r="E367" s="276" t="str">
        <f aca="false">IF($A367="N/A"," ",C367*D367)</f>
        <v> </v>
      </c>
      <c r="F367" s="277" t="str">
        <f aca="false">IF(A367="N/A"," ",Inputs!$F$6)</f>
        <v> </v>
      </c>
      <c r="G367" s="277" t="str">
        <f aca="false">IF(A367="N/A"," ",Inputs!$F$9/IF(AND('Pricing Inputs'!$AQ$3&gt;=4,'Pricing Inputs'!$AQ$3&lt;=6),16,IF(AND('Pricing Inputs'!$AQ$3&gt;=7,'Pricing Inputs'!$AQ$3&lt;=9),8,24))/(BA367/BW367))</f>
        <v> </v>
      </c>
      <c r="H367" s="278" t="str">
        <f aca="false">IF(A367="N/A"," ",(C367*D367)+F367+G367)</f>
        <v> </v>
      </c>
      <c r="I367" s="279" t="str">
        <f aca="false">VLOOKUP(A367,ScaledPrice,(IF(AND('Pricing Inputs'!$AQ$3&gt;=1,'Pricing Inputs'!$AQ$3&lt;=6),2,4)))</f>
        <v> </v>
      </c>
      <c r="J367" s="279" t="str">
        <f aca="false">IF(A367="N/A"," ",IF(AND('Pricing Inputs'!$AQ$3&gt;=1,'Pricing Inputs'!$AQ$3&lt;=6),I367,(VLOOKUP(A367,ScaledPrice,2))*(2-(VLOOKUP(A367,ScaledPrice,3)))))</f>
        <v> </v>
      </c>
      <c r="K367" s="279" t="str">
        <f aca="false">IF(A367="N/A"," ",IF(OR('Pricing Inputs'!$AQ$3=2,'Pricing Inputs'!$AQ$3=3,'Pricing Inputs'!$AQ$3=5,'Pricing Inputs'!$AQ$3=6,'Pricing Inputs'!$AQ$3=8,'Pricing Inputs'!$AQ$3=9),VLOOKUP(A367,ScaledPrice,IF(AND('Pricing Inputs'!$AQ$3&gt;=2,'Pricing Inputs'!$AQ$3&lt;=6),5,6)),0))</f>
        <v> </v>
      </c>
      <c r="L367" s="279" t="str">
        <f aca="false">IF(A367="N/A"," ",IF(OR('Pricing Inputs'!$AQ$3=2,'Pricing Inputs'!$AQ$3=3,'Pricing Inputs'!$AQ$3=5,'Pricing Inputs'!$AQ$3=6,'Pricing Inputs'!$AQ$3=8,'Pricing Inputs'!$AQ$3=9),IF(AND('Pricing Inputs'!$AQ$3&gt;=2,'Pricing Inputs'!$AQ$3&lt;=6),K367,(VLOOKUP(A367,ScaledPrice,5))*(2-(VLOOKUP(A367,ScaledPrice,3)))),0))</f>
        <v> </v>
      </c>
      <c r="M367" s="279" t="str">
        <f aca="false">IF(A367="N/A"," ",IF(OR('Pricing Inputs'!$AQ$3=3,'Pricing Inputs'!$AQ$3=6,'Pricing Inputs'!$AQ$3=9),(VLOOKUP(A367,ScaledPrice,IF(AND('Pricing Inputs'!$AQ$3&gt;=3,'Pricing Inputs'!$AQ$3&lt;=6),7,8))),0))</f>
        <v> </v>
      </c>
      <c r="N367" s="279" t="str">
        <f aca="false">IF(A367="N/A"," ",IF(OR('Pricing Inputs'!$AQ$3=3,'Pricing Inputs'!$AQ$3=6,'Pricing Inputs'!$AQ$3=9),IF(AND('Pricing Inputs'!$AQ$3&gt;=3,'Pricing Inputs'!$AQ$3&lt;=6),M367,(VLOOKUP(A367,ScaledPrice,7))*(2-(VLOOKUP(A367,ScaledPrice,3)))),0))</f>
        <v> </v>
      </c>
      <c r="O367" s="279" t="str">
        <f aca="false">IF(A367="N/A"," ",IF(AND('Pricing Inputs'!$AQ$3&gt;=1,'Pricing Inputs'!$AQ$3&lt;=3),VLOOKUP(A367,ScaledPrice,9),0))</f>
        <v> </v>
      </c>
      <c r="P367" s="280" t="str">
        <f aca="false">IF($A367="N/A"," ",IF('Pricing Inputs'!$AN$8=2,(I367-H367),IF('Pricing Inputs'!$AN$3=2,IF((I367-$H367)&gt;0,I367-$H367,0),(xSPRDOPT(I367,$E367,$BU367,0,$BP367,$BS367,$BT367,($A367-Inputs!$D$1)+15,1,0)))))</f>
        <v> </v>
      </c>
      <c r="Q367" s="280" t="str">
        <f aca="false">IF($A367="N/A"," ",IF('Pricing Inputs'!$AN$8=2,(J367-$H367),IF('Pricing Inputs'!$AN$3=2,IF((J367-$H367)&gt;0,J367-$H367,0),(xSPRDOPT(J367,$E367,$BU367,0,$BP367,$BS367,$BT367,($A367-Inputs!$D$1)+15,1,0)))))</f>
        <v> </v>
      </c>
      <c r="R367" s="280" t="str">
        <f aca="false">IF($A367="N/A"," ",IF('Pricing Inputs'!$AN$8=2,(K367-$H367),IF('Pricing Inputs'!$AN$3=2,IF((K367-$H367)&gt;0,K367-$H367,0),(xSPRDOPT(K367,$E367,$BU367,0,$BP367,$BS367,$BT367,($A367-Inputs!$D$1)+15,1,0)))))</f>
        <v> </v>
      </c>
      <c r="S367" s="280" t="str">
        <f aca="false">IF($A367="N/A"," ",IF('Pricing Inputs'!$AN$8=2,(L367-$H367),IF('Pricing Inputs'!$AN$3=2,IF((L367-$H367)&gt;0,L367-$H367,0),(xSPRDOPT(L367,$E367,$BU367,0,$BP367,$BS367,$BT367,($A367-Inputs!$D$1)+15,1,0)))))</f>
        <v> </v>
      </c>
      <c r="T367" s="280" t="str">
        <f aca="false">IF($A367="N/A"," ",IF('Pricing Inputs'!$AN$8=2,(M367-$H367),IF('Pricing Inputs'!$AN$3=2,IF((M367-$H367)&gt;0,M367-$H367,0),(xSPRDOPT(M367,$E367,$BU367,0,$BP367,$BS367,$BT367,($A367-Inputs!$D$1)+15,1,0)))))</f>
        <v> </v>
      </c>
      <c r="U367" s="280" t="str">
        <f aca="false">IF($A367="N/A"," ",IF('Pricing Inputs'!$AN$8=2,(N367-$H367),IF('Pricing Inputs'!$AN$3=2,IF((N367-$H367)&gt;0,N367-$H367,0),(xSPRDOPT(N367,$E367,$BU367,0,$BP367,$BS367,$BT367,($A367-Inputs!$D$1)+15,1,0)))))</f>
        <v> </v>
      </c>
      <c r="V367" s="281" t="str">
        <f aca="false">IF($A367="N/A"," ",(IF('Pricing Inputs'!$AN$8=2,(O367-$H367),IF((O367-$H367)&lt;=0,0,(O367-$H367)))))</f>
        <v> </v>
      </c>
      <c r="BA367" s="291" t="str">
        <f aca="false">IF($A367="N/A"," ",(IF(MONTH(A367)&gt;=4,IF(MONTH(A367)&lt;=10,Inputs!$F$13,Inputs!$F$14),Inputs!$F$14))*$BW367)</f>
        <v> </v>
      </c>
      <c r="BN367" s="294" t="str">
        <f aca="false">IF(A367="N/A"," ",(VLOOKUP(A367,PowerVolTable,(IF('Pricing Inputs'!$AT$3=2,7,IF('Pricing Inputs'!$AT$3=1,6,8))),FALSE())))</f>
        <v> </v>
      </c>
      <c r="BO367" s="294" t="str">
        <f aca="false">IF(A367="N/A"," ",(VLOOKUP(A367,IntraPowerVol,(IF('Pricing Inputs'!$AT$3=2,3,IF('Pricing Inputs'!$AT$3=1,2,4))),FALSE())*VLOOKUP(MONTH($A367),Inputs!$A$28:$B$39,2)))</f>
        <v> </v>
      </c>
      <c r="BP367" s="295" t="str">
        <f aca="false">IF($A367="N/A"," ",(IF(DateToday&gt;$A367,$BO367,((($BN367^2)*((($A367-1)-DateToday)/((EOMONTH($A367,0)+1)-DateToday-15)))+((($BO367)^2)*((15)/((EOMONTH($A367,0)+1)-DateToday-15))))^0.5)))</f>
        <v> </v>
      </c>
      <c r="BQ367" s="294" t="str">
        <f aca="false">IF($A367="N/A"," ",(VLOOKUP($A367,GasVolTable,(IF('Pricing Inputs'!$AT$3=2,6,IF('Pricing Inputs'!$AT$3=1,7,5))),FALSE())))</f>
        <v> </v>
      </c>
      <c r="BR367" s="294" t="str">
        <f aca="false">IF($A367="N/A"," ",(VLOOKUP($A367,OmicronVol,(IF('Pricing Inputs'!$AT$3=2,3,IF('Pricing Inputs'!$AT$3=1,4,2))),FALSE())))</f>
        <v> </v>
      </c>
      <c r="BS367" s="295" t="str">
        <f aca="false">IF($A367="N/A"," ",IF('Pricing Inputs'!$AN$3=1,(IF(DateToday&gt;$A367,$BR367,((($BQ367^2)*((($A367-1)-DateToday)/((EOMONTH($A367,0)+1)-DateToday-15)))+((($BR367)^2)*((15)/((EOMONTH($A367,0)+1)-DateToday-15))))^0.5)),0.0001))</f>
        <v> </v>
      </c>
      <c r="BT367" s="294" t="str">
        <f aca="false">IF($A367="N/A"," ",IF('Pricing Inputs'!$AN$3=1,(VLOOKUP($A367,CorrelationTable,2,FALSE())),0))</f>
        <v> </v>
      </c>
      <c r="BU367" s="296" t="str">
        <f aca="false">IF($A367="N/A"," ",F367+G367+(D367*(VLOOKUP($A367,'Gas Curves'!$B$17:$P$310,14,FALSE()))))</f>
        <v> </v>
      </c>
      <c r="BV367" s="294" t="str">
        <f aca="false">IF($A367="N/A"," ",IF('Pricing Inputs'!$AW$3=1,0,(VLOOKUP($A367,InterestRatesTable,2))))</f>
        <v> </v>
      </c>
      <c r="BW367" s="297" t="str">
        <f aca="false">IF($A367="N/A"," ",(1+BV367/2)^(-2*((EOMONTH(A367,0)+20)-DateToday)/365.25))</f>
        <v> </v>
      </c>
    </row>
    <row r="368" customFormat="false" ht="12.75" hidden="false" customHeight="false" outlineLevel="0" collapsed="false">
      <c r="A368" s="272" t="str">
        <f aca="false">IF(A367="N/A","N/A",IF(EDATE(A367,1)&gt;Inputs!$K$3,"N/A",EDATE(A367,1)))</f>
        <v>N/A</v>
      </c>
      <c r="B368" s="273" t="str">
        <f aca="false">IF(A368="N/A"," ",YEAR(A368))</f>
        <v> </v>
      </c>
      <c r="C368" s="274" t="str">
        <f aca="false">IF(A368="N/A"," ",VLOOKUP(A368,ScaledPrice,10))</f>
        <v> </v>
      </c>
      <c r="D368" s="275" t="str">
        <f aca="false">IF(A368="N/A"," ",(VLOOKUP(MONTH($A368),Inputs!$A$14:$B$25,2))/1000)</f>
        <v> </v>
      </c>
      <c r="E368" s="276" t="str">
        <f aca="false">IF($A368="N/A"," ",C368*D368)</f>
        <v> </v>
      </c>
      <c r="F368" s="277" t="str">
        <f aca="false">IF(A368="N/A"," ",Inputs!$F$6)</f>
        <v> </v>
      </c>
      <c r="G368" s="277" t="str">
        <f aca="false">IF(A368="N/A"," ",Inputs!$F$9/IF(AND('Pricing Inputs'!$AQ$3&gt;=4,'Pricing Inputs'!$AQ$3&lt;=6),16,IF(AND('Pricing Inputs'!$AQ$3&gt;=7,'Pricing Inputs'!$AQ$3&lt;=9),8,24))/(BA368/BW368))</f>
        <v> </v>
      </c>
      <c r="H368" s="278" t="str">
        <f aca="false">IF(A368="N/A"," ",(C368*D368)+F368+G368)</f>
        <v> </v>
      </c>
      <c r="I368" s="279" t="str">
        <f aca="false">VLOOKUP(A368,ScaledPrice,(IF(AND('Pricing Inputs'!$AQ$3&gt;=1,'Pricing Inputs'!$AQ$3&lt;=6),2,4)))</f>
        <v> </v>
      </c>
      <c r="J368" s="279" t="str">
        <f aca="false">IF(A368="N/A"," ",IF(AND('Pricing Inputs'!$AQ$3&gt;=1,'Pricing Inputs'!$AQ$3&lt;=6),I368,(VLOOKUP(A368,ScaledPrice,2))*(2-(VLOOKUP(A368,ScaledPrice,3)))))</f>
        <v> </v>
      </c>
      <c r="K368" s="279" t="str">
        <f aca="false">IF(A368="N/A"," ",IF(OR('Pricing Inputs'!$AQ$3=2,'Pricing Inputs'!$AQ$3=3,'Pricing Inputs'!$AQ$3=5,'Pricing Inputs'!$AQ$3=6,'Pricing Inputs'!$AQ$3=8,'Pricing Inputs'!$AQ$3=9),VLOOKUP(A368,ScaledPrice,IF(AND('Pricing Inputs'!$AQ$3&gt;=2,'Pricing Inputs'!$AQ$3&lt;=6),5,6)),0))</f>
        <v> </v>
      </c>
      <c r="L368" s="279" t="str">
        <f aca="false">IF(A368="N/A"," ",IF(OR('Pricing Inputs'!$AQ$3=2,'Pricing Inputs'!$AQ$3=3,'Pricing Inputs'!$AQ$3=5,'Pricing Inputs'!$AQ$3=6,'Pricing Inputs'!$AQ$3=8,'Pricing Inputs'!$AQ$3=9),IF(AND('Pricing Inputs'!$AQ$3&gt;=2,'Pricing Inputs'!$AQ$3&lt;=6),K368,(VLOOKUP(A368,ScaledPrice,5))*(2-(VLOOKUP(A368,ScaledPrice,3)))),0))</f>
        <v> </v>
      </c>
      <c r="M368" s="279" t="str">
        <f aca="false">IF(A368="N/A"," ",IF(OR('Pricing Inputs'!$AQ$3=3,'Pricing Inputs'!$AQ$3=6,'Pricing Inputs'!$AQ$3=9),(VLOOKUP(A368,ScaledPrice,IF(AND('Pricing Inputs'!$AQ$3&gt;=3,'Pricing Inputs'!$AQ$3&lt;=6),7,8))),0))</f>
        <v> </v>
      </c>
      <c r="N368" s="279" t="str">
        <f aca="false">IF(A368="N/A"," ",IF(OR('Pricing Inputs'!$AQ$3=3,'Pricing Inputs'!$AQ$3=6,'Pricing Inputs'!$AQ$3=9),IF(AND('Pricing Inputs'!$AQ$3&gt;=3,'Pricing Inputs'!$AQ$3&lt;=6),M368,(VLOOKUP(A368,ScaledPrice,7))*(2-(VLOOKUP(A368,ScaledPrice,3)))),0))</f>
        <v> </v>
      </c>
      <c r="O368" s="279" t="str">
        <f aca="false">IF(A368="N/A"," ",IF(AND('Pricing Inputs'!$AQ$3&gt;=1,'Pricing Inputs'!$AQ$3&lt;=3),VLOOKUP(A368,ScaledPrice,9),0))</f>
        <v> </v>
      </c>
      <c r="P368" s="280" t="str">
        <f aca="false">IF($A368="N/A"," ",IF('Pricing Inputs'!$AN$8=2,(I368-H368),IF('Pricing Inputs'!$AN$3=2,IF((I368-$H368)&gt;0,I368-$H368,0),(xSPRDOPT(I368,$E368,$BU368,0,$BP368,$BS368,$BT368,($A368-Inputs!$D$1)+15,1,0)))))</f>
        <v> </v>
      </c>
      <c r="Q368" s="280" t="str">
        <f aca="false">IF($A368="N/A"," ",IF('Pricing Inputs'!$AN$8=2,(J368-$H368),IF('Pricing Inputs'!$AN$3=2,IF((J368-$H368)&gt;0,J368-$H368,0),(xSPRDOPT(J368,$E368,$BU368,0,$BP368,$BS368,$BT368,($A368-Inputs!$D$1)+15,1,0)))))</f>
        <v> </v>
      </c>
      <c r="R368" s="280" t="str">
        <f aca="false">IF($A368="N/A"," ",IF('Pricing Inputs'!$AN$8=2,(K368-$H368),IF('Pricing Inputs'!$AN$3=2,IF((K368-$H368)&gt;0,K368-$H368,0),(xSPRDOPT(K368,$E368,$BU368,0,$BP368,$BS368,$BT368,($A368-Inputs!$D$1)+15,1,0)))))</f>
        <v> </v>
      </c>
      <c r="S368" s="280" t="str">
        <f aca="false">IF($A368="N/A"," ",IF('Pricing Inputs'!$AN$8=2,(L368-$H368),IF('Pricing Inputs'!$AN$3=2,IF((L368-$H368)&gt;0,L368-$H368,0),(xSPRDOPT(L368,$E368,$BU368,0,$BP368,$BS368,$BT368,($A368-Inputs!$D$1)+15,1,0)))))</f>
        <v> </v>
      </c>
      <c r="T368" s="280" t="str">
        <f aca="false">IF($A368="N/A"," ",IF('Pricing Inputs'!$AN$8=2,(M368-$H368),IF('Pricing Inputs'!$AN$3=2,IF((M368-$H368)&gt;0,M368-$H368,0),(xSPRDOPT(M368,$E368,$BU368,0,$BP368,$BS368,$BT368,($A368-Inputs!$D$1)+15,1,0)))))</f>
        <v> </v>
      </c>
      <c r="U368" s="280" t="str">
        <f aca="false">IF($A368="N/A"," ",IF('Pricing Inputs'!$AN$8=2,(N368-$H368),IF('Pricing Inputs'!$AN$3=2,IF((N368-$H368)&gt;0,N368-$H368,0),(xSPRDOPT(N368,$E368,$BU368,0,$BP368,$BS368,$BT368,($A368-Inputs!$D$1)+15,1,0)))))</f>
        <v> </v>
      </c>
      <c r="V368" s="281" t="str">
        <f aca="false">IF($A368="N/A"," ",(IF('Pricing Inputs'!$AN$8=2,(O368-$H368),IF((O368-$H368)&lt;=0,0,(O368-$H368)))))</f>
        <v> </v>
      </c>
      <c r="BA368" s="291" t="str">
        <f aca="false">IF($A368="N/A"," ",(IF(MONTH(A368)&gt;=4,IF(MONTH(A368)&lt;=10,Inputs!$F$13,Inputs!$F$14),Inputs!$F$14))*$BW368)</f>
        <v> </v>
      </c>
      <c r="BN368" s="294" t="str">
        <f aca="false">IF(A368="N/A"," ",(VLOOKUP(A368,PowerVolTable,(IF('Pricing Inputs'!$AT$3=2,7,IF('Pricing Inputs'!$AT$3=1,6,8))),FALSE())))</f>
        <v> </v>
      </c>
      <c r="BO368" s="294" t="str">
        <f aca="false">IF(A368="N/A"," ",(VLOOKUP(A368,IntraPowerVol,(IF('Pricing Inputs'!$AT$3=2,3,IF('Pricing Inputs'!$AT$3=1,2,4))),FALSE())*VLOOKUP(MONTH($A368),Inputs!$A$28:$B$39,2)))</f>
        <v> </v>
      </c>
      <c r="BP368" s="295" t="str">
        <f aca="false">IF($A368="N/A"," ",(IF(DateToday&gt;$A368,$BO368,((($BN368^2)*((($A368-1)-DateToday)/((EOMONTH($A368,0)+1)-DateToday-15)))+((($BO368)^2)*((15)/((EOMONTH($A368,0)+1)-DateToday-15))))^0.5)))</f>
        <v> </v>
      </c>
      <c r="BQ368" s="294" t="str">
        <f aca="false">IF($A368="N/A"," ",(VLOOKUP($A368,GasVolTable,(IF('Pricing Inputs'!$AT$3=2,6,IF('Pricing Inputs'!$AT$3=1,7,5))),FALSE())))</f>
        <v> </v>
      </c>
      <c r="BR368" s="294" t="str">
        <f aca="false">IF($A368="N/A"," ",(VLOOKUP($A368,OmicronVol,(IF('Pricing Inputs'!$AT$3=2,3,IF('Pricing Inputs'!$AT$3=1,4,2))),FALSE())))</f>
        <v> </v>
      </c>
      <c r="BS368" s="295" t="str">
        <f aca="false">IF($A368="N/A"," ",IF('Pricing Inputs'!$AN$3=1,(IF(DateToday&gt;$A368,$BR368,((($BQ368^2)*((($A368-1)-DateToday)/((EOMONTH($A368,0)+1)-DateToday-15)))+((($BR368)^2)*((15)/((EOMONTH($A368,0)+1)-DateToday-15))))^0.5)),0.0001))</f>
        <v> </v>
      </c>
      <c r="BT368" s="294" t="str">
        <f aca="false">IF($A368="N/A"," ",IF('Pricing Inputs'!$AN$3=1,(VLOOKUP($A368,CorrelationTable,2,FALSE())),0))</f>
        <v> </v>
      </c>
      <c r="BU368" s="296" t="str">
        <f aca="false">IF($A368="N/A"," ",F368+G368+(D368*(VLOOKUP($A368,'Gas Curves'!$B$17:$P$310,14,FALSE()))))</f>
        <v> </v>
      </c>
      <c r="BV368" s="294" t="str">
        <f aca="false">IF($A368="N/A"," ",IF('Pricing Inputs'!$AW$3=1,0,(VLOOKUP($A368,InterestRatesTable,2))))</f>
        <v> </v>
      </c>
      <c r="BW368" s="297" t="str">
        <f aca="false">IF($A368="N/A"," ",(1+BV368/2)^(-2*((EOMONTH(A368,0)+20)-DateToday)/365.25))</f>
        <v> </v>
      </c>
    </row>
    <row r="369" customFormat="false" ht="12.75" hidden="false" customHeight="false" outlineLevel="0" collapsed="false">
      <c r="A369" s="272" t="str">
        <f aca="false">IF(A368="N/A","N/A",IF(EDATE(A368,1)&gt;Inputs!$K$3,"N/A",EDATE(A368,1)))</f>
        <v>N/A</v>
      </c>
      <c r="B369" s="273" t="str">
        <f aca="false">IF(A369="N/A"," ",YEAR(A369))</f>
        <v> </v>
      </c>
      <c r="C369" s="274" t="str">
        <f aca="false">IF(A369="N/A"," ",VLOOKUP(A369,ScaledPrice,10))</f>
        <v> </v>
      </c>
      <c r="D369" s="275" t="str">
        <f aca="false">IF(A369="N/A"," ",(VLOOKUP(MONTH($A369),Inputs!$A$14:$B$25,2))/1000)</f>
        <v> </v>
      </c>
      <c r="E369" s="276" t="str">
        <f aca="false">IF($A369="N/A"," ",C369*D369)</f>
        <v> </v>
      </c>
      <c r="F369" s="277" t="str">
        <f aca="false">IF(A369="N/A"," ",Inputs!$F$6)</f>
        <v> </v>
      </c>
      <c r="G369" s="277" t="str">
        <f aca="false">IF(A369="N/A"," ",Inputs!$F$9/IF(AND('Pricing Inputs'!$AQ$3&gt;=4,'Pricing Inputs'!$AQ$3&lt;=6),16,IF(AND('Pricing Inputs'!$AQ$3&gt;=7,'Pricing Inputs'!$AQ$3&lt;=9),8,24))/(BA369/BW369))</f>
        <v> </v>
      </c>
      <c r="H369" s="278" t="str">
        <f aca="false">IF(A369="N/A"," ",(C369*D369)+F369+G369)</f>
        <v> </v>
      </c>
      <c r="I369" s="279" t="str">
        <f aca="false">VLOOKUP(A369,ScaledPrice,(IF(AND('Pricing Inputs'!$AQ$3&gt;=1,'Pricing Inputs'!$AQ$3&lt;=6),2,4)))</f>
        <v> </v>
      </c>
      <c r="J369" s="279" t="str">
        <f aca="false">IF(A369="N/A"," ",IF(AND('Pricing Inputs'!$AQ$3&gt;=1,'Pricing Inputs'!$AQ$3&lt;=6),I369,(VLOOKUP(A369,ScaledPrice,2))*(2-(VLOOKUP(A369,ScaledPrice,3)))))</f>
        <v> </v>
      </c>
      <c r="K369" s="279" t="str">
        <f aca="false">IF(A369="N/A"," ",IF(OR('Pricing Inputs'!$AQ$3=2,'Pricing Inputs'!$AQ$3=3,'Pricing Inputs'!$AQ$3=5,'Pricing Inputs'!$AQ$3=6,'Pricing Inputs'!$AQ$3=8,'Pricing Inputs'!$AQ$3=9),VLOOKUP(A369,ScaledPrice,IF(AND('Pricing Inputs'!$AQ$3&gt;=2,'Pricing Inputs'!$AQ$3&lt;=6),5,6)),0))</f>
        <v> </v>
      </c>
      <c r="L369" s="279" t="str">
        <f aca="false">IF(A369="N/A"," ",IF(OR('Pricing Inputs'!$AQ$3=2,'Pricing Inputs'!$AQ$3=3,'Pricing Inputs'!$AQ$3=5,'Pricing Inputs'!$AQ$3=6,'Pricing Inputs'!$AQ$3=8,'Pricing Inputs'!$AQ$3=9),IF(AND('Pricing Inputs'!$AQ$3&gt;=2,'Pricing Inputs'!$AQ$3&lt;=6),K369,(VLOOKUP(A369,ScaledPrice,5))*(2-(VLOOKUP(A369,ScaledPrice,3)))),0))</f>
        <v> </v>
      </c>
      <c r="M369" s="279" t="str">
        <f aca="false">IF(A369="N/A"," ",IF(OR('Pricing Inputs'!$AQ$3=3,'Pricing Inputs'!$AQ$3=6,'Pricing Inputs'!$AQ$3=9),(VLOOKUP(A369,ScaledPrice,IF(AND('Pricing Inputs'!$AQ$3&gt;=3,'Pricing Inputs'!$AQ$3&lt;=6),7,8))),0))</f>
        <v> </v>
      </c>
      <c r="N369" s="279" t="str">
        <f aca="false">IF(A369="N/A"," ",IF(OR('Pricing Inputs'!$AQ$3=3,'Pricing Inputs'!$AQ$3=6,'Pricing Inputs'!$AQ$3=9),IF(AND('Pricing Inputs'!$AQ$3&gt;=3,'Pricing Inputs'!$AQ$3&lt;=6),M369,(VLOOKUP(A369,ScaledPrice,7))*(2-(VLOOKUP(A369,ScaledPrice,3)))),0))</f>
        <v> </v>
      </c>
      <c r="O369" s="279" t="str">
        <f aca="false">IF(A369="N/A"," ",IF(AND('Pricing Inputs'!$AQ$3&gt;=1,'Pricing Inputs'!$AQ$3&lt;=3),VLOOKUP(A369,ScaledPrice,9),0))</f>
        <v> </v>
      </c>
      <c r="P369" s="280" t="str">
        <f aca="false">IF($A369="N/A"," ",IF('Pricing Inputs'!$AN$8=2,(I369-H369),IF('Pricing Inputs'!$AN$3=2,IF((I369-$H369)&gt;0,I369-$H369,0),(xSPRDOPT(I369,$E369,$BU369,0,$BP369,$BS369,$BT369,($A369-Inputs!$D$1)+15,1,0)))))</f>
        <v> </v>
      </c>
      <c r="Q369" s="280" t="str">
        <f aca="false">IF($A369="N/A"," ",IF('Pricing Inputs'!$AN$8=2,(J369-$H369),IF('Pricing Inputs'!$AN$3=2,IF((J369-$H369)&gt;0,J369-$H369,0),(xSPRDOPT(J369,$E369,$BU369,0,$BP369,$BS369,$BT369,($A369-Inputs!$D$1)+15,1,0)))))</f>
        <v> </v>
      </c>
      <c r="R369" s="280" t="str">
        <f aca="false">IF($A369="N/A"," ",IF('Pricing Inputs'!$AN$8=2,(K369-$H369),IF('Pricing Inputs'!$AN$3=2,IF((K369-$H369)&gt;0,K369-$H369,0),(xSPRDOPT(K369,$E369,$BU369,0,$BP369,$BS369,$BT369,($A369-Inputs!$D$1)+15,1,0)))))</f>
        <v> </v>
      </c>
      <c r="S369" s="280" t="str">
        <f aca="false">IF($A369="N/A"," ",IF('Pricing Inputs'!$AN$8=2,(L369-$H369),IF('Pricing Inputs'!$AN$3=2,IF((L369-$H369)&gt;0,L369-$H369,0),(xSPRDOPT(L369,$E369,$BU369,0,$BP369,$BS369,$BT369,($A369-Inputs!$D$1)+15,1,0)))))</f>
        <v> </v>
      </c>
      <c r="T369" s="280" t="str">
        <f aca="false">IF($A369="N/A"," ",IF('Pricing Inputs'!$AN$8=2,(M369-$H369),IF('Pricing Inputs'!$AN$3=2,IF((M369-$H369)&gt;0,M369-$H369,0),(xSPRDOPT(M369,$E369,$BU369,0,$BP369,$BS369,$BT369,($A369-Inputs!$D$1)+15,1,0)))))</f>
        <v> </v>
      </c>
      <c r="U369" s="280" t="str">
        <f aca="false">IF($A369="N/A"," ",IF('Pricing Inputs'!$AN$8=2,(N369-$H369),IF('Pricing Inputs'!$AN$3=2,IF((N369-$H369)&gt;0,N369-$H369,0),(xSPRDOPT(N369,$E369,$BU369,0,$BP369,$BS369,$BT369,($A369-Inputs!$D$1)+15,1,0)))))</f>
        <v> </v>
      </c>
      <c r="V369" s="281" t="str">
        <f aca="false">IF($A369="N/A"," ",(IF('Pricing Inputs'!$AN$8=2,(O369-$H369),IF((O369-$H369)&lt;=0,0,(O369-$H369)))))</f>
        <v> </v>
      </c>
      <c r="BA369" s="291" t="str">
        <f aca="false">IF($A369="N/A"," ",(IF(MONTH(A369)&gt;=4,IF(MONTH(A369)&lt;=10,Inputs!$F$13,Inputs!$F$14),Inputs!$F$14))*$BW369)</f>
        <v> </v>
      </c>
      <c r="BN369" s="294" t="str">
        <f aca="false">IF(A369="N/A"," ",(VLOOKUP(A369,PowerVolTable,(IF('Pricing Inputs'!$AT$3=2,7,IF('Pricing Inputs'!$AT$3=1,6,8))),FALSE())))</f>
        <v> </v>
      </c>
      <c r="BO369" s="294" t="str">
        <f aca="false">IF(A369="N/A"," ",(VLOOKUP(A369,IntraPowerVol,(IF('Pricing Inputs'!$AT$3=2,3,IF('Pricing Inputs'!$AT$3=1,2,4))),FALSE())*VLOOKUP(MONTH($A369),Inputs!$A$28:$B$39,2)))</f>
        <v> </v>
      </c>
      <c r="BP369" s="295" t="str">
        <f aca="false">IF($A369="N/A"," ",(IF(DateToday&gt;$A369,$BO369,((($BN369^2)*((($A369-1)-DateToday)/((EOMONTH($A369,0)+1)-DateToday-15)))+((($BO369)^2)*((15)/((EOMONTH($A369,0)+1)-DateToday-15))))^0.5)))</f>
        <v> </v>
      </c>
      <c r="BQ369" s="294" t="str">
        <f aca="false">IF($A369="N/A"," ",(VLOOKUP($A369,GasVolTable,(IF('Pricing Inputs'!$AT$3=2,6,IF('Pricing Inputs'!$AT$3=1,7,5))),FALSE())))</f>
        <v> </v>
      </c>
      <c r="BR369" s="294" t="str">
        <f aca="false">IF($A369="N/A"," ",(VLOOKUP($A369,OmicronVol,(IF('Pricing Inputs'!$AT$3=2,3,IF('Pricing Inputs'!$AT$3=1,4,2))),FALSE())))</f>
        <v> </v>
      </c>
      <c r="BS369" s="295" t="str">
        <f aca="false">IF($A369="N/A"," ",IF('Pricing Inputs'!$AN$3=1,(IF(DateToday&gt;$A369,$BR369,((($BQ369^2)*((($A369-1)-DateToday)/((EOMONTH($A369,0)+1)-DateToday-15)))+((($BR369)^2)*((15)/((EOMONTH($A369,0)+1)-DateToday-15))))^0.5)),0.0001))</f>
        <v> </v>
      </c>
      <c r="BT369" s="294" t="str">
        <f aca="false">IF($A369="N/A"," ",IF('Pricing Inputs'!$AN$3=1,(VLOOKUP($A369,CorrelationTable,2,FALSE())),0))</f>
        <v> </v>
      </c>
      <c r="BU369" s="296" t="str">
        <f aca="false">IF($A369="N/A"," ",F369+G369+(D369*(VLOOKUP($A369,'Gas Curves'!$B$17:$P$310,14,FALSE()))))</f>
        <v> </v>
      </c>
      <c r="BV369" s="294" t="str">
        <f aca="false">IF($A369="N/A"," ",IF('Pricing Inputs'!$AW$3=1,0,(VLOOKUP($A369,InterestRatesTable,2))))</f>
        <v> </v>
      </c>
      <c r="BW369" s="297" t="str">
        <f aca="false">IF($A369="N/A"," ",(1+BV369/2)^(-2*((EOMONTH(A369,0)+20)-DateToday)/365.25))</f>
        <v> </v>
      </c>
    </row>
    <row r="370" customFormat="false" ht="12.75" hidden="false" customHeight="false" outlineLevel="0" collapsed="false">
      <c r="A370" s="272" t="str">
        <f aca="false">IF(A369="N/A","N/A",IF(EDATE(A369,1)&gt;Inputs!$K$3,"N/A",EDATE(A369,1)))</f>
        <v>N/A</v>
      </c>
      <c r="B370" s="273" t="str">
        <f aca="false">IF(A370="N/A"," ",YEAR(A370))</f>
        <v> </v>
      </c>
      <c r="C370" s="274" t="str">
        <f aca="false">IF(A370="N/A"," ",VLOOKUP(A370,ScaledPrice,10))</f>
        <v> </v>
      </c>
      <c r="D370" s="275" t="str">
        <f aca="false">IF(A370="N/A"," ",(VLOOKUP(MONTH($A370),Inputs!$A$14:$B$25,2))/1000)</f>
        <v> </v>
      </c>
      <c r="E370" s="276" t="str">
        <f aca="false">IF($A370="N/A"," ",C370*D370)</f>
        <v> </v>
      </c>
      <c r="F370" s="277" t="str">
        <f aca="false">IF(A370="N/A"," ",Inputs!$F$6)</f>
        <v> </v>
      </c>
      <c r="G370" s="277" t="str">
        <f aca="false">IF(A370="N/A"," ",Inputs!$F$9/IF(AND('Pricing Inputs'!$AQ$3&gt;=4,'Pricing Inputs'!$AQ$3&lt;=6),16,IF(AND('Pricing Inputs'!$AQ$3&gt;=7,'Pricing Inputs'!$AQ$3&lt;=9),8,24))/(BA370/BW370))</f>
        <v> </v>
      </c>
      <c r="H370" s="278" t="str">
        <f aca="false">IF(A370="N/A"," ",(C370*D370)+F370+G370)</f>
        <v> </v>
      </c>
      <c r="I370" s="279" t="str">
        <f aca="false">VLOOKUP(A370,ScaledPrice,(IF(AND('Pricing Inputs'!$AQ$3&gt;=1,'Pricing Inputs'!$AQ$3&lt;=6),2,4)))</f>
        <v> </v>
      </c>
      <c r="J370" s="279" t="str">
        <f aca="false">IF(A370="N/A"," ",IF(AND('Pricing Inputs'!$AQ$3&gt;=1,'Pricing Inputs'!$AQ$3&lt;=6),I370,(VLOOKUP(A370,ScaledPrice,2))*(2-(VLOOKUP(A370,ScaledPrice,3)))))</f>
        <v> </v>
      </c>
      <c r="K370" s="279" t="str">
        <f aca="false">IF(A370="N/A"," ",IF(OR('Pricing Inputs'!$AQ$3=2,'Pricing Inputs'!$AQ$3=3,'Pricing Inputs'!$AQ$3=5,'Pricing Inputs'!$AQ$3=6,'Pricing Inputs'!$AQ$3=8,'Pricing Inputs'!$AQ$3=9),VLOOKUP(A370,ScaledPrice,IF(AND('Pricing Inputs'!$AQ$3&gt;=2,'Pricing Inputs'!$AQ$3&lt;=6),5,6)),0))</f>
        <v> </v>
      </c>
      <c r="L370" s="279" t="str">
        <f aca="false">IF(A370="N/A"," ",IF(OR('Pricing Inputs'!$AQ$3=2,'Pricing Inputs'!$AQ$3=3,'Pricing Inputs'!$AQ$3=5,'Pricing Inputs'!$AQ$3=6,'Pricing Inputs'!$AQ$3=8,'Pricing Inputs'!$AQ$3=9),IF(AND('Pricing Inputs'!$AQ$3&gt;=2,'Pricing Inputs'!$AQ$3&lt;=6),K370,(VLOOKUP(A370,ScaledPrice,5))*(2-(VLOOKUP(A370,ScaledPrice,3)))),0))</f>
        <v> </v>
      </c>
      <c r="M370" s="279" t="str">
        <f aca="false">IF(A370="N/A"," ",IF(OR('Pricing Inputs'!$AQ$3=3,'Pricing Inputs'!$AQ$3=6,'Pricing Inputs'!$AQ$3=9),(VLOOKUP(A370,ScaledPrice,IF(AND('Pricing Inputs'!$AQ$3&gt;=3,'Pricing Inputs'!$AQ$3&lt;=6),7,8))),0))</f>
        <v> </v>
      </c>
      <c r="N370" s="279" t="str">
        <f aca="false">IF(A370="N/A"," ",IF(OR('Pricing Inputs'!$AQ$3=3,'Pricing Inputs'!$AQ$3=6,'Pricing Inputs'!$AQ$3=9),IF(AND('Pricing Inputs'!$AQ$3&gt;=3,'Pricing Inputs'!$AQ$3&lt;=6),M370,(VLOOKUP(A370,ScaledPrice,7))*(2-(VLOOKUP(A370,ScaledPrice,3)))),0))</f>
        <v> </v>
      </c>
      <c r="O370" s="279" t="str">
        <f aca="false">IF(A370="N/A"," ",IF(AND('Pricing Inputs'!$AQ$3&gt;=1,'Pricing Inputs'!$AQ$3&lt;=3),VLOOKUP(A370,ScaledPrice,9),0))</f>
        <v> </v>
      </c>
      <c r="P370" s="280" t="str">
        <f aca="false">IF($A370="N/A"," ",IF('Pricing Inputs'!$AN$8=2,(I370-H370),IF('Pricing Inputs'!$AN$3=2,IF((I370-$H370)&gt;0,I370-$H370,0),(xSPRDOPT(I370,$E370,$BU370,0,$BP370,$BS370,$BT370,($A370-Inputs!$D$1)+15,1,0)))))</f>
        <v> </v>
      </c>
      <c r="Q370" s="280" t="str">
        <f aca="false">IF($A370="N/A"," ",IF('Pricing Inputs'!$AN$8=2,(J370-$H370),IF('Pricing Inputs'!$AN$3=2,IF((J370-$H370)&gt;0,J370-$H370,0),(xSPRDOPT(J370,$E370,$BU370,0,$BP370,$BS370,$BT370,($A370-Inputs!$D$1)+15,1,0)))))</f>
        <v> </v>
      </c>
      <c r="R370" s="280" t="str">
        <f aca="false">IF($A370="N/A"," ",IF('Pricing Inputs'!$AN$8=2,(K370-$H370),IF('Pricing Inputs'!$AN$3=2,IF((K370-$H370)&gt;0,K370-$H370,0),(xSPRDOPT(K370,$E370,$BU370,0,$BP370,$BS370,$BT370,($A370-Inputs!$D$1)+15,1,0)))))</f>
        <v> </v>
      </c>
      <c r="S370" s="280" t="str">
        <f aca="false">IF($A370="N/A"," ",IF('Pricing Inputs'!$AN$8=2,(L370-$H370),IF('Pricing Inputs'!$AN$3=2,IF((L370-$H370)&gt;0,L370-$H370,0),(xSPRDOPT(L370,$E370,$BU370,0,$BP370,$BS370,$BT370,($A370-Inputs!$D$1)+15,1,0)))))</f>
        <v> </v>
      </c>
      <c r="T370" s="280" t="str">
        <f aca="false">IF($A370="N/A"," ",IF('Pricing Inputs'!$AN$8=2,(M370-$H370),IF('Pricing Inputs'!$AN$3=2,IF((M370-$H370)&gt;0,M370-$H370,0),(xSPRDOPT(M370,$E370,$BU370,0,$BP370,$BS370,$BT370,($A370-Inputs!$D$1)+15,1,0)))))</f>
        <v> </v>
      </c>
      <c r="U370" s="280" t="str">
        <f aca="false">IF($A370="N/A"," ",IF('Pricing Inputs'!$AN$8=2,(N370-$H370),IF('Pricing Inputs'!$AN$3=2,IF((N370-$H370)&gt;0,N370-$H370,0),(xSPRDOPT(N370,$E370,$BU370,0,$BP370,$BS370,$BT370,($A370-Inputs!$D$1)+15,1,0)))))</f>
        <v> </v>
      </c>
      <c r="V370" s="281" t="str">
        <f aca="false">IF($A370="N/A"," ",(IF('Pricing Inputs'!$AN$8=2,(O370-$H370),IF((O370-$H370)&lt;=0,0,(O370-$H370)))))</f>
        <v> </v>
      </c>
      <c r="BA370" s="291" t="str">
        <f aca="false">IF($A370="N/A"," ",(IF(MONTH(A370)&gt;=4,IF(MONTH(A370)&lt;=10,Inputs!$F$13,Inputs!$F$14),Inputs!$F$14))*$BW370)</f>
        <v> </v>
      </c>
      <c r="BN370" s="294" t="str">
        <f aca="false">IF(A370="N/A"," ",(VLOOKUP(A370,PowerVolTable,(IF('Pricing Inputs'!$AT$3=2,7,IF('Pricing Inputs'!$AT$3=1,6,8))),FALSE())))</f>
        <v> </v>
      </c>
      <c r="BO370" s="294" t="str">
        <f aca="false">IF(A370="N/A"," ",(VLOOKUP(A370,IntraPowerVol,(IF('Pricing Inputs'!$AT$3=2,3,IF('Pricing Inputs'!$AT$3=1,2,4))),FALSE())*VLOOKUP(MONTH($A370),Inputs!$A$28:$B$39,2)))</f>
        <v> </v>
      </c>
      <c r="BP370" s="295" t="str">
        <f aca="false">IF($A370="N/A"," ",(IF(DateToday&gt;$A370,$BO370,((($BN370^2)*((($A370-1)-DateToday)/((EOMONTH($A370,0)+1)-DateToday-15)))+((($BO370)^2)*((15)/((EOMONTH($A370,0)+1)-DateToday-15))))^0.5)))</f>
        <v> </v>
      </c>
      <c r="BQ370" s="294" t="str">
        <f aca="false">IF($A370="N/A"," ",(VLOOKUP($A370,GasVolTable,(IF('Pricing Inputs'!$AT$3=2,6,IF('Pricing Inputs'!$AT$3=1,7,5))),FALSE())))</f>
        <v> </v>
      </c>
      <c r="BR370" s="294" t="str">
        <f aca="false">IF($A370="N/A"," ",(VLOOKUP($A370,OmicronVol,(IF('Pricing Inputs'!$AT$3=2,3,IF('Pricing Inputs'!$AT$3=1,4,2))),FALSE())))</f>
        <v> </v>
      </c>
      <c r="BS370" s="295" t="str">
        <f aca="false">IF($A370="N/A"," ",IF('Pricing Inputs'!$AN$3=1,(IF(DateToday&gt;$A370,$BR370,((($BQ370^2)*((($A370-1)-DateToday)/((EOMONTH($A370,0)+1)-DateToday-15)))+((($BR370)^2)*((15)/((EOMONTH($A370,0)+1)-DateToday-15))))^0.5)),0.0001))</f>
        <v> </v>
      </c>
      <c r="BT370" s="294" t="str">
        <f aca="false">IF($A370="N/A"," ",IF('Pricing Inputs'!$AN$3=1,(VLOOKUP($A370,CorrelationTable,2,FALSE())),0))</f>
        <v> </v>
      </c>
      <c r="BU370" s="296" t="str">
        <f aca="false">IF($A370="N/A"," ",F370+G370+(D370*(VLOOKUP($A370,'Gas Curves'!$B$17:$P$310,14,FALSE()))))</f>
        <v> </v>
      </c>
      <c r="BV370" s="294" t="str">
        <f aca="false">IF($A370="N/A"," ",IF('Pricing Inputs'!$AW$3=1,0,(VLOOKUP($A370,InterestRatesTable,2))))</f>
        <v> </v>
      </c>
      <c r="BW370" s="297" t="str">
        <f aca="false">IF($A370="N/A"," ",(1+BV370/2)^(-2*((EOMONTH(A370,0)+20)-DateToday)/365.25))</f>
        <v> </v>
      </c>
    </row>
    <row r="371" customFormat="false" ht="12.75" hidden="false" customHeight="false" outlineLevel="0" collapsed="false">
      <c r="A371" s="272" t="str">
        <f aca="false">IF(A370="N/A","N/A",IF(EDATE(A370,1)&gt;Inputs!$K$3,"N/A",EDATE(A370,1)))</f>
        <v>N/A</v>
      </c>
      <c r="B371" s="273" t="str">
        <f aca="false">IF(A371="N/A"," ",YEAR(A371))</f>
        <v> </v>
      </c>
      <c r="C371" s="274" t="str">
        <f aca="false">IF(A371="N/A"," ",VLOOKUP(A371,ScaledPrice,10))</f>
        <v> </v>
      </c>
      <c r="D371" s="275" t="str">
        <f aca="false">IF(A371="N/A"," ",(VLOOKUP(MONTH($A371),Inputs!$A$14:$B$25,2))/1000)</f>
        <v> </v>
      </c>
      <c r="E371" s="276" t="str">
        <f aca="false">IF($A371="N/A"," ",C371*D371)</f>
        <v> </v>
      </c>
      <c r="F371" s="277" t="str">
        <f aca="false">IF(A371="N/A"," ",Inputs!$F$6)</f>
        <v> </v>
      </c>
      <c r="G371" s="277" t="str">
        <f aca="false">IF(A371="N/A"," ",Inputs!$F$9/IF(AND('Pricing Inputs'!$AQ$3&gt;=4,'Pricing Inputs'!$AQ$3&lt;=6),16,IF(AND('Pricing Inputs'!$AQ$3&gt;=7,'Pricing Inputs'!$AQ$3&lt;=9),8,24))/(BA371/BW371))</f>
        <v> </v>
      </c>
      <c r="H371" s="278" t="str">
        <f aca="false">IF(A371="N/A"," ",(C371*D371)+F371+G371)</f>
        <v> </v>
      </c>
      <c r="I371" s="279" t="str">
        <f aca="false">VLOOKUP(A371,ScaledPrice,(IF(AND('Pricing Inputs'!$AQ$3&gt;=1,'Pricing Inputs'!$AQ$3&lt;=6),2,4)))</f>
        <v> </v>
      </c>
      <c r="J371" s="279" t="str">
        <f aca="false">IF(A371="N/A"," ",IF(AND('Pricing Inputs'!$AQ$3&gt;=1,'Pricing Inputs'!$AQ$3&lt;=6),I371,(VLOOKUP(A371,ScaledPrice,2))*(2-(VLOOKUP(A371,ScaledPrice,3)))))</f>
        <v> </v>
      </c>
      <c r="K371" s="279" t="str">
        <f aca="false">IF(A371="N/A"," ",IF(OR('Pricing Inputs'!$AQ$3=2,'Pricing Inputs'!$AQ$3=3,'Pricing Inputs'!$AQ$3=5,'Pricing Inputs'!$AQ$3=6,'Pricing Inputs'!$AQ$3=8,'Pricing Inputs'!$AQ$3=9),VLOOKUP(A371,ScaledPrice,IF(AND('Pricing Inputs'!$AQ$3&gt;=2,'Pricing Inputs'!$AQ$3&lt;=6),5,6)),0))</f>
        <v> </v>
      </c>
      <c r="L371" s="279" t="str">
        <f aca="false">IF(A371="N/A"," ",IF(OR('Pricing Inputs'!$AQ$3=2,'Pricing Inputs'!$AQ$3=3,'Pricing Inputs'!$AQ$3=5,'Pricing Inputs'!$AQ$3=6,'Pricing Inputs'!$AQ$3=8,'Pricing Inputs'!$AQ$3=9),IF(AND('Pricing Inputs'!$AQ$3&gt;=2,'Pricing Inputs'!$AQ$3&lt;=6),K371,(VLOOKUP(A371,ScaledPrice,5))*(2-(VLOOKUP(A371,ScaledPrice,3)))),0))</f>
        <v> </v>
      </c>
      <c r="M371" s="279" t="str">
        <f aca="false">IF(A371="N/A"," ",IF(OR('Pricing Inputs'!$AQ$3=3,'Pricing Inputs'!$AQ$3=6,'Pricing Inputs'!$AQ$3=9),(VLOOKUP(A371,ScaledPrice,IF(AND('Pricing Inputs'!$AQ$3&gt;=3,'Pricing Inputs'!$AQ$3&lt;=6),7,8))),0))</f>
        <v> </v>
      </c>
      <c r="N371" s="279" t="str">
        <f aca="false">IF(A371="N/A"," ",IF(OR('Pricing Inputs'!$AQ$3=3,'Pricing Inputs'!$AQ$3=6,'Pricing Inputs'!$AQ$3=9),IF(AND('Pricing Inputs'!$AQ$3&gt;=3,'Pricing Inputs'!$AQ$3&lt;=6),M371,(VLOOKUP(A371,ScaledPrice,7))*(2-(VLOOKUP(A371,ScaledPrice,3)))),0))</f>
        <v> </v>
      </c>
      <c r="O371" s="279" t="str">
        <f aca="false">IF(A371="N/A"," ",IF(AND('Pricing Inputs'!$AQ$3&gt;=1,'Pricing Inputs'!$AQ$3&lt;=3),VLOOKUP(A371,ScaledPrice,9),0))</f>
        <v> </v>
      </c>
      <c r="P371" s="280" t="str">
        <f aca="false">IF($A371="N/A"," ",IF('Pricing Inputs'!$AN$8=2,(I371-H371),IF('Pricing Inputs'!$AN$3=2,IF((I371-$H371)&gt;0,I371-$H371,0),(xSPRDOPT(I371,$E371,$BU371,0,$BP371,$BS371,$BT371,($A371-Inputs!$D$1)+15,1,0)))))</f>
        <v> </v>
      </c>
      <c r="Q371" s="280" t="str">
        <f aca="false">IF($A371="N/A"," ",IF('Pricing Inputs'!$AN$8=2,(J371-$H371),IF('Pricing Inputs'!$AN$3=2,IF((J371-$H371)&gt;0,J371-$H371,0),(xSPRDOPT(J371,$E371,$BU371,0,$BP371,$BS371,$BT371,($A371-Inputs!$D$1)+15,1,0)))))</f>
        <v> </v>
      </c>
      <c r="R371" s="280" t="str">
        <f aca="false">IF($A371="N/A"," ",IF('Pricing Inputs'!$AN$8=2,(K371-$H371),IF('Pricing Inputs'!$AN$3=2,IF((K371-$H371)&gt;0,K371-$H371,0),(xSPRDOPT(K371,$E371,$BU371,0,$BP371,$BS371,$BT371,($A371-Inputs!$D$1)+15,1,0)))))</f>
        <v> </v>
      </c>
      <c r="S371" s="280" t="str">
        <f aca="false">IF($A371="N/A"," ",IF('Pricing Inputs'!$AN$8=2,(L371-$H371),IF('Pricing Inputs'!$AN$3=2,IF((L371-$H371)&gt;0,L371-$H371,0),(xSPRDOPT(L371,$E371,$BU371,0,$BP371,$BS371,$BT371,($A371-Inputs!$D$1)+15,1,0)))))</f>
        <v> </v>
      </c>
      <c r="T371" s="280" t="str">
        <f aca="false">IF($A371="N/A"," ",IF('Pricing Inputs'!$AN$8=2,(M371-$H371),IF('Pricing Inputs'!$AN$3=2,IF((M371-$H371)&gt;0,M371-$H371,0),(xSPRDOPT(M371,$E371,$BU371,0,$BP371,$BS371,$BT371,($A371-Inputs!$D$1)+15,1,0)))))</f>
        <v> </v>
      </c>
      <c r="U371" s="280" t="str">
        <f aca="false">IF($A371="N/A"," ",IF('Pricing Inputs'!$AN$8=2,(N371-$H371),IF('Pricing Inputs'!$AN$3=2,IF((N371-$H371)&gt;0,N371-$H371,0),(xSPRDOPT(N371,$E371,$BU371,0,$BP371,$BS371,$BT371,($A371-Inputs!$D$1)+15,1,0)))))</f>
        <v> </v>
      </c>
      <c r="V371" s="281" t="str">
        <f aca="false">IF($A371="N/A"," ",(IF('Pricing Inputs'!$AN$8=2,(O371-$H371),IF((O371-$H371)&lt;=0,0,(O371-$H371)))))</f>
        <v> </v>
      </c>
      <c r="BA371" s="291" t="str">
        <f aca="false">IF($A371="N/A"," ",(IF(MONTH(A371)&gt;=4,IF(MONTH(A371)&lt;=10,Inputs!$F$13,Inputs!$F$14),Inputs!$F$14))*$BW371)</f>
        <v> </v>
      </c>
      <c r="BN371" s="294" t="str">
        <f aca="false">IF(A371="N/A"," ",(VLOOKUP(A371,PowerVolTable,(IF('Pricing Inputs'!$AT$3=2,7,IF('Pricing Inputs'!$AT$3=1,6,8))),FALSE())))</f>
        <v> </v>
      </c>
      <c r="BO371" s="294" t="str">
        <f aca="false">IF(A371="N/A"," ",(VLOOKUP(A371,IntraPowerVol,(IF('Pricing Inputs'!$AT$3=2,3,IF('Pricing Inputs'!$AT$3=1,2,4))),FALSE())*VLOOKUP(MONTH($A371),Inputs!$A$28:$B$39,2)))</f>
        <v> </v>
      </c>
      <c r="BP371" s="295" t="str">
        <f aca="false">IF($A371="N/A"," ",(IF(DateToday&gt;$A371,$BO371,((($BN371^2)*((($A371-1)-DateToday)/((EOMONTH($A371,0)+1)-DateToday-15)))+((($BO371)^2)*((15)/((EOMONTH($A371,0)+1)-DateToday-15))))^0.5)))</f>
        <v> </v>
      </c>
      <c r="BQ371" s="294" t="str">
        <f aca="false">IF($A371="N/A"," ",(VLOOKUP($A371,GasVolTable,(IF('Pricing Inputs'!$AT$3=2,6,IF('Pricing Inputs'!$AT$3=1,7,5))),FALSE())))</f>
        <v> </v>
      </c>
      <c r="BR371" s="294" t="str">
        <f aca="false">IF($A371="N/A"," ",(VLOOKUP($A371,OmicronVol,(IF('Pricing Inputs'!$AT$3=2,3,IF('Pricing Inputs'!$AT$3=1,4,2))),FALSE())))</f>
        <v> </v>
      </c>
      <c r="BS371" s="295" t="str">
        <f aca="false">IF($A371="N/A"," ",IF('Pricing Inputs'!$AN$3=1,(IF(DateToday&gt;$A371,$BR371,((($BQ371^2)*((($A371-1)-DateToday)/((EOMONTH($A371,0)+1)-DateToday-15)))+((($BR371)^2)*((15)/((EOMONTH($A371,0)+1)-DateToday-15))))^0.5)),0.0001))</f>
        <v> </v>
      </c>
      <c r="BT371" s="294" t="str">
        <f aca="false">IF($A371="N/A"," ",IF('Pricing Inputs'!$AN$3=1,(VLOOKUP($A371,CorrelationTable,2,FALSE())),0))</f>
        <v> </v>
      </c>
      <c r="BU371" s="296" t="str">
        <f aca="false">IF($A371="N/A"," ",F371+G371+(D371*(VLOOKUP($A371,'Gas Curves'!$B$17:$P$310,14,FALSE()))))</f>
        <v> </v>
      </c>
      <c r="BV371" s="294" t="str">
        <f aca="false">IF($A371="N/A"," ",IF('Pricing Inputs'!$AW$3=1,0,(VLOOKUP($A371,InterestRatesTable,2))))</f>
        <v> </v>
      </c>
      <c r="BW371" s="297" t="str">
        <f aca="false">IF($A371="N/A"," ",(1+BV371/2)^(-2*((EOMONTH(A371,0)+20)-DateToday)/365.25))</f>
        <v> </v>
      </c>
    </row>
    <row r="372" customFormat="false" ht="12.75" hidden="false" customHeight="false" outlineLevel="0" collapsed="false">
      <c r="A372" s="272" t="str">
        <f aca="false">IF(A371="N/A","N/A",IF(EDATE(A371,1)&gt;Inputs!$K$3,"N/A",EDATE(A371,1)))</f>
        <v>N/A</v>
      </c>
      <c r="B372" s="273" t="str">
        <f aca="false">IF(A372="N/A"," ",YEAR(A372))</f>
        <v> </v>
      </c>
      <c r="C372" s="274" t="str">
        <f aca="false">IF(A372="N/A"," ",VLOOKUP(A372,ScaledPrice,10))</f>
        <v> </v>
      </c>
      <c r="D372" s="275" t="str">
        <f aca="false">IF(A372="N/A"," ",(VLOOKUP(MONTH($A372),Inputs!$A$14:$B$25,2))/1000)</f>
        <v> </v>
      </c>
      <c r="E372" s="276" t="str">
        <f aca="false">IF($A372="N/A"," ",C372*D372)</f>
        <v> </v>
      </c>
      <c r="F372" s="277" t="str">
        <f aca="false">IF(A372="N/A"," ",Inputs!$F$6)</f>
        <v> </v>
      </c>
      <c r="G372" s="277" t="str">
        <f aca="false">IF(A372="N/A"," ",Inputs!$F$9/IF(AND('Pricing Inputs'!$AQ$3&gt;=4,'Pricing Inputs'!$AQ$3&lt;=6),16,IF(AND('Pricing Inputs'!$AQ$3&gt;=7,'Pricing Inputs'!$AQ$3&lt;=9),8,24))/(BA372/BW372))</f>
        <v> </v>
      </c>
      <c r="H372" s="278" t="str">
        <f aca="false">IF(A372="N/A"," ",(C372*D372)+F372+G372)</f>
        <v> </v>
      </c>
      <c r="I372" s="279" t="str">
        <f aca="false">VLOOKUP(A372,ScaledPrice,(IF(AND('Pricing Inputs'!$AQ$3&gt;=1,'Pricing Inputs'!$AQ$3&lt;=6),2,4)))</f>
        <v> </v>
      </c>
      <c r="J372" s="279" t="str">
        <f aca="false">IF(A372="N/A"," ",IF(AND('Pricing Inputs'!$AQ$3&gt;=1,'Pricing Inputs'!$AQ$3&lt;=6),I372,(VLOOKUP(A372,ScaledPrice,2))*(2-(VLOOKUP(A372,ScaledPrice,3)))))</f>
        <v> </v>
      </c>
      <c r="K372" s="279" t="str">
        <f aca="false">IF(A372="N/A"," ",IF(OR('Pricing Inputs'!$AQ$3=2,'Pricing Inputs'!$AQ$3=3,'Pricing Inputs'!$AQ$3=5,'Pricing Inputs'!$AQ$3=6,'Pricing Inputs'!$AQ$3=8,'Pricing Inputs'!$AQ$3=9),VLOOKUP(A372,ScaledPrice,IF(AND('Pricing Inputs'!$AQ$3&gt;=2,'Pricing Inputs'!$AQ$3&lt;=6),5,6)),0))</f>
        <v> </v>
      </c>
      <c r="L372" s="279" t="str">
        <f aca="false">IF(A372="N/A"," ",IF(OR('Pricing Inputs'!$AQ$3=2,'Pricing Inputs'!$AQ$3=3,'Pricing Inputs'!$AQ$3=5,'Pricing Inputs'!$AQ$3=6,'Pricing Inputs'!$AQ$3=8,'Pricing Inputs'!$AQ$3=9),IF(AND('Pricing Inputs'!$AQ$3&gt;=2,'Pricing Inputs'!$AQ$3&lt;=6),K372,(VLOOKUP(A372,ScaledPrice,5))*(2-(VLOOKUP(A372,ScaledPrice,3)))),0))</f>
        <v> </v>
      </c>
      <c r="M372" s="279" t="str">
        <f aca="false">IF(A372="N/A"," ",IF(OR('Pricing Inputs'!$AQ$3=3,'Pricing Inputs'!$AQ$3=6,'Pricing Inputs'!$AQ$3=9),(VLOOKUP(A372,ScaledPrice,IF(AND('Pricing Inputs'!$AQ$3&gt;=3,'Pricing Inputs'!$AQ$3&lt;=6),7,8))),0))</f>
        <v> </v>
      </c>
      <c r="N372" s="279" t="str">
        <f aca="false">IF(A372="N/A"," ",IF(OR('Pricing Inputs'!$AQ$3=3,'Pricing Inputs'!$AQ$3=6,'Pricing Inputs'!$AQ$3=9),IF(AND('Pricing Inputs'!$AQ$3&gt;=3,'Pricing Inputs'!$AQ$3&lt;=6),M372,(VLOOKUP(A372,ScaledPrice,7))*(2-(VLOOKUP(A372,ScaledPrice,3)))),0))</f>
        <v> </v>
      </c>
      <c r="O372" s="279" t="str">
        <f aca="false">IF(A372="N/A"," ",IF(AND('Pricing Inputs'!$AQ$3&gt;=1,'Pricing Inputs'!$AQ$3&lt;=3),VLOOKUP(A372,ScaledPrice,9),0))</f>
        <v> </v>
      </c>
      <c r="P372" s="280" t="str">
        <f aca="false">IF($A372="N/A"," ",IF('Pricing Inputs'!$AN$8=2,(I372-H372),IF('Pricing Inputs'!$AN$3=2,IF((I372-$H372)&gt;0,I372-$H372,0),(xSPRDOPT(I372,$E372,$BU372,0,$BP372,$BS372,$BT372,($A372-Inputs!$D$1)+15,1,0)))))</f>
        <v> </v>
      </c>
      <c r="Q372" s="280" t="str">
        <f aca="false">IF($A372="N/A"," ",IF('Pricing Inputs'!$AN$8=2,(J372-$H372),IF('Pricing Inputs'!$AN$3=2,IF((J372-$H372)&gt;0,J372-$H372,0),(xSPRDOPT(J372,$E372,$BU372,0,$BP372,$BS372,$BT372,($A372-Inputs!$D$1)+15,1,0)))))</f>
        <v> </v>
      </c>
      <c r="R372" s="280" t="str">
        <f aca="false">IF($A372="N/A"," ",IF('Pricing Inputs'!$AN$8=2,(K372-$H372),IF('Pricing Inputs'!$AN$3=2,IF((K372-$H372)&gt;0,K372-$H372,0),(xSPRDOPT(K372,$E372,$BU372,0,$BP372,$BS372,$BT372,($A372-Inputs!$D$1)+15,1,0)))))</f>
        <v> </v>
      </c>
      <c r="S372" s="280" t="str">
        <f aca="false">IF($A372="N/A"," ",IF('Pricing Inputs'!$AN$8=2,(L372-$H372),IF('Pricing Inputs'!$AN$3=2,IF((L372-$H372)&gt;0,L372-$H372,0),(xSPRDOPT(L372,$E372,$BU372,0,$BP372,$BS372,$BT372,($A372-Inputs!$D$1)+15,1,0)))))</f>
        <v> </v>
      </c>
      <c r="T372" s="280" t="str">
        <f aca="false">IF($A372="N/A"," ",IF('Pricing Inputs'!$AN$8=2,(M372-$H372),IF('Pricing Inputs'!$AN$3=2,IF((M372-$H372)&gt;0,M372-$H372,0),(xSPRDOPT(M372,$E372,$BU372,0,$BP372,$BS372,$BT372,($A372-Inputs!$D$1)+15,1,0)))))</f>
        <v> </v>
      </c>
      <c r="U372" s="280" t="str">
        <f aca="false">IF($A372="N/A"," ",IF('Pricing Inputs'!$AN$8=2,(N372-$H372),IF('Pricing Inputs'!$AN$3=2,IF((N372-$H372)&gt;0,N372-$H372,0),(xSPRDOPT(N372,$E372,$BU372,0,$BP372,$BS372,$BT372,($A372-Inputs!$D$1)+15,1,0)))))</f>
        <v> </v>
      </c>
      <c r="V372" s="281" t="str">
        <f aca="false">IF($A372="N/A"," ",(IF('Pricing Inputs'!$AN$8=2,(O372-$H372),IF((O372-$H372)&lt;=0,0,(O372-$H372)))))</f>
        <v> </v>
      </c>
      <c r="BA372" s="291" t="str">
        <f aca="false">IF($A372="N/A"," ",(IF(MONTH(A372)&gt;=4,IF(MONTH(A372)&lt;=10,Inputs!$F$13,Inputs!$F$14),Inputs!$F$14))*$BW372)</f>
        <v> </v>
      </c>
      <c r="BN372" s="294" t="str">
        <f aca="false">IF(A372="N/A"," ",(VLOOKUP(A372,PowerVolTable,(IF('Pricing Inputs'!$AT$3=2,7,IF('Pricing Inputs'!$AT$3=1,6,8))),FALSE())))</f>
        <v> </v>
      </c>
      <c r="BO372" s="294" t="str">
        <f aca="false">IF(A372="N/A"," ",(VLOOKUP(A372,IntraPowerVol,(IF('Pricing Inputs'!$AT$3=2,3,IF('Pricing Inputs'!$AT$3=1,2,4))),FALSE())*VLOOKUP(MONTH($A372),Inputs!$A$28:$B$39,2)))</f>
        <v> </v>
      </c>
      <c r="BP372" s="295" t="str">
        <f aca="false">IF($A372="N/A"," ",(IF(DateToday&gt;$A372,$BO372,((($BN372^2)*((($A372-1)-DateToday)/((EOMONTH($A372,0)+1)-DateToday-15)))+((($BO372)^2)*((15)/((EOMONTH($A372,0)+1)-DateToday-15))))^0.5)))</f>
        <v> </v>
      </c>
      <c r="BQ372" s="294" t="str">
        <f aca="false">IF($A372="N/A"," ",(VLOOKUP($A372,GasVolTable,(IF('Pricing Inputs'!$AT$3=2,6,IF('Pricing Inputs'!$AT$3=1,7,5))),FALSE())))</f>
        <v> </v>
      </c>
      <c r="BR372" s="294" t="str">
        <f aca="false">IF($A372="N/A"," ",(VLOOKUP($A372,OmicronVol,(IF('Pricing Inputs'!$AT$3=2,3,IF('Pricing Inputs'!$AT$3=1,4,2))),FALSE())))</f>
        <v> </v>
      </c>
      <c r="BS372" s="295" t="str">
        <f aca="false">IF($A372="N/A"," ",IF('Pricing Inputs'!$AN$3=1,(IF(DateToday&gt;$A372,$BR372,((($BQ372^2)*((($A372-1)-DateToday)/((EOMONTH($A372,0)+1)-DateToday-15)))+((($BR372)^2)*((15)/((EOMONTH($A372,0)+1)-DateToday-15))))^0.5)),0.0001))</f>
        <v> </v>
      </c>
      <c r="BT372" s="294" t="str">
        <f aca="false">IF($A372="N/A"," ",IF('Pricing Inputs'!$AN$3=1,(VLOOKUP($A372,CorrelationTable,2,FALSE())),0))</f>
        <v> </v>
      </c>
      <c r="BU372" s="296" t="str">
        <f aca="false">IF($A372="N/A"," ",F372+G372+(D372*(VLOOKUP($A372,'Gas Curves'!$B$17:$P$310,14,FALSE()))))</f>
        <v> </v>
      </c>
      <c r="BV372" s="294" t="str">
        <f aca="false">IF($A372="N/A"," ",IF('Pricing Inputs'!$AW$3=1,0,(VLOOKUP($A372,InterestRatesTable,2))))</f>
        <v> </v>
      </c>
      <c r="BW372" s="297" t="str">
        <f aca="false">IF($A372="N/A"," ",(1+BV372/2)^(-2*((EOMONTH(A372,0)+20)-DateToday)/365.25))</f>
        <v> </v>
      </c>
    </row>
    <row r="373" customFormat="false" ht="12.75" hidden="false" customHeight="false" outlineLevel="0" collapsed="false">
      <c r="A373" s="272" t="str">
        <f aca="false">IF(A372="N/A","N/A",IF(EDATE(A372,1)&gt;Inputs!$K$3,"N/A",EDATE(A372,1)))</f>
        <v>N/A</v>
      </c>
      <c r="B373" s="273" t="str">
        <f aca="false">IF(A373="N/A"," ",YEAR(A373))</f>
        <v> </v>
      </c>
      <c r="C373" s="274" t="str">
        <f aca="false">IF(A373="N/A"," ",VLOOKUP(A373,ScaledPrice,10))</f>
        <v> </v>
      </c>
      <c r="D373" s="275" t="str">
        <f aca="false">IF(A373="N/A"," ",(VLOOKUP(MONTH($A373),Inputs!$A$14:$B$25,2))/1000)</f>
        <v> </v>
      </c>
      <c r="E373" s="276" t="str">
        <f aca="false">IF($A373="N/A"," ",C373*D373)</f>
        <v> </v>
      </c>
      <c r="F373" s="277" t="str">
        <f aca="false">IF(A373="N/A"," ",Inputs!$F$6)</f>
        <v> </v>
      </c>
      <c r="G373" s="277" t="str">
        <f aca="false">IF(A373="N/A"," ",Inputs!$F$9/IF(AND('Pricing Inputs'!$AQ$3&gt;=4,'Pricing Inputs'!$AQ$3&lt;=6),16,IF(AND('Pricing Inputs'!$AQ$3&gt;=7,'Pricing Inputs'!$AQ$3&lt;=9),8,24))/(BA373/BW373))</f>
        <v> </v>
      </c>
      <c r="H373" s="278" t="str">
        <f aca="false">IF(A373="N/A"," ",(C373*D373)+F373+G373)</f>
        <v> </v>
      </c>
      <c r="I373" s="279" t="str">
        <f aca="false">VLOOKUP(A373,ScaledPrice,(IF(AND('Pricing Inputs'!$AQ$3&gt;=1,'Pricing Inputs'!$AQ$3&lt;=6),2,4)))</f>
        <v> </v>
      </c>
      <c r="J373" s="279" t="str">
        <f aca="false">IF(A373="N/A"," ",IF(AND('Pricing Inputs'!$AQ$3&gt;=1,'Pricing Inputs'!$AQ$3&lt;=6),I373,(VLOOKUP(A373,ScaledPrice,2))*(2-(VLOOKUP(A373,ScaledPrice,3)))))</f>
        <v> </v>
      </c>
      <c r="K373" s="279" t="str">
        <f aca="false">IF(A373="N/A"," ",IF(OR('Pricing Inputs'!$AQ$3=2,'Pricing Inputs'!$AQ$3=3,'Pricing Inputs'!$AQ$3=5,'Pricing Inputs'!$AQ$3=6,'Pricing Inputs'!$AQ$3=8,'Pricing Inputs'!$AQ$3=9),VLOOKUP(A373,ScaledPrice,IF(AND('Pricing Inputs'!$AQ$3&gt;=2,'Pricing Inputs'!$AQ$3&lt;=6),5,6)),0))</f>
        <v> </v>
      </c>
      <c r="L373" s="279" t="str">
        <f aca="false">IF(A373="N/A"," ",IF(OR('Pricing Inputs'!$AQ$3=2,'Pricing Inputs'!$AQ$3=3,'Pricing Inputs'!$AQ$3=5,'Pricing Inputs'!$AQ$3=6,'Pricing Inputs'!$AQ$3=8,'Pricing Inputs'!$AQ$3=9),IF(AND('Pricing Inputs'!$AQ$3&gt;=2,'Pricing Inputs'!$AQ$3&lt;=6),K373,(VLOOKUP(A373,ScaledPrice,5))*(2-(VLOOKUP(A373,ScaledPrice,3)))),0))</f>
        <v> </v>
      </c>
      <c r="M373" s="279" t="str">
        <f aca="false">IF(A373="N/A"," ",IF(OR('Pricing Inputs'!$AQ$3=3,'Pricing Inputs'!$AQ$3=6,'Pricing Inputs'!$AQ$3=9),(VLOOKUP(A373,ScaledPrice,IF(AND('Pricing Inputs'!$AQ$3&gt;=3,'Pricing Inputs'!$AQ$3&lt;=6),7,8))),0))</f>
        <v> </v>
      </c>
      <c r="N373" s="279" t="str">
        <f aca="false">IF(A373="N/A"," ",IF(OR('Pricing Inputs'!$AQ$3=3,'Pricing Inputs'!$AQ$3=6,'Pricing Inputs'!$AQ$3=9),IF(AND('Pricing Inputs'!$AQ$3&gt;=3,'Pricing Inputs'!$AQ$3&lt;=6),M373,(VLOOKUP(A373,ScaledPrice,7))*(2-(VLOOKUP(A373,ScaledPrice,3)))),0))</f>
        <v> </v>
      </c>
      <c r="O373" s="279" t="str">
        <f aca="false">IF(A373="N/A"," ",IF(AND('Pricing Inputs'!$AQ$3&gt;=1,'Pricing Inputs'!$AQ$3&lt;=3),VLOOKUP(A373,ScaledPrice,9),0))</f>
        <v> </v>
      </c>
      <c r="P373" s="280" t="str">
        <f aca="false">IF($A373="N/A"," ",IF('Pricing Inputs'!$AN$8=2,(I373-H373),IF('Pricing Inputs'!$AN$3=2,IF((I373-$H373)&gt;0,I373-$H373,0),(xSPRDOPT(I373,$E373,$BU373,0,$BP373,$BS373,$BT373,($A373-Inputs!$D$1)+15,1,0)))))</f>
        <v> </v>
      </c>
      <c r="Q373" s="280" t="str">
        <f aca="false">IF($A373="N/A"," ",IF('Pricing Inputs'!$AN$8=2,(J373-$H373),IF('Pricing Inputs'!$AN$3=2,IF((J373-$H373)&gt;0,J373-$H373,0),(xSPRDOPT(J373,$E373,$BU373,0,$BP373,$BS373,$BT373,($A373-Inputs!$D$1)+15,1,0)))))</f>
        <v> </v>
      </c>
      <c r="R373" s="280" t="str">
        <f aca="false">IF($A373="N/A"," ",IF('Pricing Inputs'!$AN$8=2,(K373-$H373),IF('Pricing Inputs'!$AN$3=2,IF((K373-$H373)&gt;0,K373-$H373,0),(xSPRDOPT(K373,$E373,$BU373,0,$BP373,$BS373,$BT373,($A373-Inputs!$D$1)+15,1,0)))))</f>
        <v> </v>
      </c>
      <c r="S373" s="280" t="str">
        <f aca="false">IF($A373="N/A"," ",IF('Pricing Inputs'!$AN$8=2,(L373-$H373),IF('Pricing Inputs'!$AN$3=2,IF((L373-$H373)&gt;0,L373-$H373,0),(xSPRDOPT(L373,$E373,$BU373,0,$BP373,$BS373,$BT373,($A373-Inputs!$D$1)+15,1,0)))))</f>
        <v> </v>
      </c>
      <c r="T373" s="280" t="str">
        <f aca="false">IF($A373="N/A"," ",IF('Pricing Inputs'!$AN$8=2,(M373-$H373),IF('Pricing Inputs'!$AN$3=2,IF((M373-$H373)&gt;0,M373-$H373,0),(xSPRDOPT(M373,$E373,$BU373,0,$BP373,$BS373,$BT373,($A373-Inputs!$D$1)+15,1,0)))))</f>
        <v> </v>
      </c>
      <c r="U373" s="280" t="str">
        <f aca="false">IF($A373="N/A"," ",IF('Pricing Inputs'!$AN$8=2,(N373-$H373),IF('Pricing Inputs'!$AN$3=2,IF((N373-$H373)&gt;0,N373-$H373,0),(xSPRDOPT(N373,$E373,$BU373,0,$BP373,$BS373,$BT373,($A373-Inputs!$D$1)+15,1,0)))))</f>
        <v> </v>
      </c>
      <c r="V373" s="281" t="str">
        <f aca="false">IF($A373="N/A"," ",(IF('Pricing Inputs'!$AN$8=2,(O373-$H373),IF((O373-$H373)&lt;=0,0,(O373-$H373)))))</f>
        <v> </v>
      </c>
      <c r="BA373" s="291" t="str">
        <f aca="false">IF($A373="N/A"," ",(IF(MONTH(A373)&gt;=4,IF(MONTH(A373)&lt;=10,Inputs!$F$13,Inputs!$F$14),Inputs!$F$14))*$BW373)</f>
        <v> </v>
      </c>
      <c r="BN373" s="294" t="str">
        <f aca="false">IF(A373="N/A"," ",(VLOOKUP(A373,PowerVolTable,(IF('Pricing Inputs'!$AT$3=2,7,IF('Pricing Inputs'!$AT$3=1,6,8))),FALSE())))</f>
        <v> </v>
      </c>
      <c r="BO373" s="294" t="str">
        <f aca="false">IF(A373="N/A"," ",(VLOOKUP(A373,IntraPowerVol,(IF('Pricing Inputs'!$AT$3=2,3,IF('Pricing Inputs'!$AT$3=1,2,4))),FALSE())*VLOOKUP(MONTH($A373),Inputs!$A$28:$B$39,2)))</f>
        <v> </v>
      </c>
      <c r="BP373" s="295" t="str">
        <f aca="false">IF($A373="N/A"," ",(IF(DateToday&gt;$A373,$BO373,((($BN373^2)*((($A373-1)-DateToday)/((EOMONTH($A373,0)+1)-DateToday-15)))+((($BO373)^2)*((15)/((EOMONTH($A373,0)+1)-DateToday-15))))^0.5)))</f>
        <v> </v>
      </c>
      <c r="BQ373" s="294" t="str">
        <f aca="false">IF($A373="N/A"," ",(VLOOKUP($A373,GasVolTable,(IF('Pricing Inputs'!$AT$3=2,6,IF('Pricing Inputs'!$AT$3=1,7,5))),FALSE())))</f>
        <v> </v>
      </c>
      <c r="BR373" s="294" t="str">
        <f aca="false">IF($A373="N/A"," ",(VLOOKUP($A373,OmicronVol,(IF('Pricing Inputs'!$AT$3=2,3,IF('Pricing Inputs'!$AT$3=1,4,2))),FALSE())))</f>
        <v> </v>
      </c>
      <c r="BS373" s="295" t="str">
        <f aca="false">IF($A373="N/A"," ",IF('Pricing Inputs'!$AN$3=1,(IF(DateToday&gt;$A373,$BR373,((($BQ373^2)*((($A373-1)-DateToday)/((EOMONTH($A373,0)+1)-DateToday-15)))+((($BR373)^2)*((15)/((EOMONTH($A373,0)+1)-DateToday-15))))^0.5)),0.0001))</f>
        <v> </v>
      </c>
      <c r="BT373" s="294" t="str">
        <f aca="false">IF($A373="N/A"," ",IF('Pricing Inputs'!$AN$3=1,(VLOOKUP($A373,CorrelationTable,2,FALSE())),0))</f>
        <v> </v>
      </c>
      <c r="BU373" s="296" t="str">
        <f aca="false">IF($A373="N/A"," ",F373+G373+(D373*(VLOOKUP($A373,'Gas Curves'!$B$17:$P$310,14,FALSE()))))</f>
        <v> </v>
      </c>
      <c r="BV373" s="294" t="str">
        <f aca="false">IF($A373="N/A"," ",IF('Pricing Inputs'!$AW$3=1,0,(VLOOKUP($A373,InterestRatesTable,2))))</f>
        <v> </v>
      </c>
      <c r="BW373" s="297" t="str">
        <f aca="false">IF($A373="N/A"," ",(1+BV373/2)^(-2*((EOMONTH(A373,0)+20)-DateToday)/365.25))</f>
        <v> </v>
      </c>
    </row>
    <row r="374" customFormat="false" ht="12.75" hidden="false" customHeight="false" outlineLevel="0" collapsed="false">
      <c r="A374" s="272" t="str">
        <f aca="false">IF(A373="N/A","N/A",IF(EDATE(A373,1)&gt;Inputs!$K$3,"N/A",EDATE(A373,1)))</f>
        <v>N/A</v>
      </c>
      <c r="B374" s="273" t="str">
        <f aca="false">IF(A374="N/A"," ",YEAR(A374))</f>
        <v> </v>
      </c>
      <c r="C374" s="274" t="str">
        <f aca="false">IF(A374="N/A"," ",VLOOKUP(A374,ScaledPrice,10))</f>
        <v> </v>
      </c>
      <c r="D374" s="275" t="str">
        <f aca="false">IF(A374="N/A"," ",(VLOOKUP(MONTH($A374),Inputs!$A$14:$B$25,2))/1000)</f>
        <v> </v>
      </c>
      <c r="E374" s="276" t="str">
        <f aca="false">IF($A374="N/A"," ",C374*D374)</f>
        <v> </v>
      </c>
      <c r="F374" s="277" t="str">
        <f aca="false">IF(A374="N/A"," ",Inputs!$F$6)</f>
        <v> </v>
      </c>
      <c r="G374" s="277" t="str">
        <f aca="false">IF(A374="N/A"," ",Inputs!$F$9/IF(AND('Pricing Inputs'!$AQ$3&gt;=4,'Pricing Inputs'!$AQ$3&lt;=6),16,IF(AND('Pricing Inputs'!$AQ$3&gt;=7,'Pricing Inputs'!$AQ$3&lt;=9),8,24))/(BA374/BW374))</f>
        <v> </v>
      </c>
      <c r="H374" s="278" t="str">
        <f aca="false">IF(A374="N/A"," ",(C374*D374)+F374+G374)</f>
        <v> </v>
      </c>
      <c r="I374" s="279" t="str">
        <f aca="false">VLOOKUP(A374,ScaledPrice,(IF(AND('Pricing Inputs'!$AQ$3&gt;=1,'Pricing Inputs'!$AQ$3&lt;=6),2,4)))</f>
        <v> </v>
      </c>
      <c r="J374" s="279" t="str">
        <f aca="false">IF(A374="N/A"," ",IF(AND('Pricing Inputs'!$AQ$3&gt;=1,'Pricing Inputs'!$AQ$3&lt;=6),I374,(VLOOKUP(A374,ScaledPrice,2))*(2-(VLOOKUP(A374,ScaledPrice,3)))))</f>
        <v> </v>
      </c>
      <c r="K374" s="279" t="str">
        <f aca="false">IF(A374="N/A"," ",IF(OR('Pricing Inputs'!$AQ$3=2,'Pricing Inputs'!$AQ$3=3,'Pricing Inputs'!$AQ$3=5,'Pricing Inputs'!$AQ$3=6,'Pricing Inputs'!$AQ$3=8,'Pricing Inputs'!$AQ$3=9),VLOOKUP(A374,ScaledPrice,IF(AND('Pricing Inputs'!$AQ$3&gt;=2,'Pricing Inputs'!$AQ$3&lt;=6),5,6)),0))</f>
        <v> </v>
      </c>
      <c r="L374" s="279" t="str">
        <f aca="false">IF(A374="N/A"," ",IF(OR('Pricing Inputs'!$AQ$3=2,'Pricing Inputs'!$AQ$3=3,'Pricing Inputs'!$AQ$3=5,'Pricing Inputs'!$AQ$3=6,'Pricing Inputs'!$AQ$3=8,'Pricing Inputs'!$AQ$3=9),IF(AND('Pricing Inputs'!$AQ$3&gt;=2,'Pricing Inputs'!$AQ$3&lt;=6),K374,(VLOOKUP(A374,ScaledPrice,5))*(2-(VLOOKUP(A374,ScaledPrice,3)))),0))</f>
        <v> </v>
      </c>
      <c r="M374" s="279" t="str">
        <f aca="false">IF(A374="N/A"," ",IF(OR('Pricing Inputs'!$AQ$3=3,'Pricing Inputs'!$AQ$3=6,'Pricing Inputs'!$AQ$3=9),(VLOOKUP(A374,ScaledPrice,IF(AND('Pricing Inputs'!$AQ$3&gt;=3,'Pricing Inputs'!$AQ$3&lt;=6),7,8))),0))</f>
        <v> </v>
      </c>
      <c r="N374" s="279" t="str">
        <f aca="false">IF(A374="N/A"," ",IF(OR('Pricing Inputs'!$AQ$3=3,'Pricing Inputs'!$AQ$3=6,'Pricing Inputs'!$AQ$3=9),IF(AND('Pricing Inputs'!$AQ$3&gt;=3,'Pricing Inputs'!$AQ$3&lt;=6),M374,(VLOOKUP(A374,ScaledPrice,7))*(2-(VLOOKUP(A374,ScaledPrice,3)))),0))</f>
        <v> </v>
      </c>
      <c r="O374" s="279" t="str">
        <f aca="false">IF(A374="N/A"," ",IF(AND('Pricing Inputs'!$AQ$3&gt;=1,'Pricing Inputs'!$AQ$3&lt;=3),VLOOKUP(A374,ScaledPrice,9),0))</f>
        <v> </v>
      </c>
      <c r="P374" s="280" t="str">
        <f aca="false">IF($A374="N/A"," ",IF('Pricing Inputs'!$AN$8=2,(I374-H374),IF('Pricing Inputs'!$AN$3=2,IF((I374-$H374)&gt;0,I374-$H374,0),(xSPRDOPT(I374,$E374,$BU374,0,$BP374,$BS374,$BT374,($A374-Inputs!$D$1)+15,1,0)))))</f>
        <v> </v>
      </c>
      <c r="Q374" s="280" t="str">
        <f aca="false">IF($A374="N/A"," ",IF('Pricing Inputs'!$AN$8=2,(J374-$H374),IF('Pricing Inputs'!$AN$3=2,IF((J374-$H374)&gt;0,J374-$H374,0),(xSPRDOPT(J374,$E374,$BU374,0,$BP374,$BS374,$BT374,($A374-Inputs!$D$1)+15,1,0)))))</f>
        <v> </v>
      </c>
      <c r="R374" s="280" t="str">
        <f aca="false">IF($A374="N/A"," ",IF('Pricing Inputs'!$AN$8=2,(K374-$H374),IF('Pricing Inputs'!$AN$3=2,IF((K374-$H374)&gt;0,K374-$H374,0),(xSPRDOPT(K374,$E374,$BU374,0,$BP374,$BS374,$BT374,($A374-Inputs!$D$1)+15,1,0)))))</f>
        <v> </v>
      </c>
      <c r="S374" s="280" t="str">
        <f aca="false">IF($A374="N/A"," ",IF('Pricing Inputs'!$AN$8=2,(L374-$H374),IF('Pricing Inputs'!$AN$3=2,IF((L374-$H374)&gt;0,L374-$H374,0),(xSPRDOPT(L374,$E374,$BU374,0,$BP374,$BS374,$BT374,($A374-Inputs!$D$1)+15,1,0)))))</f>
        <v> </v>
      </c>
      <c r="T374" s="280" t="str">
        <f aca="false">IF($A374="N/A"," ",IF('Pricing Inputs'!$AN$8=2,(M374-$H374),IF('Pricing Inputs'!$AN$3=2,IF((M374-$H374)&gt;0,M374-$H374,0),(xSPRDOPT(M374,$E374,$BU374,0,$BP374,$BS374,$BT374,($A374-Inputs!$D$1)+15,1,0)))))</f>
        <v> </v>
      </c>
      <c r="U374" s="280" t="str">
        <f aca="false">IF($A374="N/A"," ",IF('Pricing Inputs'!$AN$8=2,(N374-$H374),IF('Pricing Inputs'!$AN$3=2,IF((N374-$H374)&gt;0,N374-$H374,0),(xSPRDOPT(N374,$E374,$BU374,0,$BP374,$BS374,$BT374,($A374-Inputs!$D$1)+15,1,0)))))</f>
        <v> </v>
      </c>
      <c r="V374" s="281" t="str">
        <f aca="false">IF($A374="N/A"," ",(IF('Pricing Inputs'!$AN$8=2,(O374-$H374),IF((O374-$H374)&lt;=0,0,(O374-$H374)))))</f>
        <v> </v>
      </c>
      <c r="BA374" s="291" t="str">
        <f aca="false">IF($A374="N/A"," ",(IF(MONTH(A374)&gt;=4,IF(MONTH(A374)&lt;=10,Inputs!$F$13,Inputs!$F$14),Inputs!$F$14))*$BW374)</f>
        <v> </v>
      </c>
      <c r="BN374" s="294" t="str">
        <f aca="false">IF(A374="N/A"," ",(VLOOKUP(A374,PowerVolTable,(IF('Pricing Inputs'!$AT$3=2,7,IF('Pricing Inputs'!$AT$3=1,6,8))),FALSE())))</f>
        <v> </v>
      </c>
      <c r="BO374" s="294" t="str">
        <f aca="false">IF(A374="N/A"," ",(VLOOKUP(A374,IntraPowerVol,(IF('Pricing Inputs'!$AT$3=2,3,IF('Pricing Inputs'!$AT$3=1,2,4))),FALSE())*VLOOKUP(MONTH($A374),Inputs!$A$28:$B$39,2)))</f>
        <v> </v>
      </c>
      <c r="BP374" s="295" t="str">
        <f aca="false">IF($A374="N/A"," ",(IF(DateToday&gt;$A374,$BO374,((($BN374^2)*((($A374-1)-DateToday)/((EOMONTH($A374,0)+1)-DateToday-15)))+((($BO374)^2)*((15)/((EOMONTH($A374,0)+1)-DateToday-15))))^0.5)))</f>
        <v> </v>
      </c>
      <c r="BQ374" s="294" t="str">
        <f aca="false">IF($A374="N/A"," ",(VLOOKUP($A374,GasVolTable,(IF('Pricing Inputs'!$AT$3=2,6,IF('Pricing Inputs'!$AT$3=1,7,5))),FALSE())))</f>
        <v> </v>
      </c>
      <c r="BR374" s="294" t="str">
        <f aca="false">IF($A374="N/A"," ",(VLOOKUP($A374,OmicronVol,(IF('Pricing Inputs'!$AT$3=2,3,IF('Pricing Inputs'!$AT$3=1,4,2))),FALSE())))</f>
        <v> </v>
      </c>
      <c r="BS374" s="295" t="str">
        <f aca="false">IF($A374="N/A"," ",IF('Pricing Inputs'!$AN$3=1,(IF(DateToday&gt;$A374,$BR374,((($BQ374^2)*((($A374-1)-DateToday)/((EOMONTH($A374,0)+1)-DateToday-15)))+((($BR374)^2)*((15)/((EOMONTH($A374,0)+1)-DateToday-15))))^0.5)),0.0001))</f>
        <v> </v>
      </c>
      <c r="BT374" s="294" t="str">
        <f aca="false">IF($A374="N/A"," ",IF('Pricing Inputs'!$AN$3=1,(VLOOKUP($A374,CorrelationTable,2,FALSE())),0))</f>
        <v> </v>
      </c>
      <c r="BU374" s="296" t="str">
        <f aca="false">IF($A374="N/A"," ",F374+G374+(D374*(VLOOKUP($A374,'Gas Curves'!$B$17:$P$310,14,FALSE()))))</f>
        <v> </v>
      </c>
      <c r="BV374" s="294" t="str">
        <f aca="false">IF($A374="N/A"," ",IF('Pricing Inputs'!$AW$3=1,0,(VLOOKUP($A374,InterestRatesTable,2))))</f>
        <v> </v>
      </c>
      <c r="BW374" s="297" t="str">
        <f aca="false">IF($A374="N/A"," ",(1+BV374/2)^(-2*((EOMONTH(A374,0)+20)-DateToday)/365.25))</f>
        <v> </v>
      </c>
    </row>
    <row r="375" customFormat="false" ht="12.75" hidden="false" customHeight="false" outlineLevel="0" collapsed="false">
      <c r="A375" s="272" t="str">
        <f aca="false">IF(A374="N/A","N/A",IF(EDATE(A374,1)&gt;Inputs!$K$3,"N/A",EDATE(A374,1)))</f>
        <v>N/A</v>
      </c>
      <c r="B375" s="273" t="str">
        <f aca="false">IF(A375="N/A"," ",YEAR(A375))</f>
        <v> </v>
      </c>
      <c r="C375" s="274" t="str">
        <f aca="false">IF(A375="N/A"," ",VLOOKUP(A375,ScaledPrice,10))</f>
        <v> </v>
      </c>
      <c r="D375" s="275" t="str">
        <f aca="false">IF(A375="N/A"," ",(VLOOKUP(MONTH($A375),Inputs!$A$14:$B$25,2))/1000)</f>
        <v> </v>
      </c>
      <c r="E375" s="276" t="str">
        <f aca="false">IF($A375="N/A"," ",C375*D375)</f>
        <v> </v>
      </c>
      <c r="F375" s="277" t="str">
        <f aca="false">IF(A375="N/A"," ",Inputs!$F$6)</f>
        <v> </v>
      </c>
      <c r="G375" s="277" t="str">
        <f aca="false">IF(A375="N/A"," ",Inputs!$F$9/IF(AND('Pricing Inputs'!$AQ$3&gt;=4,'Pricing Inputs'!$AQ$3&lt;=6),16,IF(AND('Pricing Inputs'!$AQ$3&gt;=7,'Pricing Inputs'!$AQ$3&lt;=9),8,24))/(BA375/BW375))</f>
        <v> </v>
      </c>
      <c r="H375" s="278" t="str">
        <f aca="false">IF(A375="N/A"," ",(C375*D375)+F375+G375)</f>
        <v> </v>
      </c>
      <c r="I375" s="279" t="str">
        <f aca="false">VLOOKUP(A375,ScaledPrice,(IF(AND('Pricing Inputs'!$AQ$3&gt;=1,'Pricing Inputs'!$AQ$3&lt;=6),2,4)))</f>
        <v> </v>
      </c>
      <c r="J375" s="279" t="str">
        <f aca="false">IF(A375="N/A"," ",IF(AND('Pricing Inputs'!$AQ$3&gt;=1,'Pricing Inputs'!$AQ$3&lt;=6),I375,(VLOOKUP(A375,ScaledPrice,2))*(2-(VLOOKUP(A375,ScaledPrice,3)))))</f>
        <v> </v>
      </c>
      <c r="K375" s="279" t="str">
        <f aca="false">IF(A375="N/A"," ",IF(OR('Pricing Inputs'!$AQ$3=2,'Pricing Inputs'!$AQ$3=3,'Pricing Inputs'!$AQ$3=5,'Pricing Inputs'!$AQ$3=6,'Pricing Inputs'!$AQ$3=8,'Pricing Inputs'!$AQ$3=9),VLOOKUP(A375,ScaledPrice,IF(AND('Pricing Inputs'!$AQ$3&gt;=2,'Pricing Inputs'!$AQ$3&lt;=6),5,6)),0))</f>
        <v> </v>
      </c>
      <c r="L375" s="279" t="str">
        <f aca="false">IF(A375="N/A"," ",IF(OR('Pricing Inputs'!$AQ$3=2,'Pricing Inputs'!$AQ$3=3,'Pricing Inputs'!$AQ$3=5,'Pricing Inputs'!$AQ$3=6,'Pricing Inputs'!$AQ$3=8,'Pricing Inputs'!$AQ$3=9),IF(AND('Pricing Inputs'!$AQ$3&gt;=2,'Pricing Inputs'!$AQ$3&lt;=6),K375,(VLOOKUP(A375,ScaledPrice,5))*(2-(VLOOKUP(A375,ScaledPrice,3)))),0))</f>
        <v> </v>
      </c>
      <c r="M375" s="279" t="str">
        <f aca="false">IF(A375="N/A"," ",IF(OR('Pricing Inputs'!$AQ$3=3,'Pricing Inputs'!$AQ$3=6,'Pricing Inputs'!$AQ$3=9),(VLOOKUP(A375,ScaledPrice,IF(AND('Pricing Inputs'!$AQ$3&gt;=3,'Pricing Inputs'!$AQ$3&lt;=6),7,8))),0))</f>
        <v> </v>
      </c>
      <c r="N375" s="279" t="str">
        <f aca="false">IF(A375="N/A"," ",IF(OR('Pricing Inputs'!$AQ$3=3,'Pricing Inputs'!$AQ$3=6,'Pricing Inputs'!$AQ$3=9),IF(AND('Pricing Inputs'!$AQ$3&gt;=3,'Pricing Inputs'!$AQ$3&lt;=6),M375,(VLOOKUP(A375,ScaledPrice,7))*(2-(VLOOKUP(A375,ScaledPrice,3)))),0))</f>
        <v> </v>
      </c>
      <c r="O375" s="279" t="str">
        <f aca="false">IF(A375="N/A"," ",IF(AND('Pricing Inputs'!$AQ$3&gt;=1,'Pricing Inputs'!$AQ$3&lt;=3),VLOOKUP(A375,ScaledPrice,9),0))</f>
        <v> </v>
      </c>
      <c r="P375" s="280" t="str">
        <f aca="false">IF($A375="N/A"," ",IF('Pricing Inputs'!$AN$8=2,(I375-H375),IF('Pricing Inputs'!$AN$3=2,IF((I375-$H375)&gt;0,I375-$H375,0),(xSPRDOPT(I375,$E375,$BU375,0,$BP375,$BS375,$BT375,($A375-Inputs!$D$1)+15,1,0)))))</f>
        <v> </v>
      </c>
      <c r="Q375" s="280" t="str">
        <f aca="false">IF($A375="N/A"," ",IF('Pricing Inputs'!$AN$8=2,(J375-$H375),IF('Pricing Inputs'!$AN$3=2,IF((J375-$H375)&gt;0,J375-$H375,0),(xSPRDOPT(J375,$E375,$BU375,0,$BP375,$BS375,$BT375,($A375-Inputs!$D$1)+15,1,0)))))</f>
        <v> </v>
      </c>
      <c r="R375" s="280" t="str">
        <f aca="false">IF($A375="N/A"," ",IF('Pricing Inputs'!$AN$8=2,(K375-$H375),IF('Pricing Inputs'!$AN$3=2,IF((K375-$H375)&gt;0,K375-$H375,0),(xSPRDOPT(K375,$E375,$BU375,0,$BP375,$BS375,$BT375,($A375-Inputs!$D$1)+15,1,0)))))</f>
        <v> </v>
      </c>
      <c r="S375" s="280" t="str">
        <f aca="false">IF($A375="N/A"," ",IF('Pricing Inputs'!$AN$8=2,(L375-$H375),IF('Pricing Inputs'!$AN$3=2,IF((L375-$H375)&gt;0,L375-$H375,0),(xSPRDOPT(L375,$E375,$BU375,0,$BP375,$BS375,$BT375,($A375-Inputs!$D$1)+15,1,0)))))</f>
        <v> </v>
      </c>
      <c r="T375" s="280" t="str">
        <f aca="false">IF($A375="N/A"," ",IF('Pricing Inputs'!$AN$8=2,(M375-$H375),IF('Pricing Inputs'!$AN$3=2,IF((M375-$H375)&gt;0,M375-$H375,0),(xSPRDOPT(M375,$E375,$BU375,0,$BP375,$BS375,$BT375,($A375-Inputs!$D$1)+15,1,0)))))</f>
        <v> </v>
      </c>
      <c r="U375" s="280" t="str">
        <f aca="false">IF($A375="N/A"," ",IF('Pricing Inputs'!$AN$8=2,(N375-$H375),IF('Pricing Inputs'!$AN$3=2,IF((N375-$H375)&gt;0,N375-$H375,0),(xSPRDOPT(N375,$E375,$BU375,0,$BP375,$BS375,$BT375,($A375-Inputs!$D$1)+15,1,0)))))</f>
        <v> </v>
      </c>
      <c r="V375" s="281" t="str">
        <f aca="false">IF($A375="N/A"," ",(IF('Pricing Inputs'!$AN$8=2,(O375-$H375),IF((O375-$H375)&lt;=0,0,(O375-$H375)))))</f>
        <v> </v>
      </c>
      <c r="BA375" s="291" t="str">
        <f aca="false">IF($A375="N/A"," ",(IF(MONTH(A375)&gt;=4,IF(MONTH(A375)&lt;=10,Inputs!$F$13,Inputs!$F$14),Inputs!$F$14))*$BW375)</f>
        <v> </v>
      </c>
      <c r="BN375" s="294" t="str">
        <f aca="false">IF(A375="N/A"," ",(VLOOKUP(A375,PowerVolTable,(IF('Pricing Inputs'!$AT$3=2,7,IF('Pricing Inputs'!$AT$3=1,6,8))),FALSE())))</f>
        <v> </v>
      </c>
      <c r="BO375" s="294" t="str">
        <f aca="false">IF(A375="N/A"," ",(VLOOKUP(A375,IntraPowerVol,(IF('Pricing Inputs'!$AT$3=2,3,IF('Pricing Inputs'!$AT$3=1,2,4))),FALSE())*VLOOKUP(MONTH($A375),Inputs!$A$28:$B$39,2)))</f>
        <v> </v>
      </c>
      <c r="BP375" s="295" t="str">
        <f aca="false">IF($A375="N/A"," ",(IF(DateToday&gt;$A375,$BO375,((($BN375^2)*((($A375-1)-DateToday)/((EOMONTH($A375,0)+1)-DateToday-15)))+((($BO375)^2)*((15)/((EOMONTH($A375,0)+1)-DateToday-15))))^0.5)))</f>
        <v> </v>
      </c>
      <c r="BQ375" s="294" t="str">
        <f aca="false">IF($A375="N/A"," ",(VLOOKUP($A375,GasVolTable,(IF('Pricing Inputs'!$AT$3=2,6,IF('Pricing Inputs'!$AT$3=1,7,5))),FALSE())))</f>
        <v> </v>
      </c>
      <c r="BR375" s="294" t="str">
        <f aca="false">IF($A375="N/A"," ",(VLOOKUP($A375,OmicronVol,(IF('Pricing Inputs'!$AT$3=2,3,IF('Pricing Inputs'!$AT$3=1,4,2))),FALSE())))</f>
        <v> </v>
      </c>
      <c r="BS375" s="295" t="str">
        <f aca="false">IF($A375="N/A"," ",IF('Pricing Inputs'!$AN$3=1,(IF(DateToday&gt;$A375,$BR375,((($BQ375^2)*((($A375-1)-DateToday)/((EOMONTH($A375,0)+1)-DateToday-15)))+((($BR375)^2)*((15)/((EOMONTH($A375,0)+1)-DateToday-15))))^0.5)),0.0001))</f>
        <v> </v>
      </c>
      <c r="BT375" s="294" t="str">
        <f aca="false">IF($A375="N/A"," ",IF('Pricing Inputs'!$AN$3=1,(VLOOKUP($A375,CorrelationTable,2,FALSE())),0))</f>
        <v> </v>
      </c>
      <c r="BU375" s="296" t="str">
        <f aca="false">IF($A375="N/A"," ",F375+G375+(D375*(VLOOKUP($A375,'Gas Curves'!$B$17:$P$310,14,FALSE()))))</f>
        <v> </v>
      </c>
      <c r="BV375" s="294" t="str">
        <f aca="false">IF($A375="N/A"," ",IF('Pricing Inputs'!$AW$3=1,0,(VLOOKUP($A375,InterestRatesTable,2))))</f>
        <v> </v>
      </c>
      <c r="BW375" s="297" t="str">
        <f aca="false">IF($A375="N/A"," ",(1+BV375/2)^(-2*((EOMONTH(A375,0)+20)-DateToday)/365.25))</f>
        <v> </v>
      </c>
    </row>
    <row r="376" customFormat="false" ht="12.75" hidden="false" customHeight="false" outlineLevel="0" collapsed="false">
      <c r="A376" s="272" t="str">
        <f aca="false">IF(A375="N/A","N/A",IF(EDATE(A375,1)&gt;Inputs!$K$3,"N/A",EDATE(A375,1)))</f>
        <v>N/A</v>
      </c>
      <c r="B376" s="273" t="str">
        <f aca="false">IF(A376="N/A"," ",YEAR(A376))</f>
        <v> </v>
      </c>
      <c r="C376" s="274" t="str">
        <f aca="false">IF(A376="N/A"," ",VLOOKUP(A376,ScaledPrice,10))</f>
        <v> </v>
      </c>
      <c r="D376" s="275" t="str">
        <f aca="false">IF(A376="N/A"," ",(VLOOKUP(MONTH($A376),Inputs!$A$14:$B$25,2))/1000)</f>
        <v> </v>
      </c>
      <c r="E376" s="276" t="str">
        <f aca="false">IF($A376="N/A"," ",C376*D376)</f>
        <v> </v>
      </c>
      <c r="F376" s="277" t="str">
        <f aca="false">IF(A376="N/A"," ",Inputs!$F$6)</f>
        <v> </v>
      </c>
      <c r="G376" s="277" t="str">
        <f aca="false">IF(A376="N/A"," ",Inputs!$F$9/IF(AND('Pricing Inputs'!$AQ$3&gt;=4,'Pricing Inputs'!$AQ$3&lt;=6),16,IF(AND('Pricing Inputs'!$AQ$3&gt;=7,'Pricing Inputs'!$AQ$3&lt;=9),8,24))/(BA376/BW376))</f>
        <v> </v>
      </c>
      <c r="H376" s="278" t="str">
        <f aca="false">IF(A376="N/A"," ",(C376*D376)+F376+G376)</f>
        <v> </v>
      </c>
      <c r="I376" s="279" t="str">
        <f aca="false">VLOOKUP(A376,ScaledPrice,(IF(AND('Pricing Inputs'!$AQ$3&gt;=1,'Pricing Inputs'!$AQ$3&lt;=6),2,4)))</f>
        <v> </v>
      </c>
      <c r="J376" s="279" t="str">
        <f aca="false">IF(A376="N/A"," ",IF(AND('Pricing Inputs'!$AQ$3&gt;=1,'Pricing Inputs'!$AQ$3&lt;=6),I376,(VLOOKUP(A376,ScaledPrice,2))*(2-(VLOOKUP(A376,ScaledPrice,3)))))</f>
        <v> </v>
      </c>
      <c r="K376" s="279" t="str">
        <f aca="false">IF(A376="N/A"," ",IF(OR('Pricing Inputs'!$AQ$3=2,'Pricing Inputs'!$AQ$3=3,'Pricing Inputs'!$AQ$3=5,'Pricing Inputs'!$AQ$3=6,'Pricing Inputs'!$AQ$3=8,'Pricing Inputs'!$AQ$3=9),VLOOKUP(A376,ScaledPrice,IF(AND('Pricing Inputs'!$AQ$3&gt;=2,'Pricing Inputs'!$AQ$3&lt;=6),5,6)),0))</f>
        <v> </v>
      </c>
      <c r="L376" s="279" t="str">
        <f aca="false">IF(A376="N/A"," ",IF(OR('Pricing Inputs'!$AQ$3=2,'Pricing Inputs'!$AQ$3=3,'Pricing Inputs'!$AQ$3=5,'Pricing Inputs'!$AQ$3=6,'Pricing Inputs'!$AQ$3=8,'Pricing Inputs'!$AQ$3=9),IF(AND('Pricing Inputs'!$AQ$3&gt;=2,'Pricing Inputs'!$AQ$3&lt;=6),K376,(VLOOKUP(A376,ScaledPrice,5))*(2-(VLOOKUP(A376,ScaledPrice,3)))),0))</f>
        <v> </v>
      </c>
      <c r="M376" s="279" t="str">
        <f aca="false">IF(A376="N/A"," ",IF(OR('Pricing Inputs'!$AQ$3=3,'Pricing Inputs'!$AQ$3=6,'Pricing Inputs'!$AQ$3=9),(VLOOKUP(A376,ScaledPrice,IF(AND('Pricing Inputs'!$AQ$3&gt;=3,'Pricing Inputs'!$AQ$3&lt;=6),7,8))),0))</f>
        <v> </v>
      </c>
      <c r="N376" s="279" t="str">
        <f aca="false">IF(A376="N/A"," ",IF(OR('Pricing Inputs'!$AQ$3=3,'Pricing Inputs'!$AQ$3=6,'Pricing Inputs'!$AQ$3=9),IF(AND('Pricing Inputs'!$AQ$3&gt;=3,'Pricing Inputs'!$AQ$3&lt;=6),M376,(VLOOKUP(A376,ScaledPrice,7))*(2-(VLOOKUP(A376,ScaledPrice,3)))),0))</f>
        <v> </v>
      </c>
      <c r="O376" s="279" t="str">
        <f aca="false">IF(A376="N/A"," ",IF(AND('Pricing Inputs'!$AQ$3&gt;=1,'Pricing Inputs'!$AQ$3&lt;=3),VLOOKUP(A376,ScaledPrice,9),0))</f>
        <v> </v>
      </c>
      <c r="P376" s="280" t="str">
        <f aca="false">IF($A376="N/A"," ",IF('Pricing Inputs'!$AN$8=2,(I376-H376),IF('Pricing Inputs'!$AN$3=2,IF((I376-$H376)&gt;0,I376-$H376,0),(xSPRDOPT(I376,$E376,$BU376,0,$BP376,$BS376,$BT376,($A376-Inputs!$D$1)+15,1,0)))))</f>
        <v> </v>
      </c>
      <c r="Q376" s="280" t="str">
        <f aca="false">IF($A376="N/A"," ",IF('Pricing Inputs'!$AN$8=2,(J376-$H376),IF('Pricing Inputs'!$AN$3=2,IF((J376-$H376)&gt;0,J376-$H376,0),(xSPRDOPT(J376,$E376,$BU376,0,$BP376,$BS376,$BT376,($A376-Inputs!$D$1)+15,1,0)))))</f>
        <v> </v>
      </c>
      <c r="R376" s="280" t="str">
        <f aca="false">IF($A376="N/A"," ",IF('Pricing Inputs'!$AN$8=2,(K376-$H376),IF('Pricing Inputs'!$AN$3=2,IF((K376-$H376)&gt;0,K376-$H376,0),(xSPRDOPT(K376,$E376,$BU376,0,$BP376,$BS376,$BT376,($A376-Inputs!$D$1)+15,1,0)))))</f>
        <v> </v>
      </c>
      <c r="S376" s="280" t="str">
        <f aca="false">IF($A376="N/A"," ",IF('Pricing Inputs'!$AN$8=2,(L376-$H376),IF('Pricing Inputs'!$AN$3=2,IF((L376-$H376)&gt;0,L376-$H376,0),(xSPRDOPT(L376,$E376,$BU376,0,$BP376,$BS376,$BT376,($A376-Inputs!$D$1)+15,1,0)))))</f>
        <v> </v>
      </c>
      <c r="T376" s="280" t="str">
        <f aca="false">IF($A376="N/A"," ",IF('Pricing Inputs'!$AN$8=2,(M376-$H376),IF('Pricing Inputs'!$AN$3=2,IF((M376-$H376)&gt;0,M376-$H376,0),(xSPRDOPT(M376,$E376,$BU376,0,$BP376,$BS376,$BT376,($A376-Inputs!$D$1)+15,1,0)))))</f>
        <v> </v>
      </c>
      <c r="U376" s="280" t="str">
        <f aca="false">IF($A376="N/A"," ",IF('Pricing Inputs'!$AN$8=2,(N376-$H376),IF('Pricing Inputs'!$AN$3=2,IF((N376-$H376)&gt;0,N376-$H376,0),(xSPRDOPT(N376,$E376,$BU376,0,$BP376,$BS376,$BT376,($A376-Inputs!$D$1)+15,1,0)))))</f>
        <v> </v>
      </c>
      <c r="V376" s="281" t="str">
        <f aca="false">IF($A376="N/A"," ",(IF('Pricing Inputs'!$AN$8=2,(O376-$H376),IF((O376-$H376)&lt;=0,0,(O376-$H376)))))</f>
        <v> </v>
      </c>
      <c r="BA376" s="291" t="str">
        <f aca="false">IF($A376="N/A"," ",(IF(MONTH(A376)&gt;=4,IF(MONTH(A376)&lt;=10,Inputs!$F$13,Inputs!$F$14),Inputs!$F$14))*$BW376)</f>
        <v> </v>
      </c>
      <c r="BN376" s="294" t="str">
        <f aca="false">IF(A376="N/A"," ",(VLOOKUP(A376,PowerVolTable,(IF('Pricing Inputs'!$AT$3=2,7,IF('Pricing Inputs'!$AT$3=1,6,8))),FALSE())))</f>
        <v> </v>
      </c>
      <c r="BO376" s="294" t="str">
        <f aca="false">IF(A376="N/A"," ",(VLOOKUP(A376,IntraPowerVol,(IF('Pricing Inputs'!$AT$3=2,3,IF('Pricing Inputs'!$AT$3=1,2,4))),FALSE())*VLOOKUP(MONTH($A376),Inputs!$A$28:$B$39,2)))</f>
        <v> </v>
      </c>
      <c r="BP376" s="295" t="str">
        <f aca="false">IF($A376="N/A"," ",(IF(DateToday&gt;$A376,$BO376,((($BN376^2)*((($A376-1)-DateToday)/((EOMONTH($A376,0)+1)-DateToday-15)))+((($BO376)^2)*((15)/((EOMONTH($A376,0)+1)-DateToday-15))))^0.5)))</f>
        <v> </v>
      </c>
      <c r="BQ376" s="294" t="str">
        <f aca="false">IF($A376="N/A"," ",(VLOOKUP($A376,GasVolTable,(IF('Pricing Inputs'!$AT$3=2,6,IF('Pricing Inputs'!$AT$3=1,7,5))),FALSE())))</f>
        <v> </v>
      </c>
      <c r="BR376" s="294" t="str">
        <f aca="false">IF($A376="N/A"," ",(VLOOKUP($A376,OmicronVol,(IF('Pricing Inputs'!$AT$3=2,3,IF('Pricing Inputs'!$AT$3=1,4,2))),FALSE())))</f>
        <v> </v>
      </c>
      <c r="BS376" s="295" t="str">
        <f aca="false">IF($A376="N/A"," ",IF('Pricing Inputs'!$AN$3=1,(IF(DateToday&gt;$A376,$BR376,((($BQ376^2)*((($A376-1)-DateToday)/((EOMONTH($A376,0)+1)-DateToday-15)))+((($BR376)^2)*((15)/((EOMONTH($A376,0)+1)-DateToday-15))))^0.5)),0.0001))</f>
        <v> </v>
      </c>
      <c r="BT376" s="294" t="str">
        <f aca="false">IF($A376="N/A"," ",IF('Pricing Inputs'!$AN$3=1,(VLOOKUP($A376,CorrelationTable,2,FALSE())),0))</f>
        <v> </v>
      </c>
      <c r="BU376" s="296" t="str">
        <f aca="false">IF($A376="N/A"," ",F376+G376+(D376*(VLOOKUP($A376,'Gas Curves'!$B$17:$P$310,14,FALSE()))))</f>
        <v> </v>
      </c>
      <c r="BV376" s="294" t="str">
        <f aca="false">IF($A376="N/A"," ",IF('Pricing Inputs'!$AW$3=1,0,(VLOOKUP($A376,InterestRatesTable,2))))</f>
        <v> </v>
      </c>
      <c r="BW376" s="297" t="str">
        <f aca="false">IF($A376="N/A"," ",(1+BV376/2)^(-2*((EOMONTH(A376,0)+20)-DateToday)/365.25))</f>
        <v> </v>
      </c>
    </row>
    <row r="377" customFormat="false" ht="12.75" hidden="false" customHeight="false" outlineLevel="0" collapsed="false">
      <c r="A377" s="272" t="str">
        <f aca="false">IF(A376="N/A","N/A",IF(EDATE(A376,1)&gt;Inputs!$K$3,"N/A",EDATE(A376,1)))</f>
        <v>N/A</v>
      </c>
      <c r="B377" s="273" t="str">
        <f aca="false">IF(A377="N/A"," ",YEAR(A377))</f>
        <v> </v>
      </c>
      <c r="C377" s="274" t="str">
        <f aca="false">IF(A377="N/A"," ",VLOOKUP(A377,ScaledPrice,10))</f>
        <v> </v>
      </c>
      <c r="D377" s="275" t="str">
        <f aca="false">IF(A377="N/A"," ",(VLOOKUP(MONTH($A377),Inputs!$A$14:$B$25,2))/1000)</f>
        <v> </v>
      </c>
      <c r="E377" s="276" t="str">
        <f aca="false">IF($A377="N/A"," ",C377*D377)</f>
        <v> </v>
      </c>
      <c r="F377" s="277" t="str">
        <f aca="false">IF(A377="N/A"," ",Inputs!$F$6)</f>
        <v> </v>
      </c>
      <c r="G377" s="277" t="str">
        <f aca="false">IF(A377="N/A"," ",Inputs!$F$9/IF(AND('Pricing Inputs'!$AQ$3&gt;=4,'Pricing Inputs'!$AQ$3&lt;=6),16,IF(AND('Pricing Inputs'!$AQ$3&gt;=7,'Pricing Inputs'!$AQ$3&lt;=9),8,24))/(BA377/BW377))</f>
        <v> </v>
      </c>
      <c r="H377" s="278" t="str">
        <f aca="false">IF(A377="N/A"," ",(C377*D377)+F377+G377)</f>
        <v> </v>
      </c>
      <c r="I377" s="279" t="str">
        <f aca="false">VLOOKUP(A377,ScaledPrice,(IF(AND('Pricing Inputs'!$AQ$3&gt;=1,'Pricing Inputs'!$AQ$3&lt;=6),2,4)))</f>
        <v> </v>
      </c>
      <c r="J377" s="279" t="str">
        <f aca="false">IF(A377="N/A"," ",IF(AND('Pricing Inputs'!$AQ$3&gt;=1,'Pricing Inputs'!$AQ$3&lt;=6),I377,(VLOOKUP(A377,ScaledPrice,2))*(2-(VLOOKUP(A377,ScaledPrice,3)))))</f>
        <v> </v>
      </c>
      <c r="K377" s="279" t="str">
        <f aca="false">IF(A377="N/A"," ",IF(OR('Pricing Inputs'!$AQ$3=2,'Pricing Inputs'!$AQ$3=3,'Pricing Inputs'!$AQ$3=5,'Pricing Inputs'!$AQ$3=6,'Pricing Inputs'!$AQ$3=8,'Pricing Inputs'!$AQ$3=9),VLOOKUP(A377,ScaledPrice,IF(AND('Pricing Inputs'!$AQ$3&gt;=2,'Pricing Inputs'!$AQ$3&lt;=6),5,6)),0))</f>
        <v> </v>
      </c>
      <c r="L377" s="279" t="str">
        <f aca="false">IF(A377="N/A"," ",IF(OR('Pricing Inputs'!$AQ$3=2,'Pricing Inputs'!$AQ$3=3,'Pricing Inputs'!$AQ$3=5,'Pricing Inputs'!$AQ$3=6,'Pricing Inputs'!$AQ$3=8,'Pricing Inputs'!$AQ$3=9),IF(AND('Pricing Inputs'!$AQ$3&gt;=2,'Pricing Inputs'!$AQ$3&lt;=6),K377,(VLOOKUP(A377,ScaledPrice,5))*(2-(VLOOKUP(A377,ScaledPrice,3)))),0))</f>
        <v> </v>
      </c>
      <c r="M377" s="279" t="str">
        <f aca="false">IF(A377="N/A"," ",IF(OR('Pricing Inputs'!$AQ$3=3,'Pricing Inputs'!$AQ$3=6,'Pricing Inputs'!$AQ$3=9),(VLOOKUP(A377,ScaledPrice,IF(AND('Pricing Inputs'!$AQ$3&gt;=3,'Pricing Inputs'!$AQ$3&lt;=6),7,8))),0))</f>
        <v> </v>
      </c>
      <c r="N377" s="279" t="str">
        <f aca="false">IF(A377="N/A"," ",IF(OR('Pricing Inputs'!$AQ$3=3,'Pricing Inputs'!$AQ$3=6,'Pricing Inputs'!$AQ$3=9),IF(AND('Pricing Inputs'!$AQ$3&gt;=3,'Pricing Inputs'!$AQ$3&lt;=6),M377,(VLOOKUP(A377,ScaledPrice,7))*(2-(VLOOKUP(A377,ScaledPrice,3)))),0))</f>
        <v> </v>
      </c>
      <c r="O377" s="279" t="str">
        <f aca="false">IF(A377="N/A"," ",IF(AND('Pricing Inputs'!$AQ$3&gt;=1,'Pricing Inputs'!$AQ$3&lt;=3),VLOOKUP(A377,ScaledPrice,9),0))</f>
        <v> </v>
      </c>
      <c r="P377" s="280" t="str">
        <f aca="false">IF($A377="N/A"," ",IF('Pricing Inputs'!$AN$8=2,(I377-H377),IF('Pricing Inputs'!$AN$3=2,IF((I377-$H377)&gt;0,I377-$H377,0),(xSPRDOPT(I377,$E377,$BU377,0,$BP377,$BS377,$BT377,($A377-Inputs!$D$1)+15,1,0)))))</f>
        <v> </v>
      </c>
      <c r="Q377" s="280" t="str">
        <f aca="false">IF($A377="N/A"," ",IF('Pricing Inputs'!$AN$8=2,(J377-$H377),IF('Pricing Inputs'!$AN$3=2,IF((J377-$H377)&gt;0,J377-$H377,0),(xSPRDOPT(J377,$E377,$BU377,0,$BP377,$BS377,$BT377,($A377-Inputs!$D$1)+15,1,0)))))</f>
        <v> </v>
      </c>
      <c r="R377" s="280" t="str">
        <f aca="false">IF($A377="N/A"," ",IF('Pricing Inputs'!$AN$8=2,(K377-$H377),IF('Pricing Inputs'!$AN$3=2,IF((K377-$H377)&gt;0,K377-$H377,0),(xSPRDOPT(K377,$E377,$BU377,0,$BP377,$BS377,$BT377,($A377-Inputs!$D$1)+15,1,0)))))</f>
        <v> </v>
      </c>
      <c r="S377" s="280" t="str">
        <f aca="false">IF($A377="N/A"," ",IF('Pricing Inputs'!$AN$8=2,(L377-$H377),IF('Pricing Inputs'!$AN$3=2,IF((L377-$H377)&gt;0,L377-$H377,0),(xSPRDOPT(L377,$E377,$BU377,0,$BP377,$BS377,$BT377,($A377-Inputs!$D$1)+15,1,0)))))</f>
        <v> </v>
      </c>
      <c r="T377" s="280" t="str">
        <f aca="false">IF($A377="N/A"," ",IF('Pricing Inputs'!$AN$8=2,(M377-$H377),IF('Pricing Inputs'!$AN$3=2,IF((M377-$H377)&gt;0,M377-$H377,0),(xSPRDOPT(M377,$E377,$BU377,0,$BP377,$BS377,$BT377,($A377-Inputs!$D$1)+15,1,0)))))</f>
        <v> </v>
      </c>
      <c r="U377" s="280" t="str">
        <f aca="false">IF($A377="N/A"," ",IF('Pricing Inputs'!$AN$8=2,(N377-$H377),IF('Pricing Inputs'!$AN$3=2,IF((N377-$H377)&gt;0,N377-$H377,0),(xSPRDOPT(N377,$E377,$BU377,0,$BP377,$BS377,$BT377,($A377-Inputs!$D$1)+15,1,0)))))</f>
        <v> </v>
      </c>
      <c r="V377" s="281" t="str">
        <f aca="false">IF($A377="N/A"," ",(IF('Pricing Inputs'!$AN$8=2,(O377-$H377),IF((O377-$H377)&lt;=0,0,(O377-$H377)))))</f>
        <v> </v>
      </c>
      <c r="BA377" s="291" t="str">
        <f aca="false">IF($A377="N/A"," ",(IF(MONTH(A377)&gt;=4,IF(MONTH(A377)&lt;=10,Inputs!$F$13,Inputs!$F$14),Inputs!$F$14))*$BW377)</f>
        <v> </v>
      </c>
      <c r="BN377" s="294" t="str">
        <f aca="false">IF(A377="N/A"," ",(VLOOKUP(A377,PowerVolTable,(IF('Pricing Inputs'!$AT$3=2,7,IF('Pricing Inputs'!$AT$3=1,6,8))),FALSE())))</f>
        <v> </v>
      </c>
      <c r="BO377" s="294" t="str">
        <f aca="false">IF(A377="N/A"," ",(VLOOKUP(A377,IntraPowerVol,(IF('Pricing Inputs'!$AT$3=2,3,IF('Pricing Inputs'!$AT$3=1,2,4))),FALSE())*VLOOKUP(MONTH($A377),Inputs!$A$28:$B$39,2)))</f>
        <v> </v>
      </c>
      <c r="BP377" s="295" t="str">
        <f aca="false">IF($A377="N/A"," ",(IF(DateToday&gt;$A377,$BO377,((($BN377^2)*((($A377-1)-DateToday)/((EOMONTH($A377,0)+1)-DateToday-15)))+((($BO377)^2)*((15)/((EOMONTH($A377,0)+1)-DateToday-15))))^0.5)))</f>
        <v> </v>
      </c>
      <c r="BQ377" s="294" t="str">
        <f aca="false">IF($A377="N/A"," ",(VLOOKUP($A377,GasVolTable,(IF('Pricing Inputs'!$AT$3=2,6,IF('Pricing Inputs'!$AT$3=1,7,5))),FALSE())))</f>
        <v> </v>
      </c>
      <c r="BR377" s="294" t="str">
        <f aca="false">IF($A377="N/A"," ",(VLOOKUP($A377,OmicronVol,(IF('Pricing Inputs'!$AT$3=2,3,IF('Pricing Inputs'!$AT$3=1,4,2))),FALSE())))</f>
        <v> </v>
      </c>
      <c r="BS377" s="295" t="str">
        <f aca="false">IF($A377="N/A"," ",IF('Pricing Inputs'!$AN$3=1,(IF(DateToday&gt;$A377,$BR377,((($BQ377^2)*((($A377-1)-DateToday)/((EOMONTH($A377,0)+1)-DateToday-15)))+((($BR377)^2)*((15)/((EOMONTH($A377,0)+1)-DateToday-15))))^0.5)),0.0001))</f>
        <v> </v>
      </c>
      <c r="BT377" s="294" t="str">
        <f aca="false">IF($A377="N/A"," ",IF('Pricing Inputs'!$AN$3=1,(VLOOKUP($A377,CorrelationTable,2,FALSE())),0))</f>
        <v> </v>
      </c>
      <c r="BU377" s="296" t="str">
        <f aca="false">IF($A377="N/A"," ",F377+G377+(D377*(VLOOKUP($A377,'Gas Curves'!$B$17:$P$310,14,FALSE()))))</f>
        <v> </v>
      </c>
      <c r="BV377" s="294" t="str">
        <f aca="false">IF($A377="N/A"," ",IF('Pricing Inputs'!$AW$3=1,0,(VLOOKUP($A377,InterestRatesTable,2))))</f>
        <v> </v>
      </c>
      <c r="BW377" s="297" t="str">
        <f aca="false">IF($A377="N/A"," ",(1+BV377/2)^(-2*((EOMONTH(A377,0)+20)-DateToday)/365.25))</f>
        <v> </v>
      </c>
    </row>
    <row r="378" customFormat="false" ht="12.75" hidden="false" customHeight="false" outlineLevel="0" collapsed="false">
      <c r="A378" s="272" t="str">
        <f aca="false">IF(A377="N/A","N/A",IF(EDATE(A377,1)&gt;Inputs!$K$3,"N/A",EDATE(A377,1)))</f>
        <v>N/A</v>
      </c>
      <c r="B378" s="273" t="str">
        <f aca="false">IF(A378="N/A"," ",YEAR(A378))</f>
        <v> </v>
      </c>
      <c r="C378" s="274" t="str">
        <f aca="false">IF(A378="N/A"," ",VLOOKUP(A378,ScaledPrice,10))</f>
        <v> </v>
      </c>
      <c r="D378" s="275" t="str">
        <f aca="false">IF(A378="N/A"," ",(VLOOKUP(MONTH($A378),Inputs!$A$14:$B$25,2))/1000)</f>
        <v> </v>
      </c>
      <c r="E378" s="276" t="str">
        <f aca="false">IF($A378="N/A"," ",C378*D378)</f>
        <v> </v>
      </c>
      <c r="F378" s="277" t="str">
        <f aca="false">IF(A378="N/A"," ",Inputs!$F$6)</f>
        <v> </v>
      </c>
      <c r="G378" s="277" t="str">
        <f aca="false">IF(A378="N/A"," ",Inputs!$F$9/IF(AND('Pricing Inputs'!$AQ$3&gt;=4,'Pricing Inputs'!$AQ$3&lt;=6),16,IF(AND('Pricing Inputs'!$AQ$3&gt;=7,'Pricing Inputs'!$AQ$3&lt;=9),8,24))/(BA378/BW378))</f>
        <v> </v>
      </c>
      <c r="H378" s="278" t="str">
        <f aca="false">IF(A378="N/A"," ",(C378*D378)+F378+G378)</f>
        <v> </v>
      </c>
      <c r="I378" s="279" t="str">
        <f aca="false">VLOOKUP(A378,ScaledPrice,(IF(AND('Pricing Inputs'!$AQ$3&gt;=1,'Pricing Inputs'!$AQ$3&lt;=6),2,4)))</f>
        <v> </v>
      </c>
      <c r="J378" s="279" t="str">
        <f aca="false">IF(A378="N/A"," ",IF(AND('Pricing Inputs'!$AQ$3&gt;=1,'Pricing Inputs'!$AQ$3&lt;=6),I378,(VLOOKUP(A378,ScaledPrice,2))*(2-(VLOOKUP(A378,ScaledPrice,3)))))</f>
        <v> </v>
      </c>
      <c r="K378" s="279" t="str">
        <f aca="false">IF(A378="N/A"," ",IF(OR('Pricing Inputs'!$AQ$3=2,'Pricing Inputs'!$AQ$3=3,'Pricing Inputs'!$AQ$3=5,'Pricing Inputs'!$AQ$3=6,'Pricing Inputs'!$AQ$3=8,'Pricing Inputs'!$AQ$3=9),VLOOKUP(A378,ScaledPrice,IF(AND('Pricing Inputs'!$AQ$3&gt;=2,'Pricing Inputs'!$AQ$3&lt;=6),5,6)),0))</f>
        <v> </v>
      </c>
      <c r="L378" s="279" t="str">
        <f aca="false">IF(A378="N/A"," ",IF(OR('Pricing Inputs'!$AQ$3=2,'Pricing Inputs'!$AQ$3=3,'Pricing Inputs'!$AQ$3=5,'Pricing Inputs'!$AQ$3=6,'Pricing Inputs'!$AQ$3=8,'Pricing Inputs'!$AQ$3=9),IF(AND('Pricing Inputs'!$AQ$3&gt;=2,'Pricing Inputs'!$AQ$3&lt;=6),K378,(VLOOKUP(A378,ScaledPrice,5))*(2-(VLOOKUP(A378,ScaledPrice,3)))),0))</f>
        <v> </v>
      </c>
      <c r="M378" s="279" t="str">
        <f aca="false">IF(A378="N/A"," ",IF(OR('Pricing Inputs'!$AQ$3=3,'Pricing Inputs'!$AQ$3=6,'Pricing Inputs'!$AQ$3=9),(VLOOKUP(A378,ScaledPrice,IF(AND('Pricing Inputs'!$AQ$3&gt;=3,'Pricing Inputs'!$AQ$3&lt;=6),7,8))),0))</f>
        <v> </v>
      </c>
      <c r="N378" s="279" t="str">
        <f aca="false">IF(A378="N/A"," ",IF(OR('Pricing Inputs'!$AQ$3=3,'Pricing Inputs'!$AQ$3=6,'Pricing Inputs'!$AQ$3=9),IF(AND('Pricing Inputs'!$AQ$3&gt;=3,'Pricing Inputs'!$AQ$3&lt;=6),M378,(VLOOKUP(A378,ScaledPrice,7))*(2-(VLOOKUP(A378,ScaledPrice,3)))),0))</f>
        <v> </v>
      </c>
      <c r="O378" s="279" t="str">
        <f aca="false">IF(A378="N/A"," ",IF(AND('Pricing Inputs'!$AQ$3&gt;=1,'Pricing Inputs'!$AQ$3&lt;=3),VLOOKUP(A378,ScaledPrice,9),0))</f>
        <v> </v>
      </c>
      <c r="P378" s="280" t="str">
        <f aca="false">IF($A378="N/A"," ",IF('Pricing Inputs'!$AN$8=2,(I378-H378),IF('Pricing Inputs'!$AN$3=2,IF((I378-$H378)&gt;0,I378-$H378,0),(xSPRDOPT(I378,$E378,$BU378,0,$BP378,$BS378,$BT378,($A378-Inputs!$D$1)+15,1,0)))))</f>
        <v> </v>
      </c>
      <c r="Q378" s="280" t="str">
        <f aca="false">IF($A378="N/A"," ",IF('Pricing Inputs'!$AN$8=2,(J378-$H378),IF('Pricing Inputs'!$AN$3=2,IF((J378-$H378)&gt;0,J378-$H378,0),(xSPRDOPT(J378,$E378,$BU378,0,$BP378,$BS378,$BT378,($A378-Inputs!$D$1)+15,1,0)))))</f>
        <v> </v>
      </c>
      <c r="R378" s="280" t="str">
        <f aca="false">IF($A378="N/A"," ",IF('Pricing Inputs'!$AN$8=2,(K378-$H378),IF('Pricing Inputs'!$AN$3=2,IF((K378-$H378)&gt;0,K378-$H378,0),(xSPRDOPT(K378,$E378,$BU378,0,$BP378,$BS378,$BT378,($A378-Inputs!$D$1)+15,1,0)))))</f>
        <v> </v>
      </c>
      <c r="S378" s="280" t="str">
        <f aca="false">IF($A378="N/A"," ",IF('Pricing Inputs'!$AN$8=2,(L378-$H378),IF('Pricing Inputs'!$AN$3=2,IF((L378-$H378)&gt;0,L378-$H378,0),(xSPRDOPT(L378,$E378,$BU378,0,$BP378,$BS378,$BT378,($A378-Inputs!$D$1)+15,1,0)))))</f>
        <v> </v>
      </c>
      <c r="T378" s="280" t="str">
        <f aca="false">IF($A378="N/A"," ",IF('Pricing Inputs'!$AN$8=2,(M378-$H378),IF('Pricing Inputs'!$AN$3=2,IF((M378-$H378)&gt;0,M378-$H378,0),(xSPRDOPT(M378,$E378,$BU378,0,$BP378,$BS378,$BT378,($A378-Inputs!$D$1)+15,1,0)))))</f>
        <v> </v>
      </c>
      <c r="U378" s="280" t="str">
        <f aca="false">IF($A378="N/A"," ",IF('Pricing Inputs'!$AN$8=2,(N378-$H378),IF('Pricing Inputs'!$AN$3=2,IF((N378-$H378)&gt;0,N378-$H378,0),(xSPRDOPT(N378,$E378,$BU378,0,$BP378,$BS378,$BT378,($A378-Inputs!$D$1)+15,1,0)))))</f>
        <v> </v>
      </c>
      <c r="V378" s="281" t="str">
        <f aca="false">IF($A378="N/A"," ",(IF('Pricing Inputs'!$AN$8=2,(O378-$H378),IF((O378-$H378)&lt;=0,0,(O378-$H378)))))</f>
        <v> </v>
      </c>
      <c r="BA378" s="291" t="str">
        <f aca="false">IF($A378="N/A"," ",(IF(MONTH(A378)&gt;=4,IF(MONTH(A378)&lt;=10,Inputs!$F$13,Inputs!$F$14),Inputs!$F$14))*$BW378)</f>
        <v> </v>
      </c>
      <c r="BN378" s="294" t="str">
        <f aca="false">IF(A378="N/A"," ",(VLOOKUP(A378,PowerVolTable,(IF('Pricing Inputs'!$AT$3=2,7,IF('Pricing Inputs'!$AT$3=1,6,8))),FALSE())))</f>
        <v> </v>
      </c>
      <c r="BO378" s="294" t="str">
        <f aca="false">IF(A378="N/A"," ",(VLOOKUP(A378,IntraPowerVol,(IF('Pricing Inputs'!$AT$3=2,3,IF('Pricing Inputs'!$AT$3=1,2,4))),FALSE())*VLOOKUP(MONTH($A378),Inputs!$A$28:$B$39,2)))</f>
        <v> </v>
      </c>
      <c r="BP378" s="295" t="str">
        <f aca="false">IF($A378="N/A"," ",(IF(DateToday&gt;$A378,$BO378,((($BN378^2)*((($A378-1)-DateToday)/((EOMONTH($A378,0)+1)-DateToday-15)))+((($BO378)^2)*((15)/((EOMONTH($A378,0)+1)-DateToday-15))))^0.5)))</f>
        <v> </v>
      </c>
      <c r="BQ378" s="294" t="str">
        <f aca="false">IF($A378="N/A"," ",(VLOOKUP($A378,GasVolTable,(IF('Pricing Inputs'!$AT$3=2,6,IF('Pricing Inputs'!$AT$3=1,7,5))),FALSE())))</f>
        <v> </v>
      </c>
      <c r="BR378" s="294" t="str">
        <f aca="false">IF($A378="N/A"," ",(VLOOKUP($A378,OmicronVol,(IF('Pricing Inputs'!$AT$3=2,3,IF('Pricing Inputs'!$AT$3=1,4,2))),FALSE())))</f>
        <v> </v>
      </c>
      <c r="BS378" s="295" t="str">
        <f aca="false">IF($A378="N/A"," ",IF('Pricing Inputs'!$AN$3=1,(IF(DateToday&gt;$A378,$BR378,((($BQ378^2)*((($A378-1)-DateToday)/((EOMONTH($A378,0)+1)-DateToday-15)))+((($BR378)^2)*((15)/((EOMONTH($A378,0)+1)-DateToday-15))))^0.5)),0.0001))</f>
        <v> </v>
      </c>
      <c r="BT378" s="294" t="str">
        <f aca="false">IF($A378="N/A"," ",IF('Pricing Inputs'!$AN$3=1,(VLOOKUP($A378,CorrelationTable,2,FALSE())),0))</f>
        <v> </v>
      </c>
      <c r="BU378" s="296" t="str">
        <f aca="false">IF($A378="N/A"," ",F378+G378+(D378*(VLOOKUP($A378,'Gas Curves'!$B$17:$P$310,14,FALSE()))))</f>
        <v> </v>
      </c>
      <c r="BV378" s="294" t="str">
        <f aca="false">IF($A378="N/A"," ",IF('Pricing Inputs'!$AW$3=1,0,(VLOOKUP($A378,InterestRatesTable,2))))</f>
        <v> </v>
      </c>
      <c r="BW378" s="297" t="str">
        <f aca="false">IF($A378="N/A"," ",(1+BV378/2)^(-2*((EOMONTH(A378,0)+20)-DateToday)/365.25))</f>
        <v> </v>
      </c>
    </row>
    <row r="379" customFormat="false" ht="12.75" hidden="false" customHeight="false" outlineLevel="0" collapsed="false">
      <c r="A379" s="272" t="str">
        <f aca="false">IF(A378="N/A","N/A",IF(EDATE(A378,1)&gt;Inputs!$K$3,"N/A",EDATE(A378,1)))</f>
        <v>N/A</v>
      </c>
      <c r="B379" s="273" t="str">
        <f aca="false">IF(A379="N/A"," ",YEAR(A379))</f>
        <v> </v>
      </c>
      <c r="C379" s="274" t="str">
        <f aca="false">IF(A379="N/A"," ",VLOOKUP(A379,ScaledPrice,10))</f>
        <v> </v>
      </c>
      <c r="D379" s="275" t="str">
        <f aca="false">IF(A379="N/A"," ",(VLOOKUP(MONTH($A379),Inputs!$A$14:$B$25,2))/1000)</f>
        <v> </v>
      </c>
      <c r="E379" s="276" t="str">
        <f aca="false">IF($A379="N/A"," ",C379*D379)</f>
        <v> </v>
      </c>
      <c r="F379" s="277" t="str">
        <f aca="false">IF(A379="N/A"," ",Inputs!$F$6)</f>
        <v> </v>
      </c>
      <c r="G379" s="277" t="str">
        <f aca="false">IF(A379="N/A"," ",Inputs!$F$9/IF(AND('Pricing Inputs'!$AQ$3&gt;=4,'Pricing Inputs'!$AQ$3&lt;=6),16,IF(AND('Pricing Inputs'!$AQ$3&gt;=7,'Pricing Inputs'!$AQ$3&lt;=9),8,24))/(BA379/BW379))</f>
        <v> </v>
      </c>
      <c r="H379" s="278" t="str">
        <f aca="false">IF(A379="N/A"," ",(C379*D379)+F379+G379)</f>
        <v> </v>
      </c>
      <c r="I379" s="279" t="str">
        <f aca="false">VLOOKUP(A379,ScaledPrice,(IF(AND('Pricing Inputs'!$AQ$3&gt;=1,'Pricing Inputs'!$AQ$3&lt;=6),2,4)))</f>
        <v> </v>
      </c>
      <c r="J379" s="279" t="str">
        <f aca="false">IF(A379="N/A"," ",IF(AND('Pricing Inputs'!$AQ$3&gt;=1,'Pricing Inputs'!$AQ$3&lt;=6),I379,(VLOOKUP(A379,ScaledPrice,2))*(2-(VLOOKUP(A379,ScaledPrice,3)))))</f>
        <v> </v>
      </c>
      <c r="K379" s="279" t="str">
        <f aca="false">IF(A379="N/A"," ",IF(OR('Pricing Inputs'!$AQ$3=2,'Pricing Inputs'!$AQ$3=3,'Pricing Inputs'!$AQ$3=5,'Pricing Inputs'!$AQ$3=6,'Pricing Inputs'!$AQ$3=8,'Pricing Inputs'!$AQ$3=9),VLOOKUP(A379,ScaledPrice,IF(AND('Pricing Inputs'!$AQ$3&gt;=2,'Pricing Inputs'!$AQ$3&lt;=6),5,6)),0))</f>
        <v> </v>
      </c>
      <c r="L379" s="279" t="str">
        <f aca="false">IF(A379="N/A"," ",IF(OR('Pricing Inputs'!$AQ$3=2,'Pricing Inputs'!$AQ$3=3,'Pricing Inputs'!$AQ$3=5,'Pricing Inputs'!$AQ$3=6,'Pricing Inputs'!$AQ$3=8,'Pricing Inputs'!$AQ$3=9),IF(AND('Pricing Inputs'!$AQ$3&gt;=2,'Pricing Inputs'!$AQ$3&lt;=6),K379,(VLOOKUP(A379,ScaledPrice,5))*(2-(VLOOKUP(A379,ScaledPrice,3)))),0))</f>
        <v> </v>
      </c>
      <c r="M379" s="279" t="str">
        <f aca="false">IF(A379="N/A"," ",IF(OR('Pricing Inputs'!$AQ$3=3,'Pricing Inputs'!$AQ$3=6,'Pricing Inputs'!$AQ$3=9),(VLOOKUP(A379,ScaledPrice,IF(AND('Pricing Inputs'!$AQ$3&gt;=3,'Pricing Inputs'!$AQ$3&lt;=6),7,8))),0))</f>
        <v> </v>
      </c>
      <c r="N379" s="279" t="str">
        <f aca="false">IF(A379="N/A"," ",IF(OR('Pricing Inputs'!$AQ$3=3,'Pricing Inputs'!$AQ$3=6,'Pricing Inputs'!$AQ$3=9),IF(AND('Pricing Inputs'!$AQ$3&gt;=3,'Pricing Inputs'!$AQ$3&lt;=6),M379,(VLOOKUP(A379,ScaledPrice,7))*(2-(VLOOKUP(A379,ScaledPrice,3)))),0))</f>
        <v> </v>
      </c>
      <c r="O379" s="279" t="str">
        <f aca="false">IF(A379="N/A"," ",IF(AND('Pricing Inputs'!$AQ$3&gt;=1,'Pricing Inputs'!$AQ$3&lt;=3),VLOOKUP(A379,ScaledPrice,9),0))</f>
        <v> </v>
      </c>
      <c r="P379" s="280" t="str">
        <f aca="false">IF($A379="N/A"," ",IF('Pricing Inputs'!$AN$8=2,(I379-H379),IF('Pricing Inputs'!$AN$3=2,IF((I379-$H379)&gt;0,I379-$H379,0),(xSPRDOPT(I379,$E379,$BU379,0,$BP379,$BS379,$BT379,($A379-Inputs!$D$1)+15,1,0)))))</f>
        <v> </v>
      </c>
      <c r="Q379" s="280" t="str">
        <f aca="false">IF($A379="N/A"," ",IF('Pricing Inputs'!$AN$8=2,(J379-$H379),IF('Pricing Inputs'!$AN$3=2,IF((J379-$H379)&gt;0,J379-$H379,0),(xSPRDOPT(J379,$E379,$BU379,0,$BP379,$BS379,$BT379,($A379-Inputs!$D$1)+15,1,0)))))</f>
        <v> </v>
      </c>
      <c r="R379" s="280" t="str">
        <f aca="false">IF($A379="N/A"," ",IF('Pricing Inputs'!$AN$8=2,(K379-$H379),IF('Pricing Inputs'!$AN$3=2,IF((K379-$H379)&gt;0,K379-$H379,0),(xSPRDOPT(K379,$E379,$BU379,0,$BP379,$BS379,$BT379,($A379-Inputs!$D$1)+15,1,0)))))</f>
        <v> </v>
      </c>
      <c r="S379" s="280" t="str">
        <f aca="false">IF($A379="N/A"," ",IF('Pricing Inputs'!$AN$8=2,(L379-$H379),IF('Pricing Inputs'!$AN$3=2,IF((L379-$H379)&gt;0,L379-$H379,0),(xSPRDOPT(L379,$E379,$BU379,0,$BP379,$BS379,$BT379,($A379-Inputs!$D$1)+15,1,0)))))</f>
        <v> </v>
      </c>
      <c r="T379" s="280" t="str">
        <f aca="false">IF($A379="N/A"," ",IF('Pricing Inputs'!$AN$8=2,(M379-$H379),IF('Pricing Inputs'!$AN$3=2,IF((M379-$H379)&gt;0,M379-$H379,0),(xSPRDOPT(M379,$E379,$BU379,0,$BP379,$BS379,$BT379,($A379-Inputs!$D$1)+15,1,0)))))</f>
        <v> </v>
      </c>
      <c r="U379" s="280" t="str">
        <f aca="false">IF($A379="N/A"," ",IF('Pricing Inputs'!$AN$8=2,(N379-$H379),IF('Pricing Inputs'!$AN$3=2,IF((N379-$H379)&gt;0,N379-$H379,0),(xSPRDOPT(N379,$E379,$BU379,0,$BP379,$BS379,$BT379,($A379-Inputs!$D$1)+15,1,0)))))</f>
        <v> </v>
      </c>
      <c r="V379" s="281" t="str">
        <f aca="false">IF($A379="N/A"," ",(IF('Pricing Inputs'!$AN$8=2,(O379-$H379),IF((O379-$H379)&lt;=0,0,(O379-$H379)))))</f>
        <v> </v>
      </c>
      <c r="BA379" s="291" t="str">
        <f aca="false">IF($A379="N/A"," ",(IF(MONTH(A379)&gt;=4,IF(MONTH(A379)&lt;=10,Inputs!$F$13,Inputs!$F$14),Inputs!$F$14))*$BW379)</f>
        <v> </v>
      </c>
      <c r="BN379" s="294" t="str">
        <f aca="false">IF(A379="N/A"," ",(VLOOKUP(A379,PowerVolTable,(IF('Pricing Inputs'!$AT$3=2,7,IF('Pricing Inputs'!$AT$3=1,6,8))),FALSE())))</f>
        <v> </v>
      </c>
      <c r="BO379" s="294" t="str">
        <f aca="false">IF(A379="N/A"," ",(VLOOKUP(A379,IntraPowerVol,(IF('Pricing Inputs'!$AT$3=2,3,IF('Pricing Inputs'!$AT$3=1,2,4))),FALSE())*VLOOKUP(MONTH($A379),Inputs!$A$28:$B$39,2)))</f>
        <v> </v>
      </c>
      <c r="BP379" s="295" t="str">
        <f aca="false">IF($A379="N/A"," ",(IF(DateToday&gt;$A379,$BO379,((($BN379^2)*((($A379-1)-DateToday)/((EOMONTH($A379,0)+1)-DateToday-15)))+((($BO379)^2)*((15)/((EOMONTH($A379,0)+1)-DateToday-15))))^0.5)))</f>
        <v> </v>
      </c>
      <c r="BQ379" s="294" t="str">
        <f aca="false">IF($A379="N/A"," ",(VLOOKUP($A379,GasVolTable,(IF('Pricing Inputs'!$AT$3=2,6,IF('Pricing Inputs'!$AT$3=1,7,5))),FALSE())))</f>
        <v> </v>
      </c>
      <c r="BR379" s="294" t="str">
        <f aca="false">IF($A379="N/A"," ",(VLOOKUP($A379,OmicronVol,(IF('Pricing Inputs'!$AT$3=2,3,IF('Pricing Inputs'!$AT$3=1,4,2))),FALSE())))</f>
        <v> </v>
      </c>
      <c r="BS379" s="295" t="str">
        <f aca="false">IF($A379="N/A"," ",IF('Pricing Inputs'!$AN$3=1,(IF(DateToday&gt;$A379,$BR379,((($BQ379^2)*((($A379-1)-DateToday)/((EOMONTH($A379,0)+1)-DateToday-15)))+((($BR379)^2)*((15)/((EOMONTH($A379,0)+1)-DateToday-15))))^0.5)),0.0001))</f>
        <v> </v>
      </c>
      <c r="BT379" s="294" t="str">
        <f aca="false">IF($A379="N/A"," ",IF('Pricing Inputs'!$AN$3=1,(VLOOKUP($A379,CorrelationTable,2,FALSE())),0))</f>
        <v> </v>
      </c>
      <c r="BU379" s="296" t="str">
        <f aca="false">IF($A379="N/A"," ",F379+G379+(D379*(VLOOKUP($A379,'Gas Curves'!$B$17:$P$310,14,FALSE()))))</f>
        <v> </v>
      </c>
      <c r="BV379" s="294" t="str">
        <f aca="false">IF($A379="N/A"," ",IF('Pricing Inputs'!$AW$3=1,0,(VLOOKUP($A379,InterestRatesTable,2))))</f>
        <v> </v>
      </c>
      <c r="BW379" s="297" t="str">
        <f aca="false">IF($A379="N/A"," ",(1+BV379/2)^(-2*((EOMONTH(A379,0)+20)-DateToday)/365.25))</f>
        <v> </v>
      </c>
    </row>
    <row r="380" customFormat="false" ht="12.75" hidden="false" customHeight="false" outlineLevel="0" collapsed="false">
      <c r="A380" s="272" t="str">
        <f aca="false">IF(A379="N/A","N/A",IF(EDATE(A379,1)&gt;Inputs!$K$3,"N/A",EDATE(A379,1)))</f>
        <v>N/A</v>
      </c>
      <c r="B380" s="273" t="str">
        <f aca="false">IF(A380="N/A"," ",YEAR(A380))</f>
        <v> </v>
      </c>
      <c r="C380" s="274" t="str">
        <f aca="false">IF(A380="N/A"," ",VLOOKUP(A380,ScaledPrice,10))</f>
        <v> </v>
      </c>
      <c r="D380" s="275" t="str">
        <f aca="false">IF(A380="N/A"," ",(VLOOKUP(MONTH($A380),Inputs!$A$14:$B$25,2))/1000)</f>
        <v> </v>
      </c>
      <c r="E380" s="276" t="str">
        <f aca="false">IF($A380="N/A"," ",C380*D380)</f>
        <v> </v>
      </c>
      <c r="F380" s="277" t="str">
        <f aca="false">IF(A380="N/A"," ",Inputs!$F$6)</f>
        <v> </v>
      </c>
      <c r="G380" s="277" t="str">
        <f aca="false">IF(A380="N/A"," ",Inputs!$F$9/IF(AND('Pricing Inputs'!$AQ$3&gt;=4,'Pricing Inputs'!$AQ$3&lt;=6),16,IF(AND('Pricing Inputs'!$AQ$3&gt;=7,'Pricing Inputs'!$AQ$3&lt;=9),8,24))/(BA380/BW380))</f>
        <v> </v>
      </c>
      <c r="H380" s="278" t="str">
        <f aca="false">IF(A380="N/A"," ",(C380*D380)+F380+G380)</f>
        <v> </v>
      </c>
      <c r="I380" s="279" t="str">
        <f aca="false">VLOOKUP(A380,ScaledPrice,(IF(AND('Pricing Inputs'!$AQ$3&gt;=1,'Pricing Inputs'!$AQ$3&lt;=6),2,4)))</f>
        <v> </v>
      </c>
      <c r="J380" s="279" t="str">
        <f aca="false">IF(A380="N/A"," ",IF(AND('Pricing Inputs'!$AQ$3&gt;=1,'Pricing Inputs'!$AQ$3&lt;=6),I380,(VLOOKUP(A380,ScaledPrice,2))*(2-(VLOOKUP(A380,ScaledPrice,3)))))</f>
        <v> </v>
      </c>
      <c r="K380" s="279" t="str">
        <f aca="false">IF(A380="N/A"," ",IF(OR('Pricing Inputs'!$AQ$3=2,'Pricing Inputs'!$AQ$3=3,'Pricing Inputs'!$AQ$3=5,'Pricing Inputs'!$AQ$3=6,'Pricing Inputs'!$AQ$3=8,'Pricing Inputs'!$AQ$3=9),VLOOKUP(A380,ScaledPrice,IF(AND('Pricing Inputs'!$AQ$3&gt;=2,'Pricing Inputs'!$AQ$3&lt;=6),5,6)),0))</f>
        <v> </v>
      </c>
      <c r="L380" s="279" t="str">
        <f aca="false">IF(A380="N/A"," ",IF(OR('Pricing Inputs'!$AQ$3=2,'Pricing Inputs'!$AQ$3=3,'Pricing Inputs'!$AQ$3=5,'Pricing Inputs'!$AQ$3=6,'Pricing Inputs'!$AQ$3=8,'Pricing Inputs'!$AQ$3=9),IF(AND('Pricing Inputs'!$AQ$3&gt;=2,'Pricing Inputs'!$AQ$3&lt;=6),K380,(VLOOKUP(A380,ScaledPrice,5))*(2-(VLOOKUP(A380,ScaledPrice,3)))),0))</f>
        <v> </v>
      </c>
      <c r="M380" s="279" t="str">
        <f aca="false">IF(A380="N/A"," ",IF(OR('Pricing Inputs'!$AQ$3=3,'Pricing Inputs'!$AQ$3=6,'Pricing Inputs'!$AQ$3=9),(VLOOKUP(A380,ScaledPrice,IF(AND('Pricing Inputs'!$AQ$3&gt;=3,'Pricing Inputs'!$AQ$3&lt;=6),7,8))),0))</f>
        <v> </v>
      </c>
      <c r="N380" s="279" t="str">
        <f aca="false">IF(A380="N/A"," ",IF(OR('Pricing Inputs'!$AQ$3=3,'Pricing Inputs'!$AQ$3=6,'Pricing Inputs'!$AQ$3=9),IF(AND('Pricing Inputs'!$AQ$3&gt;=3,'Pricing Inputs'!$AQ$3&lt;=6),M380,(VLOOKUP(A380,ScaledPrice,7))*(2-(VLOOKUP(A380,ScaledPrice,3)))),0))</f>
        <v> </v>
      </c>
      <c r="O380" s="279" t="str">
        <f aca="false">IF(A380="N/A"," ",IF(AND('Pricing Inputs'!$AQ$3&gt;=1,'Pricing Inputs'!$AQ$3&lt;=3),VLOOKUP(A380,ScaledPrice,9),0))</f>
        <v> </v>
      </c>
      <c r="P380" s="280" t="str">
        <f aca="false">IF($A380="N/A"," ",IF('Pricing Inputs'!$AN$8=2,(I380-H380),IF('Pricing Inputs'!$AN$3=2,IF((I380-$H380)&gt;0,I380-$H380,0),(xSPRDOPT(I380,$E380,$BU380,0,$BP380,$BS380,$BT380,($A380-Inputs!$D$1)+15,1,0)))))</f>
        <v> </v>
      </c>
      <c r="Q380" s="280" t="str">
        <f aca="false">IF($A380="N/A"," ",IF('Pricing Inputs'!$AN$8=2,(J380-$H380),IF('Pricing Inputs'!$AN$3=2,IF((J380-$H380)&gt;0,J380-$H380,0),(xSPRDOPT(J380,$E380,$BU380,0,$BP380,$BS380,$BT380,($A380-Inputs!$D$1)+15,1,0)))))</f>
        <v> </v>
      </c>
      <c r="R380" s="280" t="str">
        <f aca="false">IF($A380="N/A"," ",IF('Pricing Inputs'!$AN$8=2,(K380-$H380),IF('Pricing Inputs'!$AN$3=2,IF((K380-$H380)&gt;0,K380-$H380,0),(xSPRDOPT(K380,$E380,$BU380,0,$BP380,$BS380,$BT380,($A380-Inputs!$D$1)+15,1,0)))))</f>
        <v> </v>
      </c>
      <c r="S380" s="280" t="str">
        <f aca="false">IF($A380="N/A"," ",IF('Pricing Inputs'!$AN$8=2,(L380-$H380),IF('Pricing Inputs'!$AN$3=2,IF((L380-$H380)&gt;0,L380-$H380,0),(xSPRDOPT(L380,$E380,$BU380,0,$BP380,$BS380,$BT380,($A380-Inputs!$D$1)+15,1,0)))))</f>
        <v> </v>
      </c>
      <c r="T380" s="280" t="str">
        <f aca="false">IF($A380="N/A"," ",IF('Pricing Inputs'!$AN$8=2,(M380-$H380),IF('Pricing Inputs'!$AN$3=2,IF((M380-$H380)&gt;0,M380-$H380,0),(xSPRDOPT(M380,$E380,$BU380,0,$BP380,$BS380,$BT380,($A380-Inputs!$D$1)+15,1,0)))))</f>
        <v> </v>
      </c>
      <c r="U380" s="280" t="str">
        <f aca="false">IF($A380="N/A"," ",IF('Pricing Inputs'!$AN$8=2,(N380-$H380),IF('Pricing Inputs'!$AN$3=2,IF((N380-$H380)&gt;0,N380-$H380,0),(xSPRDOPT(N380,$E380,$BU380,0,$BP380,$BS380,$BT380,($A380-Inputs!$D$1)+15,1,0)))))</f>
        <v> </v>
      </c>
      <c r="V380" s="281" t="str">
        <f aca="false">IF($A380="N/A"," ",(IF('Pricing Inputs'!$AN$8=2,(O380-$H380),IF((O380-$H380)&lt;=0,0,(O380-$H380)))))</f>
        <v> </v>
      </c>
      <c r="BA380" s="291" t="str">
        <f aca="false">IF($A380="N/A"," ",(IF(MONTH(A380)&gt;=4,IF(MONTH(A380)&lt;=10,Inputs!$F$13,Inputs!$F$14),Inputs!$F$14))*$BW380)</f>
        <v> </v>
      </c>
      <c r="BN380" s="294" t="str">
        <f aca="false">IF(A380="N/A"," ",(VLOOKUP(A380,PowerVolTable,(IF('Pricing Inputs'!$AT$3=2,7,IF('Pricing Inputs'!$AT$3=1,6,8))),FALSE())))</f>
        <v> </v>
      </c>
      <c r="BO380" s="294" t="str">
        <f aca="false">IF(A380="N/A"," ",(VLOOKUP(A380,IntraPowerVol,(IF('Pricing Inputs'!$AT$3=2,3,IF('Pricing Inputs'!$AT$3=1,2,4))),FALSE())*VLOOKUP(MONTH($A380),Inputs!$A$28:$B$39,2)))</f>
        <v> </v>
      </c>
      <c r="BP380" s="295" t="str">
        <f aca="false">IF($A380="N/A"," ",(IF(DateToday&gt;$A380,$BO380,((($BN380^2)*((($A380-1)-DateToday)/((EOMONTH($A380,0)+1)-DateToday-15)))+((($BO380)^2)*((15)/((EOMONTH($A380,0)+1)-DateToday-15))))^0.5)))</f>
        <v> </v>
      </c>
      <c r="BQ380" s="294" t="str">
        <f aca="false">IF($A380="N/A"," ",(VLOOKUP($A380,GasVolTable,(IF('Pricing Inputs'!$AT$3=2,6,IF('Pricing Inputs'!$AT$3=1,7,5))),FALSE())))</f>
        <v> </v>
      </c>
      <c r="BR380" s="294" t="str">
        <f aca="false">IF($A380="N/A"," ",(VLOOKUP($A380,OmicronVol,(IF('Pricing Inputs'!$AT$3=2,3,IF('Pricing Inputs'!$AT$3=1,4,2))),FALSE())))</f>
        <v> </v>
      </c>
      <c r="BS380" s="295" t="str">
        <f aca="false">IF($A380="N/A"," ",IF('Pricing Inputs'!$AN$3=1,(IF(DateToday&gt;$A380,$BR380,((($BQ380^2)*((($A380-1)-DateToday)/((EOMONTH($A380,0)+1)-DateToday-15)))+((($BR380)^2)*((15)/((EOMONTH($A380,0)+1)-DateToday-15))))^0.5)),0.0001))</f>
        <v> </v>
      </c>
      <c r="BT380" s="294" t="str">
        <f aca="false">IF($A380="N/A"," ",IF('Pricing Inputs'!$AN$3=1,(VLOOKUP($A380,CorrelationTable,2,FALSE())),0))</f>
        <v> </v>
      </c>
      <c r="BU380" s="296" t="str">
        <f aca="false">IF($A380="N/A"," ",F380+G380+(D380*(VLOOKUP($A380,'Gas Curves'!$B$17:$P$310,14,FALSE()))))</f>
        <v> </v>
      </c>
      <c r="BV380" s="294" t="str">
        <f aca="false">IF($A380="N/A"," ",IF('Pricing Inputs'!$AW$3=1,0,(VLOOKUP($A380,InterestRatesTable,2))))</f>
        <v> </v>
      </c>
      <c r="BW380" s="297" t="str">
        <f aca="false">IF($A380="N/A"," ",(1+BV380/2)^(-2*((EOMONTH(A380,0)+20)-DateToday)/365.25))</f>
        <v> </v>
      </c>
    </row>
    <row r="381" customFormat="false" ht="12.75" hidden="false" customHeight="false" outlineLevel="0" collapsed="false">
      <c r="A381" s="272" t="str">
        <f aca="false">IF(A380="N/A","N/A",IF(EDATE(A380,1)&gt;Inputs!$K$3,"N/A",EDATE(A380,1)))</f>
        <v>N/A</v>
      </c>
      <c r="B381" s="273" t="str">
        <f aca="false">IF(A381="N/A"," ",YEAR(A381))</f>
        <v> </v>
      </c>
      <c r="C381" s="274" t="str">
        <f aca="false">IF(A381="N/A"," ",VLOOKUP(A381,ScaledPrice,10))</f>
        <v> </v>
      </c>
      <c r="D381" s="275" t="str">
        <f aca="false">IF(A381="N/A"," ",(VLOOKUP(MONTH($A381),Inputs!$A$14:$B$25,2))/1000)</f>
        <v> </v>
      </c>
      <c r="E381" s="276" t="str">
        <f aca="false">IF($A381="N/A"," ",C381*D381)</f>
        <v> </v>
      </c>
      <c r="F381" s="277" t="str">
        <f aca="false">IF(A381="N/A"," ",Inputs!$F$6)</f>
        <v> </v>
      </c>
      <c r="G381" s="277" t="str">
        <f aca="false">IF(A381="N/A"," ",Inputs!$F$9/IF(AND('Pricing Inputs'!$AQ$3&gt;=4,'Pricing Inputs'!$AQ$3&lt;=6),16,IF(AND('Pricing Inputs'!$AQ$3&gt;=7,'Pricing Inputs'!$AQ$3&lt;=9),8,24))/(BA381/BW381))</f>
        <v> </v>
      </c>
      <c r="H381" s="278" t="str">
        <f aca="false">IF(A381="N/A"," ",(C381*D381)+F381+G381)</f>
        <v> </v>
      </c>
      <c r="I381" s="279" t="str">
        <f aca="false">VLOOKUP(A381,ScaledPrice,(IF(AND('Pricing Inputs'!$AQ$3&gt;=1,'Pricing Inputs'!$AQ$3&lt;=6),2,4)))</f>
        <v> </v>
      </c>
      <c r="J381" s="279" t="str">
        <f aca="false">IF(A381="N/A"," ",IF(AND('Pricing Inputs'!$AQ$3&gt;=1,'Pricing Inputs'!$AQ$3&lt;=6),I381,(VLOOKUP(A381,ScaledPrice,2))*(2-(VLOOKUP(A381,ScaledPrice,3)))))</f>
        <v> </v>
      </c>
      <c r="K381" s="279" t="str">
        <f aca="false">IF(A381="N/A"," ",IF(OR('Pricing Inputs'!$AQ$3=2,'Pricing Inputs'!$AQ$3=3,'Pricing Inputs'!$AQ$3=5,'Pricing Inputs'!$AQ$3=6,'Pricing Inputs'!$AQ$3=8,'Pricing Inputs'!$AQ$3=9),VLOOKUP(A381,ScaledPrice,IF(AND('Pricing Inputs'!$AQ$3&gt;=2,'Pricing Inputs'!$AQ$3&lt;=6),5,6)),0))</f>
        <v> </v>
      </c>
      <c r="L381" s="279" t="str">
        <f aca="false">IF(A381="N/A"," ",IF(OR('Pricing Inputs'!$AQ$3=2,'Pricing Inputs'!$AQ$3=3,'Pricing Inputs'!$AQ$3=5,'Pricing Inputs'!$AQ$3=6,'Pricing Inputs'!$AQ$3=8,'Pricing Inputs'!$AQ$3=9),IF(AND('Pricing Inputs'!$AQ$3&gt;=2,'Pricing Inputs'!$AQ$3&lt;=6),K381,(VLOOKUP(A381,ScaledPrice,5))*(2-(VLOOKUP(A381,ScaledPrice,3)))),0))</f>
        <v> </v>
      </c>
      <c r="M381" s="279" t="str">
        <f aca="false">IF(A381="N/A"," ",IF(OR('Pricing Inputs'!$AQ$3=3,'Pricing Inputs'!$AQ$3=6,'Pricing Inputs'!$AQ$3=9),(VLOOKUP(A381,ScaledPrice,IF(AND('Pricing Inputs'!$AQ$3&gt;=3,'Pricing Inputs'!$AQ$3&lt;=6),7,8))),0))</f>
        <v> </v>
      </c>
      <c r="N381" s="279" t="str">
        <f aca="false">IF(A381="N/A"," ",IF(OR('Pricing Inputs'!$AQ$3=3,'Pricing Inputs'!$AQ$3=6,'Pricing Inputs'!$AQ$3=9),IF(AND('Pricing Inputs'!$AQ$3&gt;=3,'Pricing Inputs'!$AQ$3&lt;=6),M381,(VLOOKUP(A381,ScaledPrice,7))*(2-(VLOOKUP(A381,ScaledPrice,3)))),0))</f>
        <v> </v>
      </c>
      <c r="O381" s="279" t="str">
        <f aca="false">IF(A381="N/A"," ",IF(AND('Pricing Inputs'!$AQ$3&gt;=1,'Pricing Inputs'!$AQ$3&lt;=3),VLOOKUP(A381,ScaledPrice,9),0))</f>
        <v> </v>
      </c>
      <c r="P381" s="280" t="str">
        <f aca="false">IF($A381="N/A"," ",IF('Pricing Inputs'!$AN$8=2,(I381-H381),IF('Pricing Inputs'!$AN$3=2,IF((I381-$H381)&gt;0,I381-$H381,0),(xSPRDOPT(I381,$E381,$BU381,0,$BP381,$BS381,$BT381,($A381-Inputs!$D$1)+15,1,0)))))</f>
        <v> </v>
      </c>
      <c r="Q381" s="280" t="str">
        <f aca="false">IF($A381="N/A"," ",IF('Pricing Inputs'!$AN$8=2,(J381-$H381),IF('Pricing Inputs'!$AN$3=2,IF((J381-$H381)&gt;0,J381-$H381,0),(xSPRDOPT(J381,$E381,$BU381,0,$BP381,$BS381,$BT381,($A381-Inputs!$D$1)+15,1,0)))))</f>
        <v> </v>
      </c>
      <c r="R381" s="280" t="str">
        <f aca="false">IF($A381="N/A"," ",IF('Pricing Inputs'!$AN$8=2,(K381-$H381),IF('Pricing Inputs'!$AN$3=2,IF((K381-$H381)&gt;0,K381-$H381,0),(xSPRDOPT(K381,$E381,$BU381,0,$BP381,$BS381,$BT381,($A381-Inputs!$D$1)+15,1,0)))))</f>
        <v> </v>
      </c>
      <c r="S381" s="280" t="str">
        <f aca="false">IF($A381="N/A"," ",IF('Pricing Inputs'!$AN$8=2,(L381-$H381),IF('Pricing Inputs'!$AN$3=2,IF((L381-$H381)&gt;0,L381-$H381,0),(xSPRDOPT(L381,$E381,$BU381,0,$BP381,$BS381,$BT381,($A381-Inputs!$D$1)+15,1,0)))))</f>
        <v> </v>
      </c>
      <c r="T381" s="280" t="str">
        <f aca="false">IF($A381="N/A"," ",IF('Pricing Inputs'!$AN$8=2,(M381-$H381),IF('Pricing Inputs'!$AN$3=2,IF((M381-$H381)&gt;0,M381-$H381,0),(xSPRDOPT(M381,$E381,$BU381,0,$BP381,$BS381,$BT381,($A381-Inputs!$D$1)+15,1,0)))))</f>
        <v> </v>
      </c>
      <c r="U381" s="280" t="str">
        <f aca="false">IF($A381="N/A"," ",IF('Pricing Inputs'!$AN$8=2,(N381-$H381),IF('Pricing Inputs'!$AN$3=2,IF((N381-$H381)&gt;0,N381-$H381,0),(xSPRDOPT(N381,$E381,$BU381,0,$BP381,$BS381,$BT381,($A381-Inputs!$D$1)+15,1,0)))))</f>
        <v> </v>
      </c>
      <c r="V381" s="281" t="str">
        <f aca="false">IF($A381="N/A"," ",(IF('Pricing Inputs'!$AN$8=2,(O381-$H381),IF((O381-$H381)&lt;=0,0,(O381-$H381)))))</f>
        <v> </v>
      </c>
      <c r="BA381" s="291" t="str">
        <f aca="false">IF($A381="N/A"," ",(IF(MONTH(A381)&gt;=4,IF(MONTH(A381)&lt;=10,Inputs!$F$13,Inputs!$F$14),Inputs!$F$14))*$BW381)</f>
        <v> </v>
      </c>
      <c r="BN381" s="294" t="str">
        <f aca="false">IF(A381="N/A"," ",(VLOOKUP(A381,PowerVolTable,(IF('Pricing Inputs'!$AT$3=2,7,IF('Pricing Inputs'!$AT$3=1,6,8))),FALSE())))</f>
        <v> </v>
      </c>
      <c r="BO381" s="294" t="str">
        <f aca="false">IF(A381="N/A"," ",(VLOOKUP(A381,IntraPowerVol,(IF('Pricing Inputs'!$AT$3=2,3,IF('Pricing Inputs'!$AT$3=1,2,4))),FALSE())*VLOOKUP(MONTH($A381),Inputs!$A$28:$B$39,2)))</f>
        <v> </v>
      </c>
      <c r="BP381" s="295" t="str">
        <f aca="false">IF($A381="N/A"," ",(IF(DateToday&gt;$A381,$BO381,((($BN381^2)*((($A381-1)-DateToday)/((EOMONTH($A381,0)+1)-DateToday-15)))+((($BO381)^2)*((15)/((EOMONTH($A381,0)+1)-DateToday-15))))^0.5)))</f>
        <v> </v>
      </c>
      <c r="BQ381" s="294" t="str">
        <f aca="false">IF($A381="N/A"," ",(VLOOKUP($A381,GasVolTable,(IF('Pricing Inputs'!$AT$3=2,6,IF('Pricing Inputs'!$AT$3=1,7,5))),FALSE())))</f>
        <v> </v>
      </c>
      <c r="BR381" s="294" t="str">
        <f aca="false">IF($A381="N/A"," ",(VLOOKUP($A381,OmicronVol,(IF('Pricing Inputs'!$AT$3=2,3,IF('Pricing Inputs'!$AT$3=1,4,2))),FALSE())))</f>
        <v> </v>
      </c>
      <c r="BS381" s="295" t="str">
        <f aca="false">IF($A381="N/A"," ",IF('Pricing Inputs'!$AN$3=1,(IF(DateToday&gt;$A381,$BR381,((($BQ381^2)*((($A381-1)-DateToday)/((EOMONTH($A381,0)+1)-DateToday-15)))+((($BR381)^2)*((15)/((EOMONTH($A381,0)+1)-DateToday-15))))^0.5)),0.0001))</f>
        <v> </v>
      </c>
      <c r="BT381" s="294" t="str">
        <f aca="false">IF($A381="N/A"," ",IF('Pricing Inputs'!$AN$3=1,(VLOOKUP($A381,CorrelationTable,2,FALSE())),0))</f>
        <v> </v>
      </c>
      <c r="BU381" s="296" t="str">
        <f aca="false">IF($A381="N/A"," ",F381+G381+(D381*(VLOOKUP($A381,'Gas Curves'!$B$17:$P$310,14,FALSE()))))</f>
        <v> </v>
      </c>
      <c r="BV381" s="294" t="str">
        <f aca="false">IF($A381="N/A"," ",IF('Pricing Inputs'!$AW$3=1,0,(VLOOKUP($A381,InterestRatesTable,2))))</f>
        <v> </v>
      </c>
      <c r="BW381" s="297" t="str">
        <f aca="false">IF($A381="N/A"," ",(1+BV381/2)^(-2*((EOMONTH(A381,0)+20)-DateToday)/365.25))</f>
        <v> </v>
      </c>
    </row>
    <row r="382" customFormat="false" ht="12.75" hidden="false" customHeight="false" outlineLevel="0" collapsed="false">
      <c r="A382" s="272" t="str">
        <f aca="false">IF(A381="N/A","N/A",IF(EDATE(A381,1)&gt;Inputs!$K$3,"N/A",EDATE(A381,1)))</f>
        <v>N/A</v>
      </c>
      <c r="B382" s="273" t="str">
        <f aca="false">IF(A382="N/A"," ",YEAR(A382))</f>
        <v> </v>
      </c>
      <c r="C382" s="274" t="str">
        <f aca="false">IF(A382="N/A"," ",VLOOKUP(A382,ScaledPrice,10))</f>
        <v> </v>
      </c>
      <c r="D382" s="275" t="str">
        <f aca="false">IF(A382="N/A"," ",(VLOOKUP(MONTH($A382),Inputs!$A$14:$B$25,2))/1000)</f>
        <v> </v>
      </c>
      <c r="E382" s="276" t="str">
        <f aca="false">IF($A382="N/A"," ",C382*D382)</f>
        <v> </v>
      </c>
      <c r="F382" s="277" t="str">
        <f aca="false">IF(A382="N/A"," ",Inputs!$F$6)</f>
        <v> </v>
      </c>
      <c r="G382" s="277" t="str">
        <f aca="false">IF(A382="N/A"," ",Inputs!$F$9/IF(AND('Pricing Inputs'!$AQ$3&gt;=4,'Pricing Inputs'!$AQ$3&lt;=6),16,IF(AND('Pricing Inputs'!$AQ$3&gt;=7,'Pricing Inputs'!$AQ$3&lt;=9),8,24))/(BA382/BW382))</f>
        <v> </v>
      </c>
      <c r="H382" s="278" t="str">
        <f aca="false">IF(A382="N/A"," ",(C382*D382)+F382+G382)</f>
        <v> </v>
      </c>
      <c r="I382" s="279" t="str">
        <f aca="false">VLOOKUP(A382,ScaledPrice,(IF(AND('Pricing Inputs'!$AQ$3&gt;=1,'Pricing Inputs'!$AQ$3&lt;=6),2,4)))</f>
        <v> </v>
      </c>
      <c r="J382" s="279" t="str">
        <f aca="false">IF(A382="N/A"," ",IF(AND('Pricing Inputs'!$AQ$3&gt;=1,'Pricing Inputs'!$AQ$3&lt;=6),I382,(VLOOKUP(A382,ScaledPrice,2))*(2-(VLOOKUP(A382,ScaledPrice,3)))))</f>
        <v> </v>
      </c>
      <c r="K382" s="279" t="str">
        <f aca="false">IF(A382="N/A"," ",IF(OR('Pricing Inputs'!$AQ$3=2,'Pricing Inputs'!$AQ$3=3,'Pricing Inputs'!$AQ$3=5,'Pricing Inputs'!$AQ$3=6,'Pricing Inputs'!$AQ$3=8,'Pricing Inputs'!$AQ$3=9),VLOOKUP(A382,ScaledPrice,IF(AND('Pricing Inputs'!$AQ$3&gt;=2,'Pricing Inputs'!$AQ$3&lt;=6),5,6)),0))</f>
        <v> </v>
      </c>
      <c r="L382" s="279" t="str">
        <f aca="false">IF(A382="N/A"," ",IF(OR('Pricing Inputs'!$AQ$3=2,'Pricing Inputs'!$AQ$3=3,'Pricing Inputs'!$AQ$3=5,'Pricing Inputs'!$AQ$3=6,'Pricing Inputs'!$AQ$3=8,'Pricing Inputs'!$AQ$3=9),IF(AND('Pricing Inputs'!$AQ$3&gt;=2,'Pricing Inputs'!$AQ$3&lt;=6),K382,(VLOOKUP(A382,ScaledPrice,5))*(2-(VLOOKUP(A382,ScaledPrice,3)))),0))</f>
        <v> </v>
      </c>
      <c r="M382" s="279" t="str">
        <f aca="false">IF(A382="N/A"," ",IF(OR('Pricing Inputs'!$AQ$3=3,'Pricing Inputs'!$AQ$3=6,'Pricing Inputs'!$AQ$3=9),(VLOOKUP(A382,ScaledPrice,IF(AND('Pricing Inputs'!$AQ$3&gt;=3,'Pricing Inputs'!$AQ$3&lt;=6),7,8))),0))</f>
        <v> </v>
      </c>
      <c r="N382" s="279" t="str">
        <f aca="false">IF(A382="N/A"," ",IF(OR('Pricing Inputs'!$AQ$3=3,'Pricing Inputs'!$AQ$3=6,'Pricing Inputs'!$AQ$3=9),IF(AND('Pricing Inputs'!$AQ$3&gt;=3,'Pricing Inputs'!$AQ$3&lt;=6),M382,(VLOOKUP(A382,ScaledPrice,7))*(2-(VLOOKUP(A382,ScaledPrice,3)))),0))</f>
        <v> </v>
      </c>
      <c r="O382" s="279" t="str">
        <f aca="false">IF(A382="N/A"," ",IF(AND('Pricing Inputs'!$AQ$3&gt;=1,'Pricing Inputs'!$AQ$3&lt;=3),VLOOKUP(A382,ScaledPrice,9),0))</f>
        <v> </v>
      </c>
      <c r="P382" s="280" t="str">
        <f aca="false">IF($A382="N/A"," ",IF('Pricing Inputs'!$AN$8=2,(I382-H382),IF('Pricing Inputs'!$AN$3=2,IF((I382-$H382)&gt;0,I382-$H382,0),(xSPRDOPT(I382,$E382,$BU382,0,$BP382,$BS382,$BT382,($A382-Inputs!$D$1)+15,1,0)))))</f>
        <v> </v>
      </c>
      <c r="Q382" s="280" t="str">
        <f aca="false">IF($A382="N/A"," ",IF('Pricing Inputs'!$AN$8=2,(J382-$H382),IF('Pricing Inputs'!$AN$3=2,IF((J382-$H382)&gt;0,J382-$H382,0),(xSPRDOPT(J382,$E382,$BU382,0,$BP382,$BS382,$BT382,($A382-Inputs!$D$1)+15,1,0)))))</f>
        <v> </v>
      </c>
      <c r="R382" s="280" t="str">
        <f aca="false">IF($A382="N/A"," ",IF('Pricing Inputs'!$AN$8=2,(K382-$H382),IF('Pricing Inputs'!$AN$3=2,IF((K382-$H382)&gt;0,K382-$H382,0),(xSPRDOPT(K382,$E382,$BU382,0,$BP382,$BS382,$BT382,($A382-Inputs!$D$1)+15,1,0)))))</f>
        <v> </v>
      </c>
      <c r="S382" s="280" t="str">
        <f aca="false">IF($A382="N/A"," ",IF('Pricing Inputs'!$AN$8=2,(L382-$H382),IF('Pricing Inputs'!$AN$3=2,IF((L382-$H382)&gt;0,L382-$H382,0),(xSPRDOPT(L382,$E382,$BU382,0,$BP382,$BS382,$BT382,($A382-Inputs!$D$1)+15,1,0)))))</f>
        <v> </v>
      </c>
      <c r="T382" s="280" t="str">
        <f aca="false">IF($A382="N/A"," ",IF('Pricing Inputs'!$AN$8=2,(M382-$H382),IF('Pricing Inputs'!$AN$3=2,IF((M382-$H382)&gt;0,M382-$H382,0),(xSPRDOPT(M382,$E382,$BU382,0,$BP382,$BS382,$BT382,($A382-Inputs!$D$1)+15,1,0)))))</f>
        <v> </v>
      </c>
      <c r="U382" s="280" t="str">
        <f aca="false">IF($A382="N/A"," ",IF('Pricing Inputs'!$AN$8=2,(N382-$H382),IF('Pricing Inputs'!$AN$3=2,IF((N382-$H382)&gt;0,N382-$H382,0),(xSPRDOPT(N382,$E382,$BU382,0,$BP382,$BS382,$BT382,($A382-Inputs!$D$1)+15,1,0)))))</f>
        <v> </v>
      </c>
      <c r="V382" s="281" t="str">
        <f aca="false">IF($A382="N/A"," ",(IF('Pricing Inputs'!$AN$8=2,(O382-$H382),IF((O382-$H382)&lt;=0,0,(O382-$H382)))))</f>
        <v> </v>
      </c>
      <c r="BA382" s="291" t="str">
        <f aca="false">IF($A382="N/A"," ",(IF(MONTH(A382)&gt;=4,IF(MONTH(A382)&lt;=10,Inputs!$F$13,Inputs!$F$14),Inputs!$F$14))*$BW382)</f>
        <v> </v>
      </c>
      <c r="BN382" s="294" t="str">
        <f aca="false">IF(A382="N/A"," ",(VLOOKUP(A382,PowerVolTable,(IF('Pricing Inputs'!$AT$3=2,7,IF('Pricing Inputs'!$AT$3=1,6,8))),FALSE())))</f>
        <v> </v>
      </c>
      <c r="BO382" s="294" t="str">
        <f aca="false">IF(A382="N/A"," ",(VLOOKUP(A382,IntraPowerVol,(IF('Pricing Inputs'!$AT$3=2,3,IF('Pricing Inputs'!$AT$3=1,2,4))),FALSE())*VLOOKUP(MONTH($A382),Inputs!$A$28:$B$39,2)))</f>
        <v> </v>
      </c>
      <c r="BP382" s="295" t="str">
        <f aca="false">IF($A382="N/A"," ",(IF(DateToday&gt;$A382,$BO382,((($BN382^2)*((($A382-1)-DateToday)/((EOMONTH($A382,0)+1)-DateToday-15)))+((($BO382)^2)*((15)/((EOMONTH($A382,0)+1)-DateToday-15))))^0.5)))</f>
        <v> </v>
      </c>
      <c r="BQ382" s="294" t="str">
        <f aca="false">IF($A382="N/A"," ",(VLOOKUP($A382,GasVolTable,(IF('Pricing Inputs'!$AT$3=2,6,IF('Pricing Inputs'!$AT$3=1,7,5))),FALSE())))</f>
        <v> </v>
      </c>
      <c r="BR382" s="294" t="str">
        <f aca="false">IF($A382="N/A"," ",(VLOOKUP($A382,OmicronVol,(IF('Pricing Inputs'!$AT$3=2,3,IF('Pricing Inputs'!$AT$3=1,4,2))),FALSE())))</f>
        <v> </v>
      </c>
      <c r="BS382" s="295" t="str">
        <f aca="false">IF($A382="N/A"," ",IF('Pricing Inputs'!$AN$3=1,(IF(DateToday&gt;$A382,$BR382,((($BQ382^2)*((($A382-1)-DateToday)/((EOMONTH($A382,0)+1)-DateToday-15)))+((($BR382)^2)*((15)/((EOMONTH($A382,0)+1)-DateToday-15))))^0.5)),0.0001))</f>
        <v> </v>
      </c>
      <c r="BT382" s="294" t="str">
        <f aca="false">IF($A382="N/A"," ",IF('Pricing Inputs'!$AN$3=1,(VLOOKUP($A382,CorrelationTable,2,FALSE())),0))</f>
        <v> </v>
      </c>
      <c r="BU382" s="296" t="str">
        <f aca="false">IF($A382="N/A"," ",F382+G382+(D382*(VLOOKUP($A382,'Gas Curves'!$B$17:$P$310,14,FALSE()))))</f>
        <v> </v>
      </c>
      <c r="BV382" s="294" t="str">
        <f aca="false">IF($A382="N/A"," ",IF('Pricing Inputs'!$AW$3=1,0,(VLOOKUP($A382,InterestRatesTable,2))))</f>
        <v> </v>
      </c>
      <c r="BW382" s="297" t="str">
        <f aca="false">IF($A382="N/A"," ",(1+BV382/2)^(-2*((EOMONTH(A382,0)+20)-DateToday)/365.25))</f>
        <v> </v>
      </c>
    </row>
    <row r="383" customFormat="false" ht="12.75" hidden="false" customHeight="false" outlineLevel="0" collapsed="false">
      <c r="A383" s="272" t="str">
        <f aca="false">IF(A382="N/A","N/A",IF(EDATE(A382,1)&gt;Inputs!$K$3,"N/A",EDATE(A382,1)))</f>
        <v>N/A</v>
      </c>
      <c r="B383" s="273" t="str">
        <f aca="false">IF(A383="N/A"," ",YEAR(A383))</f>
        <v> </v>
      </c>
      <c r="C383" s="274" t="str">
        <f aca="false">IF(A383="N/A"," ",VLOOKUP(A383,ScaledPrice,10))</f>
        <v> </v>
      </c>
      <c r="D383" s="275" t="str">
        <f aca="false">IF(A383="N/A"," ",(VLOOKUP(MONTH($A383),Inputs!$A$14:$B$25,2))/1000)</f>
        <v> </v>
      </c>
      <c r="E383" s="276" t="str">
        <f aca="false">IF($A383="N/A"," ",C383*D383)</f>
        <v> </v>
      </c>
      <c r="F383" s="277" t="str">
        <f aca="false">IF(A383="N/A"," ",Inputs!$F$6)</f>
        <v> </v>
      </c>
      <c r="G383" s="277" t="str">
        <f aca="false">IF(A383="N/A"," ",Inputs!$F$9/IF(AND('Pricing Inputs'!$AQ$3&gt;=4,'Pricing Inputs'!$AQ$3&lt;=6),16,IF(AND('Pricing Inputs'!$AQ$3&gt;=7,'Pricing Inputs'!$AQ$3&lt;=9),8,24))/(BA383/BW383))</f>
        <v> </v>
      </c>
      <c r="H383" s="278" t="str">
        <f aca="false">IF(A383="N/A"," ",(C383*D383)+F383+G383)</f>
        <v> </v>
      </c>
      <c r="I383" s="279" t="str">
        <f aca="false">VLOOKUP(A383,ScaledPrice,(IF(AND('Pricing Inputs'!$AQ$3&gt;=1,'Pricing Inputs'!$AQ$3&lt;=6),2,4)))</f>
        <v> </v>
      </c>
      <c r="J383" s="279" t="str">
        <f aca="false">IF(A383="N/A"," ",IF(AND('Pricing Inputs'!$AQ$3&gt;=1,'Pricing Inputs'!$AQ$3&lt;=6),I383,(VLOOKUP(A383,ScaledPrice,2))*(2-(VLOOKUP(A383,ScaledPrice,3)))))</f>
        <v> </v>
      </c>
      <c r="K383" s="279" t="str">
        <f aca="false">IF(A383="N/A"," ",IF(OR('Pricing Inputs'!$AQ$3=2,'Pricing Inputs'!$AQ$3=3,'Pricing Inputs'!$AQ$3=5,'Pricing Inputs'!$AQ$3=6,'Pricing Inputs'!$AQ$3=8,'Pricing Inputs'!$AQ$3=9),VLOOKUP(A383,ScaledPrice,IF(AND('Pricing Inputs'!$AQ$3&gt;=2,'Pricing Inputs'!$AQ$3&lt;=6),5,6)),0))</f>
        <v> </v>
      </c>
      <c r="L383" s="279" t="str">
        <f aca="false">IF(A383="N/A"," ",IF(OR('Pricing Inputs'!$AQ$3=2,'Pricing Inputs'!$AQ$3=3,'Pricing Inputs'!$AQ$3=5,'Pricing Inputs'!$AQ$3=6,'Pricing Inputs'!$AQ$3=8,'Pricing Inputs'!$AQ$3=9),IF(AND('Pricing Inputs'!$AQ$3&gt;=2,'Pricing Inputs'!$AQ$3&lt;=6),K383,(VLOOKUP(A383,ScaledPrice,5))*(2-(VLOOKUP(A383,ScaledPrice,3)))),0))</f>
        <v> </v>
      </c>
      <c r="M383" s="279" t="str">
        <f aca="false">IF(A383="N/A"," ",IF(OR('Pricing Inputs'!$AQ$3=3,'Pricing Inputs'!$AQ$3=6,'Pricing Inputs'!$AQ$3=9),(VLOOKUP(A383,ScaledPrice,IF(AND('Pricing Inputs'!$AQ$3&gt;=3,'Pricing Inputs'!$AQ$3&lt;=6),7,8))),0))</f>
        <v> </v>
      </c>
      <c r="N383" s="279" t="str">
        <f aca="false">IF(A383="N/A"," ",IF(OR('Pricing Inputs'!$AQ$3=3,'Pricing Inputs'!$AQ$3=6,'Pricing Inputs'!$AQ$3=9),IF(AND('Pricing Inputs'!$AQ$3&gt;=3,'Pricing Inputs'!$AQ$3&lt;=6),M383,(VLOOKUP(A383,ScaledPrice,7))*(2-(VLOOKUP(A383,ScaledPrice,3)))),0))</f>
        <v> </v>
      </c>
      <c r="O383" s="279" t="str">
        <f aca="false">IF(A383="N/A"," ",IF(AND('Pricing Inputs'!$AQ$3&gt;=1,'Pricing Inputs'!$AQ$3&lt;=3),VLOOKUP(A383,ScaledPrice,9),0))</f>
        <v> </v>
      </c>
      <c r="P383" s="280" t="str">
        <f aca="false">IF($A383="N/A"," ",IF('Pricing Inputs'!$AN$8=2,(I383-H383),IF('Pricing Inputs'!$AN$3=2,IF((I383-$H383)&gt;0,I383-$H383,0),(xSPRDOPT(I383,$E383,$BU383,0,$BP383,$BS383,$BT383,($A383-Inputs!$D$1)+15,1,0)))))</f>
        <v> </v>
      </c>
      <c r="Q383" s="280" t="str">
        <f aca="false">IF($A383="N/A"," ",IF('Pricing Inputs'!$AN$8=2,(J383-$H383),IF('Pricing Inputs'!$AN$3=2,IF((J383-$H383)&gt;0,J383-$H383,0),(xSPRDOPT(J383,$E383,$BU383,0,$BP383,$BS383,$BT383,($A383-Inputs!$D$1)+15,1,0)))))</f>
        <v> </v>
      </c>
      <c r="R383" s="280" t="str">
        <f aca="false">IF($A383="N/A"," ",IF('Pricing Inputs'!$AN$8=2,(K383-$H383),IF('Pricing Inputs'!$AN$3=2,IF((K383-$H383)&gt;0,K383-$H383,0),(xSPRDOPT(K383,$E383,$BU383,0,$BP383,$BS383,$BT383,($A383-Inputs!$D$1)+15,1,0)))))</f>
        <v> </v>
      </c>
      <c r="S383" s="280" t="str">
        <f aca="false">IF($A383="N/A"," ",IF('Pricing Inputs'!$AN$8=2,(L383-$H383),IF('Pricing Inputs'!$AN$3=2,IF((L383-$H383)&gt;0,L383-$H383,0),(xSPRDOPT(L383,$E383,$BU383,0,$BP383,$BS383,$BT383,($A383-Inputs!$D$1)+15,1,0)))))</f>
        <v> </v>
      </c>
      <c r="T383" s="280" t="str">
        <f aca="false">IF($A383="N/A"," ",IF('Pricing Inputs'!$AN$8=2,(M383-$H383),IF('Pricing Inputs'!$AN$3=2,IF((M383-$H383)&gt;0,M383-$H383,0),(xSPRDOPT(M383,$E383,$BU383,0,$BP383,$BS383,$BT383,($A383-Inputs!$D$1)+15,1,0)))))</f>
        <v> </v>
      </c>
      <c r="U383" s="280" t="str">
        <f aca="false">IF($A383="N/A"," ",IF('Pricing Inputs'!$AN$8=2,(N383-$H383),IF('Pricing Inputs'!$AN$3=2,IF((N383-$H383)&gt;0,N383-$H383,0),(xSPRDOPT(N383,$E383,$BU383,0,$BP383,$BS383,$BT383,($A383-Inputs!$D$1)+15,1,0)))))</f>
        <v> </v>
      </c>
      <c r="V383" s="281" t="str">
        <f aca="false">IF($A383="N/A"," ",(IF('Pricing Inputs'!$AN$8=2,(O383-$H383),IF((O383-$H383)&lt;=0,0,(O383-$H383)))))</f>
        <v> </v>
      </c>
      <c r="BA383" s="291" t="str">
        <f aca="false">IF($A383="N/A"," ",(IF(MONTH(A383)&gt;=4,IF(MONTH(A383)&lt;=10,Inputs!$F$13,Inputs!$F$14),Inputs!$F$14))*$BW383)</f>
        <v> </v>
      </c>
      <c r="BN383" s="294" t="str">
        <f aca="false">IF(A383="N/A"," ",(VLOOKUP(A383,PowerVolTable,(IF('Pricing Inputs'!$AT$3=2,7,IF('Pricing Inputs'!$AT$3=1,6,8))),FALSE())))</f>
        <v> </v>
      </c>
      <c r="BO383" s="294" t="str">
        <f aca="false">IF(A383="N/A"," ",(VLOOKUP(A383,IntraPowerVol,(IF('Pricing Inputs'!$AT$3=2,3,IF('Pricing Inputs'!$AT$3=1,2,4))),FALSE())*VLOOKUP(MONTH($A383),Inputs!$A$28:$B$39,2)))</f>
        <v> </v>
      </c>
      <c r="BP383" s="295" t="str">
        <f aca="false">IF($A383="N/A"," ",(IF(DateToday&gt;$A383,$BO383,((($BN383^2)*((($A383-1)-DateToday)/((EOMONTH($A383,0)+1)-DateToday-15)))+((($BO383)^2)*((15)/((EOMONTH($A383,0)+1)-DateToday-15))))^0.5)))</f>
        <v> </v>
      </c>
      <c r="BQ383" s="294" t="str">
        <f aca="false">IF($A383="N/A"," ",(VLOOKUP($A383,GasVolTable,(IF('Pricing Inputs'!$AT$3=2,6,IF('Pricing Inputs'!$AT$3=1,7,5))),FALSE())))</f>
        <v> </v>
      </c>
      <c r="BR383" s="294" t="str">
        <f aca="false">IF($A383="N/A"," ",(VLOOKUP($A383,OmicronVol,(IF('Pricing Inputs'!$AT$3=2,3,IF('Pricing Inputs'!$AT$3=1,4,2))),FALSE())))</f>
        <v> </v>
      </c>
      <c r="BS383" s="295" t="str">
        <f aca="false">IF($A383="N/A"," ",IF('Pricing Inputs'!$AN$3=1,(IF(DateToday&gt;$A383,$BR383,((($BQ383^2)*((($A383-1)-DateToday)/((EOMONTH($A383,0)+1)-DateToday-15)))+((($BR383)^2)*((15)/((EOMONTH($A383,0)+1)-DateToday-15))))^0.5)),0.0001))</f>
        <v> </v>
      </c>
      <c r="BT383" s="294" t="str">
        <f aca="false">IF($A383="N/A"," ",IF('Pricing Inputs'!$AN$3=1,(VLOOKUP($A383,CorrelationTable,2,FALSE())),0))</f>
        <v> </v>
      </c>
      <c r="BU383" s="296" t="str">
        <f aca="false">IF($A383="N/A"," ",F383+G383+(D383*(VLOOKUP($A383,'Gas Curves'!$B$17:$P$310,14,FALSE()))))</f>
        <v> </v>
      </c>
      <c r="BV383" s="294" t="str">
        <f aca="false">IF($A383="N/A"," ",IF('Pricing Inputs'!$AW$3=1,0,(VLOOKUP($A383,InterestRatesTable,2))))</f>
        <v> </v>
      </c>
      <c r="BW383" s="297" t="str">
        <f aca="false">IF($A383="N/A"," ",(1+BV383/2)^(-2*((EOMONTH(A383,0)+20)-DateToday)/365.25))</f>
        <v> </v>
      </c>
    </row>
    <row r="384" customFormat="false" ht="12.75" hidden="false" customHeight="false" outlineLevel="0" collapsed="false">
      <c r="A384" s="272" t="str">
        <f aca="false">IF(A383="N/A","N/A",IF(EDATE(A383,1)&gt;Inputs!$K$3,"N/A",EDATE(A383,1)))</f>
        <v>N/A</v>
      </c>
      <c r="B384" s="273" t="str">
        <f aca="false">IF(A384="N/A"," ",YEAR(A384))</f>
        <v> </v>
      </c>
      <c r="C384" s="274" t="str">
        <f aca="false">IF(A384="N/A"," ",VLOOKUP(A384,ScaledPrice,10))</f>
        <v> </v>
      </c>
      <c r="D384" s="275" t="str">
        <f aca="false">IF(A384="N/A"," ",(VLOOKUP(MONTH($A384),Inputs!$A$14:$B$25,2))/1000)</f>
        <v> </v>
      </c>
      <c r="E384" s="276" t="str">
        <f aca="false">IF($A384="N/A"," ",C384*D384)</f>
        <v> </v>
      </c>
      <c r="F384" s="277" t="str">
        <f aca="false">IF(A384="N/A"," ",Inputs!$F$6)</f>
        <v> </v>
      </c>
      <c r="G384" s="277" t="str">
        <f aca="false">IF(A384="N/A"," ",Inputs!$F$9/IF(AND('Pricing Inputs'!$AQ$3&gt;=4,'Pricing Inputs'!$AQ$3&lt;=6),16,IF(AND('Pricing Inputs'!$AQ$3&gt;=7,'Pricing Inputs'!$AQ$3&lt;=9),8,24))/(BA384/BW384))</f>
        <v> </v>
      </c>
      <c r="H384" s="278" t="str">
        <f aca="false">IF(A384="N/A"," ",(C384*D384)+F384+G384)</f>
        <v> </v>
      </c>
      <c r="I384" s="279" t="str">
        <f aca="false">VLOOKUP(A384,ScaledPrice,(IF(AND('Pricing Inputs'!$AQ$3&gt;=1,'Pricing Inputs'!$AQ$3&lt;=6),2,4)))</f>
        <v> </v>
      </c>
      <c r="J384" s="279" t="str">
        <f aca="false">IF(A384="N/A"," ",IF(AND('Pricing Inputs'!$AQ$3&gt;=1,'Pricing Inputs'!$AQ$3&lt;=6),I384,(VLOOKUP(A384,ScaledPrice,2))*(2-(VLOOKUP(A384,ScaledPrice,3)))))</f>
        <v> </v>
      </c>
      <c r="K384" s="279" t="str">
        <f aca="false">IF(A384="N/A"," ",IF(OR('Pricing Inputs'!$AQ$3=2,'Pricing Inputs'!$AQ$3=3,'Pricing Inputs'!$AQ$3=5,'Pricing Inputs'!$AQ$3=6,'Pricing Inputs'!$AQ$3=8,'Pricing Inputs'!$AQ$3=9),VLOOKUP(A384,ScaledPrice,IF(AND('Pricing Inputs'!$AQ$3&gt;=2,'Pricing Inputs'!$AQ$3&lt;=6),5,6)),0))</f>
        <v> </v>
      </c>
      <c r="L384" s="279" t="str">
        <f aca="false">IF(A384="N/A"," ",IF(OR('Pricing Inputs'!$AQ$3=2,'Pricing Inputs'!$AQ$3=3,'Pricing Inputs'!$AQ$3=5,'Pricing Inputs'!$AQ$3=6,'Pricing Inputs'!$AQ$3=8,'Pricing Inputs'!$AQ$3=9),IF(AND('Pricing Inputs'!$AQ$3&gt;=2,'Pricing Inputs'!$AQ$3&lt;=6),K384,(VLOOKUP(A384,ScaledPrice,5))*(2-(VLOOKUP(A384,ScaledPrice,3)))),0))</f>
        <v> </v>
      </c>
      <c r="M384" s="279" t="str">
        <f aca="false">IF(A384="N/A"," ",IF(OR('Pricing Inputs'!$AQ$3=3,'Pricing Inputs'!$AQ$3=6,'Pricing Inputs'!$AQ$3=9),(VLOOKUP(A384,ScaledPrice,IF(AND('Pricing Inputs'!$AQ$3&gt;=3,'Pricing Inputs'!$AQ$3&lt;=6),7,8))),0))</f>
        <v> </v>
      </c>
      <c r="N384" s="279" t="str">
        <f aca="false">IF(A384="N/A"," ",IF(OR('Pricing Inputs'!$AQ$3=3,'Pricing Inputs'!$AQ$3=6,'Pricing Inputs'!$AQ$3=9),IF(AND('Pricing Inputs'!$AQ$3&gt;=3,'Pricing Inputs'!$AQ$3&lt;=6),M384,(VLOOKUP(A384,ScaledPrice,7))*(2-(VLOOKUP(A384,ScaledPrice,3)))),0))</f>
        <v> </v>
      </c>
      <c r="O384" s="279" t="str">
        <f aca="false">IF(A384="N/A"," ",IF(AND('Pricing Inputs'!$AQ$3&gt;=1,'Pricing Inputs'!$AQ$3&lt;=3),VLOOKUP(A384,ScaledPrice,9),0))</f>
        <v> </v>
      </c>
      <c r="P384" s="280" t="str">
        <f aca="false">IF($A384="N/A"," ",IF('Pricing Inputs'!$AN$8=2,(I384-H384),IF('Pricing Inputs'!$AN$3=2,IF((I384-$H384)&gt;0,I384-$H384,0),(xSPRDOPT(I384,$E384,$BU384,0,$BP384,$BS384,$BT384,($A384-Inputs!$D$1)+15,1,0)))))</f>
        <v> </v>
      </c>
      <c r="Q384" s="280" t="str">
        <f aca="false">IF($A384="N/A"," ",IF('Pricing Inputs'!$AN$8=2,(J384-$H384),IF('Pricing Inputs'!$AN$3=2,IF((J384-$H384)&gt;0,J384-$H384,0),(xSPRDOPT(J384,$E384,$BU384,0,$BP384,$BS384,$BT384,($A384-Inputs!$D$1)+15,1,0)))))</f>
        <v> </v>
      </c>
      <c r="R384" s="280" t="str">
        <f aca="false">IF($A384="N/A"," ",IF('Pricing Inputs'!$AN$8=2,(K384-$H384),IF('Pricing Inputs'!$AN$3=2,IF((K384-$H384)&gt;0,K384-$H384,0),(xSPRDOPT(K384,$E384,$BU384,0,$BP384,$BS384,$BT384,($A384-Inputs!$D$1)+15,1,0)))))</f>
        <v> </v>
      </c>
      <c r="S384" s="280" t="str">
        <f aca="false">IF($A384="N/A"," ",IF('Pricing Inputs'!$AN$8=2,(L384-$H384),IF('Pricing Inputs'!$AN$3=2,IF((L384-$H384)&gt;0,L384-$H384,0),(xSPRDOPT(L384,$E384,$BU384,0,$BP384,$BS384,$BT384,($A384-Inputs!$D$1)+15,1,0)))))</f>
        <v> </v>
      </c>
      <c r="T384" s="280" t="str">
        <f aca="false">IF($A384="N/A"," ",IF('Pricing Inputs'!$AN$8=2,(M384-$H384),IF('Pricing Inputs'!$AN$3=2,IF((M384-$H384)&gt;0,M384-$H384,0),(xSPRDOPT(M384,$E384,$BU384,0,$BP384,$BS384,$BT384,($A384-Inputs!$D$1)+15,1,0)))))</f>
        <v> </v>
      </c>
      <c r="U384" s="280" t="str">
        <f aca="false">IF($A384="N/A"," ",IF('Pricing Inputs'!$AN$8=2,(N384-$H384),IF('Pricing Inputs'!$AN$3=2,IF((N384-$H384)&gt;0,N384-$H384,0),(xSPRDOPT(N384,$E384,$BU384,0,$BP384,$BS384,$BT384,($A384-Inputs!$D$1)+15,1,0)))))</f>
        <v> </v>
      </c>
      <c r="V384" s="281" t="str">
        <f aca="false">IF($A384="N/A"," ",(IF('Pricing Inputs'!$AN$8=2,(O384-$H384),IF((O384-$H384)&lt;=0,0,(O384-$H384)))))</f>
        <v> </v>
      </c>
      <c r="BA384" s="291" t="str">
        <f aca="false">IF($A384="N/A"," ",(IF(MONTH(A384)&gt;=4,IF(MONTH(A384)&lt;=10,Inputs!$F$13,Inputs!$F$14),Inputs!$F$14))*$BW384)</f>
        <v> </v>
      </c>
      <c r="BN384" s="294" t="str">
        <f aca="false">IF(A384="N/A"," ",(VLOOKUP(A384,PowerVolTable,(IF('Pricing Inputs'!$AT$3=2,7,IF('Pricing Inputs'!$AT$3=1,6,8))),FALSE())))</f>
        <v> </v>
      </c>
      <c r="BO384" s="294" t="str">
        <f aca="false">IF(A384="N/A"," ",(VLOOKUP(A384,IntraPowerVol,(IF('Pricing Inputs'!$AT$3=2,3,IF('Pricing Inputs'!$AT$3=1,2,4))),FALSE())*VLOOKUP(MONTH($A384),Inputs!$A$28:$B$39,2)))</f>
        <v> </v>
      </c>
      <c r="BP384" s="295" t="str">
        <f aca="false">IF($A384="N/A"," ",(IF(DateToday&gt;$A384,$BO384,((($BN384^2)*((($A384-1)-DateToday)/((EOMONTH($A384,0)+1)-DateToday-15)))+((($BO384)^2)*((15)/((EOMONTH($A384,0)+1)-DateToday-15))))^0.5)))</f>
        <v> </v>
      </c>
      <c r="BQ384" s="294" t="str">
        <f aca="false">IF($A384="N/A"," ",(VLOOKUP($A384,GasVolTable,(IF('Pricing Inputs'!$AT$3=2,6,IF('Pricing Inputs'!$AT$3=1,7,5))),FALSE())))</f>
        <v> </v>
      </c>
      <c r="BR384" s="294" t="str">
        <f aca="false">IF($A384="N/A"," ",(VLOOKUP($A384,OmicronVol,(IF('Pricing Inputs'!$AT$3=2,3,IF('Pricing Inputs'!$AT$3=1,4,2))),FALSE())))</f>
        <v> </v>
      </c>
      <c r="BS384" s="295" t="str">
        <f aca="false">IF($A384="N/A"," ",IF('Pricing Inputs'!$AN$3=1,(IF(DateToday&gt;$A384,$BR384,((($BQ384^2)*((($A384-1)-DateToday)/((EOMONTH($A384,0)+1)-DateToday-15)))+((($BR384)^2)*((15)/((EOMONTH($A384,0)+1)-DateToday-15))))^0.5)),0.0001))</f>
        <v> </v>
      </c>
      <c r="BT384" s="294" t="str">
        <f aca="false">IF($A384="N/A"," ",IF('Pricing Inputs'!$AN$3=1,(VLOOKUP($A384,CorrelationTable,2,FALSE())),0))</f>
        <v> </v>
      </c>
      <c r="BU384" s="296" t="str">
        <f aca="false">IF($A384="N/A"," ",F384+G384+(D384*(VLOOKUP($A384,'Gas Curves'!$B$17:$P$310,14,FALSE()))))</f>
        <v> </v>
      </c>
      <c r="BV384" s="294" t="str">
        <f aca="false">IF($A384="N/A"," ",IF('Pricing Inputs'!$AW$3=1,0,(VLOOKUP($A384,InterestRatesTable,2))))</f>
        <v> </v>
      </c>
      <c r="BW384" s="297" t="str">
        <f aca="false">IF($A384="N/A"," ",(1+BV384/2)^(-2*((EOMONTH(A384,0)+20)-DateToday)/365.25))</f>
        <v> </v>
      </c>
    </row>
    <row r="385" customFormat="false" ht="12.75" hidden="false" customHeight="false" outlineLevel="0" collapsed="false">
      <c r="A385" s="272" t="str">
        <f aca="false">IF(A384="N/A","N/A",IF(EDATE(A384,1)&gt;Inputs!$K$3,"N/A",EDATE(A384,1)))</f>
        <v>N/A</v>
      </c>
      <c r="B385" s="273" t="str">
        <f aca="false">IF(A385="N/A"," ",YEAR(A385))</f>
        <v> </v>
      </c>
      <c r="C385" s="274" t="str">
        <f aca="false">IF(A385="N/A"," ",VLOOKUP(A385,ScaledPrice,10))</f>
        <v> </v>
      </c>
      <c r="D385" s="275" t="str">
        <f aca="false">IF(A385="N/A"," ",(VLOOKUP(MONTH($A385),Inputs!$A$14:$B$25,2))/1000)</f>
        <v> </v>
      </c>
      <c r="E385" s="276" t="str">
        <f aca="false">IF($A385="N/A"," ",C385*D385)</f>
        <v> </v>
      </c>
      <c r="F385" s="277" t="str">
        <f aca="false">IF(A385="N/A"," ",Inputs!$F$6)</f>
        <v> </v>
      </c>
      <c r="G385" s="277" t="str">
        <f aca="false">IF(A385="N/A"," ",Inputs!$F$9/IF(AND('Pricing Inputs'!$AQ$3&gt;=4,'Pricing Inputs'!$AQ$3&lt;=6),16,IF(AND('Pricing Inputs'!$AQ$3&gt;=7,'Pricing Inputs'!$AQ$3&lt;=9),8,24))/(BA385/BW385))</f>
        <v> </v>
      </c>
      <c r="H385" s="278" t="str">
        <f aca="false">IF(A385="N/A"," ",(C385*D385)+F385+G385)</f>
        <v> </v>
      </c>
      <c r="I385" s="279" t="str">
        <f aca="false">VLOOKUP(A385,ScaledPrice,(IF(AND('Pricing Inputs'!$AQ$3&gt;=1,'Pricing Inputs'!$AQ$3&lt;=6),2,4)))</f>
        <v> </v>
      </c>
      <c r="J385" s="279" t="str">
        <f aca="false">IF(A385="N/A"," ",IF(AND('Pricing Inputs'!$AQ$3&gt;=1,'Pricing Inputs'!$AQ$3&lt;=6),I385,(VLOOKUP(A385,ScaledPrice,2))*(2-(VLOOKUP(A385,ScaledPrice,3)))))</f>
        <v> </v>
      </c>
      <c r="K385" s="279" t="str">
        <f aca="false">IF(A385="N/A"," ",IF(OR('Pricing Inputs'!$AQ$3=2,'Pricing Inputs'!$AQ$3=3,'Pricing Inputs'!$AQ$3=5,'Pricing Inputs'!$AQ$3=6,'Pricing Inputs'!$AQ$3=8,'Pricing Inputs'!$AQ$3=9),VLOOKUP(A385,ScaledPrice,IF(AND('Pricing Inputs'!$AQ$3&gt;=2,'Pricing Inputs'!$AQ$3&lt;=6),5,6)),0))</f>
        <v> </v>
      </c>
      <c r="L385" s="279" t="str">
        <f aca="false">IF(A385="N/A"," ",IF(OR('Pricing Inputs'!$AQ$3=2,'Pricing Inputs'!$AQ$3=3,'Pricing Inputs'!$AQ$3=5,'Pricing Inputs'!$AQ$3=6,'Pricing Inputs'!$AQ$3=8,'Pricing Inputs'!$AQ$3=9),IF(AND('Pricing Inputs'!$AQ$3&gt;=2,'Pricing Inputs'!$AQ$3&lt;=6),K385,(VLOOKUP(A385,ScaledPrice,5))*(2-(VLOOKUP(A385,ScaledPrice,3)))),0))</f>
        <v> </v>
      </c>
      <c r="M385" s="279" t="str">
        <f aca="false">IF(A385="N/A"," ",IF(OR('Pricing Inputs'!$AQ$3=3,'Pricing Inputs'!$AQ$3=6,'Pricing Inputs'!$AQ$3=9),(VLOOKUP(A385,ScaledPrice,IF(AND('Pricing Inputs'!$AQ$3&gt;=3,'Pricing Inputs'!$AQ$3&lt;=6),7,8))),0))</f>
        <v> </v>
      </c>
      <c r="N385" s="279" t="str">
        <f aca="false">IF(A385="N/A"," ",IF(OR('Pricing Inputs'!$AQ$3=3,'Pricing Inputs'!$AQ$3=6,'Pricing Inputs'!$AQ$3=9),IF(AND('Pricing Inputs'!$AQ$3&gt;=3,'Pricing Inputs'!$AQ$3&lt;=6),M385,(VLOOKUP(A385,ScaledPrice,7))*(2-(VLOOKUP(A385,ScaledPrice,3)))),0))</f>
        <v> </v>
      </c>
      <c r="O385" s="279" t="str">
        <f aca="false">IF(A385="N/A"," ",IF(AND('Pricing Inputs'!$AQ$3&gt;=1,'Pricing Inputs'!$AQ$3&lt;=3),VLOOKUP(A385,ScaledPrice,9),0))</f>
        <v> </v>
      </c>
      <c r="P385" s="280" t="str">
        <f aca="false">IF($A385="N/A"," ",IF('Pricing Inputs'!$AN$8=2,(I385-H385),IF('Pricing Inputs'!$AN$3=2,IF((I385-$H385)&gt;0,I385-$H385,0),(xSPRDOPT(I385,$E385,$BU385,0,$BP385,$BS385,$BT385,($A385-Inputs!$D$1)+15,1,0)))))</f>
        <v> </v>
      </c>
      <c r="Q385" s="280" t="str">
        <f aca="false">IF($A385="N/A"," ",IF('Pricing Inputs'!$AN$8=2,(J385-$H385),IF('Pricing Inputs'!$AN$3=2,IF((J385-$H385)&gt;0,J385-$H385,0),(xSPRDOPT(J385,$E385,$BU385,0,$BP385,$BS385,$BT385,($A385-Inputs!$D$1)+15,1,0)))))</f>
        <v> </v>
      </c>
      <c r="R385" s="280" t="str">
        <f aca="false">IF($A385="N/A"," ",IF('Pricing Inputs'!$AN$8=2,(K385-$H385),IF('Pricing Inputs'!$AN$3=2,IF((K385-$H385)&gt;0,K385-$H385,0),(xSPRDOPT(K385,$E385,$BU385,0,$BP385,$BS385,$BT385,($A385-Inputs!$D$1)+15,1,0)))))</f>
        <v> </v>
      </c>
      <c r="S385" s="280" t="str">
        <f aca="false">IF($A385="N/A"," ",IF('Pricing Inputs'!$AN$8=2,(L385-$H385),IF('Pricing Inputs'!$AN$3=2,IF((L385-$H385)&gt;0,L385-$H385,0),(xSPRDOPT(L385,$E385,$BU385,0,$BP385,$BS385,$BT385,($A385-Inputs!$D$1)+15,1,0)))))</f>
        <v> </v>
      </c>
      <c r="T385" s="280" t="str">
        <f aca="false">IF($A385="N/A"," ",IF('Pricing Inputs'!$AN$8=2,(M385-$H385),IF('Pricing Inputs'!$AN$3=2,IF((M385-$H385)&gt;0,M385-$H385,0),(xSPRDOPT(M385,$E385,$BU385,0,$BP385,$BS385,$BT385,($A385-Inputs!$D$1)+15,1,0)))))</f>
        <v> </v>
      </c>
      <c r="U385" s="280" t="str">
        <f aca="false">IF($A385="N/A"," ",IF('Pricing Inputs'!$AN$8=2,(N385-$H385),IF('Pricing Inputs'!$AN$3=2,IF((N385-$H385)&gt;0,N385-$H385,0),(xSPRDOPT(N385,$E385,$BU385,0,$BP385,$BS385,$BT385,($A385-Inputs!$D$1)+15,1,0)))))</f>
        <v> </v>
      </c>
      <c r="V385" s="281" t="str">
        <f aca="false">IF($A385="N/A"," ",(IF('Pricing Inputs'!$AN$8=2,(O385-$H385),IF((O385-$H385)&lt;=0,0,(O385-$H385)))))</f>
        <v> </v>
      </c>
      <c r="BA385" s="291" t="str">
        <f aca="false">IF($A385="N/A"," ",(IF(MONTH(A385)&gt;=4,IF(MONTH(A385)&lt;=10,Inputs!$F$13,Inputs!$F$14),Inputs!$F$14))*$BW385)</f>
        <v> </v>
      </c>
      <c r="BN385" s="294" t="str">
        <f aca="false">IF(A385="N/A"," ",(VLOOKUP(A385,PowerVolTable,(IF('Pricing Inputs'!$AT$3=2,7,IF('Pricing Inputs'!$AT$3=1,6,8))),FALSE())))</f>
        <v> </v>
      </c>
      <c r="BO385" s="294" t="str">
        <f aca="false">IF(A385="N/A"," ",(VLOOKUP(A385,IntraPowerVol,(IF('Pricing Inputs'!$AT$3=2,3,IF('Pricing Inputs'!$AT$3=1,2,4))),FALSE())*VLOOKUP(MONTH($A385),Inputs!$A$28:$B$39,2)))</f>
        <v> </v>
      </c>
      <c r="BP385" s="295" t="str">
        <f aca="false">IF($A385="N/A"," ",(IF(DateToday&gt;$A385,$BO385,((($BN385^2)*((($A385-1)-DateToday)/((EOMONTH($A385,0)+1)-DateToday-15)))+((($BO385)^2)*((15)/((EOMONTH($A385,0)+1)-DateToday-15))))^0.5)))</f>
        <v> </v>
      </c>
      <c r="BQ385" s="294" t="str">
        <f aca="false">IF($A385="N/A"," ",(VLOOKUP($A385,GasVolTable,(IF('Pricing Inputs'!$AT$3=2,6,IF('Pricing Inputs'!$AT$3=1,7,5))),FALSE())))</f>
        <v> </v>
      </c>
      <c r="BR385" s="294" t="str">
        <f aca="false">IF($A385="N/A"," ",(VLOOKUP($A385,OmicronVol,(IF('Pricing Inputs'!$AT$3=2,3,IF('Pricing Inputs'!$AT$3=1,4,2))),FALSE())))</f>
        <v> </v>
      </c>
      <c r="BS385" s="295" t="str">
        <f aca="false">IF($A385="N/A"," ",IF('Pricing Inputs'!$AN$3=1,(IF(DateToday&gt;$A385,$BR385,((($BQ385^2)*((($A385-1)-DateToday)/((EOMONTH($A385,0)+1)-DateToday-15)))+((($BR385)^2)*((15)/((EOMONTH($A385,0)+1)-DateToday-15))))^0.5)),0.0001))</f>
        <v> </v>
      </c>
      <c r="BT385" s="294" t="str">
        <f aca="false">IF($A385="N/A"," ",IF('Pricing Inputs'!$AN$3=1,(VLOOKUP($A385,CorrelationTable,2,FALSE())),0))</f>
        <v> </v>
      </c>
      <c r="BU385" s="296" t="str">
        <f aca="false">IF($A385="N/A"," ",F385+G385+(D385*(VLOOKUP($A385,'Gas Curves'!$B$17:$P$310,14,FALSE()))))</f>
        <v> </v>
      </c>
      <c r="BV385" s="294" t="str">
        <f aca="false">IF($A385="N/A"," ",IF('Pricing Inputs'!$AW$3=1,0,(VLOOKUP($A385,InterestRatesTable,2))))</f>
        <v> </v>
      </c>
      <c r="BW385" s="297" t="str">
        <f aca="false">IF($A385="N/A"," ",(1+BV385/2)^(-2*((EOMONTH(A385,0)+20)-DateToday)/365.25))</f>
        <v> </v>
      </c>
    </row>
    <row r="386" customFormat="false" ht="12.75" hidden="false" customHeight="false" outlineLevel="0" collapsed="false">
      <c r="A386" s="272" t="str">
        <f aca="false">IF(A385="N/A","N/A",IF(EDATE(A385,1)&gt;Inputs!$K$3,"N/A",EDATE(A385,1)))</f>
        <v>N/A</v>
      </c>
      <c r="B386" s="273" t="str">
        <f aca="false">IF(A386="N/A"," ",YEAR(A386))</f>
        <v> </v>
      </c>
      <c r="C386" s="274" t="str">
        <f aca="false">IF(A386="N/A"," ",VLOOKUP(A386,ScaledPrice,10))</f>
        <v> </v>
      </c>
      <c r="D386" s="275" t="str">
        <f aca="false">IF(A386="N/A"," ",(VLOOKUP(MONTH($A386),Inputs!$A$14:$B$25,2))/1000)</f>
        <v> </v>
      </c>
      <c r="E386" s="276" t="str">
        <f aca="false">IF($A386="N/A"," ",C386*D386)</f>
        <v> </v>
      </c>
      <c r="F386" s="277" t="str">
        <f aca="false">IF(A386="N/A"," ",Inputs!$F$6)</f>
        <v> </v>
      </c>
      <c r="G386" s="277" t="str">
        <f aca="false">IF(A386="N/A"," ",Inputs!$F$9/IF(AND('Pricing Inputs'!$AQ$3&gt;=4,'Pricing Inputs'!$AQ$3&lt;=6),16,IF(AND('Pricing Inputs'!$AQ$3&gt;=7,'Pricing Inputs'!$AQ$3&lt;=9),8,24))/(BA386/BW386))</f>
        <v> </v>
      </c>
      <c r="H386" s="278" t="str">
        <f aca="false">IF(A386="N/A"," ",(C386*D386)+F386+G386)</f>
        <v> </v>
      </c>
      <c r="I386" s="279" t="str">
        <f aca="false">VLOOKUP(A386,ScaledPrice,(IF(AND('Pricing Inputs'!$AQ$3&gt;=1,'Pricing Inputs'!$AQ$3&lt;=6),2,4)))</f>
        <v> </v>
      </c>
      <c r="J386" s="279" t="str">
        <f aca="false">IF(A386="N/A"," ",IF(AND('Pricing Inputs'!$AQ$3&gt;=1,'Pricing Inputs'!$AQ$3&lt;=6),I386,(VLOOKUP(A386,ScaledPrice,2))*(2-(VLOOKUP(A386,ScaledPrice,3)))))</f>
        <v> </v>
      </c>
      <c r="K386" s="279" t="str">
        <f aca="false">IF(A386="N/A"," ",IF(OR('Pricing Inputs'!$AQ$3=2,'Pricing Inputs'!$AQ$3=3,'Pricing Inputs'!$AQ$3=5,'Pricing Inputs'!$AQ$3=6,'Pricing Inputs'!$AQ$3=8,'Pricing Inputs'!$AQ$3=9),VLOOKUP(A386,ScaledPrice,IF(AND('Pricing Inputs'!$AQ$3&gt;=2,'Pricing Inputs'!$AQ$3&lt;=6),5,6)),0))</f>
        <v> </v>
      </c>
      <c r="L386" s="279" t="str">
        <f aca="false">IF(A386="N/A"," ",IF(OR('Pricing Inputs'!$AQ$3=2,'Pricing Inputs'!$AQ$3=3,'Pricing Inputs'!$AQ$3=5,'Pricing Inputs'!$AQ$3=6,'Pricing Inputs'!$AQ$3=8,'Pricing Inputs'!$AQ$3=9),IF(AND('Pricing Inputs'!$AQ$3&gt;=2,'Pricing Inputs'!$AQ$3&lt;=6),K386,(VLOOKUP(A386,ScaledPrice,5))*(2-(VLOOKUP(A386,ScaledPrice,3)))),0))</f>
        <v> </v>
      </c>
      <c r="M386" s="279" t="str">
        <f aca="false">IF(A386="N/A"," ",IF(OR('Pricing Inputs'!$AQ$3=3,'Pricing Inputs'!$AQ$3=6,'Pricing Inputs'!$AQ$3=9),(VLOOKUP(A386,ScaledPrice,IF(AND('Pricing Inputs'!$AQ$3&gt;=3,'Pricing Inputs'!$AQ$3&lt;=6),7,8))),0))</f>
        <v> </v>
      </c>
      <c r="N386" s="279" t="str">
        <f aca="false">IF(A386="N/A"," ",IF(OR('Pricing Inputs'!$AQ$3=3,'Pricing Inputs'!$AQ$3=6,'Pricing Inputs'!$AQ$3=9),IF(AND('Pricing Inputs'!$AQ$3&gt;=3,'Pricing Inputs'!$AQ$3&lt;=6),M386,(VLOOKUP(A386,ScaledPrice,7))*(2-(VLOOKUP(A386,ScaledPrice,3)))),0))</f>
        <v> </v>
      </c>
      <c r="O386" s="279" t="str">
        <f aca="false">IF(A386="N/A"," ",IF(AND('Pricing Inputs'!$AQ$3&gt;=1,'Pricing Inputs'!$AQ$3&lt;=3),VLOOKUP(A386,ScaledPrice,9),0))</f>
        <v> </v>
      </c>
      <c r="P386" s="280" t="str">
        <f aca="false">IF($A386="N/A"," ",IF('Pricing Inputs'!$AN$8=2,(I386-H386),IF('Pricing Inputs'!$AN$3=2,IF((I386-$H386)&gt;0,I386-$H386,0),(xSPRDOPT(I386,$E386,$BU386,0,$BP386,$BS386,$BT386,($A386-Inputs!$D$1)+15,1,0)))))</f>
        <v> </v>
      </c>
      <c r="Q386" s="280" t="str">
        <f aca="false">IF($A386="N/A"," ",IF('Pricing Inputs'!$AN$8=2,(J386-$H386),IF('Pricing Inputs'!$AN$3=2,IF((J386-$H386)&gt;0,J386-$H386,0),(xSPRDOPT(J386,$E386,$BU386,0,$BP386,$BS386,$BT386,($A386-Inputs!$D$1)+15,1,0)))))</f>
        <v> </v>
      </c>
      <c r="R386" s="280" t="str">
        <f aca="false">IF($A386="N/A"," ",IF('Pricing Inputs'!$AN$8=2,(K386-$H386),IF('Pricing Inputs'!$AN$3=2,IF((K386-$H386)&gt;0,K386-$H386,0),(xSPRDOPT(K386,$E386,$BU386,0,$BP386,$BS386,$BT386,($A386-Inputs!$D$1)+15,1,0)))))</f>
        <v> </v>
      </c>
      <c r="S386" s="280" t="str">
        <f aca="false">IF($A386="N/A"," ",IF('Pricing Inputs'!$AN$8=2,(L386-$H386),IF('Pricing Inputs'!$AN$3=2,IF((L386-$H386)&gt;0,L386-$H386,0),(xSPRDOPT(L386,$E386,$BU386,0,$BP386,$BS386,$BT386,($A386-Inputs!$D$1)+15,1,0)))))</f>
        <v> </v>
      </c>
      <c r="T386" s="280" t="str">
        <f aca="false">IF($A386="N/A"," ",IF('Pricing Inputs'!$AN$8=2,(M386-$H386),IF('Pricing Inputs'!$AN$3=2,IF((M386-$H386)&gt;0,M386-$H386,0),(xSPRDOPT(M386,$E386,$BU386,0,$BP386,$BS386,$BT386,($A386-Inputs!$D$1)+15,1,0)))))</f>
        <v> </v>
      </c>
      <c r="U386" s="280" t="str">
        <f aca="false">IF($A386="N/A"," ",IF('Pricing Inputs'!$AN$8=2,(N386-$H386),IF('Pricing Inputs'!$AN$3=2,IF((N386-$H386)&gt;0,N386-$H386,0),(xSPRDOPT(N386,$E386,$BU386,0,$BP386,$BS386,$BT386,($A386-Inputs!$D$1)+15,1,0)))))</f>
        <v> </v>
      </c>
      <c r="V386" s="281" t="str">
        <f aca="false">IF($A386="N/A"," ",(IF('Pricing Inputs'!$AN$8=2,(O386-$H386),IF((O386-$H386)&lt;=0,0,(O386-$H386)))))</f>
        <v> </v>
      </c>
      <c r="BA386" s="291" t="str">
        <f aca="false">IF($A386="N/A"," ",(IF(MONTH(A386)&gt;=4,IF(MONTH(A386)&lt;=10,Inputs!$F$13,Inputs!$F$14),Inputs!$F$14))*$BW386)</f>
        <v> </v>
      </c>
      <c r="BN386" s="294" t="str">
        <f aca="false">IF(A386="N/A"," ",(VLOOKUP(A386,PowerVolTable,(IF('Pricing Inputs'!$AT$3=2,7,IF('Pricing Inputs'!$AT$3=1,6,8))),FALSE())))</f>
        <v> </v>
      </c>
      <c r="BO386" s="294" t="str">
        <f aca="false">IF(A386="N/A"," ",(VLOOKUP(A386,IntraPowerVol,(IF('Pricing Inputs'!$AT$3=2,3,IF('Pricing Inputs'!$AT$3=1,2,4))),FALSE())*VLOOKUP(MONTH($A386),Inputs!$A$28:$B$39,2)))</f>
        <v> </v>
      </c>
      <c r="BP386" s="295" t="str">
        <f aca="false">IF($A386="N/A"," ",(IF(DateToday&gt;$A386,$BO386,((($BN386^2)*((($A386-1)-DateToday)/((EOMONTH($A386,0)+1)-DateToday-15)))+((($BO386)^2)*((15)/((EOMONTH($A386,0)+1)-DateToday-15))))^0.5)))</f>
        <v> </v>
      </c>
      <c r="BQ386" s="294" t="str">
        <f aca="false">IF($A386="N/A"," ",(VLOOKUP($A386,GasVolTable,(IF('Pricing Inputs'!$AT$3=2,6,IF('Pricing Inputs'!$AT$3=1,7,5))),FALSE())))</f>
        <v> </v>
      </c>
      <c r="BR386" s="294" t="str">
        <f aca="false">IF($A386="N/A"," ",(VLOOKUP($A386,OmicronVol,(IF('Pricing Inputs'!$AT$3=2,3,IF('Pricing Inputs'!$AT$3=1,4,2))),FALSE())))</f>
        <v> </v>
      </c>
      <c r="BS386" s="295" t="str">
        <f aca="false">IF($A386="N/A"," ",IF('Pricing Inputs'!$AN$3=1,(IF(DateToday&gt;$A386,$BR386,((($BQ386^2)*((($A386-1)-DateToday)/((EOMONTH($A386,0)+1)-DateToday-15)))+((($BR386)^2)*((15)/((EOMONTH($A386,0)+1)-DateToday-15))))^0.5)),0.0001))</f>
        <v> </v>
      </c>
      <c r="BT386" s="294" t="str">
        <f aca="false">IF($A386="N/A"," ",IF('Pricing Inputs'!$AN$3=1,(VLOOKUP($A386,CorrelationTable,2,FALSE())),0))</f>
        <v> </v>
      </c>
      <c r="BU386" s="296" t="str">
        <f aca="false">IF($A386="N/A"," ",F386+G386+(D386*(VLOOKUP($A386,'Gas Curves'!$B$17:$P$310,14,FALSE()))))</f>
        <v> </v>
      </c>
      <c r="BV386" s="294" t="str">
        <f aca="false">IF($A386="N/A"," ",IF('Pricing Inputs'!$AW$3=1,0,(VLOOKUP($A386,InterestRatesTable,2))))</f>
        <v> </v>
      </c>
      <c r="BW386" s="297" t="str">
        <f aca="false">IF($A386="N/A"," ",(1+BV386/2)^(-2*((EOMONTH(A386,0)+20)-DateToday)/365.25))</f>
        <v> </v>
      </c>
    </row>
    <row r="387" customFormat="false" ht="12.75" hidden="false" customHeight="false" outlineLevel="0" collapsed="false">
      <c r="A387" s="272" t="str">
        <f aca="false">IF(A386="N/A","N/A",IF(EDATE(A386,1)&gt;Inputs!$K$3,"N/A",EDATE(A386,1)))</f>
        <v>N/A</v>
      </c>
      <c r="B387" s="273" t="str">
        <f aca="false">IF(A387="N/A"," ",YEAR(A387))</f>
        <v> </v>
      </c>
      <c r="C387" s="274" t="str">
        <f aca="false">IF(A387="N/A"," ",VLOOKUP(A387,ScaledPrice,10))</f>
        <v> </v>
      </c>
      <c r="D387" s="275" t="str">
        <f aca="false">IF(A387="N/A"," ",(VLOOKUP(MONTH($A387),Inputs!$A$14:$B$25,2))/1000)</f>
        <v> </v>
      </c>
      <c r="E387" s="276" t="str">
        <f aca="false">IF($A387="N/A"," ",C387*D387)</f>
        <v> </v>
      </c>
      <c r="F387" s="277" t="str">
        <f aca="false">IF(A387="N/A"," ",Inputs!$F$6)</f>
        <v> </v>
      </c>
      <c r="G387" s="277" t="str">
        <f aca="false">IF(A387="N/A"," ",Inputs!$F$9/IF(AND('Pricing Inputs'!$AQ$3&gt;=4,'Pricing Inputs'!$AQ$3&lt;=6),16,IF(AND('Pricing Inputs'!$AQ$3&gt;=7,'Pricing Inputs'!$AQ$3&lt;=9),8,24))/(BA387/BW387))</f>
        <v> </v>
      </c>
      <c r="H387" s="278" t="str">
        <f aca="false">IF(A387="N/A"," ",(C387*D387)+F387+G387)</f>
        <v> </v>
      </c>
      <c r="I387" s="279" t="str">
        <f aca="false">VLOOKUP(A387,ScaledPrice,(IF(AND('Pricing Inputs'!$AQ$3&gt;=1,'Pricing Inputs'!$AQ$3&lt;=6),2,4)))</f>
        <v> </v>
      </c>
      <c r="J387" s="279" t="str">
        <f aca="false">IF(A387="N/A"," ",IF(AND('Pricing Inputs'!$AQ$3&gt;=1,'Pricing Inputs'!$AQ$3&lt;=6),I387,(VLOOKUP(A387,ScaledPrice,2))*(2-(VLOOKUP(A387,ScaledPrice,3)))))</f>
        <v> </v>
      </c>
      <c r="K387" s="279" t="str">
        <f aca="false">IF(A387="N/A"," ",IF(OR('Pricing Inputs'!$AQ$3=2,'Pricing Inputs'!$AQ$3=3,'Pricing Inputs'!$AQ$3=5,'Pricing Inputs'!$AQ$3=6,'Pricing Inputs'!$AQ$3=8,'Pricing Inputs'!$AQ$3=9),VLOOKUP(A387,ScaledPrice,IF(AND('Pricing Inputs'!$AQ$3&gt;=2,'Pricing Inputs'!$AQ$3&lt;=6),5,6)),0))</f>
        <v> </v>
      </c>
      <c r="L387" s="279" t="str">
        <f aca="false">IF(A387="N/A"," ",IF(OR('Pricing Inputs'!$AQ$3=2,'Pricing Inputs'!$AQ$3=3,'Pricing Inputs'!$AQ$3=5,'Pricing Inputs'!$AQ$3=6,'Pricing Inputs'!$AQ$3=8,'Pricing Inputs'!$AQ$3=9),IF(AND('Pricing Inputs'!$AQ$3&gt;=2,'Pricing Inputs'!$AQ$3&lt;=6),K387,(VLOOKUP(A387,ScaledPrice,5))*(2-(VLOOKUP(A387,ScaledPrice,3)))),0))</f>
        <v> </v>
      </c>
      <c r="M387" s="279" t="str">
        <f aca="false">IF(A387="N/A"," ",IF(OR('Pricing Inputs'!$AQ$3=3,'Pricing Inputs'!$AQ$3=6,'Pricing Inputs'!$AQ$3=9),(VLOOKUP(A387,ScaledPrice,IF(AND('Pricing Inputs'!$AQ$3&gt;=3,'Pricing Inputs'!$AQ$3&lt;=6),7,8))),0))</f>
        <v> </v>
      </c>
      <c r="N387" s="279" t="str">
        <f aca="false">IF(A387="N/A"," ",IF(OR('Pricing Inputs'!$AQ$3=3,'Pricing Inputs'!$AQ$3=6,'Pricing Inputs'!$AQ$3=9),IF(AND('Pricing Inputs'!$AQ$3&gt;=3,'Pricing Inputs'!$AQ$3&lt;=6),M387,(VLOOKUP(A387,ScaledPrice,7))*(2-(VLOOKUP(A387,ScaledPrice,3)))),0))</f>
        <v> </v>
      </c>
      <c r="O387" s="279" t="str">
        <f aca="false">IF(A387="N/A"," ",IF(AND('Pricing Inputs'!$AQ$3&gt;=1,'Pricing Inputs'!$AQ$3&lt;=3),VLOOKUP(A387,ScaledPrice,9),0))</f>
        <v> </v>
      </c>
      <c r="P387" s="280" t="str">
        <f aca="false">IF($A387="N/A"," ",IF('Pricing Inputs'!$AN$8=2,(I387-H387),IF('Pricing Inputs'!$AN$3=2,IF((I387-$H387)&gt;0,I387-$H387,0),(xSPRDOPT(I387,$E387,$BU387,0,$BP387,$BS387,$BT387,($A387-Inputs!$D$1)+15,1,0)))))</f>
        <v> </v>
      </c>
      <c r="Q387" s="280" t="str">
        <f aca="false">IF($A387="N/A"," ",IF('Pricing Inputs'!$AN$8=2,(J387-$H387),IF('Pricing Inputs'!$AN$3=2,IF((J387-$H387)&gt;0,J387-$H387,0),(xSPRDOPT(J387,$E387,$BU387,0,$BP387,$BS387,$BT387,($A387-Inputs!$D$1)+15,1,0)))))</f>
        <v> </v>
      </c>
      <c r="R387" s="280" t="str">
        <f aca="false">IF($A387="N/A"," ",IF('Pricing Inputs'!$AN$8=2,(K387-$H387),IF('Pricing Inputs'!$AN$3=2,IF((K387-$H387)&gt;0,K387-$H387,0),(xSPRDOPT(K387,$E387,$BU387,0,$BP387,$BS387,$BT387,($A387-Inputs!$D$1)+15,1,0)))))</f>
        <v> </v>
      </c>
      <c r="S387" s="280" t="str">
        <f aca="false">IF($A387="N/A"," ",IF('Pricing Inputs'!$AN$8=2,(L387-$H387),IF('Pricing Inputs'!$AN$3=2,IF((L387-$H387)&gt;0,L387-$H387,0),(xSPRDOPT(L387,$E387,$BU387,0,$BP387,$BS387,$BT387,($A387-Inputs!$D$1)+15,1,0)))))</f>
        <v> </v>
      </c>
      <c r="T387" s="280" t="str">
        <f aca="false">IF($A387="N/A"," ",IF('Pricing Inputs'!$AN$8=2,(M387-$H387),IF('Pricing Inputs'!$AN$3=2,IF((M387-$H387)&gt;0,M387-$H387,0),(xSPRDOPT(M387,$E387,$BU387,0,$BP387,$BS387,$BT387,($A387-Inputs!$D$1)+15,1,0)))))</f>
        <v> </v>
      </c>
      <c r="U387" s="280" t="str">
        <f aca="false">IF($A387="N/A"," ",IF('Pricing Inputs'!$AN$8=2,(N387-$H387),IF('Pricing Inputs'!$AN$3=2,IF((N387-$H387)&gt;0,N387-$H387,0),(xSPRDOPT(N387,$E387,$BU387,0,$BP387,$BS387,$BT387,($A387-Inputs!$D$1)+15,1,0)))))</f>
        <v> </v>
      </c>
      <c r="V387" s="281" t="str">
        <f aca="false">IF($A387="N/A"," ",(IF('Pricing Inputs'!$AN$8=2,(O387-$H387),IF((O387-$H387)&lt;=0,0,(O387-$H387)))))</f>
        <v> </v>
      </c>
      <c r="BA387" s="291" t="str">
        <f aca="false">IF($A387="N/A"," ",(IF(MONTH(A387)&gt;=4,IF(MONTH(A387)&lt;=10,Inputs!$F$13,Inputs!$F$14),Inputs!$F$14))*$BW387)</f>
        <v> </v>
      </c>
      <c r="BN387" s="294" t="str">
        <f aca="false">IF(A387="N/A"," ",(VLOOKUP(A387,PowerVolTable,(IF('Pricing Inputs'!$AT$3=2,7,IF('Pricing Inputs'!$AT$3=1,6,8))),FALSE())))</f>
        <v> </v>
      </c>
      <c r="BO387" s="294" t="str">
        <f aca="false">IF(A387="N/A"," ",(VLOOKUP(A387,IntraPowerVol,(IF('Pricing Inputs'!$AT$3=2,3,IF('Pricing Inputs'!$AT$3=1,2,4))),FALSE())*VLOOKUP(MONTH($A387),Inputs!$A$28:$B$39,2)))</f>
        <v> </v>
      </c>
      <c r="BP387" s="295" t="str">
        <f aca="false">IF($A387="N/A"," ",(IF(DateToday&gt;$A387,$BO387,((($BN387^2)*((($A387-1)-DateToday)/((EOMONTH($A387,0)+1)-DateToday-15)))+((($BO387)^2)*((15)/((EOMONTH($A387,0)+1)-DateToday-15))))^0.5)))</f>
        <v> </v>
      </c>
      <c r="BQ387" s="294" t="str">
        <f aca="false">IF($A387="N/A"," ",(VLOOKUP($A387,GasVolTable,(IF('Pricing Inputs'!$AT$3=2,6,IF('Pricing Inputs'!$AT$3=1,7,5))),FALSE())))</f>
        <v> </v>
      </c>
      <c r="BR387" s="294" t="str">
        <f aca="false">IF($A387="N/A"," ",(VLOOKUP($A387,OmicronVol,(IF('Pricing Inputs'!$AT$3=2,3,IF('Pricing Inputs'!$AT$3=1,4,2))),FALSE())))</f>
        <v> </v>
      </c>
      <c r="BS387" s="295" t="str">
        <f aca="false">IF($A387="N/A"," ",IF('Pricing Inputs'!$AN$3=1,(IF(DateToday&gt;$A387,$BR387,((($BQ387^2)*((($A387-1)-DateToday)/((EOMONTH($A387,0)+1)-DateToday-15)))+((($BR387)^2)*((15)/((EOMONTH($A387,0)+1)-DateToday-15))))^0.5)),0.0001))</f>
        <v> </v>
      </c>
      <c r="BT387" s="294" t="str">
        <f aca="false">IF($A387="N/A"," ",IF('Pricing Inputs'!$AN$3=1,(VLOOKUP($A387,CorrelationTable,2,FALSE())),0))</f>
        <v> </v>
      </c>
      <c r="BU387" s="296" t="str">
        <f aca="false">IF($A387="N/A"," ",F387+G387+(D387*(VLOOKUP($A387,'Gas Curves'!$B$17:$P$310,14,FALSE()))))</f>
        <v> </v>
      </c>
      <c r="BV387" s="294" t="str">
        <f aca="false">IF($A387="N/A"," ",IF('Pricing Inputs'!$AW$3=1,0,(VLOOKUP($A387,InterestRatesTable,2))))</f>
        <v> </v>
      </c>
      <c r="BW387" s="297" t="str">
        <f aca="false">IF($A387="N/A"," ",(1+BV387/2)^(-2*((EOMONTH(A387,0)+20)-DateToday)/365.25))</f>
        <v> </v>
      </c>
    </row>
    <row r="388" customFormat="false" ht="12.75" hidden="false" customHeight="false" outlineLevel="0" collapsed="false">
      <c r="A388" s="323"/>
      <c r="B388" s="323"/>
      <c r="N388" s="63"/>
      <c r="O388" s="324"/>
    </row>
    <row r="389" customFormat="false" ht="12.75" hidden="false" customHeight="false" outlineLevel="0" collapsed="false">
      <c r="A389" s="323"/>
      <c r="B389" s="323"/>
      <c r="N389" s="63"/>
      <c r="O389" s="324"/>
    </row>
    <row r="390" customFormat="false" ht="12.75" hidden="false" customHeight="false" outlineLevel="0" collapsed="false">
      <c r="A390" s="323"/>
      <c r="B390" s="323"/>
      <c r="N390" s="63"/>
      <c r="O390" s="324"/>
    </row>
    <row r="391" customFormat="false" ht="12.75" hidden="false" customHeight="false" outlineLevel="0" collapsed="false">
      <c r="A391" s="323"/>
      <c r="B391" s="323"/>
      <c r="N391" s="63"/>
      <c r="O391" s="324"/>
    </row>
    <row r="392" customFormat="false" ht="12.75" hidden="false" customHeight="false" outlineLevel="0" collapsed="false">
      <c r="A392" s="323"/>
      <c r="B392" s="323"/>
      <c r="N392" s="63"/>
      <c r="O392" s="324"/>
    </row>
    <row r="393" customFormat="false" ht="12.75" hidden="false" customHeight="false" outlineLevel="0" collapsed="false">
      <c r="A393" s="323"/>
      <c r="B393" s="323"/>
      <c r="N393" s="63"/>
      <c r="O393" s="324"/>
    </row>
    <row r="394" customFormat="false" ht="12.75" hidden="false" customHeight="false" outlineLevel="0" collapsed="false">
      <c r="A394" s="323"/>
      <c r="B394" s="323"/>
      <c r="N394" s="63"/>
      <c r="O394" s="324"/>
    </row>
    <row r="395" customFormat="false" ht="12.75" hidden="false" customHeight="false" outlineLevel="0" collapsed="false">
      <c r="A395" s="323"/>
      <c r="B395" s="323"/>
      <c r="N395" s="63"/>
      <c r="O395" s="324"/>
    </row>
    <row r="396" customFormat="false" ht="12.75" hidden="false" customHeight="false" outlineLevel="0" collapsed="false">
      <c r="A396" s="323"/>
      <c r="B396" s="323"/>
      <c r="N396" s="63"/>
      <c r="O396" s="324"/>
    </row>
    <row r="397" customFormat="false" ht="12.75" hidden="false" customHeight="false" outlineLevel="0" collapsed="false">
      <c r="A397" s="323"/>
      <c r="B397" s="323"/>
      <c r="N397" s="63"/>
      <c r="O397" s="324"/>
    </row>
    <row r="398" customFormat="false" ht="12.75" hidden="false" customHeight="false" outlineLevel="0" collapsed="false">
      <c r="A398" s="323"/>
      <c r="B398" s="323"/>
      <c r="N398" s="63"/>
      <c r="O398" s="324"/>
    </row>
    <row r="399" customFormat="false" ht="12.75" hidden="false" customHeight="false" outlineLevel="0" collapsed="false">
      <c r="A399" s="323"/>
      <c r="B399" s="323"/>
      <c r="N399" s="63"/>
      <c r="O399" s="324"/>
    </row>
    <row r="400" customFormat="false" ht="12.75" hidden="false" customHeight="false" outlineLevel="0" collapsed="false">
      <c r="A400" s="323"/>
      <c r="B400" s="323"/>
      <c r="N400" s="63"/>
      <c r="O400" s="324"/>
    </row>
    <row r="401" customFormat="false" ht="12.75" hidden="false" customHeight="false" outlineLevel="0" collapsed="false">
      <c r="A401" s="323"/>
      <c r="B401" s="323"/>
      <c r="N401" s="63"/>
      <c r="O401" s="324"/>
    </row>
    <row r="402" customFormat="false" ht="12.75" hidden="false" customHeight="false" outlineLevel="0" collapsed="false">
      <c r="A402" s="323"/>
      <c r="B402" s="323"/>
      <c r="N402" s="63"/>
      <c r="O402" s="324"/>
    </row>
    <row r="403" customFormat="false" ht="12.75" hidden="false" customHeight="false" outlineLevel="0" collapsed="false">
      <c r="A403" s="323"/>
      <c r="B403" s="323"/>
      <c r="N403" s="63"/>
      <c r="O403" s="324"/>
    </row>
    <row r="404" customFormat="false" ht="12.75" hidden="false" customHeight="false" outlineLevel="0" collapsed="false">
      <c r="A404" s="323"/>
      <c r="B404" s="323"/>
      <c r="N404" s="63"/>
      <c r="O404" s="324"/>
    </row>
    <row r="405" customFormat="false" ht="12.75" hidden="false" customHeight="false" outlineLevel="0" collapsed="false">
      <c r="A405" s="323"/>
      <c r="B405" s="323"/>
      <c r="N405" s="63"/>
      <c r="O405" s="324"/>
    </row>
    <row r="406" customFormat="false" ht="12.75" hidden="false" customHeight="false" outlineLevel="0" collapsed="false">
      <c r="A406" s="323"/>
      <c r="B406" s="323"/>
      <c r="N406" s="63"/>
      <c r="O406" s="324"/>
    </row>
    <row r="407" customFormat="false" ht="12.75" hidden="false" customHeight="false" outlineLevel="0" collapsed="false">
      <c r="A407" s="323"/>
      <c r="B407" s="323"/>
      <c r="N407" s="63"/>
      <c r="O407" s="324"/>
    </row>
    <row r="408" customFormat="false" ht="12.75" hidden="false" customHeight="false" outlineLevel="0" collapsed="false">
      <c r="A408" s="323"/>
      <c r="B408" s="323"/>
      <c r="N408" s="63"/>
      <c r="O408" s="324"/>
    </row>
    <row r="409" customFormat="false" ht="12.75" hidden="false" customHeight="false" outlineLevel="0" collapsed="false">
      <c r="A409" s="323"/>
      <c r="B409" s="323"/>
      <c r="N409" s="63"/>
      <c r="O409" s="324"/>
    </row>
    <row r="410" customFormat="false" ht="12.75" hidden="false" customHeight="false" outlineLevel="0" collapsed="false">
      <c r="A410" s="323"/>
      <c r="B410" s="323"/>
      <c r="N410" s="63"/>
      <c r="O410" s="324"/>
    </row>
    <row r="411" customFormat="false" ht="12.75" hidden="false" customHeight="false" outlineLevel="0" collapsed="false">
      <c r="A411" s="323"/>
      <c r="B411" s="323"/>
      <c r="N411" s="63"/>
      <c r="O411" s="324"/>
    </row>
    <row r="412" customFormat="false" ht="12.75" hidden="false" customHeight="false" outlineLevel="0" collapsed="false">
      <c r="A412" s="323"/>
      <c r="B412" s="323"/>
      <c r="N412" s="63"/>
      <c r="O412" s="324"/>
    </row>
    <row r="413" customFormat="false" ht="12.75" hidden="false" customHeight="false" outlineLevel="0" collapsed="false">
      <c r="A413" s="323"/>
      <c r="B413" s="323"/>
      <c r="N413" s="63"/>
      <c r="O413" s="324"/>
    </row>
    <row r="414" customFormat="false" ht="12.75" hidden="false" customHeight="false" outlineLevel="0" collapsed="false">
      <c r="A414" s="323"/>
      <c r="B414" s="323"/>
      <c r="N414" s="63"/>
      <c r="O414" s="324"/>
    </row>
    <row r="415" customFormat="false" ht="12.75" hidden="false" customHeight="false" outlineLevel="0" collapsed="false">
      <c r="A415" s="323"/>
      <c r="B415" s="323"/>
      <c r="N415" s="63"/>
      <c r="O415" s="324"/>
    </row>
    <row r="416" customFormat="false" ht="12.75" hidden="false" customHeight="false" outlineLevel="0" collapsed="false">
      <c r="A416" s="323"/>
      <c r="B416" s="323"/>
      <c r="N416" s="63"/>
      <c r="O416" s="324"/>
    </row>
    <row r="417" customFormat="false" ht="12.75" hidden="false" customHeight="false" outlineLevel="0" collapsed="false">
      <c r="A417" s="323"/>
      <c r="B417" s="323"/>
      <c r="N417" s="63"/>
      <c r="O417" s="324"/>
    </row>
    <row r="418" customFormat="false" ht="12.75" hidden="false" customHeight="false" outlineLevel="0" collapsed="false">
      <c r="A418" s="323"/>
      <c r="B418" s="323"/>
      <c r="N418" s="63"/>
      <c r="O418" s="324"/>
    </row>
    <row r="419" customFormat="false" ht="12.75" hidden="false" customHeight="false" outlineLevel="0" collapsed="false">
      <c r="A419" s="323"/>
      <c r="B419" s="323"/>
      <c r="N419" s="63"/>
      <c r="O419" s="324"/>
    </row>
    <row r="420" customFormat="false" ht="12.75" hidden="false" customHeight="false" outlineLevel="0" collapsed="false">
      <c r="A420" s="323"/>
      <c r="B420" s="323"/>
      <c r="N420" s="63"/>
      <c r="O420" s="324"/>
    </row>
    <row r="421" customFormat="false" ht="12.75" hidden="false" customHeight="false" outlineLevel="0" collapsed="false">
      <c r="A421" s="323"/>
      <c r="B421" s="323"/>
      <c r="N421" s="63"/>
      <c r="O421" s="324"/>
    </row>
    <row r="422" customFormat="false" ht="12.75" hidden="false" customHeight="false" outlineLevel="0" collapsed="false">
      <c r="A422" s="323"/>
      <c r="B422" s="323"/>
      <c r="N422" s="63"/>
      <c r="O422" s="324"/>
    </row>
    <row r="423" customFormat="false" ht="12.75" hidden="false" customHeight="false" outlineLevel="0" collapsed="false">
      <c r="A423" s="323"/>
      <c r="B423" s="323"/>
      <c r="N423" s="63"/>
      <c r="O423" s="324"/>
    </row>
    <row r="424" customFormat="false" ht="12.75" hidden="false" customHeight="false" outlineLevel="0" collapsed="false">
      <c r="A424" s="323"/>
      <c r="B424" s="323"/>
      <c r="N424" s="63"/>
      <c r="O424" s="324"/>
    </row>
    <row r="425" customFormat="false" ht="12.75" hidden="false" customHeight="false" outlineLevel="0" collapsed="false">
      <c r="A425" s="323"/>
      <c r="B425" s="323"/>
      <c r="N425" s="63"/>
      <c r="O425" s="324"/>
    </row>
    <row r="426" customFormat="false" ht="12.75" hidden="false" customHeight="false" outlineLevel="0" collapsed="false">
      <c r="A426" s="323"/>
      <c r="B426" s="323"/>
      <c r="N426" s="63"/>
      <c r="O426" s="324"/>
    </row>
    <row r="427" customFormat="false" ht="12.75" hidden="false" customHeight="false" outlineLevel="0" collapsed="false">
      <c r="A427" s="323"/>
      <c r="B427" s="323"/>
      <c r="N427" s="63"/>
      <c r="O427" s="324"/>
    </row>
    <row r="428" customFormat="false" ht="12.75" hidden="false" customHeight="false" outlineLevel="0" collapsed="false">
      <c r="A428" s="323"/>
      <c r="B428" s="323"/>
      <c r="N428" s="63"/>
      <c r="O428" s="324"/>
    </row>
    <row r="429" customFormat="false" ht="12.75" hidden="false" customHeight="false" outlineLevel="0" collapsed="false">
      <c r="A429" s="323"/>
      <c r="B429" s="323"/>
      <c r="N429" s="63"/>
      <c r="O429" s="324"/>
    </row>
    <row r="430" customFormat="false" ht="12.75" hidden="false" customHeight="false" outlineLevel="0" collapsed="false">
      <c r="A430" s="323"/>
      <c r="B430" s="323"/>
      <c r="N430" s="63"/>
      <c r="O430" s="324"/>
    </row>
    <row r="431" customFormat="false" ht="12.75" hidden="false" customHeight="false" outlineLevel="0" collapsed="false">
      <c r="A431" s="323"/>
      <c r="B431" s="323"/>
      <c r="N431" s="63"/>
      <c r="O431" s="324"/>
    </row>
    <row r="432" customFormat="false" ht="12.75" hidden="false" customHeight="false" outlineLevel="0" collapsed="false">
      <c r="A432" s="323"/>
      <c r="B432" s="323"/>
      <c r="N432" s="63"/>
      <c r="O432" s="324"/>
    </row>
    <row r="433" customFormat="false" ht="12.75" hidden="false" customHeight="false" outlineLevel="0" collapsed="false">
      <c r="A433" s="323"/>
      <c r="B433" s="323"/>
      <c r="N433" s="63"/>
      <c r="O433" s="324"/>
    </row>
    <row r="434" customFormat="false" ht="12.75" hidden="false" customHeight="false" outlineLevel="0" collapsed="false">
      <c r="A434" s="323"/>
      <c r="B434" s="323"/>
      <c r="N434" s="63"/>
      <c r="O434" s="324"/>
    </row>
    <row r="435" customFormat="false" ht="12.75" hidden="false" customHeight="false" outlineLevel="0" collapsed="false">
      <c r="A435" s="323"/>
      <c r="B435" s="323"/>
      <c r="N435" s="63"/>
      <c r="O435" s="324"/>
    </row>
    <row r="436" customFormat="false" ht="12.75" hidden="false" customHeight="false" outlineLevel="0" collapsed="false">
      <c r="A436" s="323"/>
      <c r="B436" s="323"/>
      <c r="N436" s="63"/>
      <c r="O436" s="324"/>
    </row>
    <row r="437" customFormat="false" ht="12.75" hidden="false" customHeight="false" outlineLevel="0" collapsed="false">
      <c r="A437" s="323"/>
      <c r="B437" s="323"/>
      <c r="N437" s="63"/>
      <c r="O437" s="324"/>
    </row>
    <row r="438" customFormat="false" ht="12.75" hidden="false" customHeight="false" outlineLevel="0" collapsed="false">
      <c r="A438" s="323"/>
      <c r="B438" s="323"/>
      <c r="N438" s="63"/>
      <c r="O438" s="324"/>
    </row>
    <row r="439" customFormat="false" ht="12.75" hidden="false" customHeight="false" outlineLevel="0" collapsed="false">
      <c r="A439" s="323"/>
      <c r="B439" s="323"/>
      <c r="N439" s="63"/>
      <c r="O439" s="324"/>
    </row>
    <row r="440" customFormat="false" ht="12.75" hidden="false" customHeight="false" outlineLevel="0" collapsed="false">
      <c r="A440" s="323"/>
      <c r="B440" s="323"/>
      <c r="N440" s="63"/>
      <c r="O440" s="324"/>
    </row>
    <row r="441" customFormat="false" ht="12.75" hidden="false" customHeight="false" outlineLevel="0" collapsed="false">
      <c r="A441" s="323"/>
      <c r="B441" s="323"/>
      <c r="N441" s="63"/>
      <c r="O441" s="324"/>
    </row>
    <row r="442" customFormat="false" ht="12.75" hidden="false" customHeight="false" outlineLevel="0" collapsed="false">
      <c r="A442" s="323"/>
      <c r="B442" s="323"/>
      <c r="N442" s="63"/>
      <c r="O442" s="324"/>
    </row>
    <row r="443" customFormat="false" ht="12.75" hidden="false" customHeight="false" outlineLevel="0" collapsed="false">
      <c r="A443" s="323"/>
      <c r="B443" s="323"/>
      <c r="N443" s="63"/>
      <c r="O443" s="324"/>
    </row>
    <row r="444" customFormat="false" ht="12.75" hidden="false" customHeight="false" outlineLevel="0" collapsed="false">
      <c r="A444" s="323"/>
      <c r="B444" s="323"/>
      <c r="N444" s="63"/>
      <c r="O444" s="324"/>
    </row>
    <row r="445" customFormat="false" ht="12.75" hidden="false" customHeight="false" outlineLevel="0" collapsed="false">
      <c r="A445" s="323"/>
      <c r="B445" s="323"/>
      <c r="N445" s="63"/>
      <c r="O445" s="324"/>
    </row>
    <row r="446" customFormat="false" ht="12.75" hidden="false" customHeight="false" outlineLevel="0" collapsed="false">
      <c r="A446" s="323"/>
      <c r="B446" s="323"/>
      <c r="N446" s="63"/>
      <c r="O446" s="324"/>
    </row>
    <row r="447" customFormat="false" ht="12.75" hidden="false" customHeight="false" outlineLevel="0" collapsed="false">
      <c r="A447" s="323"/>
      <c r="B447" s="323"/>
      <c r="N447" s="63"/>
      <c r="O447" s="324"/>
    </row>
    <row r="448" customFormat="false" ht="12.75" hidden="false" customHeight="false" outlineLevel="0" collapsed="false">
      <c r="A448" s="323"/>
      <c r="B448" s="323"/>
      <c r="N448" s="63"/>
      <c r="O448" s="324"/>
    </row>
    <row r="449" customFormat="false" ht="12.75" hidden="false" customHeight="false" outlineLevel="0" collapsed="false">
      <c r="A449" s="323"/>
      <c r="B449" s="323"/>
      <c r="N449" s="63"/>
      <c r="O449" s="324"/>
    </row>
    <row r="450" customFormat="false" ht="12.75" hidden="false" customHeight="false" outlineLevel="0" collapsed="false">
      <c r="A450" s="323"/>
      <c r="B450" s="323"/>
      <c r="N450" s="63"/>
      <c r="O450" s="324"/>
    </row>
    <row r="451" customFormat="false" ht="12.75" hidden="false" customHeight="false" outlineLevel="0" collapsed="false">
      <c r="A451" s="323"/>
      <c r="B451" s="323"/>
      <c r="N451" s="63"/>
      <c r="O451" s="324"/>
    </row>
    <row r="452" customFormat="false" ht="12.75" hidden="false" customHeight="false" outlineLevel="0" collapsed="false">
      <c r="A452" s="323"/>
      <c r="B452" s="323"/>
      <c r="N452" s="63"/>
      <c r="O452" s="324"/>
    </row>
    <row r="453" customFormat="false" ht="12.75" hidden="false" customHeight="false" outlineLevel="0" collapsed="false">
      <c r="A453" s="323"/>
      <c r="B453" s="323"/>
      <c r="N453" s="63"/>
      <c r="O453" s="324"/>
    </row>
    <row r="454" customFormat="false" ht="12.75" hidden="false" customHeight="false" outlineLevel="0" collapsed="false">
      <c r="A454" s="323"/>
      <c r="B454" s="323"/>
      <c r="N454" s="63"/>
      <c r="O454" s="324"/>
    </row>
    <row r="455" customFormat="false" ht="12.75" hidden="false" customHeight="false" outlineLevel="0" collapsed="false">
      <c r="A455" s="323"/>
      <c r="B455" s="323"/>
      <c r="N455" s="63"/>
      <c r="O455" s="324"/>
    </row>
    <row r="456" customFormat="false" ht="12.75" hidden="false" customHeight="false" outlineLevel="0" collapsed="false">
      <c r="A456" s="323"/>
      <c r="B456" s="323"/>
      <c r="N456" s="63"/>
      <c r="O456" s="324"/>
    </row>
    <row r="457" customFormat="false" ht="12.75" hidden="false" customHeight="false" outlineLevel="0" collapsed="false">
      <c r="A457" s="323"/>
      <c r="B457" s="323"/>
      <c r="N457" s="63"/>
      <c r="O457" s="324"/>
    </row>
    <row r="458" customFormat="false" ht="12.75" hidden="false" customHeight="false" outlineLevel="0" collapsed="false">
      <c r="A458" s="323"/>
      <c r="B458" s="323"/>
      <c r="N458" s="63"/>
      <c r="O458" s="324"/>
    </row>
    <row r="459" customFormat="false" ht="12.75" hidden="false" customHeight="false" outlineLevel="0" collapsed="false">
      <c r="A459" s="323"/>
      <c r="B459" s="323"/>
      <c r="N459" s="63"/>
      <c r="O459" s="324"/>
    </row>
    <row r="460" customFormat="false" ht="12.75" hidden="false" customHeight="false" outlineLevel="0" collapsed="false">
      <c r="A460" s="323"/>
      <c r="B460" s="323"/>
      <c r="N460" s="63"/>
      <c r="O460" s="324"/>
    </row>
    <row r="461" customFormat="false" ht="12.75" hidden="false" customHeight="false" outlineLevel="0" collapsed="false">
      <c r="A461" s="323"/>
      <c r="B461" s="323"/>
      <c r="N461" s="63"/>
      <c r="O461" s="324"/>
    </row>
    <row r="462" customFormat="false" ht="12.75" hidden="false" customHeight="false" outlineLevel="0" collapsed="false">
      <c r="A462" s="323"/>
      <c r="B462" s="323"/>
      <c r="N462" s="63"/>
      <c r="O462" s="324"/>
    </row>
    <row r="463" customFormat="false" ht="12.75" hidden="false" customHeight="false" outlineLevel="0" collapsed="false">
      <c r="A463" s="323"/>
      <c r="B463" s="323"/>
      <c r="N463" s="63"/>
      <c r="O463" s="324"/>
    </row>
    <row r="464" customFormat="false" ht="12.75" hidden="false" customHeight="false" outlineLevel="0" collapsed="false">
      <c r="A464" s="323"/>
      <c r="B464" s="323"/>
      <c r="N464" s="63"/>
      <c r="O464" s="324"/>
    </row>
    <row r="465" customFormat="false" ht="12.75" hidden="false" customHeight="false" outlineLevel="0" collapsed="false">
      <c r="A465" s="323"/>
      <c r="B465" s="323"/>
      <c r="N465" s="63"/>
      <c r="O465" s="324"/>
    </row>
    <row r="466" customFormat="false" ht="12.75" hidden="false" customHeight="false" outlineLevel="0" collapsed="false">
      <c r="A466" s="323"/>
      <c r="B466" s="323"/>
      <c r="N466" s="63"/>
      <c r="O466" s="324"/>
    </row>
    <row r="467" customFormat="false" ht="12.75" hidden="false" customHeight="false" outlineLevel="0" collapsed="false">
      <c r="A467" s="323"/>
      <c r="B467" s="323"/>
      <c r="N467" s="63"/>
      <c r="O467" s="324"/>
    </row>
    <row r="468" customFormat="false" ht="12.75" hidden="false" customHeight="false" outlineLevel="0" collapsed="false">
      <c r="A468" s="323"/>
      <c r="B468" s="323"/>
      <c r="N468" s="63"/>
      <c r="O468" s="324"/>
    </row>
    <row r="469" customFormat="false" ht="12.75" hidden="false" customHeight="false" outlineLevel="0" collapsed="false">
      <c r="A469" s="323"/>
      <c r="B469" s="323"/>
      <c r="N469" s="63"/>
      <c r="O469" s="324"/>
    </row>
    <row r="470" customFormat="false" ht="12.75" hidden="false" customHeight="false" outlineLevel="0" collapsed="false">
      <c r="A470" s="323"/>
      <c r="B470" s="323"/>
      <c r="N470" s="63"/>
      <c r="O470" s="324"/>
    </row>
    <row r="471" customFormat="false" ht="12.75" hidden="false" customHeight="false" outlineLevel="0" collapsed="false">
      <c r="A471" s="323"/>
      <c r="B471" s="323"/>
      <c r="N471" s="63"/>
      <c r="O471" s="324"/>
    </row>
    <row r="472" customFormat="false" ht="12.75" hidden="false" customHeight="false" outlineLevel="0" collapsed="false">
      <c r="A472" s="323"/>
      <c r="B472" s="323"/>
      <c r="N472" s="63"/>
      <c r="O472" s="324"/>
    </row>
    <row r="473" customFormat="false" ht="12.75" hidden="false" customHeight="false" outlineLevel="0" collapsed="false">
      <c r="A473" s="323"/>
      <c r="B473" s="323"/>
      <c r="N473" s="63"/>
      <c r="O473" s="324"/>
    </row>
    <row r="474" customFormat="false" ht="12.75" hidden="false" customHeight="false" outlineLevel="0" collapsed="false">
      <c r="A474" s="323"/>
      <c r="B474" s="323"/>
      <c r="N474" s="63"/>
      <c r="O474" s="324"/>
    </row>
    <row r="475" customFormat="false" ht="12.75" hidden="false" customHeight="false" outlineLevel="0" collapsed="false">
      <c r="A475" s="323"/>
      <c r="B475" s="323"/>
      <c r="N475" s="63"/>
      <c r="O475" s="324"/>
    </row>
    <row r="476" customFormat="false" ht="12.75" hidden="false" customHeight="false" outlineLevel="0" collapsed="false">
      <c r="A476" s="323"/>
      <c r="B476" s="323"/>
      <c r="N476" s="63"/>
      <c r="O476" s="324"/>
    </row>
    <row r="477" customFormat="false" ht="12.75" hidden="false" customHeight="false" outlineLevel="0" collapsed="false">
      <c r="A477" s="323"/>
      <c r="B477" s="323"/>
      <c r="N477" s="63"/>
      <c r="O477" s="324"/>
    </row>
    <row r="478" customFormat="false" ht="12.75" hidden="false" customHeight="false" outlineLevel="0" collapsed="false">
      <c r="A478" s="323"/>
      <c r="B478" s="323"/>
      <c r="N478" s="63"/>
      <c r="O478" s="324"/>
    </row>
    <row r="479" customFormat="false" ht="12.75" hidden="false" customHeight="false" outlineLevel="0" collapsed="false">
      <c r="A479" s="323"/>
      <c r="B479" s="323"/>
      <c r="N479" s="63"/>
      <c r="O479" s="324"/>
    </row>
    <row r="480" customFormat="false" ht="12.75" hidden="false" customHeight="false" outlineLevel="0" collapsed="false">
      <c r="A480" s="323"/>
      <c r="B480" s="323"/>
      <c r="N480" s="63"/>
      <c r="O480" s="324"/>
    </row>
    <row r="481" customFormat="false" ht="12.75" hidden="false" customHeight="false" outlineLevel="0" collapsed="false">
      <c r="A481" s="323"/>
      <c r="B481" s="323"/>
      <c r="N481" s="63"/>
      <c r="O481" s="324"/>
    </row>
    <row r="482" customFormat="false" ht="12.75" hidden="false" customHeight="false" outlineLevel="0" collapsed="false">
      <c r="A482" s="323"/>
      <c r="B482" s="323"/>
      <c r="N482" s="63"/>
      <c r="O482" s="324"/>
    </row>
    <row r="483" customFormat="false" ht="12.75" hidden="false" customHeight="false" outlineLevel="0" collapsed="false">
      <c r="A483" s="323"/>
      <c r="B483" s="323"/>
      <c r="N483" s="63"/>
      <c r="O483" s="324"/>
    </row>
    <row r="484" customFormat="false" ht="12.75" hidden="false" customHeight="false" outlineLevel="0" collapsed="false">
      <c r="A484" s="323"/>
      <c r="B484" s="323"/>
      <c r="N484" s="63"/>
      <c r="O484" s="324"/>
    </row>
    <row r="485" customFormat="false" ht="12.75" hidden="false" customHeight="false" outlineLevel="0" collapsed="false">
      <c r="A485" s="323"/>
      <c r="B485" s="323"/>
      <c r="N485" s="63"/>
      <c r="O485" s="324"/>
    </row>
    <row r="486" customFormat="false" ht="12.75" hidden="false" customHeight="false" outlineLevel="0" collapsed="false">
      <c r="A486" s="323"/>
      <c r="B486" s="323"/>
      <c r="N486" s="63"/>
      <c r="O486" s="324"/>
    </row>
    <row r="487" customFormat="false" ht="12.75" hidden="false" customHeight="false" outlineLevel="0" collapsed="false">
      <c r="A487" s="323"/>
      <c r="B487" s="323"/>
      <c r="N487" s="63"/>
      <c r="O487" s="324"/>
    </row>
    <row r="488" customFormat="false" ht="12.75" hidden="false" customHeight="false" outlineLevel="0" collapsed="false">
      <c r="A488" s="323"/>
      <c r="B488" s="323"/>
      <c r="N488" s="63"/>
      <c r="O488" s="324"/>
    </row>
    <row r="489" customFormat="false" ht="12.75" hidden="false" customHeight="false" outlineLevel="0" collapsed="false">
      <c r="A489" s="323"/>
      <c r="B489" s="323"/>
      <c r="N489" s="63"/>
      <c r="O489" s="324"/>
    </row>
    <row r="490" customFormat="false" ht="12.75" hidden="false" customHeight="false" outlineLevel="0" collapsed="false">
      <c r="A490" s="323"/>
      <c r="B490" s="323"/>
      <c r="N490" s="63"/>
      <c r="O490" s="324"/>
    </row>
    <row r="491" customFormat="false" ht="12.75" hidden="false" customHeight="false" outlineLevel="0" collapsed="false">
      <c r="A491" s="323"/>
      <c r="B491" s="323"/>
      <c r="N491" s="63"/>
      <c r="O491" s="324"/>
    </row>
    <row r="492" customFormat="false" ht="12.75" hidden="false" customHeight="false" outlineLevel="0" collapsed="false">
      <c r="A492" s="323"/>
      <c r="B492" s="323"/>
      <c r="N492" s="63"/>
      <c r="O492" s="324"/>
    </row>
    <row r="493" customFormat="false" ht="12.75" hidden="false" customHeight="false" outlineLevel="0" collapsed="false">
      <c r="A493" s="323"/>
      <c r="B493" s="323"/>
      <c r="N493" s="63"/>
      <c r="O493" s="324"/>
    </row>
    <row r="494" customFormat="false" ht="12.75" hidden="false" customHeight="false" outlineLevel="0" collapsed="false">
      <c r="A494" s="323"/>
      <c r="B494" s="323"/>
      <c r="N494" s="63"/>
      <c r="O494" s="324"/>
    </row>
    <row r="495" customFormat="false" ht="12.75" hidden="false" customHeight="false" outlineLevel="0" collapsed="false">
      <c r="A495" s="323"/>
      <c r="B495" s="323"/>
      <c r="N495" s="63"/>
      <c r="O495" s="324"/>
    </row>
    <row r="496" customFormat="false" ht="12.75" hidden="false" customHeight="false" outlineLevel="0" collapsed="false">
      <c r="A496" s="323"/>
      <c r="B496" s="323"/>
      <c r="N496" s="63"/>
      <c r="O496" s="324"/>
    </row>
    <row r="497" customFormat="false" ht="12.75" hidden="false" customHeight="false" outlineLevel="0" collapsed="false">
      <c r="A497" s="323"/>
      <c r="B497" s="323"/>
      <c r="N497" s="63"/>
      <c r="O497" s="324"/>
    </row>
    <row r="498" customFormat="false" ht="12.75" hidden="false" customHeight="false" outlineLevel="0" collapsed="false">
      <c r="A498" s="323"/>
      <c r="B498" s="323"/>
      <c r="N498" s="63"/>
      <c r="O498" s="324"/>
    </row>
    <row r="499" customFormat="false" ht="12.75" hidden="false" customHeight="false" outlineLevel="0" collapsed="false">
      <c r="A499" s="323"/>
      <c r="B499" s="323"/>
      <c r="N499" s="63"/>
      <c r="O499" s="324"/>
    </row>
    <row r="500" customFormat="false" ht="12.75" hidden="false" customHeight="false" outlineLevel="0" collapsed="false">
      <c r="A500" s="323"/>
      <c r="B500" s="323"/>
      <c r="N500" s="63"/>
      <c r="O500" s="324"/>
    </row>
    <row r="501" customFormat="false" ht="12.75" hidden="false" customHeight="false" outlineLevel="0" collapsed="false">
      <c r="A501" s="323"/>
      <c r="B501" s="323"/>
      <c r="N501" s="63"/>
      <c r="O501" s="324"/>
    </row>
    <row r="502" customFormat="false" ht="12.75" hidden="false" customHeight="false" outlineLevel="0" collapsed="false">
      <c r="A502" s="323"/>
      <c r="B502" s="323"/>
      <c r="N502" s="63"/>
      <c r="O502" s="324"/>
    </row>
    <row r="503" customFormat="false" ht="12.75" hidden="false" customHeight="false" outlineLevel="0" collapsed="false">
      <c r="A503" s="323"/>
      <c r="B503" s="323"/>
      <c r="N503" s="63"/>
      <c r="O503" s="324"/>
    </row>
    <row r="504" customFormat="false" ht="12.75" hidden="false" customHeight="false" outlineLevel="0" collapsed="false">
      <c r="A504" s="323"/>
      <c r="B504" s="323"/>
      <c r="N504" s="63"/>
      <c r="O504" s="324"/>
    </row>
    <row r="505" customFormat="false" ht="12.75" hidden="false" customHeight="false" outlineLevel="0" collapsed="false">
      <c r="A505" s="323"/>
      <c r="B505" s="323"/>
      <c r="N505" s="63"/>
      <c r="O505" s="324"/>
    </row>
    <row r="506" customFormat="false" ht="12.75" hidden="false" customHeight="false" outlineLevel="0" collapsed="false">
      <c r="A506" s="323"/>
      <c r="B506" s="323"/>
      <c r="N506" s="63"/>
      <c r="O506" s="324"/>
    </row>
    <row r="507" customFormat="false" ht="12.75" hidden="false" customHeight="false" outlineLevel="0" collapsed="false">
      <c r="A507" s="323"/>
      <c r="B507" s="323"/>
      <c r="N507" s="63"/>
      <c r="O507" s="324"/>
    </row>
    <row r="508" customFormat="false" ht="12.75" hidden="false" customHeight="false" outlineLevel="0" collapsed="false">
      <c r="A508" s="323"/>
      <c r="B508" s="323"/>
      <c r="N508" s="63"/>
      <c r="O508" s="324"/>
    </row>
    <row r="509" customFormat="false" ht="12.75" hidden="false" customHeight="false" outlineLevel="0" collapsed="false">
      <c r="A509" s="323"/>
      <c r="B509" s="323"/>
      <c r="N509" s="63"/>
      <c r="O509" s="324"/>
    </row>
    <row r="510" customFormat="false" ht="12.75" hidden="false" customHeight="false" outlineLevel="0" collapsed="false">
      <c r="A510" s="323"/>
      <c r="B510" s="323"/>
      <c r="N510" s="63"/>
      <c r="O510" s="324"/>
    </row>
    <row r="511" customFormat="false" ht="12.75" hidden="false" customHeight="false" outlineLevel="0" collapsed="false">
      <c r="A511" s="323"/>
      <c r="B511" s="323"/>
      <c r="N511" s="63"/>
      <c r="O511" s="324"/>
    </row>
    <row r="512" customFormat="false" ht="12.75" hidden="false" customHeight="false" outlineLevel="0" collapsed="false">
      <c r="A512" s="323"/>
      <c r="B512" s="323"/>
      <c r="N512" s="63"/>
      <c r="O512" s="324"/>
    </row>
    <row r="513" customFormat="false" ht="12.75" hidden="false" customHeight="false" outlineLevel="0" collapsed="false">
      <c r="A513" s="323"/>
      <c r="B513" s="323"/>
      <c r="N513" s="63"/>
      <c r="O513" s="324"/>
    </row>
    <row r="514" customFormat="false" ht="12.75" hidden="false" customHeight="false" outlineLevel="0" collapsed="false">
      <c r="A514" s="323"/>
      <c r="B514" s="323"/>
      <c r="N514" s="63"/>
      <c r="O514" s="324"/>
    </row>
    <row r="515" customFormat="false" ht="12.75" hidden="false" customHeight="false" outlineLevel="0" collapsed="false">
      <c r="A515" s="323"/>
      <c r="B515" s="323"/>
      <c r="N515" s="63"/>
      <c r="O515" s="324"/>
    </row>
    <row r="516" customFormat="false" ht="12.75" hidden="false" customHeight="false" outlineLevel="0" collapsed="false">
      <c r="A516" s="323"/>
      <c r="B516" s="323"/>
      <c r="N516" s="63"/>
      <c r="O516" s="324"/>
    </row>
    <row r="517" customFormat="false" ht="12.75" hidden="false" customHeight="false" outlineLevel="0" collapsed="false">
      <c r="A517" s="323"/>
      <c r="B517" s="323"/>
      <c r="N517" s="63"/>
      <c r="O517" s="324"/>
    </row>
    <row r="518" customFormat="false" ht="12.75" hidden="false" customHeight="false" outlineLevel="0" collapsed="false">
      <c r="A518" s="323"/>
      <c r="B518" s="323"/>
      <c r="N518" s="63"/>
      <c r="O518" s="324"/>
    </row>
    <row r="519" customFormat="false" ht="12.75" hidden="false" customHeight="false" outlineLevel="0" collapsed="false">
      <c r="A519" s="323"/>
      <c r="B519" s="323"/>
      <c r="N519" s="63"/>
      <c r="O519" s="324"/>
    </row>
    <row r="520" customFormat="false" ht="12.75" hidden="false" customHeight="false" outlineLevel="0" collapsed="false">
      <c r="A520" s="323"/>
      <c r="B520" s="323"/>
      <c r="N520" s="63"/>
      <c r="O520" s="324"/>
    </row>
    <row r="521" customFormat="false" ht="12.75" hidden="false" customHeight="false" outlineLevel="0" collapsed="false">
      <c r="A521" s="323"/>
      <c r="B521" s="323"/>
      <c r="N521" s="63"/>
      <c r="O521" s="324"/>
    </row>
    <row r="522" customFormat="false" ht="12.75" hidden="false" customHeight="false" outlineLevel="0" collapsed="false">
      <c r="A522" s="323"/>
      <c r="B522" s="323"/>
      <c r="N522" s="63"/>
      <c r="O522" s="324"/>
    </row>
    <row r="523" customFormat="false" ht="12.75" hidden="false" customHeight="false" outlineLevel="0" collapsed="false">
      <c r="A523" s="323"/>
      <c r="B523" s="323"/>
      <c r="N523" s="63"/>
      <c r="O523" s="324"/>
    </row>
    <row r="524" customFormat="false" ht="12.75" hidden="false" customHeight="false" outlineLevel="0" collapsed="false">
      <c r="A524" s="323"/>
      <c r="B524" s="323"/>
      <c r="N524" s="63"/>
      <c r="O524" s="324"/>
    </row>
    <row r="525" customFormat="false" ht="12.75" hidden="false" customHeight="false" outlineLevel="0" collapsed="false">
      <c r="A525" s="323"/>
      <c r="B525" s="323"/>
      <c r="N525" s="63"/>
      <c r="O525" s="324"/>
    </row>
    <row r="526" customFormat="false" ht="12.75" hidden="false" customHeight="false" outlineLevel="0" collapsed="false">
      <c r="A526" s="323"/>
      <c r="B526" s="323"/>
      <c r="N526" s="63"/>
      <c r="O526" s="324"/>
    </row>
    <row r="527" customFormat="false" ht="12.75" hidden="false" customHeight="false" outlineLevel="0" collapsed="false">
      <c r="A527" s="323"/>
      <c r="B527" s="323"/>
      <c r="N527" s="63"/>
      <c r="O527" s="324"/>
    </row>
    <row r="528" customFormat="false" ht="12.75" hidden="false" customHeight="false" outlineLevel="0" collapsed="false">
      <c r="A528" s="323"/>
      <c r="B528" s="323"/>
      <c r="N528" s="63"/>
      <c r="O528" s="324"/>
    </row>
    <row r="529" customFormat="false" ht="12.75" hidden="false" customHeight="false" outlineLevel="0" collapsed="false">
      <c r="A529" s="323"/>
      <c r="B529" s="323"/>
      <c r="N529" s="63"/>
      <c r="O529" s="324"/>
    </row>
    <row r="530" customFormat="false" ht="12.75" hidden="false" customHeight="false" outlineLevel="0" collapsed="false">
      <c r="A530" s="323"/>
      <c r="B530" s="323"/>
      <c r="N530" s="63"/>
      <c r="O530" s="324"/>
    </row>
    <row r="531" customFormat="false" ht="12.75" hidden="false" customHeight="false" outlineLevel="0" collapsed="false">
      <c r="A531" s="323"/>
      <c r="B531" s="323"/>
      <c r="N531" s="63"/>
      <c r="O531" s="324"/>
    </row>
    <row r="532" customFormat="false" ht="12.75" hidden="false" customHeight="false" outlineLevel="0" collapsed="false">
      <c r="A532" s="323"/>
      <c r="B532" s="323"/>
      <c r="N532" s="63"/>
      <c r="O532" s="324"/>
    </row>
    <row r="533" customFormat="false" ht="12.75" hidden="false" customHeight="false" outlineLevel="0" collapsed="false">
      <c r="A533" s="323"/>
      <c r="B533" s="323"/>
      <c r="N533" s="63"/>
      <c r="O533" s="324"/>
    </row>
    <row r="534" customFormat="false" ht="12.75" hidden="false" customHeight="false" outlineLevel="0" collapsed="false">
      <c r="A534" s="323"/>
      <c r="B534" s="323"/>
      <c r="N534" s="63"/>
      <c r="O534" s="324"/>
    </row>
    <row r="535" customFormat="false" ht="12.75" hidden="false" customHeight="false" outlineLevel="0" collapsed="false">
      <c r="A535" s="323"/>
      <c r="B535" s="323"/>
      <c r="N535" s="63"/>
      <c r="O535" s="324"/>
    </row>
    <row r="536" customFormat="false" ht="12.75" hidden="false" customHeight="false" outlineLevel="0" collapsed="false">
      <c r="A536" s="323"/>
      <c r="B536" s="323"/>
      <c r="N536" s="63"/>
      <c r="O536" s="324"/>
    </row>
    <row r="537" customFormat="false" ht="12.75" hidden="false" customHeight="false" outlineLevel="0" collapsed="false">
      <c r="A537" s="323"/>
      <c r="B537" s="323"/>
      <c r="N537" s="63"/>
      <c r="O537" s="324"/>
    </row>
    <row r="538" customFormat="false" ht="12.75" hidden="false" customHeight="false" outlineLevel="0" collapsed="false">
      <c r="A538" s="323"/>
      <c r="B538" s="323"/>
      <c r="N538" s="63"/>
      <c r="O538" s="324"/>
    </row>
    <row r="539" customFormat="false" ht="12.75" hidden="false" customHeight="false" outlineLevel="0" collapsed="false">
      <c r="A539" s="323"/>
      <c r="B539" s="323"/>
      <c r="N539" s="63"/>
      <c r="O539" s="324"/>
    </row>
    <row r="540" customFormat="false" ht="12.75" hidden="false" customHeight="false" outlineLevel="0" collapsed="false">
      <c r="A540" s="323"/>
      <c r="B540" s="323"/>
      <c r="N540" s="63"/>
      <c r="O540" s="324"/>
    </row>
    <row r="541" customFormat="false" ht="12.75" hidden="false" customHeight="false" outlineLevel="0" collapsed="false">
      <c r="A541" s="323"/>
      <c r="B541" s="323"/>
      <c r="N541" s="63"/>
      <c r="O541" s="324"/>
    </row>
    <row r="542" customFormat="false" ht="12.75" hidden="false" customHeight="false" outlineLevel="0" collapsed="false">
      <c r="A542" s="323"/>
      <c r="B542" s="323"/>
      <c r="N542" s="63"/>
      <c r="O542" s="324"/>
    </row>
    <row r="543" customFormat="false" ht="12.75" hidden="false" customHeight="false" outlineLevel="0" collapsed="false">
      <c r="A543" s="323"/>
      <c r="B543" s="323"/>
      <c r="N543" s="63"/>
      <c r="O543" s="324"/>
    </row>
    <row r="544" customFormat="false" ht="12.75" hidden="false" customHeight="false" outlineLevel="0" collapsed="false">
      <c r="A544" s="323"/>
      <c r="B544" s="323"/>
      <c r="N544" s="63"/>
      <c r="O544" s="324"/>
    </row>
    <row r="545" customFormat="false" ht="12.75" hidden="false" customHeight="false" outlineLevel="0" collapsed="false">
      <c r="A545" s="323"/>
      <c r="B545" s="323"/>
      <c r="N545" s="63"/>
      <c r="O545" s="324"/>
    </row>
    <row r="546" customFormat="false" ht="12.75" hidden="false" customHeight="false" outlineLevel="0" collapsed="false">
      <c r="A546" s="323"/>
      <c r="B546" s="323"/>
      <c r="N546" s="63"/>
      <c r="O546" s="324"/>
    </row>
    <row r="547" customFormat="false" ht="12.75" hidden="false" customHeight="false" outlineLevel="0" collapsed="false">
      <c r="A547" s="323"/>
      <c r="B547" s="323"/>
      <c r="N547" s="63"/>
      <c r="O547" s="324"/>
    </row>
    <row r="548" customFormat="false" ht="12.75" hidden="false" customHeight="false" outlineLevel="0" collapsed="false">
      <c r="A548" s="323"/>
      <c r="B548" s="323"/>
      <c r="N548" s="63"/>
      <c r="O548" s="324"/>
    </row>
    <row r="549" customFormat="false" ht="12.75" hidden="false" customHeight="false" outlineLevel="0" collapsed="false">
      <c r="A549" s="323"/>
      <c r="B549" s="323"/>
      <c r="N549" s="63"/>
      <c r="O549" s="324"/>
    </row>
    <row r="550" customFormat="false" ht="12.75" hidden="false" customHeight="false" outlineLevel="0" collapsed="false">
      <c r="A550" s="323"/>
      <c r="B550" s="323"/>
      <c r="N550" s="63"/>
      <c r="O550" s="324"/>
    </row>
    <row r="551" customFormat="false" ht="12.75" hidden="false" customHeight="false" outlineLevel="0" collapsed="false">
      <c r="A551" s="323"/>
      <c r="B551" s="323"/>
      <c r="N551" s="63"/>
      <c r="O551" s="324"/>
    </row>
    <row r="552" customFormat="false" ht="12.75" hidden="false" customHeight="false" outlineLevel="0" collapsed="false">
      <c r="A552" s="323"/>
      <c r="B552" s="323"/>
      <c r="N552" s="63"/>
      <c r="O552" s="324"/>
    </row>
    <row r="553" customFormat="false" ht="12.75" hidden="false" customHeight="false" outlineLevel="0" collapsed="false">
      <c r="A553" s="323"/>
      <c r="B553" s="323"/>
      <c r="N553" s="63"/>
      <c r="O553" s="324"/>
    </row>
    <row r="554" customFormat="false" ht="12.75" hidden="false" customHeight="false" outlineLevel="0" collapsed="false">
      <c r="A554" s="323"/>
      <c r="B554" s="323"/>
      <c r="N554" s="63"/>
      <c r="O554" s="324"/>
    </row>
    <row r="555" customFormat="false" ht="12.75" hidden="false" customHeight="false" outlineLevel="0" collapsed="false">
      <c r="A555" s="323"/>
      <c r="B555" s="323"/>
      <c r="N555" s="63"/>
      <c r="O555" s="324"/>
    </row>
    <row r="556" customFormat="false" ht="12.75" hidden="false" customHeight="false" outlineLevel="0" collapsed="false">
      <c r="A556" s="323"/>
      <c r="B556" s="323"/>
      <c r="N556" s="63"/>
      <c r="O556" s="324"/>
    </row>
    <row r="557" customFormat="false" ht="12.75" hidden="false" customHeight="false" outlineLevel="0" collapsed="false">
      <c r="A557" s="323"/>
      <c r="B557" s="323"/>
      <c r="N557" s="63"/>
      <c r="O557" s="324"/>
    </row>
    <row r="558" customFormat="false" ht="12.75" hidden="false" customHeight="false" outlineLevel="0" collapsed="false">
      <c r="A558" s="323"/>
      <c r="B558" s="323"/>
      <c r="N558" s="63"/>
      <c r="O558" s="324"/>
    </row>
    <row r="559" customFormat="false" ht="12.75" hidden="false" customHeight="false" outlineLevel="0" collapsed="false">
      <c r="A559" s="323"/>
      <c r="B559" s="323"/>
      <c r="N559" s="63"/>
      <c r="O559" s="324"/>
    </row>
    <row r="560" customFormat="false" ht="12.75" hidden="false" customHeight="false" outlineLevel="0" collapsed="false">
      <c r="A560" s="323"/>
      <c r="B560" s="323"/>
      <c r="N560" s="63"/>
      <c r="O560" s="324"/>
    </row>
    <row r="561" customFormat="false" ht="12.75" hidden="false" customHeight="false" outlineLevel="0" collapsed="false">
      <c r="A561" s="323"/>
      <c r="B561" s="323"/>
      <c r="N561" s="63"/>
      <c r="O561" s="324"/>
    </row>
    <row r="562" customFormat="false" ht="12.75" hidden="false" customHeight="false" outlineLevel="0" collapsed="false">
      <c r="A562" s="323"/>
      <c r="B562" s="323"/>
      <c r="N562" s="63"/>
      <c r="O562" s="324"/>
    </row>
    <row r="563" customFormat="false" ht="12.75" hidden="false" customHeight="false" outlineLevel="0" collapsed="false">
      <c r="A563" s="323"/>
      <c r="B563" s="323"/>
      <c r="N563" s="63"/>
      <c r="O563" s="324"/>
    </row>
    <row r="564" customFormat="false" ht="12.75" hidden="false" customHeight="false" outlineLevel="0" collapsed="false">
      <c r="A564" s="323"/>
      <c r="B564" s="323"/>
      <c r="N564" s="63"/>
      <c r="O564" s="324"/>
    </row>
    <row r="565" customFormat="false" ht="12.75" hidden="false" customHeight="false" outlineLevel="0" collapsed="false">
      <c r="A565" s="323"/>
      <c r="B565" s="323"/>
      <c r="N565" s="63"/>
      <c r="O565" s="324"/>
    </row>
    <row r="566" customFormat="false" ht="12.75" hidden="false" customHeight="false" outlineLevel="0" collapsed="false">
      <c r="A566" s="323"/>
      <c r="B566" s="323"/>
      <c r="N566" s="63"/>
      <c r="O566" s="324"/>
    </row>
    <row r="567" customFormat="false" ht="12.75" hidden="false" customHeight="false" outlineLevel="0" collapsed="false">
      <c r="A567" s="323"/>
      <c r="B567" s="323"/>
      <c r="N567" s="63"/>
      <c r="O567" s="324"/>
    </row>
    <row r="568" customFormat="false" ht="12.75" hidden="false" customHeight="false" outlineLevel="0" collapsed="false">
      <c r="A568" s="323"/>
      <c r="B568" s="323"/>
      <c r="N568" s="63"/>
      <c r="O568" s="324"/>
    </row>
    <row r="569" customFormat="false" ht="12.75" hidden="false" customHeight="false" outlineLevel="0" collapsed="false">
      <c r="A569" s="323"/>
      <c r="B569" s="323"/>
      <c r="N569" s="63"/>
      <c r="O569" s="324"/>
    </row>
    <row r="570" customFormat="false" ht="12.75" hidden="false" customHeight="false" outlineLevel="0" collapsed="false">
      <c r="A570" s="323"/>
      <c r="B570" s="323"/>
      <c r="N570" s="63"/>
      <c r="O570" s="324"/>
    </row>
    <row r="571" customFormat="false" ht="12.75" hidden="false" customHeight="false" outlineLevel="0" collapsed="false">
      <c r="A571" s="323"/>
      <c r="B571" s="323"/>
      <c r="N571" s="63"/>
      <c r="O571" s="324"/>
    </row>
    <row r="572" customFormat="false" ht="12.75" hidden="false" customHeight="false" outlineLevel="0" collapsed="false">
      <c r="A572" s="323"/>
      <c r="B572" s="323"/>
      <c r="N572" s="63"/>
      <c r="O572" s="324"/>
    </row>
    <row r="573" customFormat="false" ht="12.75" hidden="false" customHeight="false" outlineLevel="0" collapsed="false">
      <c r="A573" s="323"/>
      <c r="B573" s="323"/>
      <c r="N573" s="63"/>
      <c r="O573" s="324"/>
    </row>
    <row r="574" customFormat="false" ht="12.75" hidden="false" customHeight="false" outlineLevel="0" collapsed="false">
      <c r="A574" s="323"/>
      <c r="B574" s="323"/>
      <c r="N574" s="63"/>
      <c r="O574" s="324"/>
    </row>
    <row r="575" customFormat="false" ht="12.75" hidden="false" customHeight="false" outlineLevel="0" collapsed="false">
      <c r="A575" s="323"/>
      <c r="B575" s="323"/>
      <c r="N575" s="63"/>
      <c r="O575" s="324"/>
    </row>
    <row r="576" customFormat="false" ht="12.75" hidden="false" customHeight="false" outlineLevel="0" collapsed="false">
      <c r="A576" s="323"/>
      <c r="B576" s="323"/>
      <c r="N576" s="63"/>
      <c r="O576" s="324"/>
    </row>
    <row r="577" customFormat="false" ht="12.75" hidden="false" customHeight="false" outlineLevel="0" collapsed="false">
      <c r="A577" s="323"/>
      <c r="B577" s="323"/>
      <c r="N577" s="63"/>
      <c r="O577" s="324"/>
    </row>
    <row r="578" customFormat="false" ht="12.75" hidden="false" customHeight="false" outlineLevel="0" collapsed="false">
      <c r="A578" s="323"/>
      <c r="B578" s="323"/>
      <c r="N578" s="63"/>
      <c r="O578" s="324"/>
    </row>
    <row r="579" customFormat="false" ht="12.75" hidden="false" customHeight="false" outlineLevel="0" collapsed="false">
      <c r="A579" s="323"/>
      <c r="B579" s="323"/>
      <c r="N579" s="63"/>
      <c r="O579" s="324"/>
    </row>
    <row r="580" customFormat="false" ht="12.75" hidden="false" customHeight="false" outlineLevel="0" collapsed="false">
      <c r="A580" s="323"/>
      <c r="B580" s="323"/>
      <c r="N580" s="63"/>
      <c r="O580" s="324"/>
    </row>
    <row r="581" customFormat="false" ht="12.75" hidden="false" customHeight="false" outlineLevel="0" collapsed="false">
      <c r="A581" s="323"/>
      <c r="B581" s="323"/>
      <c r="N581" s="63"/>
      <c r="O581" s="324"/>
    </row>
    <row r="582" customFormat="false" ht="12.75" hidden="false" customHeight="false" outlineLevel="0" collapsed="false">
      <c r="A582" s="323"/>
      <c r="B582" s="323"/>
      <c r="N582" s="63"/>
      <c r="O582" s="324"/>
    </row>
    <row r="583" customFormat="false" ht="12.75" hidden="false" customHeight="false" outlineLevel="0" collapsed="false">
      <c r="A583" s="323"/>
      <c r="B583" s="323"/>
      <c r="N583" s="63"/>
      <c r="O583" s="324"/>
    </row>
    <row r="584" customFormat="false" ht="12.75" hidden="false" customHeight="false" outlineLevel="0" collapsed="false">
      <c r="A584" s="323"/>
      <c r="B584" s="323"/>
      <c r="N584" s="63"/>
      <c r="O584" s="324"/>
    </row>
    <row r="585" customFormat="false" ht="12.75" hidden="false" customHeight="false" outlineLevel="0" collapsed="false">
      <c r="A585" s="323"/>
      <c r="B585" s="323"/>
      <c r="N585" s="63"/>
      <c r="O585" s="324"/>
    </row>
    <row r="586" customFormat="false" ht="12.75" hidden="false" customHeight="false" outlineLevel="0" collapsed="false">
      <c r="A586" s="323"/>
      <c r="B586" s="323"/>
      <c r="N586" s="63"/>
      <c r="O586" s="324"/>
    </row>
    <row r="587" customFormat="false" ht="12.75" hidden="false" customHeight="false" outlineLevel="0" collapsed="false">
      <c r="A587" s="323"/>
      <c r="B587" s="323"/>
      <c r="N587" s="63"/>
      <c r="O587" s="324"/>
    </row>
    <row r="588" customFormat="false" ht="12.75" hidden="false" customHeight="false" outlineLevel="0" collapsed="false">
      <c r="A588" s="323"/>
      <c r="B588" s="323"/>
      <c r="N588" s="63"/>
      <c r="O588" s="324"/>
    </row>
    <row r="589" customFormat="false" ht="12.75" hidden="false" customHeight="false" outlineLevel="0" collapsed="false">
      <c r="A589" s="323"/>
      <c r="B589" s="323"/>
      <c r="N589" s="63"/>
      <c r="O589" s="324"/>
    </row>
    <row r="590" customFormat="false" ht="12.75" hidden="false" customHeight="false" outlineLevel="0" collapsed="false">
      <c r="A590" s="323"/>
      <c r="B590" s="323"/>
      <c r="N590" s="63"/>
      <c r="O590" s="324"/>
    </row>
    <row r="591" customFormat="false" ht="12.75" hidden="false" customHeight="false" outlineLevel="0" collapsed="false">
      <c r="A591" s="323"/>
      <c r="B591" s="323"/>
      <c r="N591" s="63"/>
      <c r="O591" s="324"/>
    </row>
    <row r="592" customFormat="false" ht="12.75" hidden="false" customHeight="false" outlineLevel="0" collapsed="false">
      <c r="A592" s="323"/>
      <c r="B592" s="323"/>
      <c r="N592" s="63"/>
      <c r="O592" s="324"/>
    </row>
    <row r="593" customFormat="false" ht="12.75" hidden="false" customHeight="false" outlineLevel="0" collapsed="false">
      <c r="A593" s="323"/>
      <c r="B593" s="323"/>
      <c r="N593" s="63"/>
      <c r="O593" s="324"/>
    </row>
    <row r="594" customFormat="false" ht="12.75" hidden="false" customHeight="false" outlineLevel="0" collapsed="false">
      <c r="A594" s="323"/>
      <c r="B594" s="323"/>
      <c r="N594" s="63"/>
      <c r="O594" s="324"/>
    </row>
    <row r="595" customFormat="false" ht="12.75" hidden="false" customHeight="false" outlineLevel="0" collapsed="false">
      <c r="A595" s="323"/>
      <c r="B595" s="323"/>
      <c r="N595" s="63"/>
      <c r="O595" s="324"/>
    </row>
    <row r="596" customFormat="false" ht="12.75" hidden="false" customHeight="false" outlineLevel="0" collapsed="false">
      <c r="A596" s="323"/>
      <c r="B596" s="323"/>
      <c r="N596" s="63"/>
      <c r="O596" s="324"/>
    </row>
    <row r="597" customFormat="false" ht="12.75" hidden="false" customHeight="false" outlineLevel="0" collapsed="false">
      <c r="A597" s="323"/>
      <c r="B597" s="323"/>
      <c r="N597" s="63"/>
      <c r="O597" s="324"/>
    </row>
    <row r="598" customFormat="false" ht="12.75" hidden="false" customHeight="false" outlineLevel="0" collapsed="false">
      <c r="A598" s="323"/>
      <c r="B598" s="323"/>
      <c r="N598" s="63"/>
      <c r="O598" s="324"/>
    </row>
    <row r="599" customFormat="false" ht="12.75" hidden="false" customHeight="false" outlineLevel="0" collapsed="false">
      <c r="A599" s="323"/>
      <c r="B599" s="323"/>
      <c r="N599" s="63"/>
      <c r="O599" s="324"/>
    </row>
    <row r="600" customFormat="false" ht="12.75" hidden="false" customHeight="false" outlineLevel="0" collapsed="false">
      <c r="A600" s="323"/>
      <c r="B600" s="323"/>
      <c r="N600" s="63"/>
      <c r="O600" s="324"/>
    </row>
    <row r="601" customFormat="false" ht="12.75" hidden="false" customHeight="false" outlineLevel="0" collapsed="false">
      <c r="A601" s="323"/>
      <c r="B601" s="323"/>
      <c r="N601" s="63"/>
      <c r="O601" s="324"/>
    </row>
    <row r="602" customFormat="false" ht="12.75" hidden="false" customHeight="false" outlineLevel="0" collapsed="false">
      <c r="A602" s="323"/>
      <c r="B602" s="323"/>
      <c r="N602" s="63"/>
      <c r="O602" s="324"/>
    </row>
    <row r="603" customFormat="false" ht="12.75" hidden="false" customHeight="false" outlineLevel="0" collapsed="false">
      <c r="A603" s="323"/>
      <c r="B603" s="323"/>
      <c r="N603" s="63"/>
      <c r="O603" s="324"/>
    </row>
    <row r="604" customFormat="false" ht="12.75" hidden="false" customHeight="false" outlineLevel="0" collapsed="false">
      <c r="A604" s="323"/>
      <c r="B604" s="323"/>
      <c r="N604" s="63"/>
      <c r="O604" s="324"/>
    </row>
    <row r="605" customFormat="false" ht="12.75" hidden="false" customHeight="false" outlineLevel="0" collapsed="false">
      <c r="A605" s="323"/>
      <c r="B605" s="323"/>
      <c r="N605" s="63"/>
      <c r="O605" s="324"/>
    </row>
    <row r="606" customFormat="false" ht="12.75" hidden="false" customHeight="false" outlineLevel="0" collapsed="false">
      <c r="A606" s="323"/>
      <c r="B606" s="323"/>
      <c r="N606" s="63"/>
      <c r="O606" s="324"/>
    </row>
    <row r="607" customFormat="false" ht="12.75" hidden="false" customHeight="false" outlineLevel="0" collapsed="false">
      <c r="A607" s="323"/>
      <c r="B607" s="323"/>
      <c r="N607" s="63"/>
      <c r="O607" s="324"/>
    </row>
    <row r="608" customFormat="false" ht="12.75" hidden="false" customHeight="false" outlineLevel="0" collapsed="false">
      <c r="A608" s="323"/>
      <c r="B608" s="323"/>
      <c r="N608" s="63"/>
      <c r="O608" s="324"/>
    </row>
    <row r="609" customFormat="false" ht="12.75" hidden="false" customHeight="false" outlineLevel="0" collapsed="false">
      <c r="A609" s="323"/>
      <c r="B609" s="323"/>
      <c r="N609" s="63"/>
      <c r="O609" s="324"/>
    </row>
    <row r="610" customFormat="false" ht="12.75" hidden="false" customHeight="false" outlineLevel="0" collapsed="false">
      <c r="A610" s="323"/>
      <c r="B610" s="323"/>
      <c r="N610" s="63"/>
      <c r="O610" s="324"/>
    </row>
    <row r="611" customFormat="false" ht="12.75" hidden="false" customHeight="false" outlineLevel="0" collapsed="false">
      <c r="A611" s="323"/>
      <c r="B611" s="323"/>
      <c r="N611" s="63"/>
      <c r="O611" s="324"/>
    </row>
    <row r="612" customFormat="false" ht="12.75" hidden="false" customHeight="false" outlineLevel="0" collapsed="false">
      <c r="A612" s="323"/>
      <c r="B612" s="323"/>
      <c r="N612" s="63"/>
      <c r="O612" s="324"/>
    </row>
    <row r="613" customFormat="false" ht="12.75" hidden="false" customHeight="false" outlineLevel="0" collapsed="false">
      <c r="A613" s="323"/>
      <c r="B613" s="323"/>
      <c r="N613" s="63"/>
      <c r="O613" s="324"/>
    </row>
    <row r="614" customFormat="false" ht="12.75" hidden="false" customHeight="false" outlineLevel="0" collapsed="false">
      <c r="A614" s="323"/>
      <c r="B614" s="323"/>
      <c r="N614" s="63"/>
      <c r="O614" s="324"/>
    </row>
    <row r="615" customFormat="false" ht="12.75" hidden="false" customHeight="false" outlineLevel="0" collapsed="false">
      <c r="A615" s="323"/>
      <c r="B615" s="323"/>
      <c r="N615" s="63"/>
      <c r="O615" s="324"/>
    </row>
    <row r="616" customFormat="false" ht="12.75" hidden="false" customHeight="false" outlineLevel="0" collapsed="false">
      <c r="A616" s="323"/>
      <c r="B616" s="323"/>
      <c r="N616" s="63"/>
      <c r="O616" s="324"/>
    </row>
    <row r="617" customFormat="false" ht="12.75" hidden="false" customHeight="false" outlineLevel="0" collapsed="false">
      <c r="A617" s="323"/>
      <c r="B617" s="323"/>
      <c r="N617" s="63"/>
      <c r="O617" s="324"/>
    </row>
    <row r="618" customFormat="false" ht="12.75" hidden="false" customHeight="false" outlineLevel="0" collapsed="false">
      <c r="A618" s="323"/>
      <c r="B618" s="323"/>
      <c r="N618" s="63"/>
      <c r="O618" s="324"/>
    </row>
    <row r="619" customFormat="false" ht="12.75" hidden="false" customHeight="false" outlineLevel="0" collapsed="false">
      <c r="A619" s="323"/>
      <c r="B619" s="323"/>
      <c r="N619" s="63"/>
      <c r="O619" s="324"/>
    </row>
    <row r="620" customFormat="false" ht="12.75" hidden="false" customHeight="false" outlineLevel="0" collapsed="false">
      <c r="A620" s="323"/>
      <c r="B620" s="323"/>
      <c r="N620" s="63"/>
      <c r="O620" s="324"/>
    </row>
    <row r="621" customFormat="false" ht="12.75" hidden="false" customHeight="false" outlineLevel="0" collapsed="false">
      <c r="A621" s="323"/>
      <c r="B621" s="323"/>
      <c r="N621" s="63"/>
      <c r="O621" s="324"/>
    </row>
    <row r="622" customFormat="false" ht="12.75" hidden="false" customHeight="false" outlineLevel="0" collapsed="false">
      <c r="A622" s="323"/>
      <c r="B622" s="323"/>
      <c r="N622" s="63"/>
      <c r="O622" s="324"/>
    </row>
    <row r="623" customFormat="false" ht="12.75" hidden="false" customHeight="false" outlineLevel="0" collapsed="false">
      <c r="A623" s="323"/>
      <c r="B623" s="323"/>
      <c r="N623" s="63"/>
      <c r="O623" s="324"/>
    </row>
    <row r="624" customFormat="false" ht="12.75" hidden="false" customHeight="false" outlineLevel="0" collapsed="false">
      <c r="A624" s="323"/>
      <c r="B624" s="323"/>
      <c r="N624" s="63"/>
      <c r="O624" s="324"/>
    </row>
    <row r="625" customFormat="false" ht="12.75" hidden="false" customHeight="false" outlineLevel="0" collapsed="false">
      <c r="A625" s="323"/>
      <c r="B625" s="323"/>
      <c r="N625" s="63"/>
      <c r="O625" s="324"/>
    </row>
    <row r="626" customFormat="false" ht="12.75" hidden="false" customHeight="false" outlineLevel="0" collapsed="false">
      <c r="A626" s="323"/>
      <c r="B626" s="323"/>
      <c r="N626" s="63"/>
      <c r="O626" s="324"/>
    </row>
    <row r="627" customFormat="false" ht="12.75" hidden="false" customHeight="false" outlineLevel="0" collapsed="false">
      <c r="A627" s="323"/>
      <c r="B627" s="323"/>
      <c r="N627" s="63"/>
      <c r="O627" s="324"/>
    </row>
    <row r="628" customFormat="false" ht="12.75" hidden="false" customHeight="false" outlineLevel="0" collapsed="false">
      <c r="A628" s="323"/>
      <c r="B628" s="323"/>
      <c r="N628" s="63"/>
      <c r="O628" s="324"/>
    </row>
    <row r="629" customFormat="false" ht="12.75" hidden="false" customHeight="false" outlineLevel="0" collapsed="false">
      <c r="A629" s="323"/>
      <c r="B629" s="323"/>
      <c r="N629" s="63"/>
      <c r="O629" s="324"/>
    </row>
    <row r="630" customFormat="false" ht="12.75" hidden="false" customHeight="false" outlineLevel="0" collapsed="false">
      <c r="A630" s="323"/>
      <c r="B630" s="323"/>
      <c r="N630" s="63"/>
      <c r="O630" s="324"/>
    </row>
    <row r="631" customFormat="false" ht="12.75" hidden="false" customHeight="false" outlineLevel="0" collapsed="false">
      <c r="A631" s="323"/>
      <c r="B631" s="323"/>
      <c r="N631" s="63"/>
      <c r="O631" s="324"/>
    </row>
    <row r="632" customFormat="false" ht="12.75" hidden="false" customHeight="false" outlineLevel="0" collapsed="false">
      <c r="A632" s="323"/>
      <c r="B632" s="323"/>
      <c r="N632" s="63"/>
      <c r="O632" s="324"/>
    </row>
    <row r="633" customFormat="false" ht="12.75" hidden="false" customHeight="false" outlineLevel="0" collapsed="false">
      <c r="A633" s="323"/>
      <c r="B633" s="323"/>
      <c r="N633" s="63"/>
      <c r="O633" s="324"/>
    </row>
    <row r="634" customFormat="false" ht="12.75" hidden="false" customHeight="false" outlineLevel="0" collapsed="false">
      <c r="A634" s="323"/>
      <c r="B634" s="323"/>
      <c r="N634" s="63"/>
      <c r="O634" s="324"/>
    </row>
    <row r="635" customFormat="false" ht="12.75" hidden="false" customHeight="false" outlineLevel="0" collapsed="false">
      <c r="A635" s="323"/>
      <c r="B635" s="323"/>
      <c r="N635" s="63"/>
      <c r="O635" s="324"/>
    </row>
    <row r="636" customFormat="false" ht="12.75" hidden="false" customHeight="false" outlineLevel="0" collapsed="false">
      <c r="A636" s="323"/>
      <c r="B636" s="323"/>
      <c r="N636" s="63"/>
      <c r="O636" s="324"/>
    </row>
    <row r="637" customFormat="false" ht="12.75" hidden="false" customHeight="false" outlineLevel="0" collapsed="false">
      <c r="A637" s="323"/>
      <c r="B637" s="323"/>
      <c r="N637" s="63"/>
      <c r="O637" s="324"/>
    </row>
    <row r="638" customFormat="false" ht="12.75" hidden="false" customHeight="false" outlineLevel="0" collapsed="false">
      <c r="A638" s="323"/>
      <c r="B638" s="323"/>
      <c r="N638" s="63"/>
      <c r="O638" s="324"/>
    </row>
    <row r="639" customFormat="false" ht="12.75" hidden="false" customHeight="false" outlineLevel="0" collapsed="false">
      <c r="A639" s="323"/>
      <c r="B639" s="323"/>
      <c r="N639" s="63"/>
      <c r="O639" s="324"/>
    </row>
    <row r="640" customFormat="false" ht="12.75" hidden="false" customHeight="false" outlineLevel="0" collapsed="false">
      <c r="A640" s="323"/>
      <c r="B640" s="323"/>
      <c r="N640" s="63"/>
      <c r="O640" s="324"/>
    </row>
    <row r="641" customFormat="false" ht="12.75" hidden="false" customHeight="false" outlineLevel="0" collapsed="false">
      <c r="A641" s="323"/>
      <c r="B641" s="323"/>
      <c r="N641" s="63"/>
      <c r="O641" s="324"/>
    </row>
    <row r="642" customFormat="false" ht="12.75" hidden="false" customHeight="false" outlineLevel="0" collapsed="false">
      <c r="A642" s="323"/>
      <c r="B642" s="323"/>
      <c r="N642" s="63"/>
      <c r="O642" s="324"/>
    </row>
    <row r="643" customFormat="false" ht="12.75" hidden="false" customHeight="false" outlineLevel="0" collapsed="false">
      <c r="A643" s="323"/>
      <c r="B643" s="323"/>
      <c r="N643" s="63"/>
      <c r="O643" s="324"/>
    </row>
    <row r="644" customFormat="false" ht="12.75" hidden="false" customHeight="false" outlineLevel="0" collapsed="false">
      <c r="A644" s="323"/>
      <c r="B644" s="323"/>
      <c r="N644" s="63"/>
      <c r="O644" s="324"/>
    </row>
    <row r="645" customFormat="false" ht="12.75" hidden="false" customHeight="false" outlineLevel="0" collapsed="false">
      <c r="A645" s="323"/>
      <c r="B645" s="323"/>
      <c r="N645" s="63"/>
      <c r="O645" s="324"/>
    </row>
    <row r="646" customFormat="false" ht="12.75" hidden="false" customHeight="false" outlineLevel="0" collapsed="false">
      <c r="A646" s="323"/>
      <c r="B646" s="323"/>
      <c r="N646" s="63"/>
      <c r="O646" s="324"/>
    </row>
    <row r="647" customFormat="false" ht="12.75" hidden="false" customHeight="false" outlineLevel="0" collapsed="false">
      <c r="A647" s="323"/>
      <c r="B647" s="323"/>
      <c r="N647" s="63"/>
      <c r="O647" s="324"/>
    </row>
    <row r="648" customFormat="false" ht="12.75" hidden="false" customHeight="false" outlineLevel="0" collapsed="false">
      <c r="A648" s="323"/>
      <c r="B648" s="323"/>
      <c r="N648" s="63"/>
      <c r="O648" s="324"/>
    </row>
    <row r="649" customFormat="false" ht="12.75" hidden="false" customHeight="false" outlineLevel="0" collapsed="false">
      <c r="A649" s="323"/>
      <c r="B649" s="323"/>
      <c r="N649" s="63"/>
      <c r="O649" s="324"/>
    </row>
    <row r="650" customFormat="false" ht="12.75" hidden="false" customHeight="false" outlineLevel="0" collapsed="false">
      <c r="A650" s="323"/>
      <c r="B650" s="323"/>
      <c r="N650" s="63"/>
      <c r="O650" s="324"/>
    </row>
    <row r="651" customFormat="false" ht="12.75" hidden="false" customHeight="false" outlineLevel="0" collapsed="false">
      <c r="A651" s="323"/>
      <c r="B651" s="323"/>
      <c r="N651" s="63"/>
      <c r="O651" s="324"/>
    </row>
    <row r="652" customFormat="false" ht="12.75" hidden="false" customHeight="false" outlineLevel="0" collapsed="false">
      <c r="A652" s="323"/>
      <c r="B652" s="323"/>
      <c r="N652" s="63"/>
      <c r="O652" s="324"/>
    </row>
    <row r="653" customFormat="false" ht="12.75" hidden="false" customHeight="false" outlineLevel="0" collapsed="false">
      <c r="A653" s="323"/>
      <c r="B653" s="323"/>
      <c r="N653" s="63"/>
      <c r="O653" s="324"/>
    </row>
    <row r="654" customFormat="false" ht="12.75" hidden="false" customHeight="false" outlineLevel="0" collapsed="false">
      <c r="A654" s="323"/>
      <c r="B654" s="323"/>
      <c r="N654" s="63"/>
      <c r="O654" s="324"/>
    </row>
    <row r="655" customFormat="false" ht="12.75" hidden="false" customHeight="false" outlineLevel="0" collapsed="false">
      <c r="A655" s="323"/>
      <c r="B655" s="323"/>
      <c r="N655" s="63"/>
      <c r="O655" s="324"/>
    </row>
    <row r="656" customFormat="false" ht="12.75" hidden="false" customHeight="false" outlineLevel="0" collapsed="false">
      <c r="A656" s="323"/>
      <c r="B656" s="323"/>
      <c r="N656" s="63"/>
      <c r="O656" s="324"/>
    </row>
    <row r="657" customFormat="false" ht="12.75" hidden="false" customHeight="false" outlineLevel="0" collapsed="false">
      <c r="A657" s="323"/>
      <c r="B657" s="323"/>
      <c r="N657" s="63"/>
      <c r="O657" s="324"/>
    </row>
    <row r="658" customFormat="false" ht="12.75" hidden="false" customHeight="false" outlineLevel="0" collapsed="false">
      <c r="A658" s="323"/>
      <c r="B658" s="323"/>
      <c r="N658" s="63"/>
      <c r="O658" s="324"/>
    </row>
    <row r="659" customFormat="false" ht="12.75" hidden="false" customHeight="false" outlineLevel="0" collapsed="false">
      <c r="A659" s="323"/>
      <c r="B659" s="323"/>
      <c r="N659" s="63"/>
      <c r="O659" s="324"/>
    </row>
    <row r="660" customFormat="false" ht="12.75" hidden="false" customHeight="false" outlineLevel="0" collapsed="false">
      <c r="A660" s="323"/>
      <c r="B660" s="323"/>
      <c r="N660" s="63"/>
      <c r="O660" s="324"/>
    </row>
    <row r="661" customFormat="false" ht="12.75" hidden="false" customHeight="false" outlineLevel="0" collapsed="false">
      <c r="A661" s="323"/>
      <c r="B661" s="323"/>
      <c r="N661" s="63"/>
      <c r="O661" s="324"/>
    </row>
    <row r="662" customFormat="false" ht="12.75" hidden="false" customHeight="false" outlineLevel="0" collapsed="false">
      <c r="A662" s="323"/>
      <c r="B662" s="323"/>
      <c r="N662" s="63"/>
      <c r="O662" s="324"/>
    </row>
    <row r="663" customFormat="false" ht="12.75" hidden="false" customHeight="false" outlineLevel="0" collapsed="false">
      <c r="A663" s="323"/>
      <c r="B663" s="323"/>
      <c r="N663" s="63"/>
      <c r="O663" s="324"/>
    </row>
    <row r="664" customFormat="false" ht="12.75" hidden="false" customHeight="false" outlineLevel="0" collapsed="false">
      <c r="A664" s="323"/>
      <c r="B664" s="323"/>
      <c r="N664" s="63"/>
      <c r="O664" s="324"/>
    </row>
    <row r="665" customFormat="false" ht="12.75" hidden="false" customHeight="false" outlineLevel="0" collapsed="false">
      <c r="A665" s="323"/>
      <c r="B665" s="323"/>
      <c r="N665" s="63"/>
      <c r="O665" s="324"/>
    </row>
    <row r="666" customFormat="false" ht="12.75" hidden="false" customHeight="false" outlineLevel="0" collapsed="false">
      <c r="A666" s="323"/>
      <c r="B666" s="323"/>
      <c r="N666" s="63"/>
      <c r="O666" s="324"/>
    </row>
    <row r="667" customFormat="false" ht="12.75" hidden="false" customHeight="false" outlineLevel="0" collapsed="false">
      <c r="A667" s="323"/>
      <c r="B667" s="323"/>
      <c r="N667" s="63"/>
      <c r="O667" s="324"/>
    </row>
    <row r="668" customFormat="false" ht="12.75" hidden="false" customHeight="false" outlineLevel="0" collapsed="false">
      <c r="A668" s="323"/>
      <c r="B668" s="323"/>
      <c r="N668" s="63"/>
      <c r="O668" s="324"/>
    </row>
    <row r="669" customFormat="false" ht="12.75" hidden="false" customHeight="false" outlineLevel="0" collapsed="false">
      <c r="A669" s="323"/>
      <c r="B669" s="323"/>
      <c r="N669" s="63"/>
      <c r="O669" s="324"/>
    </row>
    <row r="670" customFormat="false" ht="12.75" hidden="false" customHeight="false" outlineLevel="0" collapsed="false">
      <c r="A670" s="323"/>
      <c r="B670" s="323"/>
      <c r="N670" s="63"/>
      <c r="O670" s="324"/>
    </row>
    <row r="671" customFormat="false" ht="12.75" hidden="false" customHeight="false" outlineLevel="0" collapsed="false">
      <c r="A671" s="323"/>
      <c r="B671" s="323"/>
      <c r="N671" s="63"/>
      <c r="O671" s="324"/>
    </row>
    <row r="672" customFormat="false" ht="12.75" hidden="false" customHeight="false" outlineLevel="0" collapsed="false">
      <c r="A672" s="323"/>
      <c r="B672" s="323"/>
      <c r="N672" s="63"/>
      <c r="O672" s="324"/>
    </row>
    <row r="673" customFormat="false" ht="12.75" hidden="false" customHeight="false" outlineLevel="0" collapsed="false">
      <c r="A673" s="323"/>
      <c r="B673" s="323"/>
      <c r="N673" s="63"/>
      <c r="O673" s="324"/>
    </row>
    <row r="674" customFormat="false" ht="12.75" hidden="false" customHeight="false" outlineLevel="0" collapsed="false">
      <c r="A674" s="323"/>
      <c r="B674" s="323"/>
      <c r="N674" s="63"/>
      <c r="O674" s="324"/>
    </row>
    <row r="675" customFormat="false" ht="12.75" hidden="false" customHeight="false" outlineLevel="0" collapsed="false">
      <c r="A675" s="323"/>
      <c r="B675" s="323"/>
      <c r="N675" s="63"/>
      <c r="O675" s="324"/>
    </row>
    <row r="676" customFormat="false" ht="12.75" hidden="false" customHeight="false" outlineLevel="0" collapsed="false">
      <c r="A676" s="323"/>
      <c r="B676" s="323"/>
      <c r="N676" s="63"/>
      <c r="O676" s="324"/>
    </row>
    <row r="677" customFormat="false" ht="12.75" hidden="false" customHeight="false" outlineLevel="0" collapsed="false">
      <c r="A677" s="323"/>
      <c r="B677" s="323"/>
      <c r="N677" s="63"/>
      <c r="O677" s="324"/>
    </row>
    <row r="678" customFormat="false" ht="12.75" hidden="false" customHeight="false" outlineLevel="0" collapsed="false">
      <c r="A678" s="323"/>
      <c r="B678" s="323"/>
      <c r="N678" s="63"/>
      <c r="O678" s="324"/>
    </row>
    <row r="679" customFormat="false" ht="12.75" hidden="false" customHeight="false" outlineLevel="0" collapsed="false">
      <c r="A679" s="323"/>
      <c r="B679" s="323"/>
      <c r="N679" s="63"/>
      <c r="O679" s="324"/>
    </row>
    <row r="680" customFormat="false" ht="12.75" hidden="false" customHeight="false" outlineLevel="0" collapsed="false">
      <c r="A680" s="323"/>
      <c r="B680" s="323"/>
      <c r="N680" s="63"/>
      <c r="O680" s="324"/>
    </row>
    <row r="681" customFormat="false" ht="12.75" hidden="false" customHeight="false" outlineLevel="0" collapsed="false">
      <c r="A681" s="323"/>
      <c r="B681" s="323"/>
      <c r="N681" s="63"/>
      <c r="O681" s="324"/>
    </row>
    <row r="682" customFormat="false" ht="12.75" hidden="false" customHeight="false" outlineLevel="0" collapsed="false">
      <c r="A682" s="323"/>
      <c r="B682" s="323"/>
      <c r="N682" s="63"/>
      <c r="O682" s="324"/>
    </row>
    <row r="683" customFormat="false" ht="12.75" hidden="false" customHeight="false" outlineLevel="0" collapsed="false">
      <c r="A683" s="323"/>
      <c r="B683" s="323"/>
      <c r="N683" s="63"/>
      <c r="O683" s="324"/>
    </row>
    <row r="684" customFormat="false" ht="12.75" hidden="false" customHeight="false" outlineLevel="0" collapsed="false">
      <c r="A684" s="323"/>
      <c r="B684" s="323"/>
      <c r="N684" s="63"/>
      <c r="O684" s="324"/>
    </row>
    <row r="685" customFormat="false" ht="12.75" hidden="false" customHeight="false" outlineLevel="0" collapsed="false">
      <c r="A685" s="323"/>
      <c r="B685" s="323"/>
      <c r="N685" s="63"/>
      <c r="O685" s="324"/>
    </row>
    <row r="686" customFormat="false" ht="12.75" hidden="false" customHeight="false" outlineLevel="0" collapsed="false">
      <c r="A686" s="323"/>
      <c r="B686" s="323"/>
      <c r="N686" s="63"/>
      <c r="O686" s="324"/>
    </row>
    <row r="687" customFormat="false" ht="12.75" hidden="false" customHeight="false" outlineLevel="0" collapsed="false">
      <c r="A687" s="323"/>
      <c r="B687" s="323"/>
      <c r="N687" s="63"/>
      <c r="O687" s="324"/>
    </row>
    <row r="688" customFormat="false" ht="12.75" hidden="false" customHeight="false" outlineLevel="0" collapsed="false">
      <c r="A688" s="323"/>
      <c r="B688" s="323"/>
      <c r="N688" s="63"/>
      <c r="O688" s="324"/>
    </row>
    <row r="689" customFormat="false" ht="12.75" hidden="false" customHeight="false" outlineLevel="0" collapsed="false">
      <c r="A689" s="323"/>
      <c r="B689" s="323"/>
      <c r="N689" s="63"/>
      <c r="O689" s="324"/>
    </row>
    <row r="690" customFormat="false" ht="12.75" hidden="false" customHeight="false" outlineLevel="0" collapsed="false">
      <c r="A690" s="323"/>
      <c r="B690" s="323"/>
      <c r="N690" s="63"/>
      <c r="O690" s="324"/>
    </row>
    <row r="691" customFormat="false" ht="12.75" hidden="false" customHeight="false" outlineLevel="0" collapsed="false">
      <c r="A691" s="323"/>
      <c r="B691" s="323"/>
      <c r="N691" s="63"/>
      <c r="O691" s="324"/>
    </row>
    <row r="692" customFormat="false" ht="12.75" hidden="false" customHeight="false" outlineLevel="0" collapsed="false">
      <c r="A692" s="323"/>
      <c r="B692" s="323"/>
      <c r="N692" s="63"/>
      <c r="O692" s="324"/>
    </row>
    <row r="693" customFormat="false" ht="12.75" hidden="false" customHeight="false" outlineLevel="0" collapsed="false">
      <c r="A693" s="323"/>
      <c r="B693" s="323"/>
      <c r="N693" s="63"/>
      <c r="O693" s="324"/>
    </row>
    <row r="694" customFormat="false" ht="12.75" hidden="false" customHeight="false" outlineLevel="0" collapsed="false">
      <c r="A694" s="323"/>
      <c r="B694" s="323"/>
      <c r="N694" s="63"/>
      <c r="O694" s="324"/>
    </row>
    <row r="695" customFormat="false" ht="12.75" hidden="false" customHeight="false" outlineLevel="0" collapsed="false">
      <c r="A695" s="323"/>
      <c r="B695" s="323"/>
      <c r="N695" s="63"/>
      <c r="O695" s="324"/>
    </row>
    <row r="696" customFormat="false" ht="12.75" hidden="false" customHeight="false" outlineLevel="0" collapsed="false">
      <c r="A696" s="323"/>
      <c r="B696" s="323"/>
      <c r="N696" s="63"/>
      <c r="O696" s="324"/>
    </row>
    <row r="697" customFormat="false" ht="12.75" hidden="false" customHeight="false" outlineLevel="0" collapsed="false">
      <c r="A697" s="323"/>
      <c r="B697" s="323"/>
      <c r="N697" s="63"/>
      <c r="O697" s="324"/>
    </row>
    <row r="698" customFormat="false" ht="12.75" hidden="false" customHeight="false" outlineLevel="0" collapsed="false">
      <c r="A698" s="323"/>
      <c r="B698" s="323"/>
      <c r="N698" s="63"/>
      <c r="O698" s="324"/>
    </row>
    <row r="699" customFormat="false" ht="12.75" hidden="false" customHeight="false" outlineLevel="0" collapsed="false">
      <c r="A699" s="323"/>
      <c r="B699" s="323"/>
      <c r="N699" s="63"/>
      <c r="O699" s="324"/>
    </row>
    <row r="700" customFormat="false" ht="12.75" hidden="false" customHeight="false" outlineLevel="0" collapsed="false">
      <c r="A700" s="323"/>
      <c r="B700" s="323"/>
      <c r="N700" s="63"/>
      <c r="O700" s="324"/>
    </row>
    <row r="701" customFormat="false" ht="12.75" hidden="false" customHeight="false" outlineLevel="0" collapsed="false">
      <c r="A701" s="323"/>
      <c r="B701" s="323"/>
      <c r="N701" s="63"/>
      <c r="O701" s="324"/>
    </row>
    <row r="702" customFormat="false" ht="12.75" hidden="false" customHeight="false" outlineLevel="0" collapsed="false">
      <c r="A702" s="323"/>
      <c r="B702" s="323"/>
      <c r="N702" s="63"/>
      <c r="O702" s="324"/>
    </row>
    <row r="703" customFormat="false" ht="12.75" hidden="false" customHeight="false" outlineLevel="0" collapsed="false">
      <c r="A703" s="323"/>
      <c r="B703" s="323"/>
      <c r="N703" s="63"/>
      <c r="O703" s="324"/>
    </row>
    <row r="704" customFormat="false" ht="12.75" hidden="false" customHeight="false" outlineLevel="0" collapsed="false">
      <c r="A704" s="323"/>
      <c r="B704" s="323"/>
      <c r="N704" s="63"/>
      <c r="O704" s="324"/>
    </row>
    <row r="705" customFormat="false" ht="12.75" hidden="false" customHeight="false" outlineLevel="0" collapsed="false">
      <c r="A705" s="323"/>
      <c r="B705" s="323"/>
      <c r="N705" s="63"/>
      <c r="O705" s="324"/>
    </row>
    <row r="706" customFormat="false" ht="12.75" hidden="false" customHeight="false" outlineLevel="0" collapsed="false">
      <c r="A706" s="323"/>
      <c r="B706" s="323"/>
      <c r="N706" s="63"/>
      <c r="O706" s="324"/>
    </row>
    <row r="707" customFormat="false" ht="12.75" hidden="false" customHeight="false" outlineLevel="0" collapsed="false">
      <c r="A707" s="323"/>
      <c r="B707" s="323"/>
      <c r="N707" s="63"/>
      <c r="O707" s="324"/>
    </row>
    <row r="708" customFormat="false" ht="12.75" hidden="false" customHeight="false" outlineLevel="0" collapsed="false">
      <c r="A708" s="323"/>
      <c r="B708" s="323"/>
      <c r="N708" s="63"/>
      <c r="O708" s="324"/>
    </row>
    <row r="709" customFormat="false" ht="12.75" hidden="false" customHeight="false" outlineLevel="0" collapsed="false">
      <c r="A709" s="323"/>
      <c r="B709" s="323"/>
      <c r="N709" s="63"/>
      <c r="O709" s="324"/>
    </row>
    <row r="710" customFormat="false" ht="12.75" hidden="false" customHeight="false" outlineLevel="0" collapsed="false">
      <c r="A710" s="323"/>
      <c r="B710" s="323"/>
      <c r="N710" s="63"/>
      <c r="O710" s="324"/>
    </row>
    <row r="711" customFormat="false" ht="12.75" hidden="false" customHeight="false" outlineLevel="0" collapsed="false">
      <c r="A711" s="323"/>
      <c r="B711" s="323"/>
      <c r="N711" s="63"/>
      <c r="O711" s="324"/>
    </row>
    <row r="712" customFormat="false" ht="12.75" hidden="false" customHeight="false" outlineLevel="0" collapsed="false">
      <c r="A712" s="323"/>
      <c r="B712" s="323"/>
      <c r="N712" s="63"/>
      <c r="O712" s="324"/>
    </row>
    <row r="713" customFormat="false" ht="12.75" hidden="false" customHeight="false" outlineLevel="0" collapsed="false">
      <c r="A713" s="323"/>
      <c r="B713" s="323"/>
      <c r="N713" s="63"/>
      <c r="O713" s="324"/>
    </row>
    <row r="714" customFormat="false" ht="12.75" hidden="false" customHeight="false" outlineLevel="0" collapsed="false">
      <c r="A714" s="323"/>
      <c r="B714" s="323"/>
      <c r="N714" s="63"/>
      <c r="O714" s="324"/>
    </row>
    <row r="715" customFormat="false" ht="12.75" hidden="false" customHeight="false" outlineLevel="0" collapsed="false">
      <c r="A715" s="323"/>
      <c r="B715" s="323"/>
      <c r="N715" s="63"/>
      <c r="O715" s="324"/>
    </row>
    <row r="716" customFormat="false" ht="12.75" hidden="false" customHeight="false" outlineLevel="0" collapsed="false">
      <c r="A716" s="323"/>
      <c r="B716" s="323"/>
      <c r="N716" s="63"/>
      <c r="O716" s="324"/>
    </row>
    <row r="717" customFormat="false" ht="12.75" hidden="false" customHeight="false" outlineLevel="0" collapsed="false">
      <c r="A717" s="323"/>
      <c r="B717" s="323"/>
      <c r="N717" s="63"/>
      <c r="O717" s="324"/>
    </row>
    <row r="718" customFormat="false" ht="12.75" hidden="false" customHeight="false" outlineLevel="0" collapsed="false">
      <c r="A718" s="323"/>
      <c r="B718" s="323"/>
      <c r="N718" s="63"/>
      <c r="O718" s="324"/>
    </row>
    <row r="719" customFormat="false" ht="12.75" hidden="false" customHeight="false" outlineLevel="0" collapsed="false">
      <c r="A719" s="323"/>
      <c r="B719" s="323"/>
      <c r="N719" s="63"/>
      <c r="O719" s="324"/>
    </row>
    <row r="720" customFormat="false" ht="12.75" hidden="false" customHeight="false" outlineLevel="0" collapsed="false">
      <c r="A720" s="323"/>
      <c r="B720" s="323"/>
      <c r="N720" s="63"/>
      <c r="O720" s="324"/>
    </row>
    <row r="721" customFormat="false" ht="12.75" hidden="false" customHeight="false" outlineLevel="0" collapsed="false">
      <c r="A721" s="323"/>
      <c r="B721" s="323"/>
      <c r="N721" s="63"/>
      <c r="O721" s="324"/>
    </row>
    <row r="722" customFormat="false" ht="12.75" hidden="false" customHeight="false" outlineLevel="0" collapsed="false">
      <c r="A722" s="323"/>
      <c r="B722" s="323"/>
      <c r="N722" s="63"/>
      <c r="O722" s="324"/>
    </row>
    <row r="723" customFormat="false" ht="12.75" hidden="false" customHeight="false" outlineLevel="0" collapsed="false">
      <c r="A723" s="323"/>
      <c r="B723" s="323"/>
      <c r="N723" s="63"/>
      <c r="O723" s="324"/>
    </row>
    <row r="724" customFormat="false" ht="12.75" hidden="false" customHeight="false" outlineLevel="0" collapsed="false">
      <c r="A724" s="323"/>
      <c r="B724" s="323"/>
      <c r="N724" s="63"/>
      <c r="O724" s="324"/>
    </row>
    <row r="725" customFormat="false" ht="12.75" hidden="false" customHeight="false" outlineLevel="0" collapsed="false">
      <c r="A725" s="323"/>
      <c r="B725" s="323"/>
      <c r="N725" s="63"/>
      <c r="O725" s="324"/>
    </row>
    <row r="726" customFormat="false" ht="12.75" hidden="false" customHeight="false" outlineLevel="0" collapsed="false">
      <c r="A726" s="323"/>
      <c r="B726" s="323"/>
      <c r="N726" s="63"/>
      <c r="O726" s="324"/>
    </row>
    <row r="727" customFormat="false" ht="12.75" hidden="false" customHeight="false" outlineLevel="0" collapsed="false">
      <c r="A727" s="323"/>
      <c r="B727" s="323"/>
      <c r="N727" s="63"/>
      <c r="O727" s="324"/>
    </row>
    <row r="728" customFormat="false" ht="12.75" hidden="false" customHeight="false" outlineLevel="0" collapsed="false">
      <c r="A728" s="323"/>
      <c r="B728" s="323"/>
      <c r="N728" s="63"/>
      <c r="O728" s="324"/>
    </row>
    <row r="729" customFormat="false" ht="12.75" hidden="false" customHeight="false" outlineLevel="0" collapsed="false">
      <c r="A729" s="323"/>
      <c r="B729" s="323"/>
      <c r="N729" s="63"/>
      <c r="O729" s="324"/>
    </row>
    <row r="730" customFormat="false" ht="12.75" hidden="false" customHeight="false" outlineLevel="0" collapsed="false">
      <c r="A730" s="323"/>
      <c r="B730" s="323"/>
      <c r="N730" s="63"/>
      <c r="O730" s="324"/>
    </row>
    <row r="731" customFormat="false" ht="12.75" hidden="false" customHeight="false" outlineLevel="0" collapsed="false">
      <c r="A731" s="323"/>
      <c r="B731" s="323"/>
      <c r="N731" s="63"/>
      <c r="O731" s="324"/>
    </row>
    <row r="732" customFormat="false" ht="12.75" hidden="false" customHeight="false" outlineLevel="0" collapsed="false">
      <c r="A732" s="323"/>
      <c r="B732" s="323"/>
      <c r="N732" s="63"/>
      <c r="O732" s="324"/>
    </row>
    <row r="733" customFormat="false" ht="12.75" hidden="false" customHeight="false" outlineLevel="0" collapsed="false">
      <c r="A733" s="323"/>
      <c r="B733" s="323"/>
      <c r="N733" s="63"/>
      <c r="O733" s="324"/>
    </row>
    <row r="734" customFormat="false" ht="12.75" hidden="false" customHeight="false" outlineLevel="0" collapsed="false">
      <c r="A734" s="323"/>
      <c r="B734" s="323"/>
      <c r="N734" s="63"/>
      <c r="O734" s="324"/>
    </row>
    <row r="735" customFormat="false" ht="12.75" hidden="false" customHeight="false" outlineLevel="0" collapsed="false">
      <c r="A735" s="323"/>
      <c r="B735" s="323"/>
      <c r="N735" s="63"/>
      <c r="O735" s="324"/>
    </row>
    <row r="736" customFormat="false" ht="12.75" hidden="false" customHeight="false" outlineLevel="0" collapsed="false">
      <c r="A736" s="323"/>
      <c r="B736" s="323"/>
      <c r="N736" s="63"/>
      <c r="O736" s="324"/>
    </row>
    <row r="737" customFormat="false" ht="12.75" hidden="false" customHeight="false" outlineLevel="0" collapsed="false">
      <c r="A737" s="323"/>
      <c r="B737" s="323"/>
      <c r="N737" s="63"/>
      <c r="O737" s="324"/>
    </row>
    <row r="738" customFormat="false" ht="12.75" hidden="false" customHeight="false" outlineLevel="0" collapsed="false">
      <c r="A738" s="323"/>
      <c r="B738" s="323"/>
      <c r="N738" s="63"/>
      <c r="O738" s="324"/>
    </row>
    <row r="739" customFormat="false" ht="12.75" hidden="false" customHeight="false" outlineLevel="0" collapsed="false">
      <c r="A739" s="323"/>
      <c r="B739" s="323"/>
      <c r="N739" s="63"/>
      <c r="O739" s="324"/>
    </row>
    <row r="740" customFormat="false" ht="12.75" hidden="false" customHeight="false" outlineLevel="0" collapsed="false">
      <c r="A740" s="323"/>
      <c r="B740" s="323"/>
      <c r="N740" s="63"/>
      <c r="O740" s="324"/>
    </row>
    <row r="741" customFormat="false" ht="12.75" hidden="false" customHeight="false" outlineLevel="0" collapsed="false">
      <c r="A741" s="323"/>
      <c r="B741" s="323"/>
      <c r="N741" s="63"/>
      <c r="O741" s="324"/>
    </row>
    <row r="742" customFormat="false" ht="12.75" hidden="false" customHeight="false" outlineLevel="0" collapsed="false">
      <c r="A742" s="323"/>
      <c r="B742" s="323"/>
      <c r="N742" s="63"/>
      <c r="O742" s="324"/>
    </row>
    <row r="743" customFormat="false" ht="12.75" hidden="false" customHeight="false" outlineLevel="0" collapsed="false">
      <c r="A743" s="323"/>
      <c r="B743" s="323"/>
      <c r="N743" s="63"/>
      <c r="O743" s="324"/>
    </row>
    <row r="744" customFormat="false" ht="12.75" hidden="false" customHeight="false" outlineLevel="0" collapsed="false">
      <c r="A744" s="323"/>
      <c r="B744" s="323"/>
      <c r="N744" s="63"/>
      <c r="O744" s="324"/>
    </row>
    <row r="745" customFormat="false" ht="12.75" hidden="false" customHeight="false" outlineLevel="0" collapsed="false">
      <c r="A745" s="323"/>
      <c r="B745" s="323"/>
      <c r="N745" s="63"/>
      <c r="O745" s="324"/>
    </row>
    <row r="746" customFormat="false" ht="12.75" hidden="false" customHeight="false" outlineLevel="0" collapsed="false">
      <c r="A746" s="323"/>
      <c r="B746" s="323"/>
      <c r="N746" s="63"/>
      <c r="O746" s="324"/>
    </row>
    <row r="747" customFormat="false" ht="12.75" hidden="false" customHeight="false" outlineLevel="0" collapsed="false">
      <c r="A747" s="323"/>
      <c r="B747" s="323"/>
      <c r="N747" s="63"/>
      <c r="O747" s="324"/>
    </row>
    <row r="748" customFormat="false" ht="12.75" hidden="false" customHeight="false" outlineLevel="0" collapsed="false">
      <c r="A748" s="323"/>
      <c r="B748" s="323"/>
      <c r="N748" s="63"/>
      <c r="O748" s="324"/>
    </row>
    <row r="749" customFormat="false" ht="12.75" hidden="false" customHeight="false" outlineLevel="0" collapsed="false">
      <c r="A749" s="323"/>
      <c r="B749" s="323"/>
      <c r="N749" s="63"/>
      <c r="O749" s="324"/>
    </row>
    <row r="750" customFormat="false" ht="12.75" hidden="false" customHeight="false" outlineLevel="0" collapsed="false">
      <c r="A750" s="323"/>
      <c r="B750" s="323"/>
      <c r="N750" s="63"/>
      <c r="O750" s="324"/>
    </row>
    <row r="751" customFormat="false" ht="12.75" hidden="false" customHeight="false" outlineLevel="0" collapsed="false">
      <c r="A751" s="323"/>
      <c r="B751" s="323"/>
      <c r="N751" s="63"/>
      <c r="O751" s="324"/>
    </row>
    <row r="752" customFormat="false" ht="12.75" hidden="false" customHeight="false" outlineLevel="0" collapsed="false">
      <c r="A752" s="323"/>
      <c r="B752" s="323"/>
      <c r="N752" s="63"/>
      <c r="O752" s="324"/>
    </row>
    <row r="753" customFormat="false" ht="12.75" hidden="false" customHeight="false" outlineLevel="0" collapsed="false">
      <c r="A753" s="323"/>
      <c r="B753" s="323"/>
      <c r="N753" s="63"/>
      <c r="O753" s="324"/>
    </row>
    <row r="754" customFormat="false" ht="12.75" hidden="false" customHeight="false" outlineLevel="0" collapsed="false">
      <c r="A754" s="323"/>
      <c r="B754" s="323"/>
      <c r="N754" s="63"/>
      <c r="O754" s="324"/>
    </row>
    <row r="755" customFormat="false" ht="12.75" hidden="false" customHeight="false" outlineLevel="0" collapsed="false">
      <c r="A755" s="323"/>
      <c r="B755" s="323"/>
      <c r="N755" s="63"/>
      <c r="O755" s="324"/>
    </row>
    <row r="756" customFormat="false" ht="12.75" hidden="false" customHeight="false" outlineLevel="0" collapsed="false">
      <c r="A756" s="323"/>
      <c r="B756" s="323"/>
      <c r="N756" s="63"/>
      <c r="O756" s="324"/>
    </row>
    <row r="757" customFormat="false" ht="12.75" hidden="false" customHeight="false" outlineLevel="0" collapsed="false">
      <c r="A757" s="323"/>
      <c r="B757" s="323"/>
      <c r="N757" s="63"/>
      <c r="O757" s="324"/>
    </row>
    <row r="758" customFormat="false" ht="12.75" hidden="false" customHeight="false" outlineLevel="0" collapsed="false">
      <c r="A758" s="323"/>
      <c r="B758" s="323"/>
      <c r="N758" s="63"/>
      <c r="O758" s="324"/>
    </row>
    <row r="759" customFormat="false" ht="12.75" hidden="false" customHeight="false" outlineLevel="0" collapsed="false">
      <c r="A759" s="323"/>
      <c r="B759" s="323"/>
      <c r="N759" s="63"/>
      <c r="O759" s="324"/>
    </row>
    <row r="760" customFormat="false" ht="12.75" hidden="false" customHeight="false" outlineLevel="0" collapsed="false">
      <c r="A760" s="323"/>
      <c r="B760" s="323"/>
      <c r="N760" s="63"/>
      <c r="O760" s="324"/>
    </row>
    <row r="761" customFormat="false" ht="12.75" hidden="false" customHeight="false" outlineLevel="0" collapsed="false">
      <c r="A761" s="323"/>
      <c r="B761" s="323"/>
      <c r="N761" s="63"/>
      <c r="O761" s="324"/>
    </row>
    <row r="762" customFormat="false" ht="12.75" hidden="false" customHeight="false" outlineLevel="0" collapsed="false">
      <c r="A762" s="323"/>
      <c r="B762" s="323"/>
      <c r="N762" s="63"/>
      <c r="O762" s="324"/>
    </row>
    <row r="763" customFormat="false" ht="12.75" hidden="false" customHeight="false" outlineLevel="0" collapsed="false">
      <c r="A763" s="323"/>
      <c r="B763" s="323"/>
      <c r="N763" s="63"/>
      <c r="O763" s="324"/>
    </row>
    <row r="764" customFormat="false" ht="12.75" hidden="false" customHeight="false" outlineLevel="0" collapsed="false">
      <c r="A764" s="323"/>
      <c r="B764" s="323"/>
      <c r="N764" s="63"/>
      <c r="O764" s="324"/>
    </row>
    <row r="765" customFormat="false" ht="12.75" hidden="false" customHeight="false" outlineLevel="0" collapsed="false">
      <c r="A765" s="323"/>
      <c r="B765" s="323"/>
      <c r="N765" s="63"/>
      <c r="O765" s="324"/>
    </row>
    <row r="766" customFormat="false" ht="12.75" hidden="false" customHeight="false" outlineLevel="0" collapsed="false">
      <c r="A766" s="323"/>
      <c r="B766" s="323"/>
      <c r="N766" s="63"/>
      <c r="O766" s="324"/>
    </row>
    <row r="767" customFormat="false" ht="12.75" hidden="false" customHeight="false" outlineLevel="0" collapsed="false">
      <c r="A767" s="323"/>
      <c r="B767" s="323"/>
      <c r="N767" s="63"/>
      <c r="O767" s="324"/>
    </row>
    <row r="768" customFormat="false" ht="12.75" hidden="false" customHeight="false" outlineLevel="0" collapsed="false">
      <c r="A768" s="323"/>
      <c r="B768" s="323"/>
      <c r="N768" s="63"/>
      <c r="O768" s="324"/>
    </row>
    <row r="769" customFormat="false" ht="12.75" hidden="false" customHeight="false" outlineLevel="0" collapsed="false">
      <c r="A769" s="323"/>
      <c r="B769" s="323"/>
      <c r="N769" s="63"/>
      <c r="O769" s="324"/>
    </row>
    <row r="770" customFormat="false" ht="12.75" hidden="false" customHeight="false" outlineLevel="0" collapsed="false">
      <c r="A770" s="323"/>
      <c r="B770" s="323"/>
      <c r="N770" s="63"/>
      <c r="O770" s="324"/>
    </row>
    <row r="771" customFormat="false" ht="12.75" hidden="false" customHeight="false" outlineLevel="0" collapsed="false">
      <c r="A771" s="323"/>
      <c r="B771" s="323"/>
      <c r="N771" s="63"/>
      <c r="O771" s="324"/>
    </row>
    <row r="772" customFormat="false" ht="12.75" hidden="false" customHeight="false" outlineLevel="0" collapsed="false">
      <c r="A772" s="323"/>
      <c r="B772" s="323"/>
      <c r="N772" s="63"/>
      <c r="O772" s="324"/>
    </row>
    <row r="773" customFormat="false" ht="12.75" hidden="false" customHeight="false" outlineLevel="0" collapsed="false">
      <c r="A773" s="323"/>
      <c r="B773" s="323"/>
      <c r="N773" s="63"/>
      <c r="O773" s="324"/>
    </row>
    <row r="774" customFormat="false" ht="12.75" hidden="false" customHeight="false" outlineLevel="0" collapsed="false">
      <c r="A774" s="323"/>
      <c r="B774" s="323"/>
      <c r="N774" s="63"/>
      <c r="O774" s="324"/>
    </row>
    <row r="775" customFormat="false" ht="12.75" hidden="false" customHeight="false" outlineLevel="0" collapsed="false">
      <c r="A775" s="323"/>
      <c r="B775" s="323"/>
      <c r="N775" s="63"/>
      <c r="O775" s="324"/>
    </row>
    <row r="776" customFormat="false" ht="12.75" hidden="false" customHeight="false" outlineLevel="0" collapsed="false">
      <c r="A776" s="323"/>
      <c r="B776" s="323"/>
      <c r="N776" s="63"/>
      <c r="O776" s="324"/>
    </row>
    <row r="777" customFormat="false" ht="12.75" hidden="false" customHeight="false" outlineLevel="0" collapsed="false">
      <c r="A777" s="323"/>
      <c r="B777" s="323"/>
      <c r="N777" s="63"/>
      <c r="O777" s="324"/>
    </row>
    <row r="778" customFormat="false" ht="12.75" hidden="false" customHeight="false" outlineLevel="0" collapsed="false">
      <c r="A778" s="323"/>
      <c r="B778" s="323"/>
      <c r="N778" s="63"/>
      <c r="O778" s="324"/>
    </row>
    <row r="779" customFormat="false" ht="12.75" hidden="false" customHeight="false" outlineLevel="0" collapsed="false">
      <c r="A779" s="323"/>
      <c r="B779" s="323"/>
      <c r="N779" s="63"/>
      <c r="O779" s="324"/>
    </row>
    <row r="780" customFormat="false" ht="12.75" hidden="false" customHeight="false" outlineLevel="0" collapsed="false">
      <c r="A780" s="323"/>
      <c r="B780" s="323"/>
      <c r="N780" s="63"/>
      <c r="O780" s="324"/>
    </row>
    <row r="781" customFormat="false" ht="12.75" hidden="false" customHeight="false" outlineLevel="0" collapsed="false">
      <c r="A781" s="323"/>
      <c r="B781" s="323"/>
      <c r="N781" s="63"/>
      <c r="O781" s="324"/>
    </row>
    <row r="782" customFormat="false" ht="12.75" hidden="false" customHeight="false" outlineLevel="0" collapsed="false">
      <c r="A782" s="323"/>
      <c r="B782" s="323"/>
      <c r="N782" s="63"/>
      <c r="O782" s="324"/>
    </row>
    <row r="783" customFormat="false" ht="12.75" hidden="false" customHeight="false" outlineLevel="0" collapsed="false">
      <c r="A783" s="323"/>
      <c r="B783" s="323"/>
      <c r="N783" s="63"/>
      <c r="O783" s="324"/>
    </row>
    <row r="784" customFormat="false" ht="12.75" hidden="false" customHeight="false" outlineLevel="0" collapsed="false">
      <c r="A784" s="323"/>
      <c r="B784" s="323"/>
      <c r="N784" s="63"/>
      <c r="O784" s="324"/>
    </row>
    <row r="785" customFormat="false" ht="12.75" hidden="false" customHeight="false" outlineLevel="0" collapsed="false">
      <c r="A785" s="323"/>
      <c r="B785" s="323"/>
      <c r="N785" s="63"/>
      <c r="O785" s="324"/>
    </row>
    <row r="786" customFormat="false" ht="12.75" hidden="false" customHeight="false" outlineLevel="0" collapsed="false">
      <c r="A786" s="323"/>
      <c r="B786" s="323"/>
      <c r="N786" s="63"/>
      <c r="O786" s="324"/>
    </row>
    <row r="787" customFormat="false" ht="12.75" hidden="false" customHeight="false" outlineLevel="0" collapsed="false">
      <c r="A787" s="323"/>
      <c r="B787" s="323"/>
      <c r="N787" s="63"/>
      <c r="O787" s="324"/>
    </row>
    <row r="788" customFormat="false" ht="12.75" hidden="false" customHeight="false" outlineLevel="0" collapsed="false">
      <c r="A788" s="323"/>
      <c r="B788" s="323"/>
      <c r="N788" s="63"/>
      <c r="O788" s="324"/>
    </row>
    <row r="789" customFormat="false" ht="12.75" hidden="false" customHeight="false" outlineLevel="0" collapsed="false">
      <c r="A789" s="323"/>
      <c r="B789" s="323"/>
      <c r="N789" s="63"/>
      <c r="O789" s="324"/>
    </row>
    <row r="790" customFormat="false" ht="12.75" hidden="false" customHeight="false" outlineLevel="0" collapsed="false">
      <c r="A790" s="323"/>
      <c r="B790" s="323"/>
      <c r="N790" s="63"/>
      <c r="O790" s="324"/>
    </row>
    <row r="791" customFormat="false" ht="12.75" hidden="false" customHeight="false" outlineLevel="0" collapsed="false">
      <c r="A791" s="323"/>
      <c r="B791" s="323"/>
      <c r="N791" s="63"/>
      <c r="O791" s="324"/>
    </row>
    <row r="792" customFormat="false" ht="12.75" hidden="false" customHeight="false" outlineLevel="0" collapsed="false">
      <c r="A792" s="323"/>
      <c r="B792" s="323"/>
      <c r="N792" s="63"/>
      <c r="O792" s="324"/>
    </row>
    <row r="793" customFormat="false" ht="12.75" hidden="false" customHeight="false" outlineLevel="0" collapsed="false">
      <c r="A793" s="323"/>
      <c r="B793" s="323"/>
      <c r="N793" s="63"/>
      <c r="O793" s="324"/>
    </row>
    <row r="794" customFormat="false" ht="12.75" hidden="false" customHeight="false" outlineLevel="0" collapsed="false">
      <c r="A794" s="323"/>
      <c r="B794" s="323"/>
      <c r="N794" s="63"/>
      <c r="O794" s="324"/>
    </row>
    <row r="795" customFormat="false" ht="12.75" hidden="false" customHeight="false" outlineLevel="0" collapsed="false">
      <c r="A795" s="323"/>
      <c r="B795" s="323"/>
      <c r="N795" s="63"/>
      <c r="O795" s="324"/>
    </row>
    <row r="796" customFormat="false" ht="12.75" hidden="false" customHeight="false" outlineLevel="0" collapsed="false">
      <c r="A796" s="323"/>
      <c r="B796" s="323"/>
      <c r="N796" s="63"/>
      <c r="O796" s="324"/>
    </row>
    <row r="797" customFormat="false" ht="12.75" hidden="false" customHeight="false" outlineLevel="0" collapsed="false">
      <c r="A797" s="323"/>
      <c r="B797" s="323"/>
      <c r="N797" s="63"/>
      <c r="O797" s="324"/>
    </row>
    <row r="798" customFormat="false" ht="12.75" hidden="false" customHeight="false" outlineLevel="0" collapsed="false">
      <c r="A798" s="323"/>
      <c r="B798" s="323"/>
      <c r="N798" s="63"/>
      <c r="O798" s="324"/>
    </row>
    <row r="799" customFormat="false" ht="12.75" hidden="false" customHeight="false" outlineLevel="0" collapsed="false">
      <c r="A799" s="323"/>
      <c r="B799" s="323"/>
      <c r="N799" s="63"/>
      <c r="O799" s="324"/>
    </row>
    <row r="800" customFormat="false" ht="12.75" hidden="false" customHeight="false" outlineLevel="0" collapsed="false">
      <c r="A800" s="323"/>
      <c r="B800" s="323"/>
      <c r="N800" s="63"/>
      <c r="O800" s="324"/>
    </row>
    <row r="801" customFormat="false" ht="12.75" hidden="false" customHeight="false" outlineLevel="0" collapsed="false">
      <c r="A801" s="323"/>
      <c r="B801" s="323"/>
      <c r="N801" s="63"/>
      <c r="O801" s="324"/>
    </row>
    <row r="802" customFormat="false" ht="12.75" hidden="false" customHeight="false" outlineLevel="0" collapsed="false">
      <c r="A802" s="323"/>
      <c r="B802" s="323"/>
      <c r="N802" s="63"/>
      <c r="O802" s="324"/>
    </row>
    <row r="803" customFormat="false" ht="12.75" hidden="false" customHeight="false" outlineLevel="0" collapsed="false">
      <c r="A803" s="323"/>
      <c r="B803" s="323"/>
      <c r="N803" s="63"/>
      <c r="O803" s="324"/>
    </row>
    <row r="804" customFormat="false" ht="12.75" hidden="false" customHeight="false" outlineLevel="0" collapsed="false">
      <c r="A804" s="323"/>
      <c r="B804" s="323"/>
      <c r="N804" s="63"/>
      <c r="O804" s="324"/>
    </row>
    <row r="805" customFormat="false" ht="12.75" hidden="false" customHeight="false" outlineLevel="0" collapsed="false">
      <c r="A805" s="323"/>
      <c r="B805" s="323"/>
      <c r="N805" s="63"/>
      <c r="O805" s="324"/>
    </row>
    <row r="806" customFormat="false" ht="12.75" hidden="false" customHeight="false" outlineLevel="0" collapsed="false">
      <c r="A806" s="323"/>
      <c r="B806" s="323"/>
      <c r="N806" s="63"/>
      <c r="O806" s="324"/>
    </row>
    <row r="807" customFormat="false" ht="12.75" hidden="false" customHeight="false" outlineLevel="0" collapsed="false">
      <c r="A807" s="323"/>
      <c r="B807" s="323"/>
      <c r="N807" s="63"/>
      <c r="O807" s="324"/>
    </row>
    <row r="808" customFormat="false" ht="12.75" hidden="false" customHeight="false" outlineLevel="0" collapsed="false">
      <c r="A808" s="323"/>
      <c r="B808" s="323"/>
      <c r="N808" s="63"/>
      <c r="O808" s="324"/>
    </row>
    <row r="809" customFormat="false" ht="12.75" hidden="false" customHeight="false" outlineLevel="0" collapsed="false">
      <c r="A809" s="323"/>
      <c r="B809" s="323"/>
      <c r="N809" s="63"/>
      <c r="O809" s="324"/>
    </row>
    <row r="810" customFormat="false" ht="12.75" hidden="false" customHeight="false" outlineLevel="0" collapsed="false">
      <c r="A810" s="323"/>
      <c r="B810" s="323"/>
      <c r="N810" s="63"/>
      <c r="O810" s="324"/>
    </row>
    <row r="811" customFormat="false" ht="12.75" hidden="false" customHeight="false" outlineLevel="0" collapsed="false">
      <c r="A811" s="323"/>
      <c r="B811" s="323"/>
      <c r="N811" s="63"/>
      <c r="O811" s="324"/>
    </row>
    <row r="812" customFormat="false" ht="12.75" hidden="false" customHeight="false" outlineLevel="0" collapsed="false">
      <c r="A812" s="323"/>
      <c r="B812" s="323"/>
      <c r="N812" s="63"/>
      <c r="O812" s="324"/>
    </row>
    <row r="813" customFormat="false" ht="12.75" hidden="false" customHeight="false" outlineLevel="0" collapsed="false">
      <c r="A813" s="323"/>
      <c r="B813" s="323"/>
      <c r="N813" s="63"/>
      <c r="O813" s="324"/>
    </row>
    <row r="814" customFormat="false" ht="12.75" hidden="false" customHeight="false" outlineLevel="0" collapsed="false">
      <c r="A814" s="323"/>
      <c r="B814" s="323"/>
      <c r="N814" s="63"/>
      <c r="O814" s="324"/>
    </row>
    <row r="815" customFormat="false" ht="12.75" hidden="false" customHeight="false" outlineLevel="0" collapsed="false">
      <c r="A815" s="323"/>
      <c r="B815" s="323"/>
      <c r="N815" s="63"/>
      <c r="O815" s="324"/>
    </row>
    <row r="816" customFormat="false" ht="12.75" hidden="false" customHeight="false" outlineLevel="0" collapsed="false">
      <c r="A816" s="323"/>
      <c r="B816" s="323"/>
      <c r="N816" s="63"/>
      <c r="O816" s="324"/>
    </row>
    <row r="817" customFormat="false" ht="12.75" hidden="false" customHeight="false" outlineLevel="0" collapsed="false">
      <c r="A817" s="323"/>
      <c r="B817" s="323"/>
      <c r="N817" s="63"/>
      <c r="O817" s="324"/>
    </row>
    <row r="818" customFormat="false" ht="12.75" hidden="false" customHeight="false" outlineLevel="0" collapsed="false">
      <c r="A818" s="323"/>
      <c r="B818" s="323"/>
      <c r="N818" s="63"/>
      <c r="O818" s="324"/>
    </row>
    <row r="819" customFormat="false" ht="12.75" hidden="false" customHeight="false" outlineLevel="0" collapsed="false">
      <c r="A819" s="323"/>
      <c r="B819" s="323"/>
      <c r="N819" s="63"/>
      <c r="O819" s="324"/>
    </row>
    <row r="820" customFormat="false" ht="12.75" hidden="false" customHeight="false" outlineLevel="0" collapsed="false">
      <c r="A820" s="323"/>
      <c r="B820" s="323"/>
      <c r="N820" s="63"/>
      <c r="O820" s="324"/>
    </row>
    <row r="821" customFormat="false" ht="12.75" hidden="false" customHeight="false" outlineLevel="0" collapsed="false">
      <c r="A821" s="323"/>
      <c r="B821" s="323"/>
      <c r="N821" s="63"/>
      <c r="O821" s="324"/>
    </row>
    <row r="822" customFormat="false" ht="12.75" hidden="false" customHeight="false" outlineLevel="0" collapsed="false">
      <c r="A822" s="323"/>
      <c r="B822" s="323"/>
      <c r="N822" s="63"/>
      <c r="O822" s="324"/>
    </row>
    <row r="823" customFormat="false" ht="12.75" hidden="false" customHeight="false" outlineLevel="0" collapsed="false">
      <c r="A823" s="323"/>
      <c r="B823" s="323"/>
      <c r="N823" s="63"/>
      <c r="O823" s="324"/>
    </row>
    <row r="824" customFormat="false" ht="12.75" hidden="false" customHeight="false" outlineLevel="0" collapsed="false">
      <c r="A824" s="323"/>
      <c r="B824" s="323"/>
      <c r="N824" s="63"/>
      <c r="O824" s="324"/>
    </row>
    <row r="825" customFormat="false" ht="12.75" hidden="false" customHeight="false" outlineLevel="0" collapsed="false">
      <c r="A825" s="323"/>
      <c r="B825" s="323"/>
      <c r="N825" s="63"/>
      <c r="O825" s="324"/>
    </row>
    <row r="826" customFormat="false" ht="12.75" hidden="false" customHeight="false" outlineLevel="0" collapsed="false">
      <c r="A826" s="323"/>
      <c r="B826" s="323"/>
      <c r="N826" s="63"/>
      <c r="O826" s="324"/>
    </row>
    <row r="827" customFormat="false" ht="12.75" hidden="false" customHeight="false" outlineLevel="0" collapsed="false">
      <c r="A827" s="323"/>
      <c r="B827" s="323"/>
      <c r="N827" s="63"/>
      <c r="O827" s="324"/>
    </row>
    <row r="828" customFormat="false" ht="12.75" hidden="false" customHeight="false" outlineLevel="0" collapsed="false">
      <c r="A828" s="323"/>
      <c r="B828" s="323"/>
      <c r="N828" s="63"/>
      <c r="O828" s="324"/>
    </row>
    <row r="829" customFormat="false" ht="12.75" hidden="false" customHeight="false" outlineLevel="0" collapsed="false">
      <c r="A829" s="323"/>
      <c r="B829" s="323"/>
      <c r="N829" s="63"/>
      <c r="O829" s="324"/>
    </row>
    <row r="830" customFormat="false" ht="12.75" hidden="false" customHeight="false" outlineLevel="0" collapsed="false">
      <c r="A830" s="323"/>
      <c r="B830" s="323"/>
      <c r="N830" s="63"/>
      <c r="O830" s="324"/>
    </row>
    <row r="831" customFormat="false" ht="12.75" hidden="false" customHeight="false" outlineLevel="0" collapsed="false">
      <c r="A831" s="323"/>
      <c r="B831" s="323"/>
      <c r="N831" s="63"/>
      <c r="O831" s="324"/>
    </row>
    <row r="832" customFormat="false" ht="12.75" hidden="false" customHeight="false" outlineLevel="0" collapsed="false">
      <c r="A832" s="323"/>
      <c r="B832" s="323"/>
      <c r="N832" s="63"/>
      <c r="O832" s="324"/>
    </row>
    <row r="833" customFormat="false" ht="12.75" hidden="false" customHeight="false" outlineLevel="0" collapsed="false">
      <c r="A833" s="323"/>
      <c r="B833" s="323"/>
      <c r="N833" s="63"/>
      <c r="O833" s="324"/>
    </row>
    <row r="834" customFormat="false" ht="12.75" hidden="false" customHeight="false" outlineLevel="0" collapsed="false">
      <c r="A834" s="323"/>
      <c r="B834" s="323"/>
      <c r="N834" s="63"/>
      <c r="O834" s="324"/>
    </row>
    <row r="835" customFormat="false" ht="12.75" hidden="false" customHeight="false" outlineLevel="0" collapsed="false">
      <c r="A835" s="323"/>
      <c r="B835" s="323"/>
      <c r="N835" s="63"/>
      <c r="O835" s="324"/>
    </row>
    <row r="836" customFormat="false" ht="12.75" hidden="false" customHeight="false" outlineLevel="0" collapsed="false">
      <c r="A836" s="323"/>
      <c r="B836" s="323"/>
      <c r="N836" s="63"/>
      <c r="O836" s="324"/>
    </row>
    <row r="837" customFormat="false" ht="12.75" hidden="false" customHeight="false" outlineLevel="0" collapsed="false">
      <c r="A837" s="323"/>
      <c r="B837" s="323"/>
      <c r="N837" s="63"/>
      <c r="O837" s="324"/>
    </row>
    <row r="838" customFormat="false" ht="12.75" hidden="false" customHeight="false" outlineLevel="0" collapsed="false">
      <c r="A838" s="323"/>
      <c r="B838" s="323"/>
      <c r="N838" s="63"/>
      <c r="O838" s="324"/>
    </row>
    <row r="839" customFormat="false" ht="12.75" hidden="false" customHeight="false" outlineLevel="0" collapsed="false">
      <c r="A839" s="323"/>
      <c r="B839" s="323"/>
      <c r="N839" s="63"/>
      <c r="O839" s="324"/>
    </row>
    <row r="840" customFormat="false" ht="12.75" hidden="false" customHeight="false" outlineLevel="0" collapsed="false">
      <c r="A840" s="323"/>
      <c r="B840" s="323"/>
      <c r="N840" s="63"/>
      <c r="O840" s="324"/>
    </row>
    <row r="841" customFormat="false" ht="12.75" hidden="false" customHeight="false" outlineLevel="0" collapsed="false">
      <c r="A841" s="323"/>
      <c r="B841" s="323"/>
      <c r="N841" s="63"/>
      <c r="O841" s="324"/>
    </row>
    <row r="842" customFormat="false" ht="12.75" hidden="false" customHeight="false" outlineLevel="0" collapsed="false">
      <c r="A842" s="323"/>
      <c r="B842" s="323"/>
      <c r="N842" s="63"/>
      <c r="O842" s="324"/>
    </row>
    <row r="843" customFormat="false" ht="12.75" hidden="false" customHeight="false" outlineLevel="0" collapsed="false">
      <c r="A843" s="323"/>
      <c r="B843" s="323"/>
      <c r="N843" s="63"/>
      <c r="O843" s="324"/>
    </row>
    <row r="844" customFormat="false" ht="12.75" hidden="false" customHeight="false" outlineLevel="0" collapsed="false">
      <c r="A844" s="323"/>
      <c r="B844" s="323"/>
      <c r="N844" s="63"/>
      <c r="O844" s="324"/>
    </row>
    <row r="845" customFormat="false" ht="12.75" hidden="false" customHeight="false" outlineLevel="0" collapsed="false">
      <c r="A845" s="323"/>
      <c r="B845" s="323"/>
      <c r="N845" s="63"/>
      <c r="O845" s="324"/>
    </row>
    <row r="846" customFormat="false" ht="12.75" hidden="false" customHeight="false" outlineLevel="0" collapsed="false">
      <c r="A846" s="323"/>
      <c r="B846" s="323"/>
      <c r="N846" s="63"/>
      <c r="O846" s="324"/>
    </row>
    <row r="847" customFormat="false" ht="12.75" hidden="false" customHeight="false" outlineLevel="0" collapsed="false">
      <c r="A847" s="323"/>
      <c r="B847" s="323"/>
      <c r="N847" s="63"/>
      <c r="O847" s="324"/>
    </row>
    <row r="848" customFormat="false" ht="12.75" hidden="false" customHeight="false" outlineLevel="0" collapsed="false">
      <c r="A848" s="323"/>
      <c r="B848" s="323"/>
      <c r="N848" s="63"/>
      <c r="O848" s="324"/>
    </row>
    <row r="849" customFormat="false" ht="12.75" hidden="false" customHeight="false" outlineLevel="0" collapsed="false">
      <c r="A849" s="323"/>
      <c r="B849" s="323"/>
      <c r="N849" s="63"/>
      <c r="O849" s="324"/>
    </row>
    <row r="850" customFormat="false" ht="12.75" hidden="false" customHeight="false" outlineLevel="0" collapsed="false">
      <c r="A850" s="323"/>
      <c r="B850" s="323"/>
      <c r="N850" s="63"/>
      <c r="O850" s="324"/>
    </row>
    <row r="851" customFormat="false" ht="12.75" hidden="false" customHeight="false" outlineLevel="0" collapsed="false">
      <c r="A851" s="323"/>
      <c r="B851" s="323"/>
      <c r="N851" s="63"/>
      <c r="O851" s="324"/>
    </row>
    <row r="852" customFormat="false" ht="12.75" hidden="false" customHeight="false" outlineLevel="0" collapsed="false">
      <c r="A852" s="323"/>
      <c r="B852" s="323"/>
      <c r="N852" s="63"/>
      <c r="O852" s="324"/>
    </row>
    <row r="853" customFormat="false" ht="12.75" hidden="false" customHeight="false" outlineLevel="0" collapsed="false">
      <c r="A853" s="323"/>
      <c r="B853" s="323"/>
      <c r="N853" s="63"/>
      <c r="O853" s="324"/>
    </row>
    <row r="854" customFormat="false" ht="12.75" hidden="false" customHeight="false" outlineLevel="0" collapsed="false">
      <c r="A854" s="323"/>
      <c r="B854" s="323"/>
      <c r="N854" s="63"/>
      <c r="O854" s="324"/>
    </row>
    <row r="855" customFormat="false" ht="12.75" hidden="false" customHeight="false" outlineLevel="0" collapsed="false">
      <c r="A855" s="323"/>
      <c r="B855" s="323"/>
      <c r="N855" s="63"/>
      <c r="O855" s="324"/>
    </row>
    <row r="856" customFormat="false" ht="12.75" hidden="false" customHeight="false" outlineLevel="0" collapsed="false">
      <c r="A856" s="323"/>
      <c r="B856" s="323"/>
      <c r="N856" s="63"/>
      <c r="O856" s="324"/>
    </row>
    <row r="857" customFormat="false" ht="12.75" hidden="false" customHeight="false" outlineLevel="0" collapsed="false">
      <c r="A857" s="323"/>
      <c r="B857" s="323"/>
      <c r="N857" s="63"/>
      <c r="O857" s="324"/>
    </row>
    <row r="858" customFormat="false" ht="12.75" hidden="false" customHeight="false" outlineLevel="0" collapsed="false">
      <c r="A858" s="323"/>
      <c r="B858" s="323"/>
      <c r="N858" s="63"/>
      <c r="O858" s="324"/>
    </row>
    <row r="859" customFormat="false" ht="12.75" hidden="false" customHeight="false" outlineLevel="0" collapsed="false">
      <c r="A859" s="323"/>
      <c r="B859" s="323"/>
      <c r="N859" s="63"/>
      <c r="O859" s="324"/>
    </row>
    <row r="860" customFormat="false" ht="12.75" hidden="false" customHeight="false" outlineLevel="0" collapsed="false">
      <c r="A860" s="323"/>
      <c r="B860" s="323"/>
      <c r="N860" s="63"/>
      <c r="O860" s="324"/>
    </row>
    <row r="861" customFormat="false" ht="12.75" hidden="false" customHeight="false" outlineLevel="0" collapsed="false">
      <c r="A861" s="323"/>
      <c r="B861" s="323"/>
      <c r="N861" s="63"/>
      <c r="O861" s="324"/>
    </row>
    <row r="862" customFormat="false" ht="12.75" hidden="false" customHeight="false" outlineLevel="0" collapsed="false">
      <c r="A862" s="323"/>
      <c r="B862" s="323"/>
      <c r="N862" s="63"/>
      <c r="O862" s="324"/>
    </row>
    <row r="863" customFormat="false" ht="12.75" hidden="false" customHeight="false" outlineLevel="0" collapsed="false">
      <c r="A863" s="323"/>
      <c r="B863" s="323"/>
      <c r="N863" s="63"/>
      <c r="O863" s="324"/>
    </row>
    <row r="864" customFormat="false" ht="12.75" hidden="false" customHeight="false" outlineLevel="0" collapsed="false">
      <c r="A864" s="323"/>
      <c r="B864" s="323"/>
      <c r="N864" s="63"/>
      <c r="O864" s="324"/>
    </row>
    <row r="865" customFormat="false" ht="12.75" hidden="false" customHeight="false" outlineLevel="0" collapsed="false">
      <c r="A865" s="323"/>
      <c r="B865" s="323"/>
      <c r="N865" s="63"/>
      <c r="O865" s="324"/>
    </row>
    <row r="866" customFormat="false" ht="12.75" hidden="false" customHeight="false" outlineLevel="0" collapsed="false">
      <c r="A866" s="323"/>
      <c r="B866" s="323"/>
      <c r="N866" s="63"/>
      <c r="O866" s="324"/>
    </row>
    <row r="867" customFormat="false" ht="12.75" hidden="false" customHeight="false" outlineLevel="0" collapsed="false">
      <c r="A867" s="323"/>
      <c r="B867" s="323"/>
      <c r="N867" s="63"/>
      <c r="O867" s="324"/>
    </row>
    <row r="868" customFormat="false" ht="12.75" hidden="false" customHeight="false" outlineLevel="0" collapsed="false">
      <c r="A868" s="323"/>
      <c r="B868" s="323"/>
      <c r="N868" s="63"/>
      <c r="O868" s="324"/>
    </row>
    <row r="869" customFormat="false" ht="12.75" hidden="false" customHeight="false" outlineLevel="0" collapsed="false">
      <c r="A869" s="323"/>
      <c r="B869" s="323"/>
      <c r="N869" s="63"/>
      <c r="O869" s="324"/>
    </row>
    <row r="870" customFormat="false" ht="12.75" hidden="false" customHeight="false" outlineLevel="0" collapsed="false">
      <c r="A870" s="323"/>
      <c r="B870" s="323"/>
      <c r="N870" s="63"/>
      <c r="O870" s="324"/>
    </row>
    <row r="871" customFormat="false" ht="12.75" hidden="false" customHeight="false" outlineLevel="0" collapsed="false">
      <c r="A871" s="323"/>
      <c r="B871" s="323"/>
      <c r="N871" s="63"/>
      <c r="O871" s="324"/>
    </row>
    <row r="872" customFormat="false" ht="12.75" hidden="false" customHeight="false" outlineLevel="0" collapsed="false">
      <c r="A872" s="323"/>
      <c r="B872" s="323"/>
      <c r="N872" s="63"/>
      <c r="O872" s="324"/>
    </row>
    <row r="873" customFormat="false" ht="12.75" hidden="false" customHeight="false" outlineLevel="0" collapsed="false">
      <c r="A873" s="323"/>
      <c r="B873" s="323"/>
      <c r="N873" s="63"/>
      <c r="O873" s="324"/>
    </row>
    <row r="874" customFormat="false" ht="12.75" hidden="false" customHeight="false" outlineLevel="0" collapsed="false">
      <c r="A874" s="323"/>
      <c r="B874" s="323"/>
      <c r="N874" s="63"/>
      <c r="O874" s="324"/>
    </row>
    <row r="875" customFormat="false" ht="12.75" hidden="false" customHeight="false" outlineLevel="0" collapsed="false">
      <c r="A875" s="323"/>
      <c r="B875" s="323"/>
      <c r="N875" s="63"/>
      <c r="O875" s="324"/>
    </row>
    <row r="876" customFormat="false" ht="12.75" hidden="false" customHeight="false" outlineLevel="0" collapsed="false">
      <c r="A876" s="323"/>
      <c r="B876" s="323"/>
      <c r="N876" s="63"/>
      <c r="O876" s="324"/>
    </row>
    <row r="877" customFormat="false" ht="12.75" hidden="false" customHeight="false" outlineLevel="0" collapsed="false">
      <c r="A877" s="323"/>
      <c r="B877" s="323"/>
      <c r="N877" s="63"/>
      <c r="O877" s="324"/>
    </row>
    <row r="878" customFormat="false" ht="12.75" hidden="false" customHeight="false" outlineLevel="0" collapsed="false">
      <c r="A878" s="323"/>
      <c r="B878" s="323"/>
      <c r="N878" s="63"/>
      <c r="O878" s="324"/>
    </row>
    <row r="879" customFormat="false" ht="12.75" hidden="false" customHeight="false" outlineLevel="0" collapsed="false">
      <c r="A879" s="323"/>
      <c r="B879" s="323"/>
      <c r="N879" s="63"/>
      <c r="O879" s="324"/>
    </row>
    <row r="880" customFormat="false" ht="12.75" hidden="false" customHeight="false" outlineLevel="0" collapsed="false">
      <c r="A880" s="323"/>
      <c r="B880" s="323"/>
      <c r="N880" s="63"/>
      <c r="O880" s="324"/>
    </row>
    <row r="881" customFormat="false" ht="12.75" hidden="false" customHeight="false" outlineLevel="0" collapsed="false">
      <c r="A881" s="323"/>
      <c r="B881" s="323"/>
      <c r="N881" s="63"/>
      <c r="O881" s="324"/>
    </row>
    <row r="882" customFormat="false" ht="12.75" hidden="false" customHeight="false" outlineLevel="0" collapsed="false">
      <c r="A882" s="323"/>
      <c r="B882" s="323"/>
      <c r="N882" s="63"/>
      <c r="O882" s="324"/>
    </row>
    <row r="883" customFormat="false" ht="12.75" hidden="false" customHeight="false" outlineLevel="0" collapsed="false">
      <c r="A883" s="323"/>
      <c r="B883" s="323"/>
      <c r="N883" s="63"/>
      <c r="O883" s="324"/>
    </row>
    <row r="884" customFormat="false" ht="12.75" hidden="false" customHeight="false" outlineLevel="0" collapsed="false">
      <c r="A884" s="323"/>
      <c r="B884" s="323"/>
      <c r="N884" s="63"/>
      <c r="O884" s="324"/>
    </row>
    <row r="885" customFormat="false" ht="12.75" hidden="false" customHeight="false" outlineLevel="0" collapsed="false">
      <c r="A885" s="323"/>
      <c r="B885" s="323"/>
      <c r="N885" s="63"/>
      <c r="O885" s="324"/>
    </row>
    <row r="886" customFormat="false" ht="12.75" hidden="false" customHeight="false" outlineLevel="0" collapsed="false">
      <c r="A886" s="323"/>
      <c r="B886" s="323"/>
      <c r="N886" s="63"/>
      <c r="O886" s="324"/>
    </row>
    <row r="887" customFormat="false" ht="12.75" hidden="false" customHeight="false" outlineLevel="0" collapsed="false">
      <c r="A887" s="323"/>
      <c r="B887" s="323"/>
      <c r="N887" s="63"/>
      <c r="O887" s="324"/>
    </row>
    <row r="888" customFormat="false" ht="12.75" hidden="false" customHeight="false" outlineLevel="0" collapsed="false">
      <c r="A888" s="323"/>
      <c r="B888" s="323"/>
      <c r="N888" s="63"/>
      <c r="O888" s="324"/>
    </row>
    <row r="889" customFormat="false" ht="12.75" hidden="false" customHeight="false" outlineLevel="0" collapsed="false">
      <c r="A889" s="323"/>
      <c r="B889" s="323"/>
      <c r="N889" s="63"/>
      <c r="O889" s="324"/>
    </row>
    <row r="890" customFormat="false" ht="12.75" hidden="false" customHeight="false" outlineLevel="0" collapsed="false">
      <c r="A890" s="323"/>
      <c r="B890" s="323"/>
      <c r="N890" s="63"/>
      <c r="O890" s="324"/>
    </row>
    <row r="891" customFormat="false" ht="12.75" hidden="false" customHeight="false" outlineLevel="0" collapsed="false">
      <c r="A891" s="323"/>
      <c r="B891" s="323"/>
      <c r="N891" s="63"/>
      <c r="O891" s="324"/>
    </row>
    <row r="892" customFormat="false" ht="12.75" hidden="false" customHeight="false" outlineLevel="0" collapsed="false">
      <c r="A892" s="323"/>
      <c r="B892" s="323"/>
      <c r="N892" s="63"/>
      <c r="O892" s="324"/>
    </row>
    <row r="893" customFormat="false" ht="12.75" hidden="false" customHeight="false" outlineLevel="0" collapsed="false">
      <c r="A893" s="323"/>
      <c r="B893" s="323"/>
      <c r="N893" s="63"/>
      <c r="O893" s="324"/>
    </row>
    <row r="894" customFormat="false" ht="12.75" hidden="false" customHeight="false" outlineLevel="0" collapsed="false">
      <c r="A894" s="323"/>
      <c r="B894" s="323"/>
      <c r="N894" s="63"/>
      <c r="O894" s="324"/>
    </row>
    <row r="895" customFormat="false" ht="12.75" hidden="false" customHeight="false" outlineLevel="0" collapsed="false">
      <c r="A895" s="323"/>
      <c r="B895" s="323"/>
      <c r="N895" s="63"/>
      <c r="O895" s="324"/>
    </row>
    <row r="896" customFormat="false" ht="12.75" hidden="false" customHeight="false" outlineLevel="0" collapsed="false">
      <c r="A896" s="323"/>
      <c r="B896" s="323"/>
      <c r="N896" s="63"/>
      <c r="O896" s="324"/>
    </row>
    <row r="897" customFormat="false" ht="12.75" hidden="false" customHeight="false" outlineLevel="0" collapsed="false">
      <c r="A897" s="323"/>
      <c r="B897" s="323"/>
      <c r="N897" s="63"/>
      <c r="O897" s="324"/>
    </row>
    <row r="898" customFormat="false" ht="12.75" hidden="false" customHeight="false" outlineLevel="0" collapsed="false">
      <c r="A898" s="323"/>
      <c r="B898" s="323"/>
      <c r="N898" s="63"/>
      <c r="O898" s="324"/>
    </row>
    <row r="899" customFormat="false" ht="12.75" hidden="false" customHeight="false" outlineLevel="0" collapsed="false">
      <c r="A899" s="323"/>
      <c r="B899" s="323"/>
      <c r="N899" s="63"/>
      <c r="O899" s="324"/>
    </row>
    <row r="900" customFormat="false" ht="12.75" hidden="false" customHeight="false" outlineLevel="0" collapsed="false">
      <c r="A900" s="323"/>
      <c r="B900" s="323"/>
      <c r="N900" s="63"/>
      <c r="O900" s="324"/>
    </row>
    <row r="901" customFormat="false" ht="12.75" hidden="false" customHeight="false" outlineLevel="0" collapsed="false">
      <c r="A901" s="323"/>
      <c r="B901" s="323"/>
      <c r="N901" s="63"/>
      <c r="O901" s="324"/>
    </row>
    <row r="902" customFormat="false" ht="12.75" hidden="false" customHeight="false" outlineLevel="0" collapsed="false">
      <c r="A902" s="323"/>
      <c r="B902" s="323"/>
      <c r="N902" s="63"/>
      <c r="O902" s="324"/>
    </row>
    <row r="903" customFormat="false" ht="12.75" hidden="false" customHeight="false" outlineLevel="0" collapsed="false">
      <c r="A903" s="323"/>
      <c r="B903" s="323"/>
      <c r="N903" s="63"/>
      <c r="O903" s="324"/>
    </row>
    <row r="904" customFormat="false" ht="12.75" hidden="false" customHeight="false" outlineLevel="0" collapsed="false">
      <c r="A904" s="323"/>
      <c r="B904" s="323"/>
      <c r="N904" s="63"/>
      <c r="O904" s="324"/>
    </row>
    <row r="905" customFormat="false" ht="12.75" hidden="false" customHeight="false" outlineLevel="0" collapsed="false">
      <c r="A905" s="323"/>
      <c r="B905" s="323"/>
      <c r="N905" s="63"/>
      <c r="O905" s="324"/>
    </row>
    <row r="906" customFormat="false" ht="12.75" hidden="false" customHeight="false" outlineLevel="0" collapsed="false">
      <c r="A906" s="323"/>
      <c r="B906" s="323"/>
      <c r="N906" s="63"/>
      <c r="O906" s="324"/>
    </row>
    <row r="907" customFormat="false" ht="12.75" hidden="false" customHeight="false" outlineLevel="0" collapsed="false">
      <c r="A907" s="323"/>
      <c r="B907" s="323"/>
      <c r="N907" s="63"/>
      <c r="O907" s="324"/>
    </row>
    <row r="908" customFormat="false" ht="12.75" hidden="false" customHeight="false" outlineLevel="0" collapsed="false">
      <c r="A908" s="323"/>
      <c r="B908" s="323"/>
      <c r="N908" s="63"/>
      <c r="O908" s="324"/>
    </row>
    <row r="909" customFormat="false" ht="12.75" hidden="false" customHeight="false" outlineLevel="0" collapsed="false">
      <c r="A909" s="323"/>
      <c r="B909" s="323"/>
      <c r="N909" s="63"/>
      <c r="O909" s="324"/>
    </row>
    <row r="910" customFormat="false" ht="12.75" hidden="false" customHeight="false" outlineLevel="0" collapsed="false">
      <c r="A910" s="323"/>
      <c r="B910" s="323"/>
      <c r="N910" s="63"/>
      <c r="O910" s="324"/>
    </row>
    <row r="911" customFormat="false" ht="12.75" hidden="false" customHeight="false" outlineLevel="0" collapsed="false">
      <c r="A911" s="323"/>
      <c r="B911" s="323"/>
      <c r="N911" s="63"/>
      <c r="O911" s="324"/>
    </row>
    <row r="912" customFormat="false" ht="12.75" hidden="false" customHeight="false" outlineLevel="0" collapsed="false">
      <c r="A912" s="323"/>
      <c r="B912" s="323"/>
      <c r="N912" s="63"/>
      <c r="O912" s="324"/>
    </row>
    <row r="913" customFormat="false" ht="12.75" hidden="false" customHeight="false" outlineLevel="0" collapsed="false">
      <c r="A913" s="323"/>
      <c r="B913" s="323"/>
      <c r="N913" s="63"/>
      <c r="O913" s="324"/>
    </row>
    <row r="914" customFormat="false" ht="12.75" hidden="false" customHeight="false" outlineLevel="0" collapsed="false">
      <c r="A914" s="323"/>
      <c r="B914" s="323"/>
      <c r="N914" s="63"/>
      <c r="O914" s="324"/>
    </row>
    <row r="915" customFormat="false" ht="12.75" hidden="false" customHeight="false" outlineLevel="0" collapsed="false">
      <c r="A915" s="323"/>
      <c r="B915" s="323"/>
      <c r="N915" s="63"/>
      <c r="O915" s="324"/>
    </row>
    <row r="916" customFormat="false" ht="12.75" hidden="false" customHeight="false" outlineLevel="0" collapsed="false">
      <c r="A916" s="323"/>
      <c r="B916" s="323"/>
      <c r="N916" s="63"/>
      <c r="O916" s="324"/>
    </row>
    <row r="917" customFormat="false" ht="12.75" hidden="false" customHeight="false" outlineLevel="0" collapsed="false">
      <c r="A917" s="323"/>
      <c r="B917" s="323"/>
      <c r="N917" s="63"/>
      <c r="O917" s="324"/>
    </row>
    <row r="918" customFormat="false" ht="12.75" hidden="false" customHeight="false" outlineLevel="0" collapsed="false">
      <c r="A918" s="323"/>
      <c r="B918" s="323"/>
      <c r="N918" s="63"/>
      <c r="O918" s="324"/>
    </row>
    <row r="919" customFormat="false" ht="12.75" hidden="false" customHeight="false" outlineLevel="0" collapsed="false">
      <c r="A919" s="323"/>
      <c r="B919" s="323"/>
      <c r="N919" s="63"/>
      <c r="O919" s="324"/>
    </row>
    <row r="920" customFormat="false" ht="12.75" hidden="false" customHeight="false" outlineLevel="0" collapsed="false">
      <c r="A920" s="323"/>
      <c r="B920" s="323"/>
      <c r="N920" s="63"/>
      <c r="O920" s="324"/>
    </row>
    <row r="921" customFormat="false" ht="12.75" hidden="false" customHeight="false" outlineLevel="0" collapsed="false">
      <c r="A921" s="323"/>
      <c r="B921" s="323"/>
      <c r="N921" s="63"/>
      <c r="O921" s="324"/>
    </row>
    <row r="922" customFormat="false" ht="12.75" hidden="false" customHeight="false" outlineLevel="0" collapsed="false">
      <c r="A922" s="323"/>
      <c r="B922" s="323"/>
      <c r="N922" s="63"/>
      <c r="O922" s="324"/>
    </row>
    <row r="923" customFormat="false" ht="12.75" hidden="false" customHeight="false" outlineLevel="0" collapsed="false">
      <c r="A923" s="323"/>
      <c r="B923" s="323"/>
      <c r="N923" s="63"/>
      <c r="O923" s="324"/>
    </row>
    <row r="924" customFormat="false" ht="12.75" hidden="false" customHeight="false" outlineLevel="0" collapsed="false">
      <c r="A924" s="323"/>
      <c r="B924" s="323"/>
      <c r="N924" s="63"/>
      <c r="O924" s="324"/>
    </row>
    <row r="925" customFormat="false" ht="12.75" hidden="false" customHeight="false" outlineLevel="0" collapsed="false">
      <c r="A925" s="323"/>
      <c r="B925" s="323"/>
      <c r="N925" s="63"/>
      <c r="O925" s="324"/>
    </row>
    <row r="926" customFormat="false" ht="12.75" hidden="false" customHeight="false" outlineLevel="0" collapsed="false">
      <c r="A926" s="323"/>
      <c r="B926" s="323"/>
      <c r="N926" s="63"/>
      <c r="O926" s="324"/>
    </row>
    <row r="927" customFormat="false" ht="12.75" hidden="false" customHeight="false" outlineLevel="0" collapsed="false">
      <c r="A927" s="323"/>
      <c r="B927" s="323"/>
      <c r="N927" s="63"/>
      <c r="O927" s="324"/>
    </row>
    <row r="928" customFormat="false" ht="12.75" hidden="false" customHeight="false" outlineLevel="0" collapsed="false">
      <c r="A928" s="323"/>
      <c r="B928" s="323"/>
      <c r="N928" s="63"/>
      <c r="O928" s="324"/>
    </row>
    <row r="929" customFormat="false" ht="12.75" hidden="false" customHeight="false" outlineLevel="0" collapsed="false">
      <c r="A929" s="323"/>
      <c r="B929" s="323"/>
      <c r="N929" s="63"/>
      <c r="O929" s="324"/>
    </row>
    <row r="930" customFormat="false" ht="12.75" hidden="false" customHeight="false" outlineLevel="0" collapsed="false">
      <c r="A930" s="323"/>
      <c r="B930" s="323"/>
      <c r="N930" s="63"/>
      <c r="O930" s="324"/>
    </row>
    <row r="931" customFormat="false" ht="12.75" hidden="false" customHeight="false" outlineLevel="0" collapsed="false">
      <c r="A931" s="323"/>
      <c r="B931" s="323"/>
      <c r="N931" s="63"/>
      <c r="O931" s="324"/>
    </row>
    <row r="932" customFormat="false" ht="12.75" hidden="false" customHeight="false" outlineLevel="0" collapsed="false">
      <c r="A932" s="323"/>
      <c r="B932" s="323"/>
      <c r="N932" s="63"/>
      <c r="O932" s="324"/>
    </row>
    <row r="933" customFormat="false" ht="12.75" hidden="false" customHeight="false" outlineLevel="0" collapsed="false">
      <c r="A933" s="323"/>
      <c r="B933" s="323"/>
      <c r="N933" s="63"/>
      <c r="O933" s="324"/>
    </row>
    <row r="934" customFormat="false" ht="12.75" hidden="false" customHeight="false" outlineLevel="0" collapsed="false">
      <c r="A934" s="323"/>
      <c r="B934" s="323"/>
      <c r="N934" s="63"/>
      <c r="O934" s="324"/>
    </row>
    <row r="935" customFormat="false" ht="12.75" hidden="false" customHeight="false" outlineLevel="0" collapsed="false">
      <c r="A935" s="323"/>
      <c r="B935" s="323"/>
      <c r="N935" s="63"/>
      <c r="O935" s="324"/>
    </row>
    <row r="936" customFormat="false" ht="12.75" hidden="false" customHeight="false" outlineLevel="0" collapsed="false">
      <c r="A936" s="323"/>
      <c r="B936" s="323"/>
      <c r="N936" s="63"/>
      <c r="O936" s="324"/>
    </row>
    <row r="937" customFormat="false" ht="12.75" hidden="false" customHeight="false" outlineLevel="0" collapsed="false">
      <c r="A937" s="323"/>
      <c r="B937" s="323"/>
      <c r="N937" s="63"/>
      <c r="O937" s="324"/>
    </row>
    <row r="938" customFormat="false" ht="12.75" hidden="false" customHeight="false" outlineLevel="0" collapsed="false">
      <c r="A938" s="323"/>
      <c r="B938" s="323"/>
      <c r="N938" s="63"/>
      <c r="O938" s="324"/>
    </row>
    <row r="939" customFormat="false" ht="12.75" hidden="false" customHeight="false" outlineLevel="0" collapsed="false">
      <c r="A939" s="323"/>
      <c r="B939" s="323"/>
      <c r="N939" s="63"/>
      <c r="O939" s="324"/>
    </row>
    <row r="940" customFormat="false" ht="12.75" hidden="false" customHeight="false" outlineLevel="0" collapsed="false">
      <c r="A940" s="323"/>
      <c r="B940" s="323"/>
      <c r="N940" s="63"/>
      <c r="O940" s="324"/>
    </row>
    <row r="941" customFormat="false" ht="12.75" hidden="false" customHeight="false" outlineLevel="0" collapsed="false">
      <c r="A941" s="323"/>
      <c r="B941" s="323"/>
      <c r="N941" s="63"/>
      <c r="O941" s="324"/>
    </row>
    <row r="942" customFormat="false" ht="12.75" hidden="false" customHeight="false" outlineLevel="0" collapsed="false">
      <c r="A942" s="323"/>
      <c r="B942" s="323"/>
      <c r="N942" s="63"/>
      <c r="O942" s="324"/>
    </row>
    <row r="943" customFormat="false" ht="12.75" hidden="false" customHeight="false" outlineLevel="0" collapsed="false">
      <c r="A943" s="323"/>
      <c r="B943" s="323"/>
      <c r="N943" s="63"/>
      <c r="O943" s="324"/>
    </row>
    <row r="944" customFormat="false" ht="12.75" hidden="false" customHeight="false" outlineLevel="0" collapsed="false">
      <c r="A944" s="323"/>
      <c r="B944" s="323"/>
      <c r="N944" s="63"/>
      <c r="O944" s="324"/>
    </row>
    <row r="945" customFormat="false" ht="12.75" hidden="false" customHeight="false" outlineLevel="0" collapsed="false">
      <c r="A945" s="323"/>
      <c r="B945" s="323"/>
      <c r="N945" s="63"/>
      <c r="O945" s="324"/>
    </row>
    <row r="946" customFormat="false" ht="12.75" hidden="false" customHeight="false" outlineLevel="0" collapsed="false">
      <c r="A946" s="323"/>
      <c r="B946" s="323"/>
      <c r="N946" s="63"/>
      <c r="O946" s="324"/>
    </row>
    <row r="947" customFormat="false" ht="12.75" hidden="false" customHeight="false" outlineLevel="0" collapsed="false">
      <c r="A947" s="323"/>
      <c r="B947" s="323"/>
      <c r="N947" s="63"/>
      <c r="O947" s="324"/>
    </row>
    <row r="948" customFormat="false" ht="12.75" hidden="false" customHeight="false" outlineLevel="0" collapsed="false">
      <c r="A948" s="323"/>
      <c r="B948" s="323"/>
      <c r="N948" s="63"/>
      <c r="O948" s="324"/>
    </row>
    <row r="949" customFormat="false" ht="12.75" hidden="false" customHeight="false" outlineLevel="0" collapsed="false">
      <c r="A949" s="323"/>
      <c r="B949" s="323"/>
      <c r="N949" s="63"/>
      <c r="O949" s="324"/>
    </row>
    <row r="950" customFormat="false" ht="12.75" hidden="false" customHeight="false" outlineLevel="0" collapsed="false">
      <c r="A950" s="323"/>
      <c r="B950" s="323"/>
      <c r="N950" s="63"/>
      <c r="O950" s="324"/>
    </row>
    <row r="951" customFormat="false" ht="12.75" hidden="false" customHeight="false" outlineLevel="0" collapsed="false">
      <c r="A951" s="323"/>
      <c r="B951" s="323"/>
      <c r="N951" s="63"/>
      <c r="O951" s="324"/>
    </row>
    <row r="952" customFormat="false" ht="12.75" hidden="false" customHeight="false" outlineLevel="0" collapsed="false">
      <c r="A952" s="323"/>
      <c r="B952" s="323"/>
      <c r="N952" s="63"/>
      <c r="O952" s="324"/>
    </row>
    <row r="953" customFormat="false" ht="12.75" hidden="false" customHeight="false" outlineLevel="0" collapsed="false">
      <c r="A953" s="323"/>
      <c r="B953" s="323"/>
      <c r="N953" s="63"/>
      <c r="O953" s="324"/>
    </row>
    <row r="954" customFormat="false" ht="12.75" hidden="false" customHeight="false" outlineLevel="0" collapsed="false">
      <c r="A954" s="323"/>
      <c r="B954" s="323"/>
      <c r="N954" s="63"/>
      <c r="O954" s="324"/>
    </row>
    <row r="955" customFormat="false" ht="12.75" hidden="false" customHeight="false" outlineLevel="0" collapsed="false">
      <c r="A955" s="323"/>
      <c r="B955" s="323"/>
      <c r="N955" s="63"/>
      <c r="O955" s="324"/>
    </row>
    <row r="956" customFormat="false" ht="12.75" hidden="false" customHeight="false" outlineLevel="0" collapsed="false">
      <c r="A956" s="323"/>
      <c r="B956" s="323"/>
      <c r="N956" s="63"/>
      <c r="O956" s="324"/>
    </row>
    <row r="957" customFormat="false" ht="12.75" hidden="false" customHeight="false" outlineLevel="0" collapsed="false">
      <c r="A957" s="323"/>
      <c r="B957" s="323"/>
      <c r="N957" s="63"/>
      <c r="O957" s="324"/>
    </row>
    <row r="958" customFormat="false" ht="12.75" hidden="false" customHeight="false" outlineLevel="0" collapsed="false">
      <c r="A958" s="323"/>
      <c r="B958" s="323"/>
      <c r="N958" s="63"/>
      <c r="O958" s="324"/>
    </row>
    <row r="959" customFormat="false" ht="12.75" hidden="false" customHeight="false" outlineLevel="0" collapsed="false">
      <c r="A959" s="323"/>
      <c r="B959" s="323"/>
      <c r="N959" s="63"/>
      <c r="O959" s="324"/>
    </row>
    <row r="960" customFormat="false" ht="12.75" hidden="false" customHeight="false" outlineLevel="0" collapsed="false">
      <c r="A960" s="323"/>
      <c r="B960" s="323"/>
      <c r="N960" s="63"/>
      <c r="O960" s="324"/>
    </row>
    <row r="961" customFormat="false" ht="12.75" hidden="false" customHeight="false" outlineLevel="0" collapsed="false">
      <c r="A961" s="323"/>
      <c r="B961" s="323"/>
      <c r="N961" s="63"/>
      <c r="O961" s="324"/>
    </row>
    <row r="962" customFormat="false" ht="12.75" hidden="false" customHeight="false" outlineLevel="0" collapsed="false">
      <c r="A962" s="323"/>
      <c r="B962" s="323"/>
      <c r="N962" s="63"/>
      <c r="O962" s="324"/>
    </row>
    <row r="963" customFormat="false" ht="12.75" hidden="false" customHeight="false" outlineLevel="0" collapsed="false">
      <c r="A963" s="323"/>
      <c r="B963" s="323"/>
      <c r="N963" s="63"/>
      <c r="O963" s="324"/>
    </row>
    <row r="964" customFormat="false" ht="12.75" hidden="false" customHeight="false" outlineLevel="0" collapsed="false">
      <c r="A964" s="323"/>
      <c r="B964" s="323"/>
      <c r="N964" s="63"/>
      <c r="O964" s="324"/>
    </row>
    <row r="965" customFormat="false" ht="12.75" hidden="false" customHeight="false" outlineLevel="0" collapsed="false">
      <c r="A965" s="323"/>
      <c r="B965" s="323"/>
      <c r="N965" s="63"/>
      <c r="O965" s="324"/>
    </row>
    <row r="966" customFormat="false" ht="12.75" hidden="false" customHeight="false" outlineLevel="0" collapsed="false">
      <c r="A966" s="323"/>
      <c r="B966" s="323"/>
      <c r="N966" s="63"/>
      <c r="O966" s="324"/>
    </row>
    <row r="967" customFormat="false" ht="12.75" hidden="false" customHeight="false" outlineLevel="0" collapsed="false">
      <c r="A967" s="323"/>
      <c r="B967" s="323"/>
      <c r="N967" s="63"/>
      <c r="O967" s="324"/>
    </row>
    <row r="968" customFormat="false" ht="12.75" hidden="false" customHeight="false" outlineLevel="0" collapsed="false">
      <c r="A968" s="323"/>
      <c r="B968" s="323"/>
      <c r="N968" s="63"/>
      <c r="O968" s="324"/>
    </row>
    <row r="969" customFormat="false" ht="12.75" hidden="false" customHeight="false" outlineLevel="0" collapsed="false">
      <c r="A969" s="323"/>
      <c r="B969" s="323"/>
      <c r="N969" s="63"/>
      <c r="O969" s="324"/>
    </row>
    <row r="970" customFormat="false" ht="12.75" hidden="false" customHeight="false" outlineLevel="0" collapsed="false">
      <c r="A970" s="323"/>
      <c r="B970" s="323"/>
      <c r="N970" s="63"/>
      <c r="O970" s="324"/>
    </row>
    <row r="971" customFormat="false" ht="12.75" hidden="false" customHeight="false" outlineLevel="0" collapsed="false">
      <c r="A971" s="323"/>
      <c r="B971" s="323"/>
      <c r="N971" s="63"/>
      <c r="O971" s="324"/>
    </row>
    <row r="972" customFormat="false" ht="12.75" hidden="false" customHeight="false" outlineLevel="0" collapsed="false">
      <c r="A972" s="323"/>
      <c r="B972" s="323"/>
      <c r="N972" s="63"/>
      <c r="O972" s="324"/>
    </row>
    <row r="973" customFormat="false" ht="12.75" hidden="false" customHeight="false" outlineLevel="0" collapsed="false">
      <c r="A973" s="323"/>
      <c r="B973" s="323"/>
      <c r="N973" s="63"/>
      <c r="O973" s="324"/>
    </row>
    <row r="974" customFormat="false" ht="12.75" hidden="false" customHeight="false" outlineLevel="0" collapsed="false">
      <c r="A974" s="323"/>
      <c r="B974" s="323"/>
      <c r="N974" s="63"/>
      <c r="O974" s="324"/>
    </row>
    <row r="975" customFormat="false" ht="12.75" hidden="false" customHeight="false" outlineLevel="0" collapsed="false">
      <c r="A975" s="323"/>
      <c r="B975" s="323"/>
      <c r="N975" s="63"/>
      <c r="O975" s="324"/>
    </row>
    <row r="976" customFormat="false" ht="12.75" hidden="false" customHeight="false" outlineLevel="0" collapsed="false">
      <c r="A976" s="323"/>
      <c r="B976" s="323"/>
      <c r="N976" s="63"/>
      <c r="O976" s="324"/>
    </row>
    <row r="977" customFormat="false" ht="12.75" hidden="false" customHeight="false" outlineLevel="0" collapsed="false">
      <c r="A977" s="323"/>
      <c r="B977" s="323"/>
      <c r="N977" s="63"/>
      <c r="O977" s="324"/>
    </row>
    <row r="978" customFormat="false" ht="12.75" hidden="false" customHeight="false" outlineLevel="0" collapsed="false">
      <c r="A978" s="323"/>
      <c r="B978" s="323"/>
      <c r="N978" s="63"/>
      <c r="O978" s="324"/>
    </row>
    <row r="979" customFormat="false" ht="12.75" hidden="false" customHeight="false" outlineLevel="0" collapsed="false">
      <c r="A979" s="323"/>
      <c r="B979" s="323"/>
      <c r="N979" s="63"/>
      <c r="O979" s="324"/>
    </row>
    <row r="980" customFormat="false" ht="12.75" hidden="false" customHeight="false" outlineLevel="0" collapsed="false">
      <c r="A980" s="323"/>
      <c r="B980" s="323"/>
      <c r="N980" s="63"/>
      <c r="O980" s="324"/>
    </row>
    <row r="981" customFormat="false" ht="12.75" hidden="false" customHeight="false" outlineLevel="0" collapsed="false">
      <c r="A981" s="323"/>
      <c r="B981" s="323"/>
      <c r="N981" s="63"/>
      <c r="O981" s="324"/>
    </row>
    <row r="982" customFormat="false" ht="12.75" hidden="false" customHeight="false" outlineLevel="0" collapsed="false">
      <c r="A982" s="323"/>
      <c r="B982" s="323"/>
      <c r="N982" s="63"/>
      <c r="O982" s="324"/>
    </row>
    <row r="983" customFormat="false" ht="12.75" hidden="false" customHeight="false" outlineLevel="0" collapsed="false">
      <c r="A983" s="323"/>
      <c r="B983" s="323"/>
      <c r="N983" s="63"/>
      <c r="O983" s="324"/>
    </row>
    <row r="984" customFormat="false" ht="12.75" hidden="false" customHeight="false" outlineLevel="0" collapsed="false">
      <c r="A984" s="323"/>
      <c r="B984" s="323"/>
      <c r="N984" s="63"/>
      <c r="O984" s="324"/>
    </row>
    <row r="985" customFormat="false" ht="12.75" hidden="false" customHeight="false" outlineLevel="0" collapsed="false">
      <c r="A985" s="323"/>
      <c r="B985" s="323"/>
      <c r="N985" s="63"/>
      <c r="O985" s="324"/>
    </row>
    <row r="986" customFormat="false" ht="12.75" hidden="false" customHeight="false" outlineLevel="0" collapsed="false">
      <c r="A986" s="323"/>
      <c r="B986" s="323"/>
      <c r="N986" s="63"/>
      <c r="O986" s="324"/>
    </row>
    <row r="987" customFormat="false" ht="12.75" hidden="false" customHeight="false" outlineLevel="0" collapsed="false">
      <c r="A987" s="323"/>
      <c r="B987" s="323"/>
      <c r="N987" s="63"/>
      <c r="O987" s="324"/>
    </row>
    <row r="988" customFormat="false" ht="12.75" hidden="false" customHeight="false" outlineLevel="0" collapsed="false">
      <c r="A988" s="323"/>
      <c r="B988" s="323"/>
      <c r="N988" s="63"/>
      <c r="O988" s="324"/>
    </row>
    <row r="989" customFormat="false" ht="12.75" hidden="false" customHeight="false" outlineLevel="0" collapsed="false">
      <c r="A989" s="323"/>
      <c r="B989" s="323"/>
      <c r="N989" s="63"/>
      <c r="O989" s="324"/>
    </row>
    <row r="990" customFormat="false" ht="12.75" hidden="false" customHeight="false" outlineLevel="0" collapsed="false">
      <c r="A990" s="323"/>
      <c r="B990" s="323"/>
      <c r="N990" s="63"/>
      <c r="O990" s="324"/>
    </row>
    <row r="991" customFormat="false" ht="12.75" hidden="false" customHeight="false" outlineLevel="0" collapsed="false">
      <c r="A991" s="323"/>
      <c r="B991" s="323"/>
      <c r="N991" s="63"/>
      <c r="O991" s="324"/>
    </row>
    <row r="992" customFormat="false" ht="12.75" hidden="false" customHeight="false" outlineLevel="0" collapsed="false">
      <c r="A992" s="323"/>
      <c r="B992" s="323"/>
      <c r="N992" s="63"/>
      <c r="O992" s="324"/>
    </row>
    <row r="993" customFormat="false" ht="12.75" hidden="false" customHeight="false" outlineLevel="0" collapsed="false">
      <c r="A993" s="323"/>
      <c r="B993" s="323"/>
      <c r="N993" s="63"/>
      <c r="O993" s="324"/>
    </row>
    <row r="994" customFormat="false" ht="12.75" hidden="false" customHeight="false" outlineLevel="0" collapsed="false">
      <c r="A994" s="323"/>
      <c r="B994" s="323"/>
      <c r="N994" s="63"/>
      <c r="O994" s="324"/>
    </row>
    <row r="995" customFormat="false" ht="12.75" hidden="false" customHeight="false" outlineLevel="0" collapsed="false">
      <c r="A995" s="323"/>
      <c r="B995" s="323"/>
      <c r="N995" s="63"/>
      <c r="O995" s="324"/>
    </row>
    <row r="996" customFormat="false" ht="12.75" hidden="false" customHeight="false" outlineLevel="0" collapsed="false">
      <c r="A996" s="323"/>
      <c r="B996" s="323"/>
      <c r="N996" s="63"/>
      <c r="O996" s="324"/>
    </row>
    <row r="997" customFormat="false" ht="12.75" hidden="false" customHeight="false" outlineLevel="0" collapsed="false">
      <c r="A997" s="323"/>
      <c r="B997" s="323"/>
      <c r="N997" s="63"/>
      <c r="O997" s="324"/>
    </row>
    <row r="998" customFormat="false" ht="12.75" hidden="false" customHeight="false" outlineLevel="0" collapsed="false">
      <c r="A998" s="323"/>
      <c r="B998" s="323"/>
      <c r="N998" s="63"/>
      <c r="O998" s="324"/>
    </row>
    <row r="999" customFormat="false" ht="12.75" hidden="false" customHeight="false" outlineLevel="0" collapsed="false">
      <c r="A999" s="323"/>
      <c r="B999" s="323"/>
      <c r="N999" s="63"/>
      <c r="O999" s="324"/>
    </row>
    <row r="1000" customFormat="false" ht="12.75" hidden="false" customHeight="false" outlineLevel="0" collapsed="false">
      <c r="A1000" s="323"/>
      <c r="B1000" s="323"/>
      <c r="N1000" s="63"/>
      <c r="O1000" s="324"/>
    </row>
    <row r="1001" customFormat="false" ht="12.75" hidden="false" customHeight="false" outlineLevel="0" collapsed="false">
      <c r="A1001" s="323"/>
      <c r="B1001" s="323"/>
      <c r="N1001" s="63"/>
      <c r="O1001" s="324"/>
    </row>
    <row r="1002" customFormat="false" ht="12.75" hidden="false" customHeight="false" outlineLevel="0" collapsed="false">
      <c r="A1002" s="323"/>
      <c r="B1002" s="323"/>
      <c r="N1002" s="63"/>
      <c r="O1002" s="324"/>
    </row>
    <row r="1003" customFormat="false" ht="12.75" hidden="false" customHeight="false" outlineLevel="0" collapsed="false">
      <c r="A1003" s="323"/>
      <c r="B1003" s="323"/>
      <c r="N1003" s="63"/>
      <c r="O1003" s="324"/>
    </row>
    <row r="1004" customFormat="false" ht="12.75" hidden="false" customHeight="false" outlineLevel="0" collapsed="false">
      <c r="A1004" s="323"/>
      <c r="B1004" s="323"/>
      <c r="N1004" s="63"/>
      <c r="O1004" s="324"/>
    </row>
    <row r="1005" customFormat="false" ht="12.75" hidden="false" customHeight="false" outlineLevel="0" collapsed="false">
      <c r="A1005" s="323"/>
      <c r="B1005" s="323"/>
      <c r="N1005" s="63"/>
      <c r="O1005" s="324"/>
    </row>
    <row r="1006" customFormat="false" ht="12.75" hidden="false" customHeight="false" outlineLevel="0" collapsed="false">
      <c r="A1006" s="323"/>
      <c r="B1006" s="323"/>
      <c r="N1006" s="63"/>
      <c r="O1006" s="324"/>
    </row>
    <row r="1007" customFormat="false" ht="12.75" hidden="false" customHeight="false" outlineLevel="0" collapsed="false">
      <c r="A1007" s="323"/>
      <c r="B1007" s="323"/>
      <c r="N1007" s="63"/>
      <c r="O1007" s="324"/>
    </row>
    <row r="1008" customFormat="false" ht="12.75" hidden="false" customHeight="false" outlineLevel="0" collapsed="false">
      <c r="A1008" s="323"/>
      <c r="B1008" s="323"/>
      <c r="N1008" s="63"/>
      <c r="O1008" s="324"/>
    </row>
    <row r="1009" customFormat="false" ht="12.75" hidden="false" customHeight="false" outlineLevel="0" collapsed="false">
      <c r="A1009" s="323"/>
      <c r="B1009" s="323"/>
      <c r="N1009" s="63"/>
      <c r="O1009" s="324"/>
    </row>
    <row r="1010" customFormat="false" ht="12.75" hidden="false" customHeight="false" outlineLevel="0" collapsed="false">
      <c r="A1010" s="323"/>
      <c r="B1010" s="323"/>
      <c r="N1010" s="63"/>
      <c r="O1010" s="324"/>
    </row>
    <row r="1011" customFormat="false" ht="12.75" hidden="false" customHeight="false" outlineLevel="0" collapsed="false">
      <c r="A1011" s="323"/>
      <c r="B1011" s="323"/>
      <c r="N1011" s="63"/>
      <c r="O1011" s="324"/>
    </row>
    <row r="1012" customFormat="false" ht="12.75" hidden="false" customHeight="false" outlineLevel="0" collapsed="false">
      <c r="A1012" s="323"/>
      <c r="B1012" s="323"/>
      <c r="N1012" s="63"/>
      <c r="O1012" s="324"/>
    </row>
    <row r="1013" customFormat="false" ht="12.75" hidden="false" customHeight="false" outlineLevel="0" collapsed="false">
      <c r="A1013" s="323"/>
      <c r="B1013" s="323"/>
      <c r="N1013" s="63"/>
      <c r="O1013" s="324"/>
    </row>
    <row r="1014" customFormat="false" ht="12.75" hidden="false" customHeight="false" outlineLevel="0" collapsed="false">
      <c r="A1014" s="323"/>
      <c r="B1014" s="323"/>
      <c r="N1014" s="63"/>
      <c r="O1014" s="324"/>
    </row>
    <row r="1015" customFormat="false" ht="12.75" hidden="false" customHeight="false" outlineLevel="0" collapsed="false">
      <c r="A1015" s="323"/>
      <c r="B1015" s="323"/>
      <c r="N1015" s="63"/>
      <c r="O1015" s="324"/>
    </row>
    <row r="1016" customFormat="false" ht="12.75" hidden="false" customHeight="false" outlineLevel="0" collapsed="false">
      <c r="A1016" s="323"/>
      <c r="B1016" s="323"/>
      <c r="N1016" s="63"/>
      <c r="O1016" s="324"/>
    </row>
    <row r="1017" customFormat="false" ht="12.75" hidden="false" customHeight="false" outlineLevel="0" collapsed="false">
      <c r="A1017" s="323"/>
      <c r="B1017" s="323"/>
      <c r="N1017" s="63"/>
      <c r="O1017" s="324"/>
    </row>
    <row r="1018" customFormat="false" ht="12.75" hidden="false" customHeight="false" outlineLevel="0" collapsed="false">
      <c r="A1018" s="323"/>
      <c r="B1018" s="323"/>
      <c r="N1018" s="63"/>
      <c r="O1018" s="324"/>
    </row>
    <row r="1019" customFormat="false" ht="12.75" hidden="false" customHeight="false" outlineLevel="0" collapsed="false">
      <c r="A1019" s="323"/>
      <c r="B1019" s="323"/>
      <c r="N1019" s="63"/>
      <c r="O1019" s="324"/>
    </row>
    <row r="1020" customFormat="false" ht="12.75" hidden="false" customHeight="false" outlineLevel="0" collapsed="false">
      <c r="A1020" s="323"/>
      <c r="B1020" s="323"/>
      <c r="N1020" s="63"/>
      <c r="O1020" s="324"/>
    </row>
    <row r="1021" customFormat="false" ht="12.75" hidden="false" customHeight="false" outlineLevel="0" collapsed="false">
      <c r="A1021" s="323"/>
      <c r="B1021" s="323"/>
      <c r="N1021" s="63"/>
      <c r="O1021" s="324"/>
    </row>
    <row r="1022" customFormat="false" ht="12.75" hidden="false" customHeight="false" outlineLevel="0" collapsed="false">
      <c r="A1022" s="323"/>
      <c r="B1022" s="323"/>
      <c r="N1022" s="63"/>
      <c r="O1022" s="324"/>
    </row>
    <row r="1023" customFormat="false" ht="12.75" hidden="false" customHeight="false" outlineLevel="0" collapsed="false">
      <c r="A1023" s="323"/>
      <c r="B1023" s="323"/>
      <c r="N1023" s="63"/>
      <c r="O1023" s="324"/>
    </row>
    <row r="1024" customFormat="false" ht="12.75" hidden="false" customHeight="false" outlineLevel="0" collapsed="false">
      <c r="A1024" s="323"/>
      <c r="B1024" s="323"/>
      <c r="N1024" s="63"/>
      <c r="O1024" s="324"/>
    </row>
    <row r="1025" customFormat="false" ht="12.75" hidden="false" customHeight="false" outlineLevel="0" collapsed="false">
      <c r="A1025" s="323"/>
      <c r="B1025" s="323"/>
      <c r="N1025" s="63"/>
      <c r="O1025" s="324"/>
    </row>
    <row r="1026" customFormat="false" ht="12.75" hidden="false" customHeight="false" outlineLevel="0" collapsed="false">
      <c r="A1026" s="323"/>
      <c r="B1026" s="323"/>
      <c r="N1026" s="63"/>
      <c r="O1026" s="324"/>
    </row>
    <row r="1027" customFormat="false" ht="12.75" hidden="false" customHeight="false" outlineLevel="0" collapsed="false">
      <c r="A1027" s="323"/>
      <c r="B1027" s="323"/>
      <c r="N1027" s="63"/>
      <c r="O1027" s="324"/>
    </row>
    <row r="1028" customFormat="false" ht="12.75" hidden="false" customHeight="false" outlineLevel="0" collapsed="false">
      <c r="A1028" s="323"/>
      <c r="B1028" s="323"/>
      <c r="N1028" s="63"/>
      <c r="O1028" s="324"/>
    </row>
    <row r="1029" customFormat="false" ht="12.75" hidden="false" customHeight="false" outlineLevel="0" collapsed="false">
      <c r="A1029" s="323"/>
      <c r="B1029" s="323"/>
      <c r="N1029" s="63"/>
      <c r="O1029" s="324"/>
    </row>
    <row r="1030" customFormat="false" ht="12.75" hidden="false" customHeight="false" outlineLevel="0" collapsed="false">
      <c r="A1030" s="323"/>
      <c r="B1030" s="323"/>
      <c r="N1030" s="63"/>
      <c r="O1030" s="324"/>
    </row>
    <row r="1031" customFormat="false" ht="12.75" hidden="false" customHeight="false" outlineLevel="0" collapsed="false">
      <c r="A1031" s="323"/>
      <c r="B1031" s="323"/>
      <c r="N1031" s="63"/>
      <c r="O1031" s="324"/>
    </row>
    <row r="1032" customFormat="false" ht="12.75" hidden="false" customHeight="false" outlineLevel="0" collapsed="false">
      <c r="A1032" s="323"/>
      <c r="B1032" s="323"/>
      <c r="N1032" s="63"/>
      <c r="O1032" s="324"/>
    </row>
    <row r="1033" customFormat="false" ht="12.75" hidden="false" customHeight="false" outlineLevel="0" collapsed="false">
      <c r="A1033" s="323"/>
      <c r="B1033" s="323"/>
      <c r="N1033" s="63"/>
      <c r="O1033" s="324"/>
    </row>
    <row r="1034" customFormat="false" ht="12.75" hidden="false" customHeight="false" outlineLevel="0" collapsed="false">
      <c r="A1034" s="323"/>
      <c r="B1034" s="323"/>
      <c r="N1034" s="63"/>
      <c r="O1034" s="324"/>
    </row>
    <row r="1035" customFormat="false" ht="12.75" hidden="false" customHeight="false" outlineLevel="0" collapsed="false">
      <c r="A1035" s="323"/>
      <c r="B1035" s="323"/>
      <c r="N1035" s="63"/>
      <c r="O1035" s="324"/>
    </row>
    <row r="1036" customFormat="false" ht="12.75" hidden="false" customHeight="false" outlineLevel="0" collapsed="false">
      <c r="A1036" s="323"/>
      <c r="B1036" s="323"/>
      <c r="N1036" s="63"/>
      <c r="O1036" s="324"/>
    </row>
    <row r="1037" customFormat="false" ht="12.75" hidden="false" customHeight="false" outlineLevel="0" collapsed="false">
      <c r="A1037" s="323"/>
      <c r="B1037" s="323"/>
      <c r="N1037" s="63"/>
      <c r="O1037" s="324"/>
    </row>
    <row r="1038" customFormat="false" ht="12.75" hidden="false" customHeight="false" outlineLevel="0" collapsed="false">
      <c r="A1038" s="323"/>
      <c r="B1038" s="323"/>
      <c r="N1038" s="63"/>
      <c r="O1038" s="324"/>
    </row>
    <row r="1039" customFormat="false" ht="12.75" hidden="false" customHeight="false" outlineLevel="0" collapsed="false">
      <c r="A1039" s="323"/>
      <c r="B1039" s="323"/>
      <c r="N1039" s="63"/>
      <c r="O1039" s="324"/>
    </row>
    <row r="1040" customFormat="false" ht="12.75" hidden="false" customHeight="false" outlineLevel="0" collapsed="false">
      <c r="A1040" s="323"/>
      <c r="B1040" s="323"/>
      <c r="N1040" s="63"/>
      <c r="O1040" s="324"/>
    </row>
    <row r="1041" customFormat="false" ht="12.75" hidden="false" customHeight="false" outlineLevel="0" collapsed="false">
      <c r="A1041" s="323"/>
      <c r="B1041" s="323"/>
      <c r="N1041" s="63"/>
      <c r="O1041" s="324"/>
    </row>
    <row r="1042" customFormat="false" ht="12.75" hidden="false" customHeight="false" outlineLevel="0" collapsed="false">
      <c r="A1042" s="323"/>
      <c r="B1042" s="323"/>
      <c r="N1042" s="63"/>
      <c r="O1042" s="324"/>
    </row>
    <row r="1043" customFormat="false" ht="12.75" hidden="false" customHeight="false" outlineLevel="0" collapsed="false">
      <c r="A1043" s="323"/>
      <c r="B1043" s="323"/>
      <c r="N1043" s="63"/>
      <c r="O1043" s="324"/>
    </row>
    <row r="1044" customFormat="false" ht="12.75" hidden="false" customHeight="false" outlineLevel="0" collapsed="false">
      <c r="A1044" s="323"/>
      <c r="B1044" s="323"/>
      <c r="N1044" s="63"/>
      <c r="O1044" s="324"/>
    </row>
    <row r="1045" customFormat="false" ht="12.75" hidden="false" customHeight="false" outlineLevel="0" collapsed="false">
      <c r="A1045" s="323"/>
      <c r="B1045" s="323"/>
      <c r="N1045" s="63"/>
      <c r="O1045" s="324"/>
    </row>
    <row r="1046" customFormat="false" ht="12.75" hidden="false" customHeight="false" outlineLevel="0" collapsed="false">
      <c r="A1046" s="323"/>
      <c r="B1046" s="323"/>
      <c r="N1046" s="63"/>
      <c r="O1046" s="324"/>
    </row>
    <row r="1047" customFormat="false" ht="12.75" hidden="false" customHeight="false" outlineLevel="0" collapsed="false">
      <c r="A1047" s="323"/>
      <c r="B1047" s="323"/>
      <c r="N1047" s="63"/>
      <c r="O1047" s="324"/>
    </row>
    <row r="1048" customFormat="false" ht="12.75" hidden="false" customHeight="false" outlineLevel="0" collapsed="false">
      <c r="A1048" s="323"/>
      <c r="B1048" s="323"/>
      <c r="N1048" s="63"/>
      <c r="O1048" s="324"/>
    </row>
    <row r="1049" customFormat="false" ht="12.75" hidden="false" customHeight="false" outlineLevel="0" collapsed="false">
      <c r="A1049" s="323"/>
      <c r="B1049" s="323"/>
      <c r="N1049" s="63"/>
      <c r="O1049" s="324"/>
    </row>
    <row r="1050" customFormat="false" ht="12.75" hidden="false" customHeight="false" outlineLevel="0" collapsed="false">
      <c r="A1050" s="323"/>
      <c r="B1050" s="323"/>
      <c r="N1050" s="63"/>
      <c r="O1050" s="324"/>
    </row>
    <row r="1051" customFormat="false" ht="12.75" hidden="false" customHeight="false" outlineLevel="0" collapsed="false">
      <c r="A1051" s="323"/>
      <c r="B1051" s="323"/>
      <c r="N1051" s="63"/>
      <c r="O1051" s="324"/>
    </row>
    <row r="1052" customFormat="false" ht="12.75" hidden="false" customHeight="false" outlineLevel="0" collapsed="false">
      <c r="A1052" s="323"/>
      <c r="B1052" s="323"/>
      <c r="N1052" s="63"/>
      <c r="O1052" s="324"/>
    </row>
    <row r="1053" customFormat="false" ht="12.75" hidden="false" customHeight="false" outlineLevel="0" collapsed="false">
      <c r="A1053" s="323"/>
      <c r="B1053" s="323"/>
      <c r="N1053" s="63"/>
      <c r="O1053" s="324"/>
    </row>
    <row r="1054" customFormat="false" ht="12.75" hidden="false" customHeight="false" outlineLevel="0" collapsed="false">
      <c r="A1054" s="323"/>
      <c r="B1054" s="323"/>
      <c r="N1054" s="63"/>
      <c r="O1054" s="324"/>
    </row>
    <row r="1055" customFormat="false" ht="12.75" hidden="false" customHeight="false" outlineLevel="0" collapsed="false">
      <c r="A1055" s="323"/>
      <c r="B1055" s="323"/>
      <c r="N1055" s="63"/>
      <c r="O1055" s="324"/>
    </row>
    <row r="1056" customFormat="false" ht="12.75" hidden="false" customHeight="false" outlineLevel="0" collapsed="false">
      <c r="A1056" s="323"/>
      <c r="B1056" s="323"/>
      <c r="N1056" s="63"/>
      <c r="O1056" s="324"/>
    </row>
    <row r="1057" customFormat="false" ht="12.75" hidden="false" customHeight="false" outlineLevel="0" collapsed="false">
      <c r="A1057" s="323"/>
      <c r="B1057" s="323"/>
      <c r="N1057" s="63"/>
      <c r="O1057" s="324"/>
    </row>
    <row r="1058" customFormat="false" ht="12.75" hidden="false" customHeight="false" outlineLevel="0" collapsed="false">
      <c r="A1058" s="323"/>
      <c r="B1058" s="323"/>
      <c r="N1058" s="63"/>
      <c r="O1058" s="324"/>
    </row>
    <row r="1059" customFormat="false" ht="12.75" hidden="false" customHeight="false" outlineLevel="0" collapsed="false">
      <c r="A1059" s="323"/>
      <c r="B1059" s="323"/>
      <c r="N1059" s="63"/>
      <c r="O1059" s="324"/>
    </row>
    <row r="1060" customFormat="false" ht="12.75" hidden="false" customHeight="false" outlineLevel="0" collapsed="false">
      <c r="A1060" s="323"/>
      <c r="B1060" s="323"/>
      <c r="N1060" s="63"/>
      <c r="O1060" s="324"/>
    </row>
    <row r="1061" customFormat="false" ht="12.75" hidden="false" customHeight="false" outlineLevel="0" collapsed="false">
      <c r="A1061" s="323"/>
      <c r="B1061" s="323"/>
      <c r="N1061" s="63"/>
      <c r="O1061" s="324"/>
    </row>
    <row r="1062" customFormat="false" ht="12.75" hidden="false" customHeight="false" outlineLevel="0" collapsed="false">
      <c r="A1062" s="323"/>
      <c r="B1062" s="323"/>
      <c r="N1062" s="63"/>
      <c r="O1062" s="324"/>
    </row>
    <row r="1063" customFormat="false" ht="12.75" hidden="false" customHeight="false" outlineLevel="0" collapsed="false">
      <c r="A1063" s="323"/>
      <c r="B1063" s="323"/>
      <c r="N1063" s="63"/>
      <c r="O1063" s="324"/>
    </row>
    <row r="1064" customFormat="false" ht="12.75" hidden="false" customHeight="false" outlineLevel="0" collapsed="false">
      <c r="A1064" s="323"/>
      <c r="B1064" s="323"/>
      <c r="N1064" s="63"/>
      <c r="O1064" s="324"/>
    </row>
    <row r="1065" customFormat="false" ht="12.75" hidden="false" customHeight="false" outlineLevel="0" collapsed="false">
      <c r="A1065" s="323"/>
      <c r="B1065" s="323"/>
      <c r="N1065" s="63"/>
      <c r="O1065" s="324"/>
    </row>
    <row r="1066" customFormat="false" ht="12.75" hidden="false" customHeight="false" outlineLevel="0" collapsed="false">
      <c r="A1066" s="323"/>
      <c r="B1066" s="323"/>
      <c r="N1066" s="63"/>
      <c r="O1066" s="324"/>
    </row>
    <row r="1067" customFormat="false" ht="12.75" hidden="false" customHeight="false" outlineLevel="0" collapsed="false">
      <c r="A1067" s="323"/>
      <c r="B1067" s="323"/>
      <c r="N1067" s="63"/>
      <c r="O1067" s="324"/>
    </row>
    <row r="1068" customFormat="false" ht="12.75" hidden="false" customHeight="false" outlineLevel="0" collapsed="false">
      <c r="A1068" s="323"/>
      <c r="B1068" s="323"/>
      <c r="N1068" s="63"/>
      <c r="O1068" s="324"/>
    </row>
    <row r="1069" customFormat="false" ht="12.75" hidden="false" customHeight="false" outlineLevel="0" collapsed="false">
      <c r="A1069" s="323"/>
      <c r="B1069" s="323"/>
      <c r="N1069" s="63"/>
      <c r="O1069" s="324"/>
    </row>
    <row r="1070" customFormat="false" ht="12.75" hidden="false" customHeight="false" outlineLevel="0" collapsed="false">
      <c r="A1070" s="323"/>
      <c r="B1070" s="323"/>
      <c r="N1070" s="63"/>
      <c r="O1070" s="324"/>
    </row>
    <row r="1071" customFormat="false" ht="12.75" hidden="false" customHeight="false" outlineLevel="0" collapsed="false">
      <c r="A1071" s="323"/>
      <c r="B1071" s="323"/>
      <c r="N1071" s="63"/>
      <c r="O1071" s="324"/>
    </row>
    <row r="1072" customFormat="false" ht="12.75" hidden="false" customHeight="false" outlineLevel="0" collapsed="false">
      <c r="A1072" s="323"/>
      <c r="B1072" s="323"/>
      <c r="N1072" s="63"/>
      <c r="O1072" s="324"/>
    </row>
    <row r="1073" customFormat="false" ht="12.75" hidden="false" customHeight="false" outlineLevel="0" collapsed="false">
      <c r="A1073" s="323"/>
      <c r="B1073" s="323"/>
      <c r="N1073" s="63"/>
      <c r="O1073" s="324"/>
    </row>
    <row r="1074" customFormat="false" ht="12.75" hidden="false" customHeight="false" outlineLevel="0" collapsed="false">
      <c r="A1074" s="323"/>
      <c r="B1074" s="323"/>
      <c r="N1074" s="63"/>
      <c r="O1074" s="324"/>
    </row>
    <row r="1075" customFormat="false" ht="12.75" hidden="false" customHeight="false" outlineLevel="0" collapsed="false">
      <c r="A1075" s="323"/>
      <c r="B1075" s="323"/>
      <c r="N1075" s="63"/>
      <c r="O1075" s="324"/>
    </row>
    <row r="1076" customFormat="false" ht="12.75" hidden="false" customHeight="false" outlineLevel="0" collapsed="false">
      <c r="A1076" s="323"/>
      <c r="B1076" s="323"/>
      <c r="N1076" s="63"/>
      <c r="O1076" s="324"/>
    </row>
    <row r="1077" customFormat="false" ht="12.75" hidden="false" customHeight="false" outlineLevel="0" collapsed="false">
      <c r="A1077" s="323"/>
      <c r="B1077" s="323"/>
      <c r="N1077" s="63"/>
      <c r="O1077" s="324"/>
    </row>
    <row r="1078" customFormat="false" ht="12.75" hidden="false" customHeight="false" outlineLevel="0" collapsed="false">
      <c r="A1078" s="323"/>
      <c r="B1078" s="323"/>
      <c r="N1078" s="63"/>
      <c r="O1078" s="324"/>
    </row>
    <row r="1079" customFormat="false" ht="12.75" hidden="false" customHeight="false" outlineLevel="0" collapsed="false">
      <c r="A1079" s="323"/>
      <c r="B1079" s="323"/>
      <c r="N1079" s="63"/>
      <c r="O1079" s="324"/>
    </row>
    <row r="1080" customFormat="false" ht="12.75" hidden="false" customHeight="false" outlineLevel="0" collapsed="false">
      <c r="A1080" s="323"/>
      <c r="B1080" s="323"/>
      <c r="N1080" s="63"/>
      <c r="O1080" s="324"/>
    </row>
    <row r="1081" customFormat="false" ht="12.75" hidden="false" customHeight="false" outlineLevel="0" collapsed="false">
      <c r="A1081" s="323"/>
      <c r="B1081" s="323"/>
      <c r="N1081" s="63"/>
      <c r="O1081" s="324"/>
    </row>
    <row r="1082" customFormat="false" ht="12.75" hidden="false" customHeight="false" outlineLevel="0" collapsed="false">
      <c r="A1082" s="323"/>
      <c r="B1082" s="323"/>
      <c r="N1082" s="63"/>
      <c r="O1082" s="324"/>
    </row>
    <row r="1083" customFormat="false" ht="12.75" hidden="false" customHeight="false" outlineLevel="0" collapsed="false">
      <c r="A1083" s="323"/>
      <c r="B1083" s="323"/>
      <c r="N1083" s="63"/>
      <c r="O1083" s="324"/>
    </row>
    <row r="1084" customFormat="false" ht="12.75" hidden="false" customHeight="false" outlineLevel="0" collapsed="false">
      <c r="A1084" s="323"/>
      <c r="B1084" s="323"/>
      <c r="N1084" s="63"/>
      <c r="O1084" s="324"/>
    </row>
    <row r="1085" customFormat="false" ht="12.75" hidden="false" customHeight="false" outlineLevel="0" collapsed="false">
      <c r="A1085" s="323"/>
      <c r="B1085" s="323"/>
      <c r="N1085" s="63"/>
      <c r="O1085" s="324"/>
    </row>
    <row r="1086" customFormat="false" ht="12.75" hidden="false" customHeight="false" outlineLevel="0" collapsed="false">
      <c r="A1086" s="323"/>
      <c r="B1086" s="323"/>
      <c r="N1086" s="63"/>
      <c r="O1086" s="324"/>
    </row>
    <row r="1087" customFormat="false" ht="12.75" hidden="false" customHeight="false" outlineLevel="0" collapsed="false">
      <c r="A1087" s="323"/>
      <c r="B1087" s="323"/>
      <c r="N1087" s="63"/>
      <c r="O1087" s="324"/>
    </row>
    <row r="1088" customFormat="false" ht="12.75" hidden="false" customHeight="false" outlineLevel="0" collapsed="false">
      <c r="A1088" s="323"/>
      <c r="B1088" s="323"/>
      <c r="N1088" s="63"/>
      <c r="O1088" s="324"/>
    </row>
    <row r="1089" customFormat="false" ht="12.75" hidden="false" customHeight="false" outlineLevel="0" collapsed="false">
      <c r="A1089" s="323"/>
      <c r="B1089" s="323"/>
      <c r="N1089" s="63"/>
      <c r="O1089" s="324"/>
    </row>
    <row r="1090" customFormat="false" ht="12.75" hidden="false" customHeight="false" outlineLevel="0" collapsed="false">
      <c r="A1090" s="323"/>
      <c r="B1090" s="323"/>
      <c r="N1090" s="63"/>
      <c r="O1090" s="324"/>
    </row>
    <row r="1091" customFormat="false" ht="12.75" hidden="false" customHeight="false" outlineLevel="0" collapsed="false">
      <c r="A1091" s="323"/>
      <c r="B1091" s="323"/>
      <c r="N1091" s="63"/>
      <c r="O1091" s="324"/>
    </row>
    <row r="1092" customFormat="false" ht="12.75" hidden="false" customHeight="false" outlineLevel="0" collapsed="false">
      <c r="A1092" s="323"/>
      <c r="B1092" s="323"/>
      <c r="N1092" s="63"/>
      <c r="O1092" s="324"/>
    </row>
    <row r="1093" customFormat="false" ht="12.75" hidden="false" customHeight="false" outlineLevel="0" collapsed="false">
      <c r="A1093" s="323"/>
      <c r="B1093" s="323"/>
      <c r="N1093" s="63"/>
      <c r="O1093" s="324"/>
    </row>
    <row r="1094" customFormat="false" ht="12.75" hidden="false" customHeight="false" outlineLevel="0" collapsed="false">
      <c r="A1094" s="323"/>
      <c r="B1094" s="323"/>
      <c r="N1094" s="63"/>
      <c r="O1094" s="324"/>
    </row>
    <row r="1095" customFormat="false" ht="12.75" hidden="false" customHeight="false" outlineLevel="0" collapsed="false">
      <c r="A1095" s="323"/>
      <c r="B1095" s="323"/>
      <c r="N1095" s="63"/>
      <c r="O1095" s="324"/>
    </row>
    <row r="1096" customFormat="false" ht="12.75" hidden="false" customHeight="false" outlineLevel="0" collapsed="false">
      <c r="A1096" s="323"/>
      <c r="B1096" s="323"/>
      <c r="N1096" s="63"/>
      <c r="O1096" s="324"/>
    </row>
    <row r="1097" customFormat="false" ht="12.75" hidden="false" customHeight="false" outlineLevel="0" collapsed="false">
      <c r="A1097" s="323"/>
      <c r="B1097" s="323"/>
      <c r="N1097" s="63"/>
      <c r="O1097" s="324"/>
    </row>
    <row r="1098" customFormat="false" ht="12.75" hidden="false" customHeight="false" outlineLevel="0" collapsed="false">
      <c r="A1098" s="323"/>
      <c r="B1098" s="323"/>
      <c r="N1098" s="63"/>
      <c r="O1098" s="324"/>
    </row>
    <row r="1099" customFormat="false" ht="12.75" hidden="false" customHeight="false" outlineLevel="0" collapsed="false">
      <c r="A1099" s="323"/>
      <c r="B1099" s="323"/>
      <c r="N1099" s="63"/>
      <c r="O1099" s="324"/>
    </row>
    <row r="1100" customFormat="false" ht="12.75" hidden="false" customHeight="false" outlineLevel="0" collapsed="false">
      <c r="A1100" s="323"/>
      <c r="B1100" s="323"/>
      <c r="N1100" s="63"/>
      <c r="O1100" s="324"/>
    </row>
    <row r="1101" customFormat="false" ht="12.75" hidden="false" customHeight="false" outlineLevel="0" collapsed="false">
      <c r="A1101" s="323"/>
      <c r="B1101" s="323"/>
      <c r="N1101" s="63"/>
      <c r="O1101" s="324"/>
    </row>
    <row r="1102" customFormat="false" ht="12.75" hidden="false" customHeight="false" outlineLevel="0" collapsed="false">
      <c r="A1102" s="323"/>
      <c r="B1102" s="323"/>
      <c r="N1102" s="63"/>
      <c r="O1102" s="324"/>
    </row>
    <row r="1103" customFormat="false" ht="12.75" hidden="false" customHeight="false" outlineLevel="0" collapsed="false">
      <c r="A1103" s="323"/>
      <c r="B1103" s="323"/>
      <c r="N1103" s="63"/>
      <c r="O1103" s="324"/>
    </row>
    <row r="1104" customFormat="false" ht="12.75" hidden="false" customHeight="false" outlineLevel="0" collapsed="false">
      <c r="A1104" s="323"/>
      <c r="B1104" s="323"/>
      <c r="N1104" s="63"/>
      <c r="O1104" s="324"/>
    </row>
    <row r="1105" customFormat="false" ht="12.75" hidden="false" customHeight="false" outlineLevel="0" collapsed="false">
      <c r="A1105" s="323"/>
      <c r="B1105" s="323"/>
      <c r="N1105" s="63"/>
      <c r="O1105" s="324"/>
    </row>
    <row r="1106" customFormat="false" ht="12.75" hidden="false" customHeight="false" outlineLevel="0" collapsed="false">
      <c r="A1106" s="323"/>
      <c r="B1106" s="323"/>
      <c r="N1106" s="63"/>
      <c r="O1106" s="324"/>
    </row>
    <row r="1107" customFormat="false" ht="12.75" hidden="false" customHeight="false" outlineLevel="0" collapsed="false">
      <c r="A1107" s="323"/>
      <c r="B1107" s="323"/>
      <c r="N1107" s="63"/>
      <c r="O1107" s="324"/>
    </row>
    <row r="1108" customFormat="false" ht="12.75" hidden="false" customHeight="false" outlineLevel="0" collapsed="false">
      <c r="A1108" s="323"/>
      <c r="B1108" s="323"/>
      <c r="N1108" s="63"/>
      <c r="O1108" s="324"/>
    </row>
    <row r="1109" customFormat="false" ht="12.75" hidden="false" customHeight="false" outlineLevel="0" collapsed="false">
      <c r="A1109" s="323"/>
      <c r="B1109" s="323"/>
      <c r="N1109" s="63"/>
      <c r="O1109" s="324"/>
    </row>
    <row r="1110" customFormat="false" ht="12.75" hidden="false" customHeight="false" outlineLevel="0" collapsed="false">
      <c r="A1110" s="323"/>
      <c r="B1110" s="323"/>
      <c r="N1110" s="63"/>
      <c r="O1110" s="324"/>
    </row>
    <row r="1111" customFormat="false" ht="12.75" hidden="false" customHeight="false" outlineLevel="0" collapsed="false">
      <c r="A1111" s="323"/>
      <c r="B1111" s="323"/>
      <c r="N1111" s="63"/>
      <c r="O1111" s="324"/>
    </row>
    <row r="1112" customFormat="false" ht="12.75" hidden="false" customHeight="false" outlineLevel="0" collapsed="false">
      <c r="A1112" s="323"/>
      <c r="B1112" s="323"/>
      <c r="N1112" s="63"/>
      <c r="O1112" s="324"/>
    </row>
    <row r="1113" customFormat="false" ht="12.75" hidden="false" customHeight="false" outlineLevel="0" collapsed="false">
      <c r="A1113" s="323"/>
      <c r="B1113" s="323"/>
      <c r="N1113" s="63"/>
      <c r="O1113" s="324"/>
    </row>
    <row r="1114" customFormat="false" ht="12.75" hidden="false" customHeight="false" outlineLevel="0" collapsed="false">
      <c r="A1114" s="323"/>
      <c r="B1114" s="323"/>
      <c r="N1114" s="63"/>
      <c r="O1114" s="324"/>
    </row>
    <row r="1115" customFormat="false" ht="12.75" hidden="false" customHeight="false" outlineLevel="0" collapsed="false">
      <c r="A1115" s="323"/>
      <c r="B1115" s="323"/>
      <c r="N1115" s="63"/>
      <c r="O1115" s="324"/>
    </row>
    <row r="1116" customFormat="false" ht="12.75" hidden="false" customHeight="false" outlineLevel="0" collapsed="false">
      <c r="A1116" s="323"/>
      <c r="B1116" s="323"/>
      <c r="N1116" s="63"/>
      <c r="O1116" s="324"/>
    </row>
    <row r="1117" customFormat="false" ht="12.75" hidden="false" customHeight="false" outlineLevel="0" collapsed="false">
      <c r="A1117" s="323"/>
      <c r="B1117" s="323"/>
      <c r="N1117" s="63"/>
      <c r="O1117" s="324"/>
    </row>
    <row r="1118" customFormat="false" ht="12.75" hidden="false" customHeight="false" outlineLevel="0" collapsed="false">
      <c r="A1118" s="323"/>
      <c r="B1118" s="323"/>
      <c r="N1118" s="63"/>
      <c r="O1118" s="324"/>
    </row>
    <row r="1119" customFormat="false" ht="12.75" hidden="false" customHeight="false" outlineLevel="0" collapsed="false">
      <c r="A1119" s="323"/>
      <c r="B1119" s="323"/>
      <c r="N1119" s="63"/>
      <c r="O1119" s="324"/>
    </row>
    <row r="1120" customFormat="false" ht="12.75" hidden="false" customHeight="false" outlineLevel="0" collapsed="false">
      <c r="A1120" s="323"/>
      <c r="B1120" s="323"/>
      <c r="N1120" s="63"/>
      <c r="O1120" s="324"/>
    </row>
    <row r="1121" customFormat="false" ht="12.75" hidden="false" customHeight="false" outlineLevel="0" collapsed="false">
      <c r="A1121" s="323"/>
      <c r="B1121" s="323"/>
      <c r="N1121" s="63"/>
      <c r="O1121" s="324"/>
    </row>
    <row r="1122" customFormat="false" ht="12.75" hidden="false" customHeight="false" outlineLevel="0" collapsed="false">
      <c r="A1122" s="323"/>
      <c r="B1122" s="323"/>
      <c r="N1122" s="63"/>
      <c r="O1122" s="324"/>
    </row>
    <row r="1123" customFormat="false" ht="12.75" hidden="false" customHeight="false" outlineLevel="0" collapsed="false">
      <c r="A1123" s="323"/>
      <c r="B1123" s="323"/>
      <c r="N1123" s="63"/>
      <c r="O1123" s="324"/>
    </row>
    <row r="1124" customFormat="false" ht="12.75" hidden="false" customHeight="false" outlineLevel="0" collapsed="false">
      <c r="A1124" s="323"/>
      <c r="B1124" s="323"/>
      <c r="N1124" s="63"/>
      <c r="O1124" s="324"/>
    </row>
    <row r="1125" customFormat="false" ht="12.75" hidden="false" customHeight="false" outlineLevel="0" collapsed="false">
      <c r="A1125" s="323"/>
      <c r="B1125" s="323"/>
      <c r="N1125" s="63"/>
      <c r="O1125" s="324"/>
    </row>
    <row r="1126" customFormat="false" ht="12.75" hidden="false" customHeight="false" outlineLevel="0" collapsed="false">
      <c r="A1126" s="323"/>
      <c r="B1126" s="323"/>
      <c r="N1126" s="63"/>
      <c r="O1126" s="324"/>
    </row>
    <row r="1127" customFormat="false" ht="12.75" hidden="false" customHeight="false" outlineLevel="0" collapsed="false">
      <c r="A1127" s="323"/>
      <c r="B1127" s="323"/>
      <c r="N1127" s="63"/>
      <c r="O1127" s="324"/>
    </row>
    <row r="1128" customFormat="false" ht="12.75" hidden="false" customHeight="false" outlineLevel="0" collapsed="false">
      <c r="A1128" s="323"/>
      <c r="B1128" s="323"/>
      <c r="N1128" s="63"/>
      <c r="O1128" s="324"/>
    </row>
    <row r="1129" customFormat="false" ht="12.75" hidden="false" customHeight="false" outlineLevel="0" collapsed="false">
      <c r="A1129" s="323"/>
      <c r="B1129" s="323"/>
      <c r="N1129" s="63"/>
      <c r="O1129" s="324"/>
    </row>
    <row r="1130" customFormat="false" ht="12.75" hidden="false" customHeight="false" outlineLevel="0" collapsed="false">
      <c r="A1130" s="323"/>
      <c r="B1130" s="323"/>
      <c r="N1130" s="63"/>
      <c r="O1130" s="324"/>
    </row>
    <row r="1131" customFormat="false" ht="12.75" hidden="false" customHeight="false" outlineLevel="0" collapsed="false">
      <c r="A1131" s="323"/>
      <c r="B1131" s="323"/>
      <c r="N1131" s="63"/>
      <c r="O1131" s="324"/>
    </row>
    <row r="1132" customFormat="false" ht="12.75" hidden="false" customHeight="false" outlineLevel="0" collapsed="false">
      <c r="A1132" s="323"/>
      <c r="B1132" s="323"/>
      <c r="N1132" s="63"/>
      <c r="O1132" s="324"/>
    </row>
    <row r="1133" customFormat="false" ht="12.75" hidden="false" customHeight="false" outlineLevel="0" collapsed="false">
      <c r="A1133" s="323"/>
      <c r="B1133" s="323"/>
      <c r="N1133" s="63"/>
      <c r="O1133" s="324"/>
    </row>
    <row r="1134" customFormat="false" ht="12.75" hidden="false" customHeight="false" outlineLevel="0" collapsed="false">
      <c r="A1134" s="323"/>
      <c r="B1134" s="323"/>
      <c r="N1134" s="63"/>
      <c r="O1134" s="324"/>
    </row>
    <row r="1135" customFormat="false" ht="12.75" hidden="false" customHeight="false" outlineLevel="0" collapsed="false">
      <c r="A1135" s="323"/>
      <c r="B1135" s="323"/>
      <c r="N1135" s="63"/>
      <c r="O1135" s="324"/>
    </row>
    <row r="1136" customFormat="false" ht="12.75" hidden="false" customHeight="false" outlineLevel="0" collapsed="false">
      <c r="A1136" s="323"/>
      <c r="B1136" s="323"/>
      <c r="N1136" s="63"/>
      <c r="O1136" s="324"/>
    </row>
    <row r="1137" customFormat="false" ht="12.75" hidden="false" customHeight="false" outlineLevel="0" collapsed="false">
      <c r="A1137" s="323"/>
      <c r="B1137" s="323"/>
      <c r="N1137" s="63"/>
      <c r="O1137" s="324"/>
    </row>
    <row r="1138" customFormat="false" ht="12.75" hidden="false" customHeight="false" outlineLevel="0" collapsed="false">
      <c r="A1138" s="323"/>
      <c r="B1138" s="323"/>
      <c r="N1138" s="63"/>
      <c r="O1138" s="324"/>
    </row>
    <row r="1139" customFormat="false" ht="12.75" hidden="false" customHeight="false" outlineLevel="0" collapsed="false">
      <c r="A1139" s="323"/>
      <c r="B1139" s="323"/>
      <c r="N1139" s="63"/>
      <c r="O1139" s="324"/>
    </row>
    <row r="1140" customFormat="false" ht="12.75" hidden="false" customHeight="false" outlineLevel="0" collapsed="false">
      <c r="A1140" s="323"/>
      <c r="B1140" s="323"/>
      <c r="N1140" s="63"/>
      <c r="O1140" s="324"/>
    </row>
    <row r="1141" customFormat="false" ht="12.75" hidden="false" customHeight="false" outlineLevel="0" collapsed="false">
      <c r="A1141" s="323"/>
      <c r="B1141" s="323"/>
      <c r="N1141" s="63"/>
      <c r="O1141" s="324"/>
    </row>
    <row r="1142" customFormat="false" ht="12.75" hidden="false" customHeight="false" outlineLevel="0" collapsed="false">
      <c r="A1142" s="323"/>
      <c r="B1142" s="323"/>
      <c r="N1142" s="63"/>
      <c r="O1142" s="324"/>
    </row>
    <row r="1143" customFormat="false" ht="12.75" hidden="false" customHeight="false" outlineLevel="0" collapsed="false">
      <c r="A1143" s="323"/>
      <c r="B1143" s="323"/>
      <c r="N1143" s="63"/>
      <c r="O1143" s="324"/>
    </row>
    <row r="1144" customFormat="false" ht="12.75" hidden="false" customHeight="false" outlineLevel="0" collapsed="false">
      <c r="A1144" s="323"/>
      <c r="B1144" s="323"/>
      <c r="N1144" s="63"/>
      <c r="O1144" s="324"/>
    </row>
    <row r="1145" customFormat="false" ht="12.75" hidden="false" customHeight="false" outlineLevel="0" collapsed="false">
      <c r="A1145" s="323"/>
      <c r="B1145" s="323"/>
      <c r="N1145" s="63"/>
      <c r="O1145" s="324"/>
    </row>
    <row r="1146" customFormat="false" ht="12.75" hidden="false" customHeight="false" outlineLevel="0" collapsed="false">
      <c r="A1146" s="323"/>
      <c r="B1146" s="323"/>
      <c r="N1146" s="63"/>
      <c r="O1146" s="324"/>
    </row>
    <row r="1147" customFormat="false" ht="12.75" hidden="false" customHeight="false" outlineLevel="0" collapsed="false">
      <c r="A1147" s="323"/>
      <c r="B1147" s="323"/>
      <c r="N1147" s="63"/>
      <c r="O1147" s="324"/>
    </row>
    <row r="1148" customFormat="false" ht="12.75" hidden="false" customHeight="false" outlineLevel="0" collapsed="false">
      <c r="A1148" s="323"/>
      <c r="B1148" s="323"/>
      <c r="N1148" s="63"/>
      <c r="O1148" s="324"/>
    </row>
    <row r="1149" customFormat="false" ht="12.75" hidden="false" customHeight="false" outlineLevel="0" collapsed="false">
      <c r="A1149" s="323"/>
      <c r="B1149" s="323"/>
      <c r="N1149" s="63"/>
      <c r="O1149" s="324"/>
    </row>
    <row r="1150" customFormat="false" ht="12.75" hidden="false" customHeight="false" outlineLevel="0" collapsed="false">
      <c r="A1150" s="323"/>
      <c r="B1150" s="323"/>
      <c r="N1150" s="63"/>
      <c r="O1150" s="324"/>
    </row>
    <row r="1151" customFormat="false" ht="12.75" hidden="false" customHeight="false" outlineLevel="0" collapsed="false">
      <c r="A1151" s="323"/>
      <c r="B1151" s="323"/>
      <c r="N1151" s="63"/>
      <c r="O1151" s="324"/>
    </row>
    <row r="1152" customFormat="false" ht="12.75" hidden="false" customHeight="false" outlineLevel="0" collapsed="false">
      <c r="A1152" s="323"/>
      <c r="B1152" s="323"/>
      <c r="N1152" s="63"/>
      <c r="O1152" s="324"/>
    </row>
    <row r="1153" customFormat="false" ht="12.75" hidden="false" customHeight="false" outlineLevel="0" collapsed="false">
      <c r="A1153" s="323"/>
      <c r="B1153" s="323"/>
      <c r="N1153" s="63"/>
      <c r="O1153" s="324"/>
    </row>
    <row r="1154" customFormat="false" ht="12.75" hidden="false" customHeight="false" outlineLevel="0" collapsed="false">
      <c r="A1154" s="323"/>
      <c r="B1154" s="323"/>
      <c r="N1154" s="63"/>
      <c r="O1154" s="324"/>
    </row>
    <row r="1155" customFormat="false" ht="12.75" hidden="false" customHeight="false" outlineLevel="0" collapsed="false">
      <c r="A1155" s="323"/>
      <c r="B1155" s="323"/>
      <c r="N1155" s="63"/>
      <c r="O1155" s="324"/>
    </row>
    <row r="1156" customFormat="false" ht="12.75" hidden="false" customHeight="false" outlineLevel="0" collapsed="false">
      <c r="A1156" s="323"/>
      <c r="B1156" s="323"/>
      <c r="N1156" s="63"/>
      <c r="O1156" s="324"/>
    </row>
    <row r="1157" customFormat="false" ht="12.75" hidden="false" customHeight="false" outlineLevel="0" collapsed="false">
      <c r="A1157" s="323"/>
      <c r="B1157" s="323"/>
      <c r="N1157" s="63"/>
      <c r="O1157" s="324"/>
    </row>
    <row r="1158" customFormat="false" ht="12.75" hidden="false" customHeight="false" outlineLevel="0" collapsed="false">
      <c r="A1158" s="323"/>
      <c r="B1158" s="323"/>
      <c r="N1158" s="63"/>
      <c r="O1158" s="324"/>
    </row>
    <row r="1159" customFormat="false" ht="12.75" hidden="false" customHeight="false" outlineLevel="0" collapsed="false">
      <c r="A1159" s="323"/>
      <c r="B1159" s="323"/>
      <c r="N1159" s="63"/>
      <c r="O1159" s="324"/>
    </row>
    <row r="1160" customFormat="false" ht="12.75" hidden="false" customHeight="false" outlineLevel="0" collapsed="false">
      <c r="A1160" s="323"/>
      <c r="B1160" s="323"/>
      <c r="N1160" s="63"/>
      <c r="O1160" s="324"/>
    </row>
    <row r="1161" customFormat="false" ht="12.75" hidden="false" customHeight="false" outlineLevel="0" collapsed="false">
      <c r="A1161" s="323"/>
      <c r="B1161" s="323"/>
      <c r="N1161" s="63"/>
      <c r="O1161" s="324"/>
    </row>
    <row r="1162" customFormat="false" ht="12.75" hidden="false" customHeight="false" outlineLevel="0" collapsed="false">
      <c r="A1162" s="323"/>
      <c r="B1162" s="323"/>
      <c r="N1162" s="63"/>
      <c r="O1162" s="324"/>
    </row>
    <row r="1163" customFormat="false" ht="12.75" hidden="false" customHeight="false" outlineLevel="0" collapsed="false">
      <c r="A1163" s="323"/>
      <c r="B1163" s="323"/>
      <c r="N1163" s="63"/>
      <c r="O1163" s="324"/>
    </row>
    <row r="1164" customFormat="false" ht="12.75" hidden="false" customHeight="false" outlineLevel="0" collapsed="false">
      <c r="A1164" s="323"/>
      <c r="B1164" s="323"/>
      <c r="N1164" s="63"/>
      <c r="O1164" s="324"/>
    </row>
    <row r="1165" customFormat="false" ht="12.75" hidden="false" customHeight="false" outlineLevel="0" collapsed="false">
      <c r="A1165" s="323"/>
      <c r="B1165" s="323"/>
      <c r="N1165" s="63"/>
      <c r="O1165" s="324"/>
    </row>
    <row r="1166" customFormat="false" ht="12.75" hidden="false" customHeight="false" outlineLevel="0" collapsed="false">
      <c r="A1166" s="323"/>
      <c r="B1166" s="323"/>
      <c r="N1166" s="63"/>
      <c r="O1166" s="324"/>
    </row>
    <row r="1167" customFormat="false" ht="12.75" hidden="false" customHeight="false" outlineLevel="0" collapsed="false">
      <c r="A1167" s="323"/>
      <c r="B1167" s="323"/>
      <c r="N1167" s="63"/>
      <c r="O1167" s="324"/>
    </row>
    <row r="1168" customFormat="false" ht="12.75" hidden="false" customHeight="false" outlineLevel="0" collapsed="false">
      <c r="A1168" s="323"/>
      <c r="B1168" s="323"/>
      <c r="N1168" s="63"/>
      <c r="O1168" s="324"/>
    </row>
    <row r="1169" customFormat="false" ht="12.75" hidden="false" customHeight="false" outlineLevel="0" collapsed="false">
      <c r="A1169" s="323"/>
      <c r="B1169" s="323"/>
      <c r="N1169" s="63"/>
      <c r="O1169" s="324"/>
    </row>
    <row r="1170" customFormat="false" ht="12.75" hidden="false" customHeight="false" outlineLevel="0" collapsed="false">
      <c r="A1170" s="323"/>
      <c r="B1170" s="323"/>
      <c r="N1170" s="63"/>
      <c r="O1170" s="324"/>
    </row>
    <row r="1171" customFormat="false" ht="12.75" hidden="false" customHeight="false" outlineLevel="0" collapsed="false">
      <c r="A1171" s="323"/>
      <c r="B1171" s="323"/>
      <c r="N1171" s="63"/>
      <c r="O1171" s="324"/>
    </row>
    <row r="1172" customFormat="false" ht="12.75" hidden="false" customHeight="false" outlineLevel="0" collapsed="false">
      <c r="A1172" s="323"/>
      <c r="B1172" s="323"/>
      <c r="N1172" s="63"/>
      <c r="O1172" s="324"/>
    </row>
    <row r="1173" customFormat="false" ht="12.75" hidden="false" customHeight="false" outlineLevel="0" collapsed="false">
      <c r="A1173" s="323"/>
      <c r="B1173" s="323"/>
      <c r="N1173" s="63"/>
      <c r="O1173" s="324"/>
    </row>
    <row r="1174" customFormat="false" ht="12.75" hidden="false" customHeight="false" outlineLevel="0" collapsed="false">
      <c r="A1174" s="323"/>
      <c r="B1174" s="323"/>
      <c r="N1174" s="63"/>
      <c r="O1174" s="324"/>
    </row>
    <row r="1175" customFormat="false" ht="12.75" hidden="false" customHeight="false" outlineLevel="0" collapsed="false">
      <c r="A1175" s="323"/>
      <c r="B1175" s="323"/>
      <c r="N1175" s="63"/>
      <c r="O1175" s="324"/>
    </row>
    <row r="1176" customFormat="false" ht="12.75" hidden="false" customHeight="false" outlineLevel="0" collapsed="false">
      <c r="A1176" s="323"/>
      <c r="B1176" s="323"/>
      <c r="N1176" s="63"/>
      <c r="O1176" s="324"/>
    </row>
    <row r="1177" customFormat="false" ht="12.75" hidden="false" customHeight="false" outlineLevel="0" collapsed="false">
      <c r="A1177" s="323"/>
      <c r="B1177" s="323"/>
      <c r="N1177" s="63"/>
      <c r="O1177" s="324"/>
    </row>
    <row r="1178" customFormat="false" ht="12.75" hidden="false" customHeight="false" outlineLevel="0" collapsed="false">
      <c r="A1178" s="323"/>
      <c r="B1178" s="323"/>
      <c r="N1178" s="63"/>
      <c r="O1178" s="324"/>
    </row>
    <row r="1179" customFormat="false" ht="12.75" hidden="false" customHeight="false" outlineLevel="0" collapsed="false">
      <c r="A1179" s="323"/>
      <c r="B1179" s="323"/>
      <c r="N1179" s="63"/>
      <c r="O1179" s="324"/>
    </row>
    <row r="1180" customFormat="false" ht="12.75" hidden="false" customHeight="false" outlineLevel="0" collapsed="false">
      <c r="A1180" s="323"/>
      <c r="B1180" s="323"/>
      <c r="N1180" s="63"/>
      <c r="O1180" s="324"/>
    </row>
    <row r="1181" customFormat="false" ht="12.75" hidden="false" customHeight="false" outlineLevel="0" collapsed="false">
      <c r="A1181" s="323"/>
      <c r="B1181" s="323"/>
      <c r="N1181" s="63"/>
      <c r="O1181" s="324"/>
    </row>
    <row r="1182" customFormat="false" ht="12.75" hidden="false" customHeight="false" outlineLevel="0" collapsed="false">
      <c r="A1182" s="323"/>
      <c r="B1182" s="323"/>
      <c r="N1182" s="63"/>
      <c r="O1182" s="324"/>
    </row>
    <row r="1183" customFormat="false" ht="12.75" hidden="false" customHeight="false" outlineLevel="0" collapsed="false">
      <c r="A1183" s="323"/>
      <c r="B1183" s="323"/>
      <c r="N1183" s="63"/>
      <c r="O1183" s="324"/>
    </row>
    <row r="1184" customFormat="false" ht="12.75" hidden="false" customHeight="false" outlineLevel="0" collapsed="false">
      <c r="A1184" s="323"/>
      <c r="B1184" s="323"/>
      <c r="N1184" s="63"/>
      <c r="O1184" s="324"/>
    </row>
    <row r="1185" customFormat="false" ht="12.75" hidden="false" customHeight="false" outlineLevel="0" collapsed="false">
      <c r="A1185" s="323"/>
      <c r="B1185" s="323"/>
      <c r="N1185" s="63"/>
      <c r="O1185" s="324"/>
    </row>
    <row r="1186" customFormat="false" ht="12.75" hidden="false" customHeight="false" outlineLevel="0" collapsed="false">
      <c r="A1186" s="323"/>
      <c r="B1186" s="323"/>
      <c r="N1186" s="63"/>
      <c r="O1186" s="324"/>
    </row>
    <row r="1187" customFormat="false" ht="12.75" hidden="false" customHeight="false" outlineLevel="0" collapsed="false">
      <c r="A1187" s="323"/>
      <c r="B1187" s="323"/>
      <c r="N1187" s="63"/>
      <c r="O1187" s="324"/>
    </row>
    <row r="1188" customFormat="false" ht="12.75" hidden="false" customHeight="false" outlineLevel="0" collapsed="false">
      <c r="A1188" s="323"/>
      <c r="B1188" s="323"/>
      <c r="N1188" s="63"/>
      <c r="O1188" s="324"/>
    </row>
    <row r="1189" customFormat="false" ht="12.75" hidden="false" customHeight="false" outlineLevel="0" collapsed="false">
      <c r="A1189" s="323"/>
      <c r="B1189" s="323"/>
      <c r="N1189" s="63"/>
      <c r="O1189" s="324"/>
    </row>
    <row r="1190" customFormat="false" ht="12.75" hidden="false" customHeight="false" outlineLevel="0" collapsed="false">
      <c r="A1190" s="323"/>
      <c r="B1190" s="323"/>
      <c r="N1190" s="63"/>
      <c r="O1190" s="324"/>
    </row>
    <row r="1191" customFormat="false" ht="12.75" hidden="false" customHeight="false" outlineLevel="0" collapsed="false">
      <c r="A1191" s="323"/>
      <c r="B1191" s="323"/>
      <c r="N1191" s="63"/>
      <c r="O1191" s="324"/>
    </row>
    <row r="1192" customFormat="false" ht="12.75" hidden="false" customHeight="false" outlineLevel="0" collapsed="false">
      <c r="A1192" s="323"/>
      <c r="B1192" s="323"/>
      <c r="N1192" s="63"/>
      <c r="O1192" s="324"/>
    </row>
    <row r="1193" customFormat="false" ht="12.75" hidden="false" customHeight="false" outlineLevel="0" collapsed="false">
      <c r="A1193" s="323"/>
      <c r="B1193" s="323"/>
      <c r="N1193" s="63"/>
      <c r="O1193" s="324"/>
    </row>
    <row r="1194" customFormat="false" ht="12.75" hidden="false" customHeight="false" outlineLevel="0" collapsed="false">
      <c r="A1194" s="323"/>
      <c r="B1194" s="323"/>
      <c r="N1194" s="63"/>
      <c r="O1194" s="324"/>
    </row>
    <row r="1195" customFormat="false" ht="12.75" hidden="false" customHeight="false" outlineLevel="0" collapsed="false">
      <c r="A1195" s="323"/>
      <c r="B1195" s="323"/>
      <c r="N1195" s="63"/>
      <c r="O1195" s="324"/>
    </row>
    <row r="1196" customFormat="false" ht="12.75" hidden="false" customHeight="false" outlineLevel="0" collapsed="false">
      <c r="A1196" s="323"/>
      <c r="B1196" s="323"/>
      <c r="N1196" s="63"/>
      <c r="O1196" s="324"/>
    </row>
    <row r="1197" customFormat="false" ht="12.75" hidden="false" customHeight="false" outlineLevel="0" collapsed="false">
      <c r="A1197" s="323"/>
      <c r="B1197" s="323"/>
      <c r="N1197" s="63"/>
      <c r="O1197" s="324"/>
    </row>
    <row r="1198" customFormat="false" ht="12.75" hidden="false" customHeight="false" outlineLevel="0" collapsed="false">
      <c r="A1198" s="323"/>
      <c r="B1198" s="323"/>
      <c r="N1198" s="63"/>
      <c r="O1198" s="324"/>
    </row>
    <row r="1199" customFormat="false" ht="12.75" hidden="false" customHeight="false" outlineLevel="0" collapsed="false">
      <c r="A1199" s="323"/>
      <c r="B1199" s="323"/>
      <c r="N1199" s="63"/>
      <c r="O1199" s="324"/>
    </row>
    <row r="1200" customFormat="false" ht="12.75" hidden="false" customHeight="false" outlineLevel="0" collapsed="false">
      <c r="A1200" s="323"/>
      <c r="B1200" s="323"/>
      <c r="N1200" s="63"/>
      <c r="O1200" s="324"/>
    </row>
    <row r="1201" customFormat="false" ht="12.75" hidden="false" customHeight="false" outlineLevel="0" collapsed="false">
      <c r="A1201" s="323"/>
      <c r="B1201" s="323"/>
      <c r="N1201" s="63"/>
      <c r="O1201" s="324"/>
    </row>
    <row r="1202" customFormat="false" ht="12.75" hidden="false" customHeight="false" outlineLevel="0" collapsed="false">
      <c r="A1202" s="323"/>
      <c r="B1202" s="323"/>
      <c r="N1202" s="63"/>
      <c r="O1202" s="324"/>
    </row>
    <row r="1203" customFormat="false" ht="12.75" hidden="false" customHeight="false" outlineLevel="0" collapsed="false">
      <c r="A1203" s="323"/>
      <c r="B1203" s="323"/>
      <c r="N1203" s="63"/>
      <c r="O1203" s="324"/>
    </row>
    <row r="1204" customFormat="false" ht="12.75" hidden="false" customHeight="false" outlineLevel="0" collapsed="false">
      <c r="A1204" s="323"/>
      <c r="B1204" s="323"/>
      <c r="N1204" s="63"/>
      <c r="O1204" s="324"/>
    </row>
    <row r="1205" customFormat="false" ht="12.75" hidden="false" customHeight="false" outlineLevel="0" collapsed="false">
      <c r="A1205" s="323"/>
      <c r="B1205" s="323"/>
      <c r="N1205" s="63"/>
      <c r="O1205" s="324"/>
    </row>
    <row r="1206" customFormat="false" ht="12.75" hidden="false" customHeight="false" outlineLevel="0" collapsed="false">
      <c r="A1206" s="323"/>
      <c r="B1206" s="323"/>
      <c r="N1206" s="63"/>
      <c r="O1206" s="324"/>
    </row>
    <row r="1207" customFormat="false" ht="12.75" hidden="false" customHeight="false" outlineLevel="0" collapsed="false">
      <c r="A1207" s="323"/>
      <c r="B1207" s="323"/>
      <c r="N1207" s="63"/>
      <c r="O1207" s="324"/>
    </row>
    <row r="1208" customFormat="false" ht="12.75" hidden="false" customHeight="false" outlineLevel="0" collapsed="false">
      <c r="A1208" s="323"/>
      <c r="B1208" s="323"/>
      <c r="N1208" s="63"/>
      <c r="O1208" s="324"/>
    </row>
    <row r="1209" customFormat="false" ht="12.75" hidden="false" customHeight="false" outlineLevel="0" collapsed="false">
      <c r="A1209" s="323"/>
      <c r="B1209" s="323"/>
      <c r="N1209" s="63"/>
      <c r="O1209" s="324"/>
    </row>
    <row r="1210" customFormat="false" ht="12.75" hidden="false" customHeight="false" outlineLevel="0" collapsed="false">
      <c r="A1210" s="323"/>
      <c r="B1210" s="323"/>
      <c r="N1210" s="63"/>
      <c r="O1210" s="324"/>
    </row>
    <row r="1211" customFormat="false" ht="12.75" hidden="false" customHeight="false" outlineLevel="0" collapsed="false">
      <c r="A1211" s="323"/>
      <c r="B1211" s="323"/>
      <c r="N1211" s="63"/>
      <c r="O1211" s="324"/>
    </row>
    <row r="1212" customFormat="false" ht="12.75" hidden="false" customHeight="false" outlineLevel="0" collapsed="false">
      <c r="A1212" s="323"/>
      <c r="B1212" s="323"/>
      <c r="N1212" s="63"/>
      <c r="O1212" s="324"/>
    </row>
    <row r="1213" customFormat="false" ht="12.75" hidden="false" customHeight="false" outlineLevel="0" collapsed="false">
      <c r="A1213" s="323"/>
      <c r="B1213" s="323"/>
      <c r="N1213" s="63"/>
      <c r="O1213" s="324"/>
    </row>
    <row r="1214" customFormat="false" ht="12.75" hidden="false" customHeight="false" outlineLevel="0" collapsed="false">
      <c r="A1214" s="323"/>
      <c r="B1214" s="323"/>
      <c r="N1214" s="63"/>
      <c r="O1214" s="324"/>
    </row>
    <row r="1215" customFormat="false" ht="12.75" hidden="false" customHeight="false" outlineLevel="0" collapsed="false">
      <c r="A1215" s="323"/>
      <c r="B1215" s="323"/>
      <c r="N1215" s="63"/>
      <c r="O1215" s="324"/>
    </row>
    <row r="1216" customFormat="false" ht="12.75" hidden="false" customHeight="false" outlineLevel="0" collapsed="false">
      <c r="A1216" s="323"/>
      <c r="B1216" s="323"/>
      <c r="N1216" s="63"/>
      <c r="O1216" s="324"/>
    </row>
    <row r="1217" customFormat="false" ht="12.75" hidden="false" customHeight="false" outlineLevel="0" collapsed="false">
      <c r="A1217" s="323"/>
      <c r="B1217" s="323"/>
      <c r="N1217" s="63"/>
      <c r="O1217" s="324"/>
    </row>
    <row r="1218" customFormat="false" ht="12.75" hidden="false" customHeight="false" outlineLevel="0" collapsed="false">
      <c r="A1218" s="323"/>
      <c r="B1218" s="323"/>
      <c r="N1218" s="63"/>
      <c r="O1218" s="324"/>
    </row>
    <row r="1219" customFormat="false" ht="12.75" hidden="false" customHeight="false" outlineLevel="0" collapsed="false">
      <c r="A1219" s="323"/>
      <c r="B1219" s="323"/>
      <c r="N1219" s="63"/>
      <c r="O1219" s="324"/>
    </row>
    <row r="1220" customFormat="false" ht="12.75" hidden="false" customHeight="false" outlineLevel="0" collapsed="false">
      <c r="A1220" s="323"/>
      <c r="B1220" s="323"/>
      <c r="N1220" s="63"/>
      <c r="O1220" s="324"/>
    </row>
    <row r="1221" customFormat="false" ht="12.75" hidden="false" customHeight="false" outlineLevel="0" collapsed="false">
      <c r="A1221" s="323"/>
      <c r="B1221" s="323"/>
      <c r="N1221" s="63"/>
      <c r="O1221" s="324"/>
    </row>
    <row r="1222" customFormat="false" ht="12.75" hidden="false" customHeight="false" outlineLevel="0" collapsed="false">
      <c r="A1222" s="323"/>
      <c r="B1222" s="323"/>
      <c r="N1222" s="63"/>
      <c r="O1222" s="324"/>
    </row>
    <row r="1223" customFormat="false" ht="12.75" hidden="false" customHeight="false" outlineLevel="0" collapsed="false">
      <c r="A1223" s="323"/>
      <c r="B1223" s="323"/>
      <c r="N1223" s="63"/>
      <c r="O1223" s="324"/>
    </row>
    <row r="1224" customFormat="false" ht="12.75" hidden="false" customHeight="false" outlineLevel="0" collapsed="false">
      <c r="A1224" s="323"/>
      <c r="B1224" s="323"/>
      <c r="N1224" s="63"/>
      <c r="O1224" s="324"/>
    </row>
    <row r="1225" customFormat="false" ht="12.75" hidden="false" customHeight="false" outlineLevel="0" collapsed="false">
      <c r="A1225" s="323"/>
      <c r="B1225" s="323"/>
      <c r="N1225" s="63"/>
      <c r="O1225" s="324"/>
    </row>
    <row r="1226" customFormat="false" ht="12.75" hidden="false" customHeight="false" outlineLevel="0" collapsed="false">
      <c r="A1226" s="323"/>
      <c r="B1226" s="323"/>
      <c r="N1226" s="63"/>
      <c r="O1226" s="324"/>
    </row>
    <row r="1227" customFormat="false" ht="12.75" hidden="false" customHeight="false" outlineLevel="0" collapsed="false">
      <c r="A1227" s="323"/>
      <c r="B1227" s="323"/>
      <c r="N1227" s="63"/>
      <c r="O1227" s="324"/>
    </row>
    <row r="1228" customFormat="false" ht="12.75" hidden="false" customHeight="false" outlineLevel="0" collapsed="false">
      <c r="A1228" s="323"/>
      <c r="B1228" s="323"/>
      <c r="N1228" s="63"/>
      <c r="O1228" s="324"/>
    </row>
    <row r="1229" customFormat="false" ht="12.75" hidden="false" customHeight="false" outlineLevel="0" collapsed="false">
      <c r="A1229" s="323"/>
      <c r="B1229" s="323"/>
      <c r="N1229" s="63"/>
      <c r="O1229" s="324"/>
    </row>
    <row r="1230" customFormat="false" ht="12.75" hidden="false" customHeight="false" outlineLevel="0" collapsed="false">
      <c r="A1230" s="323"/>
      <c r="B1230" s="323"/>
      <c r="N1230" s="63"/>
      <c r="O1230" s="324"/>
    </row>
    <row r="1231" customFormat="false" ht="12.75" hidden="false" customHeight="false" outlineLevel="0" collapsed="false">
      <c r="A1231" s="323"/>
      <c r="B1231" s="323"/>
      <c r="N1231" s="63"/>
      <c r="O1231" s="324"/>
    </row>
    <row r="1232" customFormat="false" ht="12.75" hidden="false" customHeight="false" outlineLevel="0" collapsed="false">
      <c r="A1232" s="323"/>
      <c r="B1232" s="323"/>
      <c r="N1232" s="63"/>
      <c r="O1232" s="324"/>
    </row>
    <row r="1233" customFormat="false" ht="12.75" hidden="false" customHeight="false" outlineLevel="0" collapsed="false">
      <c r="A1233" s="323"/>
      <c r="B1233" s="323"/>
      <c r="N1233" s="63"/>
      <c r="O1233" s="324"/>
    </row>
    <row r="1234" customFormat="false" ht="12.75" hidden="false" customHeight="false" outlineLevel="0" collapsed="false">
      <c r="A1234" s="323"/>
      <c r="B1234" s="323"/>
      <c r="N1234" s="63"/>
      <c r="O1234" s="324"/>
    </row>
    <row r="1235" customFormat="false" ht="12.75" hidden="false" customHeight="false" outlineLevel="0" collapsed="false">
      <c r="A1235" s="323"/>
      <c r="B1235" s="323"/>
      <c r="N1235" s="63"/>
      <c r="O1235" s="324"/>
    </row>
    <row r="1236" customFormat="false" ht="12.75" hidden="false" customHeight="false" outlineLevel="0" collapsed="false">
      <c r="A1236" s="323"/>
      <c r="B1236" s="323"/>
      <c r="N1236" s="63"/>
      <c r="O1236" s="324"/>
    </row>
    <row r="1237" customFormat="false" ht="12.75" hidden="false" customHeight="false" outlineLevel="0" collapsed="false">
      <c r="A1237" s="323"/>
      <c r="B1237" s="323"/>
      <c r="N1237" s="63"/>
      <c r="O1237" s="324"/>
    </row>
    <row r="1238" customFormat="false" ht="12.75" hidden="false" customHeight="false" outlineLevel="0" collapsed="false">
      <c r="A1238" s="323"/>
      <c r="B1238" s="323"/>
      <c r="N1238" s="63"/>
      <c r="O1238" s="324"/>
    </row>
    <row r="1239" customFormat="false" ht="12.75" hidden="false" customHeight="false" outlineLevel="0" collapsed="false">
      <c r="A1239" s="323"/>
      <c r="B1239" s="323"/>
      <c r="N1239" s="63"/>
      <c r="O1239" s="324"/>
    </row>
    <row r="1240" customFormat="false" ht="12.75" hidden="false" customHeight="false" outlineLevel="0" collapsed="false">
      <c r="A1240" s="323"/>
      <c r="B1240" s="323"/>
      <c r="N1240" s="63"/>
      <c r="O1240" s="324"/>
    </row>
    <row r="1241" customFormat="false" ht="12.75" hidden="false" customHeight="false" outlineLevel="0" collapsed="false">
      <c r="A1241" s="323"/>
      <c r="B1241" s="323"/>
      <c r="N1241" s="63"/>
      <c r="O1241" s="324"/>
    </row>
    <row r="1242" customFormat="false" ht="12.75" hidden="false" customHeight="false" outlineLevel="0" collapsed="false">
      <c r="A1242" s="323"/>
      <c r="B1242" s="323"/>
      <c r="N1242" s="63"/>
      <c r="O1242" s="324"/>
    </row>
    <row r="1243" customFormat="false" ht="12.75" hidden="false" customHeight="false" outlineLevel="0" collapsed="false">
      <c r="A1243" s="323"/>
      <c r="B1243" s="323"/>
      <c r="N1243" s="63"/>
      <c r="O1243" s="324"/>
    </row>
    <row r="1244" customFormat="false" ht="12.75" hidden="false" customHeight="false" outlineLevel="0" collapsed="false">
      <c r="A1244" s="323"/>
      <c r="B1244" s="323"/>
      <c r="N1244" s="63"/>
      <c r="O1244" s="324"/>
    </row>
    <row r="1245" customFormat="false" ht="12.75" hidden="false" customHeight="false" outlineLevel="0" collapsed="false">
      <c r="A1245" s="323"/>
      <c r="B1245" s="323"/>
      <c r="N1245" s="63"/>
      <c r="O1245" s="324"/>
    </row>
    <row r="1246" customFormat="false" ht="12.75" hidden="false" customHeight="false" outlineLevel="0" collapsed="false">
      <c r="A1246" s="323"/>
      <c r="B1246" s="323"/>
      <c r="N1246" s="63"/>
      <c r="O1246" s="324"/>
    </row>
    <row r="1247" customFormat="false" ht="12.75" hidden="false" customHeight="false" outlineLevel="0" collapsed="false">
      <c r="A1247" s="323"/>
      <c r="B1247" s="323"/>
      <c r="N1247" s="63"/>
      <c r="O1247" s="324"/>
    </row>
    <row r="1248" customFormat="false" ht="12.75" hidden="false" customHeight="false" outlineLevel="0" collapsed="false">
      <c r="A1248" s="323"/>
      <c r="B1248" s="323"/>
      <c r="N1248" s="63"/>
      <c r="O1248" s="324"/>
    </row>
    <row r="1249" customFormat="false" ht="12.75" hidden="false" customHeight="false" outlineLevel="0" collapsed="false">
      <c r="A1249" s="323"/>
      <c r="B1249" s="323"/>
      <c r="N1249" s="63"/>
      <c r="O1249" s="324"/>
    </row>
    <row r="1250" customFormat="false" ht="12.75" hidden="false" customHeight="false" outlineLevel="0" collapsed="false">
      <c r="A1250" s="323"/>
      <c r="B1250" s="323"/>
      <c r="N1250" s="63"/>
      <c r="O1250" s="324"/>
    </row>
    <row r="1251" customFormat="false" ht="12.75" hidden="false" customHeight="false" outlineLevel="0" collapsed="false">
      <c r="A1251" s="323"/>
      <c r="B1251" s="323"/>
      <c r="N1251" s="63"/>
      <c r="O1251" s="324"/>
    </row>
    <row r="1252" customFormat="false" ht="12.75" hidden="false" customHeight="false" outlineLevel="0" collapsed="false">
      <c r="A1252" s="323"/>
      <c r="B1252" s="323"/>
      <c r="N1252" s="63"/>
      <c r="O1252" s="324"/>
    </row>
    <row r="1253" customFormat="false" ht="12.75" hidden="false" customHeight="false" outlineLevel="0" collapsed="false">
      <c r="A1253" s="323"/>
      <c r="B1253" s="323"/>
      <c r="N1253" s="63"/>
      <c r="O1253" s="324"/>
    </row>
    <row r="1254" customFormat="false" ht="12.75" hidden="false" customHeight="false" outlineLevel="0" collapsed="false">
      <c r="A1254" s="323"/>
      <c r="B1254" s="323"/>
      <c r="N1254" s="63"/>
      <c r="O1254" s="324"/>
    </row>
    <row r="1255" customFormat="false" ht="12.75" hidden="false" customHeight="false" outlineLevel="0" collapsed="false">
      <c r="A1255" s="323"/>
      <c r="B1255" s="323"/>
      <c r="N1255" s="63"/>
      <c r="O1255" s="324"/>
    </row>
    <row r="1256" customFormat="false" ht="12.75" hidden="false" customHeight="false" outlineLevel="0" collapsed="false">
      <c r="A1256" s="323"/>
      <c r="B1256" s="323"/>
      <c r="N1256" s="63"/>
      <c r="O1256" s="324"/>
    </row>
    <row r="1257" customFormat="false" ht="12.75" hidden="false" customHeight="false" outlineLevel="0" collapsed="false">
      <c r="A1257" s="323"/>
      <c r="B1257" s="323"/>
      <c r="N1257" s="63"/>
      <c r="O1257" s="324"/>
    </row>
    <row r="1258" customFormat="false" ht="12.75" hidden="false" customHeight="false" outlineLevel="0" collapsed="false">
      <c r="A1258" s="323"/>
      <c r="B1258" s="323"/>
      <c r="N1258" s="63"/>
      <c r="O1258" s="324"/>
    </row>
    <row r="1259" customFormat="false" ht="12.75" hidden="false" customHeight="false" outlineLevel="0" collapsed="false">
      <c r="A1259" s="323"/>
      <c r="B1259" s="323"/>
      <c r="N1259" s="63"/>
      <c r="O1259" s="324"/>
    </row>
    <row r="1260" customFormat="false" ht="12.75" hidden="false" customHeight="false" outlineLevel="0" collapsed="false">
      <c r="A1260" s="323"/>
      <c r="B1260" s="323"/>
      <c r="N1260" s="63"/>
      <c r="O1260" s="324"/>
    </row>
    <row r="1261" customFormat="false" ht="12.75" hidden="false" customHeight="false" outlineLevel="0" collapsed="false">
      <c r="A1261" s="323"/>
      <c r="B1261" s="323"/>
      <c r="N1261" s="63"/>
      <c r="O1261" s="324"/>
    </row>
    <row r="1262" customFormat="false" ht="12.75" hidden="false" customHeight="false" outlineLevel="0" collapsed="false">
      <c r="A1262" s="323"/>
      <c r="B1262" s="323"/>
      <c r="N1262" s="63"/>
      <c r="O1262" s="324"/>
    </row>
    <row r="1263" customFormat="false" ht="12.75" hidden="false" customHeight="false" outlineLevel="0" collapsed="false">
      <c r="A1263" s="323"/>
      <c r="B1263" s="323"/>
      <c r="N1263" s="63"/>
      <c r="O1263" s="324"/>
    </row>
    <row r="1264" customFormat="false" ht="12.75" hidden="false" customHeight="false" outlineLevel="0" collapsed="false">
      <c r="A1264" s="323"/>
      <c r="B1264" s="323"/>
      <c r="N1264" s="63"/>
      <c r="O1264" s="324"/>
    </row>
    <row r="1265" customFormat="false" ht="12.75" hidden="false" customHeight="false" outlineLevel="0" collapsed="false">
      <c r="A1265" s="323"/>
      <c r="B1265" s="323"/>
      <c r="N1265" s="63"/>
      <c r="O1265" s="324"/>
    </row>
    <row r="1266" customFormat="false" ht="12.75" hidden="false" customHeight="false" outlineLevel="0" collapsed="false">
      <c r="A1266" s="323"/>
      <c r="B1266" s="323"/>
      <c r="N1266" s="63"/>
      <c r="O1266" s="324"/>
    </row>
    <row r="1267" customFormat="false" ht="12.75" hidden="false" customHeight="false" outlineLevel="0" collapsed="false">
      <c r="A1267" s="323"/>
      <c r="B1267" s="323"/>
      <c r="N1267" s="63"/>
      <c r="O1267" s="324"/>
    </row>
    <row r="1268" customFormat="false" ht="12.75" hidden="false" customHeight="false" outlineLevel="0" collapsed="false">
      <c r="A1268" s="323"/>
      <c r="B1268" s="323"/>
      <c r="N1268" s="63"/>
      <c r="O1268" s="324"/>
    </row>
    <row r="1269" customFormat="false" ht="12.75" hidden="false" customHeight="false" outlineLevel="0" collapsed="false">
      <c r="A1269" s="323"/>
      <c r="B1269" s="323"/>
      <c r="N1269" s="63"/>
      <c r="O1269" s="324"/>
    </row>
    <row r="1270" customFormat="false" ht="12.75" hidden="false" customHeight="false" outlineLevel="0" collapsed="false">
      <c r="A1270" s="323"/>
      <c r="B1270" s="323"/>
      <c r="N1270" s="63"/>
      <c r="O1270" s="324"/>
    </row>
    <row r="1271" customFormat="false" ht="12.75" hidden="false" customHeight="false" outlineLevel="0" collapsed="false">
      <c r="A1271" s="323"/>
      <c r="B1271" s="323"/>
      <c r="N1271" s="63"/>
      <c r="O1271" s="324"/>
    </row>
    <row r="1272" customFormat="false" ht="12.75" hidden="false" customHeight="false" outlineLevel="0" collapsed="false">
      <c r="A1272" s="323"/>
      <c r="B1272" s="323"/>
      <c r="N1272" s="63"/>
      <c r="O1272" s="324"/>
    </row>
    <row r="1273" customFormat="false" ht="12.75" hidden="false" customHeight="false" outlineLevel="0" collapsed="false">
      <c r="A1273" s="323"/>
      <c r="B1273" s="323"/>
      <c r="N1273" s="63"/>
      <c r="O1273" s="324"/>
    </row>
    <row r="1274" customFormat="false" ht="12.75" hidden="false" customHeight="false" outlineLevel="0" collapsed="false">
      <c r="A1274" s="323"/>
      <c r="B1274" s="323"/>
      <c r="N1274" s="63"/>
      <c r="O1274" s="324"/>
    </row>
    <row r="1275" customFormat="false" ht="12.75" hidden="false" customHeight="false" outlineLevel="0" collapsed="false">
      <c r="A1275" s="323"/>
      <c r="B1275" s="323"/>
      <c r="N1275" s="63"/>
      <c r="O1275" s="324"/>
    </row>
    <row r="1276" customFormat="false" ht="12.75" hidden="false" customHeight="false" outlineLevel="0" collapsed="false">
      <c r="A1276" s="323"/>
      <c r="B1276" s="323"/>
      <c r="N1276" s="63"/>
      <c r="O1276" s="324"/>
    </row>
    <row r="1277" customFormat="false" ht="12.75" hidden="false" customHeight="false" outlineLevel="0" collapsed="false">
      <c r="A1277" s="323"/>
      <c r="B1277" s="323"/>
      <c r="N1277" s="63"/>
      <c r="O1277" s="324"/>
    </row>
    <row r="1278" customFormat="false" ht="12.75" hidden="false" customHeight="false" outlineLevel="0" collapsed="false">
      <c r="A1278" s="323"/>
      <c r="B1278" s="323"/>
      <c r="N1278" s="63"/>
      <c r="O1278" s="324"/>
    </row>
    <row r="1279" customFormat="false" ht="12.75" hidden="false" customHeight="false" outlineLevel="0" collapsed="false">
      <c r="A1279" s="323"/>
      <c r="B1279" s="323"/>
      <c r="N1279" s="63"/>
      <c r="O1279" s="324"/>
    </row>
    <row r="1280" customFormat="false" ht="12.75" hidden="false" customHeight="false" outlineLevel="0" collapsed="false">
      <c r="A1280" s="323"/>
      <c r="B1280" s="323"/>
      <c r="N1280" s="63"/>
      <c r="O1280" s="324"/>
    </row>
    <row r="1281" customFormat="false" ht="12.75" hidden="false" customHeight="false" outlineLevel="0" collapsed="false">
      <c r="A1281" s="323"/>
      <c r="B1281" s="323"/>
      <c r="N1281" s="63"/>
      <c r="O1281" s="324"/>
    </row>
    <row r="1282" customFormat="false" ht="12.75" hidden="false" customHeight="false" outlineLevel="0" collapsed="false">
      <c r="A1282" s="323"/>
      <c r="B1282" s="323"/>
      <c r="N1282" s="63"/>
      <c r="O1282" s="324"/>
    </row>
    <row r="1283" customFormat="false" ht="12.75" hidden="false" customHeight="false" outlineLevel="0" collapsed="false">
      <c r="A1283" s="323"/>
      <c r="B1283" s="323"/>
      <c r="N1283" s="63"/>
      <c r="O1283" s="324"/>
    </row>
    <row r="1284" customFormat="false" ht="12.75" hidden="false" customHeight="false" outlineLevel="0" collapsed="false">
      <c r="A1284" s="323"/>
      <c r="B1284" s="323"/>
      <c r="N1284" s="63"/>
      <c r="O1284" s="324"/>
    </row>
    <row r="1285" customFormat="false" ht="12.75" hidden="false" customHeight="false" outlineLevel="0" collapsed="false">
      <c r="A1285" s="323"/>
      <c r="B1285" s="323"/>
      <c r="N1285" s="63"/>
      <c r="O1285" s="324"/>
    </row>
    <row r="1286" customFormat="false" ht="12.75" hidden="false" customHeight="false" outlineLevel="0" collapsed="false">
      <c r="A1286" s="323"/>
      <c r="B1286" s="323"/>
      <c r="N1286" s="63"/>
      <c r="O1286" s="324"/>
    </row>
    <row r="1287" customFormat="false" ht="12.75" hidden="false" customHeight="false" outlineLevel="0" collapsed="false">
      <c r="A1287" s="323"/>
      <c r="B1287" s="323"/>
      <c r="N1287" s="63"/>
      <c r="O1287" s="324"/>
    </row>
    <row r="1288" customFormat="false" ht="12.75" hidden="false" customHeight="false" outlineLevel="0" collapsed="false">
      <c r="A1288" s="323"/>
      <c r="B1288" s="323"/>
      <c r="N1288" s="63"/>
      <c r="O1288" s="324"/>
    </row>
    <row r="1289" customFormat="false" ht="12.75" hidden="false" customHeight="false" outlineLevel="0" collapsed="false">
      <c r="A1289" s="323"/>
      <c r="B1289" s="323"/>
      <c r="N1289" s="63"/>
      <c r="O1289" s="324"/>
    </row>
    <row r="1290" customFormat="false" ht="12.75" hidden="false" customHeight="false" outlineLevel="0" collapsed="false">
      <c r="A1290" s="323"/>
      <c r="B1290" s="323"/>
      <c r="N1290" s="63"/>
      <c r="O1290" s="324"/>
    </row>
    <row r="1291" customFormat="false" ht="12.75" hidden="false" customHeight="false" outlineLevel="0" collapsed="false">
      <c r="A1291" s="323"/>
      <c r="B1291" s="323"/>
      <c r="N1291" s="63"/>
      <c r="O1291" s="324"/>
    </row>
    <row r="1292" customFormat="false" ht="12.75" hidden="false" customHeight="false" outlineLevel="0" collapsed="false">
      <c r="A1292" s="323"/>
      <c r="B1292" s="323"/>
      <c r="N1292" s="63"/>
      <c r="O1292" s="324"/>
    </row>
    <row r="1293" customFormat="false" ht="12.75" hidden="false" customHeight="false" outlineLevel="0" collapsed="false">
      <c r="A1293" s="323"/>
      <c r="B1293" s="323"/>
      <c r="N1293" s="63"/>
      <c r="O1293" s="324"/>
    </row>
    <row r="1294" customFormat="false" ht="12.75" hidden="false" customHeight="false" outlineLevel="0" collapsed="false">
      <c r="A1294" s="323"/>
      <c r="B1294" s="323"/>
      <c r="N1294" s="63"/>
      <c r="O1294" s="324"/>
    </row>
    <row r="1295" customFormat="false" ht="12.75" hidden="false" customHeight="false" outlineLevel="0" collapsed="false">
      <c r="A1295" s="323"/>
      <c r="B1295" s="323"/>
      <c r="N1295" s="63"/>
      <c r="O1295" s="324"/>
    </row>
    <row r="1296" customFormat="false" ht="12.75" hidden="false" customHeight="false" outlineLevel="0" collapsed="false">
      <c r="A1296" s="323"/>
      <c r="B1296" s="323"/>
      <c r="N1296" s="63"/>
      <c r="O1296" s="324"/>
    </row>
    <row r="1297" customFormat="false" ht="12.75" hidden="false" customHeight="false" outlineLevel="0" collapsed="false">
      <c r="A1297" s="323"/>
      <c r="B1297" s="323"/>
      <c r="N1297" s="63"/>
      <c r="O1297" s="324"/>
    </row>
    <row r="1298" customFormat="false" ht="12.75" hidden="false" customHeight="false" outlineLevel="0" collapsed="false">
      <c r="A1298" s="323"/>
      <c r="B1298" s="323"/>
      <c r="N1298" s="63"/>
      <c r="O1298" s="324"/>
    </row>
    <row r="1299" customFormat="false" ht="12.75" hidden="false" customHeight="false" outlineLevel="0" collapsed="false">
      <c r="A1299" s="323"/>
      <c r="B1299" s="323"/>
      <c r="N1299" s="63"/>
      <c r="O1299" s="324"/>
    </row>
    <row r="1300" customFormat="false" ht="12.75" hidden="false" customHeight="false" outlineLevel="0" collapsed="false">
      <c r="A1300" s="323"/>
      <c r="B1300" s="323"/>
      <c r="N1300" s="63"/>
      <c r="O1300" s="324"/>
    </row>
    <row r="1301" customFormat="false" ht="12.75" hidden="false" customHeight="false" outlineLevel="0" collapsed="false">
      <c r="A1301" s="323"/>
      <c r="B1301" s="323"/>
      <c r="N1301" s="63"/>
      <c r="O1301" s="324"/>
    </row>
    <row r="1302" customFormat="false" ht="12.75" hidden="false" customHeight="false" outlineLevel="0" collapsed="false">
      <c r="A1302" s="323"/>
      <c r="B1302" s="323"/>
      <c r="N1302" s="63"/>
      <c r="O1302" s="324"/>
    </row>
    <row r="1303" customFormat="false" ht="12.75" hidden="false" customHeight="false" outlineLevel="0" collapsed="false">
      <c r="A1303" s="323"/>
      <c r="B1303" s="323"/>
      <c r="N1303" s="63"/>
      <c r="O1303" s="324"/>
    </row>
    <row r="1304" customFormat="false" ht="12.75" hidden="false" customHeight="false" outlineLevel="0" collapsed="false">
      <c r="A1304" s="323"/>
      <c r="B1304" s="323"/>
      <c r="N1304" s="63"/>
      <c r="O1304" s="324"/>
    </row>
    <row r="1305" customFormat="false" ht="12.75" hidden="false" customHeight="false" outlineLevel="0" collapsed="false">
      <c r="A1305" s="323"/>
      <c r="B1305" s="323"/>
      <c r="N1305" s="63"/>
      <c r="O1305" s="324"/>
    </row>
    <row r="1306" customFormat="false" ht="12.75" hidden="false" customHeight="false" outlineLevel="0" collapsed="false">
      <c r="A1306" s="323"/>
      <c r="B1306" s="323"/>
      <c r="N1306" s="63"/>
      <c r="O1306" s="324"/>
    </row>
    <row r="1307" customFormat="false" ht="12.75" hidden="false" customHeight="false" outlineLevel="0" collapsed="false">
      <c r="A1307" s="323"/>
      <c r="B1307" s="323"/>
      <c r="N1307" s="63"/>
      <c r="O1307" s="324"/>
    </row>
    <row r="1308" customFormat="false" ht="12.75" hidden="false" customHeight="false" outlineLevel="0" collapsed="false">
      <c r="A1308" s="323"/>
      <c r="B1308" s="323"/>
      <c r="N1308" s="63"/>
      <c r="O1308" s="324"/>
    </row>
    <row r="1309" customFormat="false" ht="12.75" hidden="false" customHeight="false" outlineLevel="0" collapsed="false">
      <c r="A1309" s="323"/>
      <c r="B1309" s="323"/>
      <c r="N1309" s="63"/>
      <c r="O1309" s="324"/>
    </row>
    <row r="1310" customFormat="false" ht="12.75" hidden="false" customHeight="false" outlineLevel="0" collapsed="false">
      <c r="A1310" s="323"/>
      <c r="B1310" s="323"/>
      <c r="N1310" s="63"/>
      <c r="O1310" s="324"/>
    </row>
    <row r="1311" customFormat="false" ht="12.75" hidden="false" customHeight="false" outlineLevel="0" collapsed="false">
      <c r="A1311" s="323"/>
      <c r="B1311" s="323"/>
      <c r="N1311" s="63"/>
      <c r="O1311" s="324"/>
    </row>
    <row r="1312" customFormat="false" ht="12.75" hidden="false" customHeight="false" outlineLevel="0" collapsed="false">
      <c r="A1312" s="323"/>
      <c r="B1312" s="323"/>
      <c r="N1312" s="63"/>
      <c r="O1312" s="324"/>
    </row>
    <row r="1313" customFormat="false" ht="12.75" hidden="false" customHeight="false" outlineLevel="0" collapsed="false">
      <c r="A1313" s="323"/>
      <c r="B1313" s="323"/>
      <c r="N1313" s="63"/>
      <c r="O1313" s="324"/>
    </row>
    <row r="1314" customFormat="false" ht="12.75" hidden="false" customHeight="false" outlineLevel="0" collapsed="false">
      <c r="A1314" s="323"/>
      <c r="B1314" s="323"/>
      <c r="N1314" s="63"/>
      <c r="O1314" s="324"/>
    </row>
    <row r="1315" customFormat="false" ht="12.75" hidden="false" customHeight="false" outlineLevel="0" collapsed="false">
      <c r="A1315" s="323"/>
      <c r="B1315" s="323"/>
      <c r="N1315" s="63"/>
      <c r="O1315" s="324"/>
    </row>
    <row r="1316" customFormat="false" ht="12.75" hidden="false" customHeight="false" outlineLevel="0" collapsed="false">
      <c r="A1316" s="323"/>
      <c r="B1316" s="323"/>
      <c r="N1316" s="63"/>
      <c r="O1316" s="324"/>
    </row>
    <row r="1317" customFormat="false" ht="12.75" hidden="false" customHeight="false" outlineLevel="0" collapsed="false">
      <c r="A1317" s="323"/>
      <c r="B1317" s="323"/>
      <c r="N1317" s="63"/>
      <c r="O1317" s="324"/>
    </row>
    <row r="1318" customFormat="false" ht="12.75" hidden="false" customHeight="false" outlineLevel="0" collapsed="false">
      <c r="A1318" s="323"/>
      <c r="B1318" s="323"/>
      <c r="N1318" s="63"/>
      <c r="O1318" s="324"/>
    </row>
    <row r="1319" customFormat="false" ht="12.75" hidden="false" customHeight="false" outlineLevel="0" collapsed="false">
      <c r="A1319" s="323"/>
      <c r="B1319" s="323"/>
      <c r="N1319" s="63"/>
      <c r="O1319" s="324"/>
    </row>
    <row r="1320" customFormat="false" ht="12.75" hidden="false" customHeight="false" outlineLevel="0" collapsed="false">
      <c r="A1320" s="323"/>
      <c r="B1320" s="323"/>
      <c r="N1320" s="63"/>
      <c r="O1320" s="324"/>
    </row>
    <row r="1321" customFormat="false" ht="12.75" hidden="false" customHeight="false" outlineLevel="0" collapsed="false">
      <c r="A1321" s="323"/>
      <c r="B1321" s="323"/>
      <c r="N1321" s="63"/>
      <c r="O1321" s="324"/>
    </row>
    <row r="1322" customFormat="false" ht="12.75" hidden="false" customHeight="false" outlineLevel="0" collapsed="false">
      <c r="A1322" s="323"/>
      <c r="B1322" s="323"/>
      <c r="N1322" s="63"/>
      <c r="O1322" s="324"/>
    </row>
    <row r="1323" customFormat="false" ht="12.75" hidden="false" customHeight="false" outlineLevel="0" collapsed="false">
      <c r="A1323" s="323"/>
      <c r="B1323" s="323"/>
      <c r="N1323" s="63"/>
      <c r="O1323" s="324"/>
    </row>
    <row r="1324" customFormat="false" ht="12.75" hidden="false" customHeight="false" outlineLevel="0" collapsed="false">
      <c r="A1324" s="323"/>
      <c r="B1324" s="323"/>
      <c r="N1324" s="63"/>
      <c r="O1324" s="324"/>
    </row>
    <row r="1325" customFormat="false" ht="12.75" hidden="false" customHeight="false" outlineLevel="0" collapsed="false">
      <c r="A1325" s="323"/>
      <c r="B1325" s="323"/>
      <c r="N1325" s="63"/>
      <c r="O1325" s="324"/>
    </row>
    <row r="1326" customFormat="false" ht="12.75" hidden="false" customHeight="false" outlineLevel="0" collapsed="false">
      <c r="A1326" s="323"/>
      <c r="B1326" s="323"/>
      <c r="N1326" s="63"/>
      <c r="O1326" s="324"/>
    </row>
    <row r="1327" customFormat="false" ht="12.75" hidden="false" customHeight="false" outlineLevel="0" collapsed="false">
      <c r="A1327" s="323"/>
      <c r="B1327" s="323"/>
      <c r="N1327" s="63"/>
      <c r="O1327" s="324"/>
    </row>
    <row r="1328" customFormat="false" ht="12.75" hidden="false" customHeight="false" outlineLevel="0" collapsed="false">
      <c r="A1328" s="323"/>
      <c r="B1328" s="323"/>
      <c r="N1328" s="63"/>
      <c r="O1328" s="324"/>
    </row>
    <row r="1329" customFormat="false" ht="12.75" hidden="false" customHeight="false" outlineLevel="0" collapsed="false">
      <c r="A1329" s="323"/>
      <c r="B1329" s="323"/>
      <c r="N1329" s="63"/>
      <c r="O1329" s="324"/>
    </row>
    <row r="1330" customFormat="false" ht="12.75" hidden="false" customHeight="false" outlineLevel="0" collapsed="false">
      <c r="A1330" s="323"/>
      <c r="B1330" s="323"/>
      <c r="N1330" s="63"/>
      <c r="O1330" s="324"/>
    </row>
    <row r="1331" customFormat="false" ht="12.75" hidden="false" customHeight="false" outlineLevel="0" collapsed="false">
      <c r="A1331" s="323"/>
      <c r="B1331" s="323"/>
      <c r="N1331" s="63"/>
      <c r="O1331" s="324"/>
    </row>
    <row r="1332" customFormat="false" ht="12.75" hidden="false" customHeight="false" outlineLevel="0" collapsed="false">
      <c r="A1332" s="323"/>
      <c r="B1332" s="323"/>
      <c r="N1332" s="63"/>
      <c r="O1332" s="324"/>
    </row>
    <row r="1333" customFormat="false" ht="12.75" hidden="false" customHeight="false" outlineLevel="0" collapsed="false">
      <c r="A1333" s="323"/>
      <c r="B1333" s="323"/>
      <c r="N1333" s="63"/>
      <c r="O1333" s="324"/>
    </row>
    <row r="1334" customFormat="false" ht="12.75" hidden="false" customHeight="false" outlineLevel="0" collapsed="false">
      <c r="A1334" s="323"/>
      <c r="B1334" s="323"/>
      <c r="N1334" s="63"/>
      <c r="O1334" s="324"/>
    </row>
    <row r="1335" customFormat="false" ht="12.75" hidden="false" customHeight="false" outlineLevel="0" collapsed="false">
      <c r="A1335" s="323"/>
      <c r="B1335" s="323"/>
      <c r="N1335" s="63"/>
      <c r="O1335" s="324"/>
    </row>
    <row r="1336" customFormat="false" ht="12.75" hidden="false" customHeight="false" outlineLevel="0" collapsed="false">
      <c r="A1336" s="323"/>
      <c r="B1336" s="323"/>
      <c r="N1336" s="63"/>
      <c r="O1336" s="324"/>
    </row>
    <row r="1337" customFormat="false" ht="12.75" hidden="false" customHeight="false" outlineLevel="0" collapsed="false">
      <c r="A1337" s="323"/>
      <c r="B1337" s="323"/>
      <c r="N1337" s="63"/>
      <c r="O1337" s="324"/>
    </row>
    <row r="1338" customFormat="false" ht="12.75" hidden="false" customHeight="false" outlineLevel="0" collapsed="false">
      <c r="A1338" s="323"/>
      <c r="B1338" s="323"/>
      <c r="N1338" s="63"/>
      <c r="O1338" s="324"/>
    </row>
    <row r="1339" customFormat="false" ht="12.75" hidden="false" customHeight="false" outlineLevel="0" collapsed="false">
      <c r="A1339" s="323"/>
      <c r="B1339" s="323"/>
      <c r="N1339" s="63"/>
      <c r="O1339" s="324"/>
    </row>
    <row r="1340" customFormat="false" ht="12.75" hidden="false" customHeight="false" outlineLevel="0" collapsed="false">
      <c r="A1340" s="323"/>
      <c r="B1340" s="323"/>
      <c r="N1340" s="63"/>
      <c r="O1340" s="324"/>
    </row>
    <row r="1341" customFormat="false" ht="12.75" hidden="false" customHeight="false" outlineLevel="0" collapsed="false">
      <c r="A1341" s="323"/>
      <c r="B1341" s="323"/>
      <c r="N1341" s="63"/>
      <c r="O1341" s="324"/>
    </row>
    <row r="1342" customFormat="false" ht="12.75" hidden="false" customHeight="false" outlineLevel="0" collapsed="false">
      <c r="A1342" s="323"/>
      <c r="B1342" s="323"/>
      <c r="N1342" s="63"/>
      <c r="O1342" s="324"/>
    </row>
    <row r="1343" customFormat="false" ht="12.75" hidden="false" customHeight="false" outlineLevel="0" collapsed="false">
      <c r="A1343" s="323"/>
      <c r="B1343" s="323"/>
      <c r="N1343" s="63"/>
      <c r="O1343" s="324"/>
    </row>
    <row r="1344" customFormat="false" ht="12.75" hidden="false" customHeight="false" outlineLevel="0" collapsed="false">
      <c r="A1344" s="323"/>
      <c r="B1344" s="323"/>
      <c r="N1344" s="63"/>
      <c r="O1344" s="324"/>
    </row>
    <row r="1345" customFormat="false" ht="12.75" hidden="false" customHeight="false" outlineLevel="0" collapsed="false">
      <c r="A1345" s="323"/>
      <c r="B1345" s="323"/>
      <c r="N1345" s="63"/>
      <c r="O1345" s="324"/>
    </row>
    <row r="1346" customFormat="false" ht="12.75" hidden="false" customHeight="false" outlineLevel="0" collapsed="false">
      <c r="A1346" s="323"/>
      <c r="B1346" s="323"/>
      <c r="N1346" s="63"/>
      <c r="O1346" s="324"/>
    </row>
    <row r="1347" customFormat="false" ht="12.75" hidden="false" customHeight="false" outlineLevel="0" collapsed="false">
      <c r="A1347" s="323"/>
      <c r="B1347" s="323"/>
      <c r="N1347" s="63"/>
      <c r="O1347" s="324"/>
    </row>
    <row r="1348" customFormat="false" ht="12.75" hidden="false" customHeight="false" outlineLevel="0" collapsed="false">
      <c r="A1348" s="323"/>
      <c r="B1348" s="323"/>
      <c r="N1348" s="63"/>
      <c r="O1348" s="324"/>
    </row>
    <row r="1349" customFormat="false" ht="12.75" hidden="false" customHeight="false" outlineLevel="0" collapsed="false">
      <c r="A1349" s="323"/>
      <c r="B1349" s="323"/>
      <c r="N1349" s="63"/>
      <c r="O1349" s="324"/>
    </row>
    <row r="1350" customFormat="false" ht="12.75" hidden="false" customHeight="false" outlineLevel="0" collapsed="false">
      <c r="A1350" s="323"/>
      <c r="B1350" s="323"/>
      <c r="N1350" s="63"/>
      <c r="O1350" s="324"/>
    </row>
    <row r="1351" customFormat="false" ht="12.75" hidden="false" customHeight="false" outlineLevel="0" collapsed="false">
      <c r="A1351" s="323"/>
      <c r="B1351" s="323"/>
      <c r="N1351" s="63"/>
      <c r="O1351" s="324"/>
    </row>
    <row r="1352" customFormat="false" ht="12.75" hidden="false" customHeight="false" outlineLevel="0" collapsed="false">
      <c r="A1352" s="323"/>
      <c r="B1352" s="323"/>
      <c r="N1352" s="63"/>
      <c r="O1352" s="324"/>
    </row>
    <row r="1353" customFormat="false" ht="12.75" hidden="false" customHeight="false" outlineLevel="0" collapsed="false">
      <c r="A1353" s="323"/>
      <c r="B1353" s="323"/>
      <c r="N1353" s="63"/>
      <c r="O1353" s="324"/>
    </row>
    <row r="1354" customFormat="false" ht="12.75" hidden="false" customHeight="false" outlineLevel="0" collapsed="false">
      <c r="A1354" s="323"/>
      <c r="B1354" s="323"/>
      <c r="N1354" s="63"/>
      <c r="O1354" s="324"/>
    </row>
    <row r="1355" customFormat="false" ht="12.75" hidden="false" customHeight="false" outlineLevel="0" collapsed="false">
      <c r="A1355" s="323"/>
      <c r="B1355" s="323"/>
      <c r="N1355" s="63"/>
      <c r="O1355" s="324"/>
    </row>
    <row r="1356" customFormat="false" ht="12.75" hidden="false" customHeight="false" outlineLevel="0" collapsed="false">
      <c r="A1356" s="323"/>
      <c r="B1356" s="323"/>
      <c r="N1356" s="63"/>
      <c r="O1356" s="324"/>
    </row>
    <row r="1357" customFormat="false" ht="12.75" hidden="false" customHeight="false" outlineLevel="0" collapsed="false">
      <c r="A1357" s="323"/>
      <c r="B1357" s="323"/>
      <c r="N1357" s="63"/>
      <c r="O1357" s="324"/>
    </row>
    <row r="1358" customFormat="false" ht="12.75" hidden="false" customHeight="false" outlineLevel="0" collapsed="false">
      <c r="A1358" s="323"/>
      <c r="B1358" s="323"/>
      <c r="N1358" s="63"/>
      <c r="O1358" s="324"/>
    </row>
    <row r="1359" customFormat="false" ht="12.75" hidden="false" customHeight="false" outlineLevel="0" collapsed="false">
      <c r="A1359" s="323"/>
      <c r="B1359" s="323"/>
      <c r="N1359" s="63"/>
      <c r="O1359" s="324"/>
    </row>
    <row r="1360" customFormat="false" ht="12.75" hidden="false" customHeight="false" outlineLevel="0" collapsed="false">
      <c r="A1360" s="323"/>
      <c r="B1360" s="323"/>
      <c r="N1360" s="63"/>
      <c r="O1360" s="324"/>
    </row>
    <row r="1361" customFormat="false" ht="12.75" hidden="false" customHeight="false" outlineLevel="0" collapsed="false">
      <c r="A1361" s="323"/>
      <c r="B1361" s="323"/>
      <c r="N1361" s="63"/>
      <c r="O1361" s="324"/>
    </row>
    <row r="1362" customFormat="false" ht="12.75" hidden="false" customHeight="false" outlineLevel="0" collapsed="false">
      <c r="A1362" s="323"/>
      <c r="B1362" s="323"/>
      <c r="N1362" s="63"/>
      <c r="O1362" s="324"/>
    </row>
    <row r="1363" customFormat="false" ht="12.75" hidden="false" customHeight="false" outlineLevel="0" collapsed="false">
      <c r="A1363" s="323"/>
      <c r="B1363" s="323"/>
      <c r="N1363" s="63"/>
      <c r="O1363" s="324"/>
    </row>
    <row r="1364" customFormat="false" ht="12.75" hidden="false" customHeight="false" outlineLevel="0" collapsed="false">
      <c r="A1364" s="323"/>
      <c r="B1364" s="323"/>
      <c r="N1364" s="63"/>
      <c r="O1364" s="324"/>
    </row>
    <row r="1365" customFormat="false" ht="12.75" hidden="false" customHeight="false" outlineLevel="0" collapsed="false">
      <c r="A1365" s="323"/>
      <c r="B1365" s="323"/>
      <c r="N1365" s="63"/>
      <c r="O1365" s="324"/>
    </row>
    <row r="1366" customFormat="false" ht="12.75" hidden="false" customHeight="false" outlineLevel="0" collapsed="false">
      <c r="A1366" s="323"/>
      <c r="B1366" s="323"/>
      <c r="N1366" s="63"/>
      <c r="O1366" s="324"/>
    </row>
    <row r="1367" customFormat="false" ht="12.75" hidden="false" customHeight="false" outlineLevel="0" collapsed="false">
      <c r="A1367" s="323"/>
      <c r="B1367" s="323"/>
      <c r="N1367" s="63"/>
      <c r="O1367" s="324"/>
    </row>
    <row r="1368" customFormat="false" ht="12.75" hidden="false" customHeight="false" outlineLevel="0" collapsed="false">
      <c r="A1368" s="323"/>
      <c r="B1368" s="323"/>
      <c r="N1368" s="63"/>
      <c r="O1368" s="324"/>
    </row>
    <row r="1369" customFormat="false" ht="12.75" hidden="false" customHeight="false" outlineLevel="0" collapsed="false">
      <c r="A1369" s="323"/>
      <c r="B1369" s="323"/>
      <c r="N1369" s="63"/>
      <c r="O1369" s="324"/>
    </row>
    <row r="1370" customFormat="false" ht="12.75" hidden="false" customHeight="false" outlineLevel="0" collapsed="false">
      <c r="A1370" s="323"/>
      <c r="B1370" s="323"/>
      <c r="N1370" s="63"/>
      <c r="O1370" s="324"/>
    </row>
    <row r="1371" customFormat="false" ht="12.75" hidden="false" customHeight="false" outlineLevel="0" collapsed="false">
      <c r="A1371" s="323"/>
      <c r="B1371" s="323"/>
      <c r="N1371" s="63"/>
      <c r="O1371" s="324"/>
    </row>
    <row r="1372" customFormat="false" ht="12.75" hidden="false" customHeight="false" outlineLevel="0" collapsed="false">
      <c r="A1372" s="323"/>
      <c r="B1372" s="323"/>
      <c r="N1372" s="63"/>
      <c r="O1372" s="324"/>
    </row>
    <row r="1373" customFormat="false" ht="12.75" hidden="false" customHeight="false" outlineLevel="0" collapsed="false">
      <c r="A1373" s="323"/>
      <c r="B1373" s="323"/>
      <c r="N1373" s="63"/>
      <c r="O1373" s="324"/>
    </row>
    <row r="1374" customFormat="false" ht="12.75" hidden="false" customHeight="false" outlineLevel="0" collapsed="false">
      <c r="A1374" s="323"/>
      <c r="B1374" s="323"/>
      <c r="N1374" s="63"/>
      <c r="O1374" s="324"/>
    </row>
    <row r="1375" customFormat="false" ht="12.75" hidden="false" customHeight="false" outlineLevel="0" collapsed="false">
      <c r="A1375" s="323"/>
      <c r="B1375" s="323"/>
      <c r="N1375" s="63"/>
      <c r="O1375" s="324"/>
    </row>
    <row r="1376" customFormat="false" ht="12.75" hidden="false" customHeight="false" outlineLevel="0" collapsed="false">
      <c r="A1376" s="323"/>
      <c r="B1376" s="323"/>
      <c r="N1376" s="63"/>
      <c r="O1376" s="324"/>
    </row>
    <row r="1377" customFormat="false" ht="12.75" hidden="false" customHeight="false" outlineLevel="0" collapsed="false">
      <c r="A1377" s="323"/>
      <c r="B1377" s="323"/>
      <c r="N1377" s="63"/>
      <c r="O1377" s="324"/>
    </row>
    <row r="1378" customFormat="false" ht="12.75" hidden="false" customHeight="false" outlineLevel="0" collapsed="false">
      <c r="A1378" s="323"/>
      <c r="B1378" s="323"/>
      <c r="N1378" s="63"/>
      <c r="O1378" s="324"/>
    </row>
    <row r="1379" customFormat="false" ht="12.75" hidden="false" customHeight="false" outlineLevel="0" collapsed="false">
      <c r="A1379" s="323"/>
      <c r="B1379" s="323"/>
      <c r="N1379" s="63"/>
      <c r="O1379" s="324"/>
    </row>
    <row r="1380" customFormat="false" ht="12.75" hidden="false" customHeight="false" outlineLevel="0" collapsed="false">
      <c r="A1380" s="323"/>
      <c r="B1380" s="323"/>
      <c r="N1380" s="63"/>
      <c r="O1380" s="324"/>
    </row>
    <row r="1381" customFormat="false" ht="12.75" hidden="false" customHeight="false" outlineLevel="0" collapsed="false">
      <c r="A1381" s="323"/>
      <c r="B1381" s="323"/>
      <c r="N1381" s="63"/>
      <c r="O1381" s="324"/>
    </row>
    <row r="1382" customFormat="false" ht="12.75" hidden="false" customHeight="false" outlineLevel="0" collapsed="false">
      <c r="A1382" s="323"/>
      <c r="B1382" s="323"/>
      <c r="N1382" s="63"/>
      <c r="O1382" s="324"/>
    </row>
    <row r="1383" customFormat="false" ht="12.75" hidden="false" customHeight="false" outlineLevel="0" collapsed="false">
      <c r="A1383" s="323"/>
      <c r="B1383" s="323"/>
      <c r="N1383" s="63"/>
      <c r="O1383" s="324"/>
    </row>
    <row r="1384" customFormat="false" ht="12.75" hidden="false" customHeight="false" outlineLevel="0" collapsed="false">
      <c r="A1384" s="323"/>
      <c r="B1384" s="323"/>
      <c r="N1384" s="63"/>
      <c r="O1384" s="324"/>
    </row>
    <row r="1385" customFormat="false" ht="12.75" hidden="false" customHeight="false" outlineLevel="0" collapsed="false">
      <c r="A1385" s="323"/>
      <c r="B1385" s="323"/>
      <c r="N1385" s="63"/>
      <c r="O1385" s="324"/>
    </row>
    <row r="1386" customFormat="false" ht="12.75" hidden="false" customHeight="false" outlineLevel="0" collapsed="false">
      <c r="A1386" s="323"/>
      <c r="B1386" s="323"/>
      <c r="N1386" s="63"/>
      <c r="O1386" s="324"/>
    </row>
    <row r="1387" customFormat="false" ht="12.75" hidden="false" customHeight="false" outlineLevel="0" collapsed="false">
      <c r="A1387" s="323"/>
      <c r="B1387" s="323"/>
      <c r="N1387" s="63"/>
      <c r="O1387" s="324"/>
    </row>
  </sheetData>
  <mergeCells count="9">
    <mergeCell ref="A1:H1"/>
    <mergeCell ref="I1:O1"/>
    <mergeCell ref="P1:V1"/>
    <mergeCell ref="W1:AC1"/>
    <mergeCell ref="AD1:AJ1"/>
    <mergeCell ref="AK1:AZ1"/>
    <mergeCell ref="BA1:BI1"/>
    <mergeCell ref="BJ1:BM1"/>
    <mergeCell ref="BN1:BW1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Y1420"/>
  <sheetViews>
    <sheetView showFormulas="false" showGridLines="true" showRowColHeaders="true" showZeros="true" rightToLeft="false" tabSelected="false" showOutlineSymbols="true" defaultGridColor="true" view="normal" topLeftCell="AH1" colorId="64" zoomScale="100" zoomScaleNormal="100" zoomScalePageLayoutView="100" workbookViewId="0">
      <selection pane="topLeft" activeCell="AT3" activeCellId="0" sqref="AT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85"/>
    <col collapsed="false" customWidth="true" hidden="false" outlineLevel="0" max="2" min="2" style="0" width="9.56"/>
    <col collapsed="false" customWidth="true" hidden="false" outlineLevel="0" max="11" min="11" style="0" width="9.85"/>
    <col collapsed="false" customWidth="true" hidden="false" outlineLevel="0" max="33" min="33" style="0" width="5.41"/>
    <col collapsed="false" customWidth="true" hidden="false" outlineLevel="0" max="35" min="34" style="0" width="4.28"/>
    <col collapsed="false" customWidth="true" hidden="false" outlineLevel="0" max="36" min="36" style="0" width="3.7"/>
    <col collapsed="false" customWidth="true" hidden="false" outlineLevel="0" max="37" min="37" style="0" width="4.85"/>
    <col collapsed="false" customWidth="true" hidden="false" outlineLevel="0" max="40" min="40" style="0" width="1.99"/>
    <col collapsed="false" customWidth="true" hidden="false" outlineLevel="0" max="41" min="41" style="0" width="16.42"/>
    <col collapsed="false" customWidth="true" hidden="false" outlineLevel="0" max="43" min="43" style="0" width="1.85"/>
    <col collapsed="false" customWidth="true" hidden="false" outlineLevel="0" max="44" min="44" style="0" width="14.85"/>
    <col collapsed="false" customWidth="true" hidden="false" outlineLevel="0" max="46" min="46" style="0" width="1.85"/>
    <col collapsed="false" customWidth="true" hidden="false" outlineLevel="0" max="47" min="47" style="0" width="7.14"/>
    <col collapsed="false" customWidth="true" hidden="false" outlineLevel="0" max="49" min="49" style="0" width="1.99"/>
    <col collapsed="false" customWidth="true" hidden="false" outlineLevel="0" max="50" min="50" style="0" width="18.41"/>
  </cols>
  <sheetData>
    <row r="1" customFormat="false" ht="12.75" hidden="false" customHeight="false" outlineLevel="0" collapsed="false">
      <c r="A1" s="325" t="s">
        <v>1329</v>
      </c>
      <c r="F1" s="326" t="s">
        <v>1330</v>
      </c>
      <c r="G1" s="326" t="s">
        <v>1331</v>
      </c>
    </row>
    <row r="2" customFormat="false" ht="12.75" hidden="false" customHeight="false" outlineLevel="0" collapsed="false">
      <c r="A2" s="327"/>
      <c r="B2" s="328" t="s">
        <v>74</v>
      </c>
      <c r="C2" s="328" t="s">
        <v>75</v>
      </c>
      <c r="D2" s="327"/>
      <c r="E2" s="327"/>
      <c r="F2" s="329" t="s">
        <v>1332</v>
      </c>
      <c r="G2" s="330" t="n">
        <f aca="false">AVERAGE(B13:M28)</f>
        <v>1.04335473053619</v>
      </c>
      <c r="H2" s="327"/>
      <c r="I2" s="327"/>
      <c r="J2" s="327"/>
      <c r="K2" s="327"/>
      <c r="L2" s="327"/>
      <c r="M2" s="327"/>
      <c r="N2" s="327"/>
      <c r="O2" s="31"/>
      <c r="P2" s="31"/>
      <c r="AG2" s="31" t="s">
        <v>1333</v>
      </c>
      <c r="AH2" s="31" t="s">
        <v>1297</v>
      </c>
      <c r="AI2" s="31" t="s">
        <v>1298</v>
      </c>
      <c r="AJ2" s="31" t="s">
        <v>1334</v>
      </c>
      <c r="AK2" s="31" t="s">
        <v>1302</v>
      </c>
      <c r="AM2" s="194"/>
      <c r="AN2" s="194"/>
      <c r="AO2" s="194"/>
      <c r="AP2" s="194"/>
    </row>
    <row r="3" customFormat="false" ht="12.75" hidden="false" customHeight="false" outlineLevel="0" collapsed="false">
      <c r="A3" s="328" t="s">
        <v>63</v>
      </c>
      <c r="B3" s="331" t="n">
        <v>700</v>
      </c>
      <c r="C3" s="331" t="n">
        <v>2200</v>
      </c>
      <c r="D3" s="327"/>
      <c r="E3" s="327"/>
      <c r="F3" s="329" t="s">
        <v>1335</v>
      </c>
      <c r="G3" s="330" t="n">
        <f aca="false">AVERAGE(B7:M30)</f>
        <v>0.999994249529061</v>
      </c>
      <c r="H3" s="327"/>
      <c r="I3" s="327"/>
      <c r="J3" s="327"/>
      <c r="K3" s="327"/>
      <c r="L3" s="327"/>
      <c r="M3" s="327"/>
      <c r="N3" s="327"/>
      <c r="O3" s="31"/>
      <c r="P3" s="31"/>
      <c r="AG3" s="31" t="s">
        <v>1336</v>
      </c>
      <c r="AH3" s="31" t="s">
        <v>1336</v>
      </c>
      <c r="AI3" s="31" t="s">
        <v>1336</v>
      </c>
      <c r="AJ3" s="31"/>
      <c r="AK3" s="31"/>
      <c r="AM3" s="194"/>
      <c r="AN3" s="332" t="n">
        <v>1</v>
      </c>
      <c r="AO3" s="333" t="s">
        <v>1337</v>
      </c>
      <c r="AP3" s="194"/>
      <c r="AQ3" s="334" t="n">
        <v>9</v>
      </c>
      <c r="AR3" s="335" t="s">
        <v>1338</v>
      </c>
      <c r="AT3" s="336" t="n">
        <v>2</v>
      </c>
      <c r="AU3" s="337" t="s">
        <v>1337</v>
      </c>
      <c r="AW3" s="334" t="n">
        <v>1</v>
      </c>
      <c r="AX3" s="338" t="s">
        <v>1337</v>
      </c>
      <c r="AY3" s="339"/>
    </row>
    <row r="4" customFormat="false" ht="12.75" hidden="false" customHeight="false" outlineLevel="0" collapsed="false">
      <c r="A4" s="340" t="s">
        <v>85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1"/>
      <c r="P4" s="31"/>
      <c r="AF4" s="341" t="n">
        <v>36557</v>
      </c>
      <c r="AG4" s="31" t="n">
        <v>21</v>
      </c>
      <c r="AH4" s="31" t="n">
        <v>4</v>
      </c>
      <c r="AI4" s="31" t="n">
        <v>4</v>
      </c>
      <c r="AJ4" s="31" t="n">
        <v>0</v>
      </c>
      <c r="AK4" s="31" t="n">
        <v>29</v>
      </c>
      <c r="AM4" s="193"/>
      <c r="AN4" s="342" t="n">
        <v>1</v>
      </c>
      <c r="AO4" s="343" t="s">
        <v>1339</v>
      </c>
      <c r="AP4" s="193"/>
      <c r="AQ4" s="344" t="n">
        <v>1</v>
      </c>
      <c r="AR4" s="345" t="s">
        <v>1340</v>
      </c>
      <c r="AT4" s="346" t="n">
        <v>1</v>
      </c>
      <c r="AU4" s="347" t="s">
        <v>69</v>
      </c>
      <c r="AW4" s="348" t="n">
        <v>1</v>
      </c>
      <c r="AX4" s="344" t="s">
        <v>1341</v>
      </c>
      <c r="AY4" s="339"/>
    </row>
    <row r="5" customFormat="false" ht="12.75" hidden="false" customHeight="false" outlineLevel="0" collapsed="false">
      <c r="A5" s="349"/>
      <c r="B5" s="350" t="n">
        <v>1</v>
      </c>
      <c r="C5" s="350" t="n">
        <v>2</v>
      </c>
      <c r="D5" s="350" t="n">
        <v>3</v>
      </c>
      <c r="E5" s="350" t="n">
        <v>4</v>
      </c>
      <c r="F5" s="350" t="n">
        <v>5</v>
      </c>
      <c r="G5" s="350" t="n">
        <v>6</v>
      </c>
      <c r="H5" s="350" t="n">
        <v>7</v>
      </c>
      <c r="I5" s="350" t="n">
        <v>8</v>
      </c>
      <c r="J5" s="350" t="n">
        <v>9</v>
      </c>
      <c r="K5" s="350" t="n">
        <v>10</v>
      </c>
      <c r="L5" s="350" t="n">
        <v>11</v>
      </c>
      <c r="M5" s="350" t="n">
        <v>12</v>
      </c>
      <c r="N5" s="349"/>
      <c r="O5" s="31"/>
      <c r="P5" s="31"/>
      <c r="AF5" s="341" t="n">
        <v>36586</v>
      </c>
      <c r="AG5" s="31" t="n">
        <v>23</v>
      </c>
      <c r="AH5" s="31" t="n">
        <v>4</v>
      </c>
      <c r="AI5" s="31" t="n">
        <v>4</v>
      </c>
      <c r="AJ5" s="31" t="n">
        <v>0</v>
      </c>
      <c r="AK5" s="31" t="n">
        <v>31</v>
      </c>
      <c r="AM5" s="194"/>
      <c r="AN5" s="342" t="n">
        <v>2</v>
      </c>
      <c r="AO5" s="343" t="s">
        <v>1342</v>
      </c>
      <c r="AP5" s="194"/>
      <c r="AQ5" s="344" t="n">
        <v>2</v>
      </c>
      <c r="AR5" s="345" t="s">
        <v>1343</v>
      </c>
      <c r="AT5" s="346" t="n">
        <v>2</v>
      </c>
      <c r="AU5" s="347" t="s">
        <v>68</v>
      </c>
      <c r="AW5" s="348" t="n">
        <v>2</v>
      </c>
      <c r="AX5" s="351" t="s">
        <v>1344</v>
      </c>
      <c r="AY5" s="339"/>
    </row>
    <row r="6" customFormat="false" ht="12.75" hidden="false" customHeight="false" outlineLevel="0" collapsed="false">
      <c r="A6" s="328" t="s">
        <v>104</v>
      </c>
      <c r="B6" s="352" t="s">
        <v>1345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28" t="s">
        <v>105</v>
      </c>
      <c r="O6" s="31"/>
      <c r="P6" s="31"/>
      <c r="AF6" s="341" t="n">
        <v>36617</v>
      </c>
      <c r="AG6" s="31" t="n">
        <v>20</v>
      </c>
      <c r="AH6" s="31" t="n">
        <v>5</v>
      </c>
      <c r="AI6" s="31" t="n">
        <v>5</v>
      </c>
      <c r="AJ6" s="31" t="n">
        <v>0</v>
      </c>
      <c r="AK6" s="31" t="n">
        <v>30</v>
      </c>
      <c r="AM6" s="194"/>
      <c r="AN6" s="342" t="n">
        <v>3</v>
      </c>
      <c r="AO6" s="343" t="s">
        <v>1346</v>
      </c>
      <c r="AP6" s="194"/>
      <c r="AQ6" s="344" t="n">
        <v>3</v>
      </c>
      <c r="AR6" s="345" t="s">
        <v>1347</v>
      </c>
      <c r="AT6" s="346" t="n">
        <v>3</v>
      </c>
      <c r="AU6" s="347" t="s">
        <v>70</v>
      </c>
    </row>
    <row r="7" customFormat="false" ht="12.75" hidden="false" customHeight="false" outlineLevel="0" collapsed="false">
      <c r="A7" s="327" t="n">
        <v>100</v>
      </c>
      <c r="B7" s="353" t="n">
        <f aca="false">'Power Curves'!AT21</f>
        <v>0.920091403608595</v>
      </c>
      <c r="C7" s="353" t="n">
        <f aca="false">'Power Curves'!AU21</f>
        <v>0.920091403608595</v>
      </c>
      <c r="D7" s="353" t="n">
        <f aca="false">'Power Curves'!AV21</f>
        <v>0.880091403608595</v>
      </c>
      <c r="E7" s="353" t="n">
        <f aca="false">'Power Curves'!AW21</f>
        <v>0.930091403608595</v>
      </c>
      <c r="F7" s="353" t="n">
        <f aca="false">'Power Curves'!AX21</f>
        <v>0.994874138887982</v>
      </c>
      <c r="G7" s="353" t="n">
        <f aca="false">'Power Curves'!AY21</f>
        <v>1.15660153937241</v>
      </c>
      <c r="H7" s="353" t="n">
        <f aca="false">'Power Curves'!AZ21</f>
        <v>1.11512120882705</v>
      </c>
      <c r="I7" s="353" t="n">
        <f aca="false">'Power Curves'!BA21</f>
        <v>1.09161161660227</v>
      </c>
      <c r="J7" s="353" t="n">
        <f aca="false">'Power Curves'!BB21</f>
        <v>0.996645781912536</v>
      </c>
      <c r="K7" s="353" t="n">
        <f aca="false">'Power Curves'!BC21</f>
        <v>0.9495</v>
      </c>
      <c r="L7" s="353" t="n">
        <f aca="false">'Power Curves'!BD21</f>
        <v>0.9295</v>
      </c>
      <c r="M7" s="353" t="n">
        <f aca="false">'Power Curves'!BE21</f>
        <v>0.9295</v>
      </c>
      <c r="N7" s="327" t="s">
        <v>110</v>
      </c>
      <c r="O7" s="31"/>
      <c r="P7" s="31"/>
      <c r="AF7" s="341" t="n">
        <v>36647</v>
      </c>
      <c r="AG7" s="31" t="n">
        <v>22</v>
      </c>
      <c r="AH7" s="31" t="n">
        <v>4</v>
      </c>
      <c r="AI7" s="31" t="n">
        <v>4</v>
      </c>
      <c r="AJ7" s="31" t="n">
        <v>1</v>
      </c>
      <c r="AK7" s="31" t="n">
        <v>31</v>
      </c>
      <c r="AM7" s="194"/>
      <c r="AN7" s="194"/>
      <c r="AO7" s="194"/>
      <c r="AP7" s="194"/>
      <c r="AQ7" s="344" t="n">
        <v>4</v>
      </c>
      <c r="AR7" s="345" t="s">
        <v>1348</v>
      </c>
      <c r="AT7" s="14"/>
      <c r="AU7" s="14"/>
      <c r="AV7" s="14"/>
    </row>
    <row r="8" customFormat="false" ht="12.75" hidden="false" customHeight="false" outlineLevel="0" collapsed="false">
      <c r="A8" s="327" t="n">
        <v>200</v>
      </c>
      <c r="B8" s="353" t="n">
        <f aca="false">'Power Curves'!AT22</f>
        <v>0.902165459676005</v>
      </c>
      <c r="C8" s="353" t="n">
        <f aca="false">'Power Curves'!AU22</f>
        <v>0.902165459676005</v>
      </c>
      <c r="D8" s="353" t="n">
        <f aca="false">'Power Curves'!AV22</f>
        <v>0.832165459676005</v>
      </c>
      <c r="E8" s="353" t="n">
        <f aca="false">'Power Curves'!AW22</f>
        <v>0.882165459676005</v>
      </c>
      <c r="F8" s="353" t="n">
        <f aca="false">'Power Curves'!AX22</f>
        <v>0.896144177087074</v>
      </c>
      <c r="G8" s="353" t="n">
        <f aca="false">'Power Curves'!AY22</f>
        <v>0.958259325044405</v>
      </c>
      <c r="H8" s="353" t="n">
        <f aca="false">'Power Curves'!AZ22</f>
        <v>1.01858897706272</v>
      </c>
      <c r="I8" s="353" t="n">
        <f aca="false">'Power Curves'!BA22</f>
        <v>0.985416926336782</v>
      </c>
      <c r="J8" s="353" t="n">
        <f aca="false">'Power Curves'!BB22</f>
        <v>0.874375039554458</v>
      </c>
      <c r="K8" s="353" t="n">
        <f aca="false">'Power Curves'!BC22</f>
        <v>0.9012</v>
      </c>
      <c r="L8" s="353" t="n">
        <f aca="false">'Power Curves'!BD22</f>
        <v>0.8812</v>
      </c>
      <c r="M8" s="353" t="n">
        <f aca="false">'Power Curves'!BE22</f>
        <v>0.8812</v>
      </c>
      <c r="N8" s="327" t="s">
        <v>110</v>
      </c>
      <c r="O8" s="31"/>
      <c r="P8" s="31"/>
      <c r="AF8" s="341" t="n">
        <v>36678</v>
      </c>
      <c r="AG8" s="31" t="n">
        <v>22</v>
      </c>
      <c r="AH8" s="31" t="n">
        <v>4</v>
      </c>
      <c r="AI8" s="31" t="n">
        <v>4</v>
      </c>
      <c r="AJ8" s="31" t="n">
        <v>0</v>
      </c>
      <c r="AK8" s="31" t="n">
        <v>30</v>
      </c>
      <c r="AM8" s="194"/>
      <c r="AN8" s="332" t="n">
        <v>1</v>
      </c>
      <c r="AO8" s="333" t="s">
        <v>1337</v>
      </c>
      <c r="AP8" s="194"/>
      <c r="AQ8" s="344" t="n">
        <v>5</v>
      </c>
      <c r="AR8" s="345" t="s">
        <v>1349</v>
      </c>
      <c r="AT8" s="14"/>
    </row>
    <row r="9" customFormat="false" ht="12.75" hidden="false" customHeight="false" outlineLevel="0" collapsed="false">
      <c r="A9" s="327" t="n">
        <v>300</v>
      </c>
      <c r="B9" s="353" t="n">
        <f aca="false">'Power Curves'!AT23</f>
        <v>0.826699835535835</v>
      </c>
      <c r="C9" s="353" t="n">
        <f aca="false">'Power Curves'!AU23</f>
        <v>0.826699835535835</v>
      </c>
      <c r="D9" s="353" t="n">
        <f aca="false">'Power Curves'!AV23</f>
        <v>0.796699835535835</v>
      </c>
      <c r="E9" s="353" t="n">
        <f aca="false">'Power Curves'!AW23</f>
        <v>0.846699835535835</v>
      </c>
      <c r="F9" s="353" t="n">
        <f aca="false">'Power Curves'!AX23</f>
        <v>0.848085148062294</v>
      </c>
      <c r="G9" s="353" t="n">
        <f aca="false">'Power Curves'!AY23</f>
        <v>0.80550621669627</v>
      </c>
      <c r="H9" s="353" t="n">
        <f aca="false">'Power Curves'!AZ23</f>
        <v>0.970540276116969</v>
      </c>
      <c r="I9" s="353" t="n">
        <f aca="false">'Power Curves'!BA23</f>
        <v>0.884955752212389</v>
      </c>
      <c r="J9" s="353" t="n">
        <f aca="false">'Power Curves'!BB23</f>
        <v>0.819948104550344</v>
      </c>
      <c r="K9" s="353" t="n">
        <f aca="false">'Power Curves'!BC23</f>
        <v>0.8657</v>
      </c>
      <c r="L9" s="353" t="n">
        <f aca="false">'Power Curves'!BD23</f>
        <v>0.8457</v>
      </c>
      <c r="M9" s="353" t="n">
        <f aca="false">'Power Curves'!BE23</f>
        <v>0.8457</v>
      </c>
      <c r="N9" s="327" t="s">
        <v>110</v>
      </c>
      <c r="O9" s="31"/>
      <c r="P9" s="31"/>
      <c r="AF9" s="341" t="n">
        <v>36708</v>
      </c>
      <c r="AG9" s="31" t="n">
        <v>20</v>
      </c>
      <c r="AH9" s="31" t="n">
        <v>5</v>
      </c>
      <c r="AI9" s="31" t="n">
        <v>5</v>
      </c>
      <c r="AJ9" s="31" t="n">
        <v>1</v>
      </c>
      <c r="AK9" s="31" t="n">
        <v>31</v>
      </c>
      <c r="AN9" s="354" t="n">
        <v>1</v>
      </c>
      <c r="AO9" s="355" t="s">
        <v>1350</v>
      </c>
      <c r="AQ9" s="344" t="n">
        <v>6</v>
      </c>
      <c r="AR9" s="345" t="s">
        <v>1351</v>
      </c>
      <c r="AT9" s="14"/>
    </row>
    <row r="10" customFormat="false" ht="12.75" hidden="false" customHeight="false" outlineLevel="0" collapsed="false">
      <c r="A10" s="327" t="n">
        <v>400</v>
      </c>
      <c r="B10" s="353" t="n">
        <f aca="false">'Power Curves'!AT24</f>
        <v>0.8262</v>
      </c>
      <c r="C10" s="353" t="n">
        <f aca="false">'Power Curves'!AU24</f>
        <v>0.8262</v>
      </c>
      <c r="D10" s="353" t="n">
        <f aca="false">'Power Curves'!AV24</f>
        <v>0.797199950847743</v>
      </c>
      <c r="E10" s="353" t="n">
        <f aca="false">'Power Curves'!AW24</f>
        <v>0.847199950847743</v>
      </c>
      <c r="F10" s="353" t="n">
        <f aca="false">'Power Curves'!AX24</f>
        <v>0.822227300923961</v>
      </c>
      <c r="G10" s="353" t="n">
        <f aca="false">'Power Curves'!AY24</f>
        <v>0.747779751332149</v>
      </c>
      <c r="H10" s="353" t="n">
        <f aca="false">'Power Curves'!AZ24</f>
        <v>0.874008044352647</v>
      </c>
      <c r="I10" s="353" t="n">
        <f aca="false">'Power Curves'!BA24</f>
        <v>0.832606257011093</v>
      </c>
      <c r="J10" s="353" t="n">
        <f aca="false">'Power Curves'!BB24</f>
        <v>0.832099234225682</v>
      </c>
      <c r="K10" s="353" t="n">
        <f aca="false">'Power Curves'!BC24</f>
        <v>0.8662</v>
      </c>
      <c r="L10" s="353" t="n">
        <f aca="false">'Power Curves'!BD24</f>
        <v>0.8462</v>
      </c>
      <c r="M10" s="353" t="n">
        <f aca="false">'Power Curves'!BE24</f>
        <v>0.8462</v>
      </c>
      <c r="N10" s="327" t="s">
        <v>110</v>
      </c>
      <c r="O10" s="31"/>
      <c r="P10" s="31"/>
      <c r="AF10" s="341" t="n">
        <v>36739</v>
      </c>
      <c r="AG10" s="31" t="n">
        <v>23</v>
      </c>
      <c r="AH10" s="31" t="n">
        <v>4</v>
      </c>
      <c r="AI10" s="31" t="n">
        <v>4</v>
      </c>
      <c r="AJ10" s="31" t="n">
        <v>0</v>
      </c>
      <c r="AK10" s="31" t="n">
        <v>31</v>
      </c>
      <c r="AN10" s="354" t="n">
        <v>2</v>
      </c>
      <c r="AO10" s="355" t="s">
        <v>1352</v>
      </c>
      <c r="AQ10" s="344" t="n">
        <v>7</v>
      </c>
      <c r="AR10" s="345" t="s">
        <v>1353</v>
      </c>
      <c r="AT10" s="14"/>
    </row>
    <row r="11" customFormat="false" ht="12.75" hidden="false" customHeight="false" outlineLevel="0" collapsed="false">
      <c r="A11" s="327" t="n">
        <v>500</v>
      </c>
      <c r="B11" s="353" t="n">
        <f aca="false">'Power Curves'!AT25</f>
        <v>0.8465</v>
      </c>
      <c r="C11" s="353" t="n">
        <f aca="false">'Power Curves'!AU25</f>
        <v>0.8465</v>
      </c>
      <c r="D11" s="353" t="n">
        <f aca="false">'Power Curves'!AV25</f>
        <v>0.857490447810899</v>
      </c>
      <c r="E11" s="353" t="n">
        <f aca="false">'Power Curves'!AW25</f>
        <v>0.907490447810899</v>
      </c>
      <c r="F11" s="353" t="n">
        <f aca="false">'Power Curves'!AX25</f>
        <v>0.890136798458977</v>
      </c>
      <c r="G11" s="353" t="n">
        <f aca="false">'Power Curves'!AY25</f>
        <v>0.811130846654825</v>
      </c>
      <c r="H11" s="353" t="n">
        <f aca="false">'Power Curves'!AZ25</f>
        <v>0.829655397325796</v>
      </c>
      <c r="I11" s="353" t="n">
        <f aca="false">'Power Curves'!BA25</f>
        <v>0.864265237442353</v>
      </c>
      <c r="J11" s="353" t="n">
        <f aca="false">'Power Curves'!BB25</f>
        <v>0.898424150370229</v>
      </c>
      <c r="K11" s="353" t="n">
        <f aca="false">'Power Curves'!BC25</f>
        <v>0.9265</v>
      </c>
      <c r="L11" s="353" t="n">
        <f aca="false">'Power Curves'!BD25</f>
        <v>0.9065</v>
      </c>
      <c r="M11" s="353" t="n">
        <f aca="false">'Power Curves'!BE25</f>
        <v>0.9065</v>
      </c>
      <c r="N11" s="327" t="s">
        <v>110</v>
      </c>
      <c r="O11" s="31"/>
      <c r="P11" s="31"/>
      <c r="AF11" s="341" t="n">
        <v>36770</v>
      </c>
      <c r="AG11" s="31" t="n">
        <v>20</v>
      </c>
      <c r="AH11" s="31" t="n">
        <v>5</v>
      </c>
      <c r="AI11" s="31" t="n">
        <v>4</v>
      </c>
      <c r="AJ11" s="31" t="n">
        <v>1</v>
      </c>
      <c r="AK11" s="31" t="n">
        <v>30</v>
      </c>
      <c r="AQ11" s="344" t="n">
        <v>8</v>
      </c>
      <c r="AR11" s="345" t="s">
        <v>1354</v>
      </c>
      <c r="AT11" s="14"/>
      <c r="AU11" s="14"/>
      <c r="AV11" s="14"/>
    </row>
    <row r="12" customFormat="false" ht="12.75" hidden="false" customHeight="false" outlineLevel="0" collapsed="false">
      <c r="A12" s="327" t="n">
        <v>600</v>
      </c>
      <c r="B12" s="353" t="n">
        <f aca="false">'Power Curves'!AT26</f>
        <v>0.9034</v>
      </c>
      <c r="C12" s="353" t="n">
        <f aca="false">'Power Curves'!AU26</f>
        <v>0.9034</v>
      </c>
      <c r="D12" s="353" t="n">
        <f aca="false">'Power Curves'!AV26</f>
        <v>0.99535202187632</v>
      </c>
      <c r="E12" s="353" t="n">
        <f aca="false">'Power Curves'!AW26</f>
        <v>1.04535202187632</v>
      </c>
      <c r="F12" s="353" t="n">
        <f aca="false">'Power Curves'!AX26</f>
        <v>1.07923863005648</v>
      </c>
      <c r="G12" s="353" t="n">
        <f aca="false">'Power Curves'!AY26</f>
        <v>0.98963883955003</v>
      </c>
      <c r="H12" s="353" t="n">
        <f aca="false">'Power Curves'!AZ26</f>
        <v>0.914664637460593</v>
      </c>
      <c r="I12" s="353" t="n">
        <f aca="false">'Power Curves'!BA26</f>
        <v>0.960239311978063</v>
      </c>
      <c r="J12" s="353" t="n">
        <f aca="false">'Power Curves'!BB26</f>
        <v>1.03968103284602</v>
      </c>
      <c r="K12" s="353" t="n">
        <f aca="false">'Power Curves'!BC26</f>
        <v>1.0644</v>
      </c>
      <c r="L12" s="353" t="n">
        <f aca="false">'Power Curves'!BD26</f>
        <v>1.0444</v>
      </c>
      <c r="M12" s="353" t="n">
        <f aca="false">'Power Curves'!BE26</f>
        <v>1.0444</v>
      </c>
      <c r="N12" s="327" t="s">
        <v>110</v>
      </c>
      <c r="AF12" s="341" t="n">
        <v>36800</v>
      </c>
      <c r="AG12" s="31" t="n">
        <v>22</v>
      </c>
      <c r="AH12" s="31" t="n">
        <v>4</v>
      </c>
      <c r="AI12" s="31" t="n">
        <v>5</v>
      </c>
      <c r="AJ12" s="31" t="n">
        <v>0</v>
      </c>
      <c r="AK12" s="31" t="n">
        <v>31</v>
      </c>
      <c r="AQ12" s="344" t="n">
        <v>9</v>
      </c>
      <c r="AR12" s="345" t="s">
        <v>1355</v>
      </c>
      <c r="AT12" s="14"/>
      <c r="AU12" s="14"/>
      <c r="AV12" s="14"/>
    </row>
    <row r="13" customFormat="false" ht="12.75" hidden="false" customHeight="false" outlineLevel="0" collapsed="false">
      <c r="A13" s="327" t="n">
        <v>700</v>
      </c>
      <c r="B13" s="353" t="n">
        <f aca="false">'Power Curves'!AT27</f>
        <v>1.73</v>
      </c>
      <c r="C13" s="353" t="n">
        <f aca="false">'Power Curves'!AU27</f>
        <v>1.73</v>
      </c>
      <c r="D13" s="353" t="n">
        <f aca="false">'Power Curves'!AV27</f>
        <v>1.796</v>
      </c>
      <c r="E13" s="353" t="n">
        <f aca="false">'Power Curves'!AW27</f>
        <v>1.49097568120843</v>
      </c>
      <c r="F13" s="353" t="n">
        <f aca="false">'Power Curves'!AX27</f>
        <v>1.29132521466584</v>
      </c>
      <c r="G13" s="353" t="n">
        <f aca="false">'Power Curves'!AY27</f>
        <v>1.13469508584962</v>
      </c>
      <c r="H13" s="353" t="n">
        <f aca="false">'Power Curves'!AZ27</f>
        <v>1.01576258288944</v>
      </c>
      <c r="I13" s="353" t="n">
        <f aca="false">'Power Curves'!BA27</f>
        <v>1.11728779758195</v>
      </c>
      <c r="J13" s="353" t="n">
        <f aca="false">'Power Curves'!BB27</f>
        <v>1.41383456743244</v>
      </c>
      <c r="K13" s="353" t="n">
        <f aca="false">'Power Curves'!BC27</f>
        <v>1.376</v>
      </c>
      <c r="L13" s="353" t="n">
        <f aca="false">'Power Curves'!BD27</f>
        <v>1.496</v>
      </c>
      <c r="M13" s="353" t="n">
        <f aca="false">'Power Curves'!BE27</f>
        <v>1.496</v>
      </c>
      <c r="N13" s="327" t="s">
        <v>102</v>
      </c>
      <c r="AF13" s="341" t="n">
        <v>36831</v>
      </c>
      <c r="AG13" s="31" t="n">
        <v>21</v>
      </c>
      <c r="AH13" s="31" t="n">
        <v>4</v>
      </c>
      <c r="AI13" s="31" t="n">
        <v>4</v>
      </c>
      <c r="AJ13" s="31" t="n">
        <v>1</v>
      </c>
      <c r="AK13" s="31" t="n">
        <v>30</v>
      </c>
      <c r="AT13" s="14"/>
      <c r="AU13" s="14"/>
      <c r="AV13" s="14"/>
    </row>
    <row r="14" customFormat="false" ht="12.75" hidden="false" customHeight="false" outlineLevel="0" collapsed="false">
      <c r="A14" s="327" t="n">
        <v>800</v>
      </c>
      <c r="B14" s="353" t="n">
        <f aca="false">'Power Curves'!AT28</f>
        <v>1.14588481370903</v>
      </c>
      <c r="C14" s="353" t="n">
        <f aca="false">'Power Curves'!AU28</f>
        <v>1.14588481370903</v>
      </c>
      <c r="D14" s="353" t="n">
        <f aca="false">'Power Curves'!AV28</f>
        <v>1.1359</v>
      </c>
      <c r="E14" s="353" t="n">
        <f aca="false">'Power Curves'!AW28</f>
        <v>1.1232726508202</v>
      </c>
      <c r="F14" s="353" t="n">
        <f aca="false">'Power Curves'!AX28</f>
        <v>0.952862125039631</v>
      </c>
      <c r="G14" s="353" t="n">
        <f aca="false">'Power Curves'!AY28</f>
        <v>0.651059011030491</v>
      </c>
      <c r="H14" s="353" t="n">
        <f aca="false">'Power Curves'!AZ28</f>
        <v>0.586251768676944</v>
      </c>
      <c r="I14" s="353" t="n">
        <f aca="false">'Power Curves'!BA28</f>
        <v>0.664938573901296</v>
      </c>
      <c r="J14" s="353" t="n">
        <f aca="false">'Power Curves'!BB28</f>
        <v>0.777104352443558</v>
      </c>
      <c r="K14" s="353" t="n">
        <f aca="false">'Power Curves'!BC28</f>
        <v>1.0615</v>
      </c>
      <c r="L14" s="353" t="n">
        <f aca="false">'Power Curves'!BD28</f>
        <v>1.0715</v>
      </c>
      <c r="M14" s="353" t="n">
        <f aca="false">'Power Curves'!BE28</f>
        <v>1.0875</v>
      </c>
      <c r="N14" s="327" t="s">
        <v>102</v>
      </c>
      <c r="AF14" s="341" t="n">
        <v>36861</v>
      </c>
      <c r="AG14" s="31" t="n">
        <v>20</v>
      </c>
      <c r="AH14" s="31" t="n">
        <v>5</v>
      </c>
      <c r="AI14" s="31" t="n">
        <v>5</v>
      </c>
      <c r="AJ14" s="31" t="n">
        <v>1</v>
      </c>
      <c r="AK14" s="31" t="n">
        <v>31</v>
      </c>
    </row>
    <row r="15" customFormat="false" ht="12.75" hidden="false" customHeight="false" outlineLevel="0" collapsed="false">
      <c r="A15" s="327" t="n">
        <v>900</v>
      </c>
      <c r="B15" s="353" t="n">
        <f aca="false">'Power Curves'!AT29</f>
        <v>1.19981175661928</v>
      </c>
      <c r="C15" s="353" t="n">
        <f aca="false">'Power Curves'!AU29</f>
        <v>1.19981175661928</v>
      </c>
      <c r="D15" s="353" t="n">
        <f aca="false">'Power Curves'!AV29</f>
        <v>1.1898</v>
      </c>
      <c r="E15" s="353" t="n">
        <f aca="false">'Power Curves'!AW29</f>
        <v>1.14131544612562</v>
      </c>
      <c r="F15" s="353" t="n">
        <f aca="false">'Power Curves'!AX29</f>
        <v>1.04253556562382</v>
      </c>
      <c r="G15" s="353" t="n">
        <f aca="false">'Power Curves'!AY29</f>
        <v>0.765675460302814</v>
      </c>
      <c r="H15" s="353" t="n">
        <f aca="false">'Power Curves'!AZ29</f>
        <v>0.647077208075963</v>
      </c>
      <c r="I15" s="353" t="n">
        <f aca="false">'Power Curves'!BA29</f>
        <v>0.724650652256512</v>
      </c>
      <c r="J15" s="353" t="n">
        <f aca="false">'Power Curves'!BB29</f>
        <v>0.759819090692693</v>
      </c>
      <c r="K15" s="353" t="n">
        <f aca="false">'Power Curves'!BC29</f>
        <v>1.1326</v>
      </c>
      <c r="L15" s="353" t="n">
        <f aca="false">'Power Curves'!BD29</f>
        <v>1.1426</v>
      </c>
      <c r="M15" s="353" t="n">
        <f aca="false">'Power Curves'!BE29</f>
        <v>1.1638</v>
      </c>
      <c r="N15" s="327" t="s">
        <v>102</v>
      </c>
      <c r="O15" s="31"/>
      <c r="P15" s="31"/>
      <c r="AF15" s="341" t="n">
        <v>36892</v>
      </c>
      <c r="AG15" s="31" t="n">
        <v>22</v>
      </c>
      <c r="AH15" s="31" t="n">
        <v>4</v>
      </c>
      <c r="AI15" s="31" t="n">
        <v>4</v>
      </c>
      <c r="AJ15" s="31" t="n">
        <v>1</v>
      </c>
      <c r="AK15" s="31" t="n">
        <v>31</v>
      </c>
    </row>
    <row r="16" customFormat="false" ht="12.75" hidden="false" customHeight="false" outlineLevel="0" collapsed="false">
      <c r="A16" s="327" t="n">
        <v>1000</v>
      </c>
      <c r="B16" s="353" t="n">
        <f aca="false">'Power Curves'!AT30</f>
        <v>1.19616001156207</v>
      </c>
      <c r="C16" s="353" t="n">
        <f aca="false">'Power Curves'!AU30</f>
        <v>1.19616001156207</v>
      </c>
      <c r="D16" s="353" t="n">
        <f aca="false">'Power Curves'!AV30</f>
        <v>1.1862</v>
      </c>
      <c r="E16" s="353" t="n">
        <f aca="false">'Power Curves'!AW30</f>
        <v>1.09378612004454</v>
      </c>
      <c r="F16" s="353" t="n">
        <f aca="false">'Power Curves'!AX30</f>
        <v>1.06102662180267</v>
      </c>
      <c r="G16" s="353" t="n">
        <f aca="false">'Power Curves'!AY30</f>
        <v>0.856402298368494</v>
      </c>
      <c r="H16" s="353" t="n">
        <f aca="false">'Power Curves'!AZ30</f>
        <v>0.774728802868524</v>
      </c>
      <c r="I16" s="353" t="n">
        <f aca="false">'Power Curves'!BA30</f>
        <v>0.92931988010301</v>
      </c>
      <c r="J16" s="353" t="n">
        <f aca="false">'Power Curves'!BB30</f>
        <v>0.948492117261458</v>
      </c>
      <c r="K16" s="353" t="n">
        <f aca="false">'Power Curves'!BC30</f>
        <v>1.1291</v>
      </c>
      <c r="L16" s="353" t="n">
        <f aca="false">'Power Curves'!BD30</f>
        <v>1.1352</v>
      </c>
      <c r="M16" s="353" t="n">
        <f aca="false">'Power Curves'!BE30</f>
        <v>1.1579</v>
      </c>
      <c r="N16" s="327" t="s">
        <v>102</v>
      </c>
      <c r="O16" s="31"/>
      <c r="P16" s="31"/>
      <c r="AF16" s="341" t="n">
        <v>36923</v>
      </c>
      <c r="AG16" s="31" t="n">
        <v>20</v>
      </c>
      <c r="AH16" s="31" t="n">
        <v>4</v>
      </c>
      <c r="AI16" s="31" t="n">
        <v>4</v>
      </c>
      <c r="AJ16" s="31" t="n">
        <v>0</v>
      </c>
      <c r="AK16" s="31" t="n">
        <v>28</v>
      </c>
    </row>
    <row r="17" customFormat="false" ht="12.75" hidden="false" customHeight="false" outlineLevel="0" collapsed="false">
      <c r="A17" s="327" t="n">
        <v>1100</v>
      </c>
      <c r="B17" s="353" t="n">
        <f aca="false">'Power Curves'!AT31</f>
        <v>1.17528545047035</v>
      </c>
      <c r="C17" s="353" t="n">
        <f aca="false">'Power Curves'!AU31</f>
        <v>1.17528545047035</v>
      </c>
      <c r="D17" s="353" t="n">
        <f aca="false">'Power Curves'!AV31</f>
        <v>1.1653</v>
      </c>
      <c r="E17" s="353" t="n">
        <f aca="false">'Power Curves'!AW31</f>
        <v>1.11633559035934</v>
      </c>
      <c r="F17" s="353" t="n">
        <f aca="false">'Power Curves'!AX31</f>
        <v>1.12549986193072</v>
      </c>
      <c r="G17" s="353" t="n">
        <f aca="false">'Power Curves'!AY31</f>
        <v>0.985110934026758</v>
      </c>
      <c r="H17" s="353" t="n">
        <f aca="false">'Power Curves'!AZ31</f>
        <v>0.881559731558879</v>
      </c>
      <c r="I17" s="353" t="n">
        <f aca="false">'Power Curves'!BA31</f>
        <v>1.04887913201334</v>
      </c>
      <c r="J17" s="353" t="n">
        <f aca="false">'Power Curves'!BB31</f>
        <v>1.01294563565452</v>
      </c>
      <c r="K17" s="353" t="n">
        <f aca="false">'Power Curves'!BC31</f>
        <v>1.1227</v>
      </c>
      <c r="L17" s="353" t="n">
        <f aca="false">'Power Curves'!BD31</f>
        <v>1.1133</v>
      </c>
      <c r="M17" s="353" t="n">
        <f aca="false">'Power Curves'!BE31</f>
        <v>1.1327</v>
      </c>
      <c r="N17" s="327" t="s">
        <v>102</v>
      </c>
      <c r="O17" s="31"/>
      <c r="P17" s="31"/>
      <c r="AF17" s="341" t="n">
        <v>36951</v>
      </c>
      <c r="AG17" s="31" t="n">
        <v>22</v>
      </c>
      <c r="AH17" s="31" t="n">
        <v>5</v>
      </c>
      <c r="AI17" s="31" t="n">
        <v>4</v>
      </c>
      <c r="AJ17" s="31" t="n">
        <v>0</v>
      </c>
      <c r="AK17" s="31" t="n">
        <v>31</v>
      </c>
    </row>
    <row r="18" customFormat="false" ht="12.75" hidden="false" customHeight="false" outlineLevel="0" collapsed="false">
      <c r="A18" s="327" t="n">
        <v>1200</v>
      </c>
      <c r="B18" s="353" t="n">
        <f aca="false">'Power Curves'!AT32</f>
        <v>0.8804</v>
      </c>
      <c r="C18" s="353" t="n">
        <f aca="false">'Power Curves'!AU32</f>
        <v>0.8804</v>
      </c>
      <c r="D18" s="353" t="n">
        <f aca="false">'Power Curves'!AV32</f>
        <v>0.8904</v>
      </c>
      <c r="E18" s="353" t="n">
        <f aca="false">'Power Curves'!AW32</f>
        <v>1.11852454679246</v>
      </c>
      <c r="F18" s="353" t="n">
        <f aca="false">'Power Curves'!AX32</f>
        <v>1.11699070333514</v>
      </c>
      <c r="G18" s="353" t="n">
        <f aca="false">'Power Curves'!AY32</f>
        <v>1.06241664220107</v>
      </c>
      <c r="H18" s="353" t="n">
        <f aca="false">'Power Curves'!AZ32</f>
        <v>1.05394393649242</v>
      </c>
      <c r="I18" s="353" t="n">
        <f aca="false">'Power Curves'!BA32</f>
        <v>1.09332545278001</v>
      </c>
      <c r="J18" s="353" t="n">
        <f aca="false">'Power Curves'!BB32</f>
        <v>1.07930346254555</v>
      </c>
      <c r="K18" s="353" t="n">
        <f aca="false">'Power Curves'!BC32</f>
        <v>0.9474</v>
      </c>
      <c r="L18" s="353" t="n">
        <f aca="false">'Power Curves'!BD32</f>
        <v>0.9374</v>
      </c>
      <c r="M18" s="353" t="n">
        <f aca="false">'Power Curves'!BE32</f>
        <v>0.9204</v>
      </c>
      <c r="N18" s="327" t="s">
        <v>102</v>
      </c>
      <c r="O18" s="31"/>
      <c r="P18" s="31"/>
      <c r="AF18" s="341" t="n">
        <v>36982</v>
      </c>
      <c r="AG18" s="31" t="n">
        <v>21</v>
      </c>
      <c r="AH18" s="31" t="n">
        <v>4</v>
      </c>
      <c r="AI18" s="31" t="n">
        <v>5</v>
      </c>
      <c r="AJ18" s="31" t="n">
        <v>0</v>
      </c>
      <c r="AK18" s="31" t="n">
        <v>30</v>
      </c>
    </row>
    <row r="19" customFormat="false" ht="12.75" hidden="false" customHeight="false" outlineLevel="0" collapsed="false">
      <c r="A19" s="327" t="n">
        <v>1300</v>
      </c>
      <c r="B19" s="353" t="n">
        <f aca="false">'Power Curves'!AT33</f>
        <v>0.8548</v>
      </c>
      <c r="C19" s="353" t="n">
        <f aca="false">'Power Curves'!AU33</f>
        <v>0.8548</v>
      </c>
      <c r="D19" s="353" t="n">
        <f aca="false">'Power Curves'!AV33</f>
        <v>0.8648</v>
      </c>
      <c r="E19" s="353" t="n">
        <f aca="false">'Power Curves'!AW33</f>
        <v>1.01643226256211</v>
      </c>
      <c r="F19" s="353" t="n">
        <f aca="false">'Power Curves'!AX33</f>
        <v>1.05251746320709</v>
      </c>
      <c r="G19" s="353" t="n">
        <f aca="false">'Power Curves'!AY33</f>
        <v>1.10402214486432</v>
      </c>
      <c r="H19" s="353" t="n">
        <f aca="false">'Power Curves'!AZ33</f>
        <v>1.16159314463658</v>
      </c>
      <c r="I19" s="353" t="n">
        <f aca="false">'Power Curves'!BA33</f>
        <v>1.08467935998649</v>
      </c>
      <c r="J19" s="353" t="n">
        <f aca="false">'Power Curves'!BB33</f>
        <v>1.02056286964642</v>
      </c>
      <c r="K19" s="353" t="n">
        <f aca="false">'Power Curves'!BC33</f>
        <v>0.8899</v>
      </c>
      <c r="L19" s="353" t="n">
        <f aca="false">'Power Curves'!BD33</f>
        <v>0.8829</v>
      </c>
      <c r="M19" s="353" t="n">
        <f aca="false">'Power Curves'!BE33</f>
        <v>0.8749</v>
      </c>
      <c r="N19" s="327" t="s">
        <v>102</v>
      </c>
      <c r="O19" s="31"/>
      <c r="P19" s="31"/>
      <c r="AF19" s="341" t="n">
        <v>37012</v>
      </c>
      <c r="AG19" s="31" t="n">
        <v>22</v>
      </c>
      <c r="AH19" s="31" t="n">
        <v>4</v>
      </c>
      <c r="AI19" s="31" t="n">
        <v>4</v>
      </c>
      <c r="AJ19" s="31" t="n">
        <v>1</v>
      </c>
      <c r="AK19" s="31" t="n">
        <v>31</v>
      </c>
    </row>
    <row r="20" customFormat="false" ht="12.75" hidden="false" customHeight="false" outlineLevel="0" collapsed="false">
      <c r="A20" s="327" t="n">
        <v>1400</v>
      </c>
      <c r="B20" s="353" t="n">
        <f aca="false">'Power Curves'!AT34</f>
        <v>0.8272</v>
      </c>
      <c r="C20" s="353" t="n">
        <f aca="false">'Power Curves'!AU34</f>
        <v>0.8272</v>
      </c>
      <c r="D20" s="353" t="n">
        <f aca="false">'Power Curves'!AV34</f>
        <v>0.8372</v>
      </c>
      <c r="E20" s="353" t="n">
        <f aca="false">'Power Curves'!AW34</f>
        <v>1.01752674077867</v>
      </c>
      <c r="F20" s="353" t="n">
        <f aca="false">'Power Curves'!AX34</f>
        <v>1.05759023083138</v>
      </c>
      <c r="G20" s="353" t="n">
        <f aca="false">'Power Curves'!AY34</f>
        <v>1.22092018621818</v>
      </c>
      <c r="H20" s="353" t="n">
        <f aca="false">'Power Curves'!AZ34</f>
        <v>1.20068871854028</v>
      </c>
      <c r="I20" s="353" t="n">
        <f aca="false">'Power Curves'!BA34</f>
        <v>1.19072909190695</v>
      </c>
      <c r="J20" s="353" t="n">
        <f aca="false">'Power Curves'!BB34</f>
        <v>1.10479189936462</v>
      </c>
      <c r="K20" s="353" t="n">
        <f aca="false">'Power Curves'!BC34</f>
        <v>0.8652</v>
      </c>
      <c r="L20" s="353" t="n">
        <f aca="false">'Power Curves'!BD34</f>
        <v>0.8592</v>
      </c>
      <c r="M20" s="353" t="n">
        <f aca="false">'Power Curves'!BE34</f>
        <v>0.8372</v>
      </c>
      <c r="N20" s="327" t="s">
        <v>102</v>
      </c>
      <c r="O20" s="31"/>
      <c r="P20" s="31"/>
      <c r="AF20" s="341" t="n">
        <v>37043</v>
      </c>
      <c r="AG20" s="31" t="n">
        <v>21</v>
      </c>
      <c r="AH20" s="31" t="n">
        <v>5</v>
      </c>
      <c r="AI20" s="31" t="n">
        <v>4</v>
      </c>
      <c r="AJ20" s="31" t="n">
        <v>0</v>
      </c>
      <c r="AK20" s="31" t="n">
        <v>30</v>
      </c>
    </row>
    <row r="21" customFormat="false" ht="12.75" hidden="false" customHeight="false" outlineLevel="0" collapsed="false">
      <c r="A21" s="327" t="n">
        <v>1500</v>
      </c>
      <c r="B21" s="353" t="n">
        <f aca="false">'Power Curves'!AT35</f>
        <v>0.7851</v>
      </c>
      <c r="C21" s="353" t="n">
        <f aca="false">'Power Curves'!AU35</f>
        <v>0.7851</v>
      </c>
      <c r="D21" s="353" t="n">
        <f aca="false">'Power Curves'!AV35</f>
        <v>0.7951</v>
      </c>
      <c r="E21" s="353" t="n">
        <f aca="false">'Power Curves'!AW35</f>
        <v>0.954368909575779</v>
      </c>
      <c r="F21" s="353" t="n">
        <f aca="false">'Power Curves'!AX35</f>
        <v>1.02584452376326</v>
      </c>
      <c r="G21" s="353" t="n">
        <f aca="false">'Power Curves'!AY35</f>
        <v>1.23031497714214</v>
      </c>
      <c r="H21" s="353" t="n">
        <f aca="false">'Power Curves'!AZ35</f>
        <v>1.2506946851613</v>
      </c>
      <c r="I21" s="353" t="n">
        <f aca="false">'Power Curves'!BA35</f>
        <v>1.26057331025457</v>
      </c>
      <c r="J21" s="353" t="n">
        <f aca="false">'Power Curves'!BB35</f>
        <v>1.08736015234468</v>
      </c>
      <c r="K21" s="353" t="n">
        <f aca="false">'Power Curves'!BC35</f>
        <v>0.8451</v>
      </c>
      <c r="L21" s="353" t="n">
        <f aca="false">'Power Curves'!BD35</f>
        <v>0.8391</v>
      </c>
      <c r="M21" s="353" t="n">
        <f aca="false">'Power Curves'!BE35</f>
        <v>0.7951</v>
      </c>
      <c r="N21" s="327" t="s">
        <v>102</v>
      </c>
      <c r="O21" s="31"/>
      <c r="P21" s="31"/>
      <c r="AF21" s="341" t="n">
        <v>37073</v>
      </c>
      <c r="AG21" s="31" t="n">
        <v>21</v>
      </c>
      <c r="AH21" s="31" t="n">
        <v>4</v>
      </c>
      <c r="AI21" s="31" t="n">
        <v>5</v>
      </c>
      <c r="AJ21" s="31" t="n">
        <v>1</v>
      </c>
      <c r="AK21" s="31" t="n">
        <v>31</v>
      </c>
    </row>
    <row r="22" customFormat="false" ht="12.75" hidden="false" customHeight="false" outlineLevel="0" collapsed="false">
      <c r="A22" s="327" t="n">
        <v>1600</v>
      </c>
      <c r="B22" s="353" t="n">
        <f aca="false">'Power Curves'!AT36</f>
        <v>0.7693</v>
      </c>
      <c r="C22" s="353" t="n">
        <f aca="false">'Power Curves'!AU36</f>
        <v>0.7693</v>
      </c>
      <c r="D22" s="353" t="n">
        <f aca="false">'Power Curves'!AV36</f>
        <v>0.7793</v>
      </c>
      <c r="E22" s="353" t="n">
        <f aca="false">'Power Curves'!AW36</f>
        <v>0.891967555963749</v>
      </c>
      <c r="F22" s="353" t="n">
        <f aca="false">'Power Curves'!AX36</f>
        <v>0.985916933430152</v>
      </c>
      <c r="G22" s="353" t="n">
        <f aca="false">'Power Curves'!AY36</f>
        <v>1.23232814662584</v>
      </c>
      <c r="H22" s="353" t="n">
        <f aca="false">'Power Curves'!AZ36</f>
        <v>1.32734019400042</v>
      </c>
      <c r="I22" s="353" t="n">
        <f aca="false">'Power Curves'!BA36</f>
        <v>1.24301093426774</v>
      </c>
      <c r="J22" s="353" t="n">
        <f aca="false">'Power Curves'!BB36</f>
        <v>1.05337556991925</v>
      </c>
      <c r="K22" s="353" t="n">
        <f aca="false">'Power Curves'!BC36</f>
        <v>0.8393</v>
      </c>
      <c r="L22" s="353" t="n">
        <f aca="false">'Power Curves'!BD36</f>
        <v>0.8253</v>
      </c>
      <c r="M22" s="353" t="n">
        <f aca="false">'Power Curves'!BE36</f>
        <v>0.7813</v>
      </c>
      <c r="N22" s="327" t="s">
        <v>102</v>
      </c>
      <c r="O22" s="31"/>
      <c r="P22" s="31"/>
      <c r="AF22" s="341" t="n">
        <v>37104</v>
      </c>
      <c r="AG22" s="31" t="n">
        <v>23</v>
      </c>
      <c r="AH22" s="31" t="n">
        <v>4</v>
      </c>
      <c r="AI22" s="31" t="n">
        <v>4</v>
      </c>
      <c r="AJ22" s="31" t="n">
        <v>0</v>
      </c>
      <c r="AK22" s="31" t="n">
        <v>31</v>
      </c>
    </row>
    <row r="23" customFormat="false" ht="12.75" hidden="false" customHeight="false" outlineLevel="0" collapsed="false">
      <c r="A23" s="327" t="n">
        <v>1700</v>
      </c>
      <c r="B23" s="353" t="n">
        <f aca="false">'Power Curves'!AT37</f>
        <v>0.8396</v>
      </c>
      <c r="C23" s="353" t="n">
        <f aca="false">'Power Curves'!AU37</f>
        <v>0.8396</v>
      </c>
      <c r="D23" s="353" t="n">
        <f aca="false">'Power Curves'!AV37</f>
        <v>0.8496</v>
      </c>
      <c r="E23" s="353" t="n">
        <f aca="false">'Power Curves'!AW37</f>
        <v>0.87001361056091</v>
      </c>
      <c r="F23" s="353" t="n">
        <f aca="false">'Power Curves'!AX37</f>
        <v>0.99933522198472</v>
      </c>
      <c r="G23" s="353" t="n">
        <f aca="false">'Power Curves'!AY37</f>
        <v>1.25232563016399</v>
      </c>
      <c r="H23" s="353" t="n">
        <f aca="false">'Power Curves'!AZ37</f>
        <v>1.35388881627921</v>
      </c>
      <c r="I23" s="353" t="n">
        <f aca="false">'Power Curves'!BA37</f>
        <v>1.21504622788872</v>
      </c>
      <c r="J23" s="353" t="n">
        <f aca="false">'Power Curves'!BB37</f>
        <v>1.13452840898687</v>
      </c>
      <c r="K23" s="353" t="n">
        <f aca="false">'Power Curves'!BC37</f>
        <v>0.8896</v>
      </c>
      <c r="L23" s="353" t="n">
        <f aca="false">'Power Curves'!BD37</f>
        <v>0.8866</v>
      </c>
      <c r="M23" s="353" t="n">
        <f aca="false">'Power Curves'!BE37</f>
        <v>0.8796</v>
      </c>
      <c r="N23" s="327" t="s">
        <v>102</v>
      </c>
      <c r="O23" s="31"/>
      <c r="P23" s="31"/>
      <c r="AF23" s="341" t="n">
        <v>37135</v>
      </c>
      <c r="AG23" s="31" t="n">
        <v>19</v>
      </c>
      <c r="AH23" s="31" t="n">
        <v>5</v>
      </c>
      <c r="AI23" s="31" t="n">
        <v>5</v>
      </c>
      <c r="AJ23" s="31" t="n">
        <v>1</v>
      </c>
      <c r="AK23" s="31" t="n">
        <v>30</v>
      </c>
    </row>
    <row r="24" customFormat="false" ht="12.75" hidden="false" customHeight="false" outlineLevel="0" collapsed="false">
      <c r="A24" s="327" t="n">
        <v>1800</v>
      </c>
      <c r="B24" s="353" t="n">
        <f aca="false">'Power Curves'!AT38</f>
        <v>1.168266924108</v>
      </c>
      <c r="C24" s="353" t="n">
        <f aca="false">'Power Curves'!AU38</f>
        <v>1.168266924108</v>
      </c>
      <c r="D24" s="353" t="n">
        <f aca="false">'Power Curves'!AV38</f>
        <v>1.1583</v>
      </c>
      <c r="E24" s="353" t="n">
        <f aca="false">'Power Curves'!AW38</f>
        <v>0.858698637233787</v>
      </c>
      <c r="F24" s="353" t="n">
        <f aca="false">'Power Curves'!AX38</f>
        <v>0.960389457643412</v>
      </c>
      <c r="G24" s="353" t="n">
        <f aca="false">'Power Curves'!AY38</f>
        <v>1.21514910036489</v>
      </c>
      <c r="H24" s="353" t="n">
        <f aca="false">'Power Curves'!AZ38</f>
        <v>1.32033935867348</v>
      </c>
      <c r="I24" s="353" t="n">
        <f aca="false">'Power Curves'!BA38</f>
        <v>1.12520791995609</v>
      </c>
      <c r="J24" s="353" t="n">
        <f aca="false">'Power Curves'!BB38</f>
        <v>1.1066962078626</v>
      </c>
      <c r="K24" s="353" t="n">
        <f aca="false">'Power Curves'!BC38</f>
        <v>1.2001</v>
      </c>
      <c r="L24" s="353" t="n">
        <f aca="false">'Power Curves'!BD38</f>
        <v>1.2171</v>
      </c>
      <c r="M24" s="353" t="n">
        <f aca="false">'Power Curves'!BE38</f>
        <v>1.23965925286319</v>
      </c>
      <c r="N24" s="327" t="s">
        <v>102</v>
      </c>
      <c r="O24" s="31"/>
      <c r="P24" s="31"/>
      <c r="AF24" s="341" t="n">
        <v>37165</v>
      </c>
      <c r="AG24" s="31" t="n">
        <v>23</v>
      </c>
      <c r="AH24" s="31" t="n">
        <v>4</v>
      </c>
      <c r="AI24" s="31" t="n">
        <v>4</v>
      </c>
      <c r="AJ24" s="31" t="n">
        <v>0</v>
      </c>
      <c r="AK24" s="31" t="n">
        <v>31</v>
      </c>
    </row>
    <row r="25" customFormat="false" ht="12.75" hidden="false" customHeight="false" outlineLevel="0" collapsed="false">
      <c r="A25" s="327" t="n">
        <v>1900</v>
      </c>
      <c r="B25" s="353" t="n">
        <f aca="false">'Power Curves'!AT39</f>
        <v>1.28189922894351</v>
      </c>
      <c r="C25" s="353" t="n">
        <f aca="false">'Power Curves'!AU39</f>
        <v>1.28189922894351</v>
      </c>
      <c r="D25" s="353" t="n">
        <f aca="false">'Power Curves'!AV39</f>
        <v>1.2719</v>
      </c>
      <c r="E25" s="353" t="n">
        <f aca="false">'Power Curves'!AW39</f>
        <v>0.854095390617062</v>
      </c>
      <c r="F25" s="353" t="n">
        <f aca="false">'Power Curves'!AX39</f>
        <v>0.832097528048518</v>
      </c>
      <c r="G25" s="353" t="n">
        <f aca="false">'Power Curves'!AY39</f>
        <v>1.03758755190203</v>
      </c>
      <c r="H25" s="353" t="n">
        <f aca="false">'Power Curves'!AZ39</f>
        <v>1.1027679439024</v>
      </c>
      <c r="I25" s="353" t="n">
        <f aca="false">'Power Curves'!BA39</f>
        <v>0.917161312112129</v>
      </c>
      <c r="J25" s="353" t="n">
        <f aca="false">'Power Curves'!BB39</f>
        <v>0.906450845036896</v>
      </c>
      <c r="K25" s="353" t="n">
        <f aca="false">'Power Curves'!BC39</f>
        <v>1.2095</v>
      </c>
      <c r="L25" s="353" t="n">
        <f aca="false">'Power Curves'!BD39</f>
        <v>1.2269</v>
      </c>
      <c r="M25" s="353" t="n">
        <f aca="false">'Power Curves'!BE39</f>
        <v>1.2314</v>
      </c>
      <c r="N25" s="327" t="s">
        <v>102</v>
      </c>
      <c r="O25" s="31"/>
      <c r="P25" s="31"/>
      <c r="AF25" s="341" t="n">
        <v>37196</v>
      </c>
      <c r="AG25" s="31" t="n">
        <v>21</v>
      </c>
      <c r="AH25" s="31" t="n">
        <v>4</v>
      </c>
      <c r="AI25" s="31" t="n">
        <v>4</v>
      </c>
      <c r="AJ25" s="31" t="n">
        <v>1</v>
      </c>
      <c r="AK25" s="31" t="n">
        <v>30</v>
      </c>
    </row>
    <row r="26" customFormat="false" ht="12.75" hidden="false" customHeight="false" outlineLevel="0" collapsed="false">
      <c r="A26" s="327" t="n">
        <v>2000</v>
      </c>
      <c r="B26" s="353" t="n">
        <f aca="false">'Power Curves'!AT40</f>
        <v>1.227</v>
      </c>
      <c r="C26" s="353" t="n">
        <f aca="false">'Power Curves'!AU40</f>
        <v>1.227</v>
      </c>
      <c r="D26" s="353" t="n">
        <f aca="false">'Power Curves'!AV40</f>
        <v>1.217</v>
      </c>
      <c r="E26" s="353" t="n">
        <f aca="false">'Power Curves'!AW40</f>
        <v>0.936808972307086</v>
      </c>
      <c r="F26" s="353" t="n">
        <f aca="false">'Power Curves'!AX40</f>
        <v>0.829970238399623</v>
      </c>
      <c r="G26" s="353" t="n">
        <f aca="false">'Power Curves'!AY40</f>
        <v>0.829694249884662</v>
      </c>
      <c r="H26" s="353" t="n">
        <f aca="false">'Power Curves'!AZ40</f>
        <v>0.816006455315691</v>
      </c>
      <c r="I26" s="353" t="n">
        <f aca="false">'Power Curves'!BA40</f>
        <v>0.835023430573733</v>
      </c>
      <c r="J26" s="353" t="n">
        <f aca="false">'Power Curves'!BB40</f>
        <v>1.18462637101057</v>
      </c>
      <c r="K26" s="353" t="n">
        <f aca="false">'Power Curves'!BC40</f>
        <v>1.1567</v>
      </c>
      <c r="L26" s="353" t="n">
        <f aca="false">'Power Curves'!BD40</f>
        <v>1.1767</v>
      </c>
      <c r="M26" s="353" t="n">
        <f aca="false">'Power Curves'!BE40</f>
        <v>1.18899630831453</v>
      </c>
      <c r="N26" s="327" t="s">
        <v>102</v>
      </c>
      <c r="O26" s="31"/>
      <c r="P26" s="31"/>
      <c r="AF26" s="341" t="n">
        <v>37226</v>
      </c>
      <c r="AG26" s="31" t="n">
        <v>20</v>
      </c>
      <c r="AH26" s="31" t="n">
        <v>5</v>
      </c>
      <c r="AI26" s="31" t="n">
        <v>5</v>
      </c>
      <c r="AJ26" s="31" t="n">
        <v>1</v>
      </c>
      <c r="AK26" s="31" t="n">
        <v>31</v>
      </c>
    </row>
    <row r="27" customFormat="false" ht="12.75" hidden="false" customHeight="false" outlineLevel="0" collapsed="false">
      <c r="A27" s="327" t="n">
        <v>2100</v>
      </c>
      <c r="B27" s="353" t="n">
        <f aca="false">'Power Curves'!AT41</f>
        <v>1.15505237327277</v>
      </c>
      <c r="C27" s="353" t="n">
        <f aca="false">'Power Curves'!AU41</f>
        <v>1.15505237327277</v>
      </c>
      <c r="D27" s="353" t="n">
        <f aca="false">'Power Curves'!AV41</f>
        <v>1.1451</v>
      </c>
      <c r="E27" s="353" t="n">
        <f aca="false">'Power Curves'!AW41</f>
        <v>1.15433651784915</v>
      </c>
      <c r="F27" s="353" t="n">
        <f aca="false">'Power Curves'!AX41</f>
        <v>1.08769956124651</v>
      </c>
      <c r="G27" s="353" t="n">
        <f aca="false">'Power Curves'!AY41</f>
        <v>0.90163150610242</v>
      </c>
      <c r="H27" s="353" t="n">
        <f aca="false">'Power Curves'!AZ41</f>
        <v>0.902562237539706</v>
      </c>
      <c r="I27" s="353" t="n">
        <f aca="false">'Power Curves'!BA41</f>
        <v>1.05063536961202</v>
      </c>
      <c r="J27" s="353" t="n">
        <f aca="false">'Power Curves'!BB41</f>
        <v>1.1944408840386</v>
      </c>
      <c r="K27" s="353" t="n">
        <f aca="false">'Power Curves'!BC41</f>
        <v>1.0689</v>
      </c>
      <c r="L27" s="353" t="n">
        <f aca="false">'Power Curves'!BD41</f>
        <v>1.0889</v>
      </c>
      <c r="M27" s="353" t="n">
        <f aca="false">'Power Curves'!BE41</f>
        <v>1.15505237327277</v>
      </c>
      <c r="N27" s="327" t="s">
        <v>102</v>
      </c>
      <c r="O27" s="31"/>
      <c r="P27" s="31"/>
      <c r="AF27" s="341" t="n">
        <v>37257</v>
      </c>
      <c r="AG27" s="31" t="n">
        <v>22</v>
      </c>
      <c r="AH27" s="31" t="n">
        <v>4</v>
      </c>
      <c r="AI27" s="31" t="n">
        <v>4</v>
      </c>
      <c r="AJ27" s="31" t="n">
        <v>1</v>
      </c>
      <c r="AK27" s="31" t="n">
        <v>31</v>
      </c>
    </row>
    <row r="28" customFormat="false" ht="12.75" hidden="false" customHeight="false" outlineLevel="0" collapsed="false">
      <c r="A28" s="327" t="n">
        <v>2200</v>
      </c>
      <c r="B28" s="353" t="n">
        <f aca="false">'Power Curves'!AT42</f>
        <v>0.8215</v>
      </c>
      <c r="C28" s="353" t="n">
        <f aca="false">'Power Curves'!AU42</f>
        <v>0.8215</v>
      </c>
      <c r="D28" s="353" t="n">
        <f aca="false">'Power Curves'!AV42</f>
        <v>0.8315</v>
      </c>
      <c r="E28" s="353" t="n">
        <f aca="false">'Power Curves'!AW42</f>
        <v>0.983581820797299</v>
      </c>
      <c r="F28" s="353" t="n">
        <f aca="false">'Power Curves'!AX42</f>
        <v>1.03746279799953</v>
      </c>
      <c r="G28" s="353" t="n">
        <f aca="false">'Power Curves'!AY42</f>
        <v>0.918676341064463</v>
      </c>
      <c r="H28" s="353" t="n">
        <f aca="false">'Power Curves'!AZ42</f>
        <v>0.956386841611783</v>
      </c>
      <c r="I28" s="353" t="n">
        <f aca="false">'Power Curves'!BA42</f>
        <v>0.893384556929962</v>
      </c>
      <c r="J28" s="353" t="n">
        <f aca="false">'Power Curves'!BB42</f>
        <v>0.909087579880249</v>
      </c>
      <c r="K28" s="353" t="n">
        <f aca="false">'Power Curves'!BC42</f>
        <v>0.8867</v>
      </c>
      <c r="L28" s="353" t="n">
        <f aca="false">'Power Curves'!BD42</f>
        <v>0.8662</v>
      </c>
      <c r="M28" s="353" t="n">
        <f aca="false">'Power Curves'!BE42</f>
        <v>0.8515</v>
      </c>
      <c r="N28" s="327" t="s">
        <v>102</v>
      </c>
      <c r="O28" s="31"/>
      <c r="P28" s="31"/>
      <c r="AF28" s="341" t="n">
        <v>37288</v>
      </c>
      <c r="AG28" s="31" t="n">
        <v>20</v>
      </c>
      <c r="AH28" s="31" t="n">
        <v>4</v>
      </c>
      <c r="AI28" s="31" t="n">
        <v>4</v>
      </c>
      <c r="AJ28" s="31" t="n">
        <v>0</v>
      </c>
      <c r="AK28" s="31" t="n">
        <v>28</v>
      </c>
    </row>
    <row r="29" customFormat="false" ht="12.75" hidden="false" customHeight="false" outlineLevel="0" collapsed="false">
      <c r="A29" s="327" t="n">
        <v>2300</v>
      </c>
      <c r="B29" s="353" t="n">
        <f aca="false">'Power Curves'!AT43</f>
        <v>0.6725</v>
      </c>
      <c r="C29" s="353" t="n">
        <f aca="false">'Power Curves'!AU43</f>
        <v>0.6725</v>
      </c>
      <c r="D29" s="353" t="n">
        <f aca="false">'Power Curves'!AV43</f>
        <v>0.6825</v>
      </c>
      <c r="E29" s="353" t="n">
        <f aca="false">'Power Curves'!AW43</f>
        <v>0.868935227612237</v>
      </c>
      <c r="F29" s="353" t="n">
        <f aca="false">'Power Curves'!AX43</f>
        <v>0.832261165713818</v>
      </c>
      <c r="G29" s="353" t="n">
        <f aca="false">'Power Curves'!AY43</f>
        <v>0.736685819737449</v>
      </c>
      <c r="H29" s="353" t="n">
        <f aca="false">'Power Curves'!AZ43</f>
        <v>0.66417015666642</v>
      </c>
      <c r="I29" s="353" t="n">
        <f aca="false">'Power Curves'!BA43</f>
        <v>0.723434795457424</v>
      </c>
      <c r="J29" s="353" t="n">
        <f aca="false">'Power Curves'!BB43</f>
        <v>0.720414553311483</v>
      </c>
      <c r="K29" s="353" t="n">
        <f aca="false">'Power Curves'!BC43</f>
        <v>0.756</v>
      </c>
      <c r="L29" s="353" t="n">
        <f aca="false">'Power Curves'!BD43</f>
        <v>0.7305</v>
      </c>
      <c r="M29" s="353" t="n">
        <f aca="false">'Power Curves'!BE43</f>
        <v>0.7025</v>
      </c>
      <c r="N29" s="327" t="s">
        <v>110</v>
      </c>
      <c r="O29" s="31"/>
      <c r="P29" s="31"/>
      <c r="AF29" s="341" t="n">
        <v>37316</v>
      </c>
      <c r="AG29" s="31" t="n">
        <v>21</v>
      </c>
      <c r="AH29" s="31" t="n">
        <v>5</v>
      </c>
      <c r="AI29" s="31" t="n">
        <v>5</v>
      </c>
      <c r="AJ29" s="31" t="n">
        <v>0</v>
      </c>
      <c r="AK29" s="31" t="n">
        <v>31</v>
      </c>
    </row>
    <row r="30" customFormat="false" ht="12.75" hidden="false" customHeight="false" outlineLevel="0" collapsed="false">
      <c r="A30" s="327" t="n">
        <v>2400</v>
      </c>
      <c r="B30" s="353" t="n">
        <f aca="false">'Power Curves'!AT44</f>
        <v>1.045</v>
      </c>
      <c r="C30" s="353" t="n">
        <f aca="false">'Power Curves'!AU44</f>
        <v>1.045</v>
      </c>
      <c r="D30" s="353" t="n">
        <f aca="false">'Power Curves'!AV44</f>
        <v>1.045</v>
      </c>
      <c r="E30" s="353" t="n">
        <f aca="false">'Power Curves'!AW44</f>
        <v>1.04962749498905</v>
      </c>
      <c r="F30" s="353" t="n">
        <f aca="false">'Power Curves'!AX44</f>
        <v>1.17796859185739</v>
      </c>
      <c r="G30" s="353" t="n">
        <f aca="false">'Power Curves'!AY44</f>
        <v>1.3963883955003</v>
      </c>
      <c r="H30" s="353" t="n">
        <f aca="false">'Power Curves'!AZ44</f>
        <v>1.26165887596478</v>
      </c>
      <c r="I30" s="353" t="n">
        <f aca="false">'Power Curves'!BA44</f>
        <v>1.2636171008351</v>
      </c>
      <c r="J30" s="353" t="n">
        <f aca="false">'Power Curves'!BB44</f>
        <v>1.12499208910828</v>
      </c>
      <c r="K30" s="353" t="n">
        <f aca="false">'Power Curves'!BC44</f>
        <v>1.0505</v>
      </c>
      <c r="L30" s="353" t="n">
        <f aca="false">'Power Curves'!BD44</f>
        <v>1.0505</v>
      </c>
      <c r="M30" s="353" t="n">
        <f aca="false">'Power Curves'!BE44</f>
        <v>1.0505</v>
      </c>
      <c r="N30" s="327" t="s">
        <v>110</v>
      </c>
      <c r="O30" s="31"/>
      <c r="P30" s="31"/>
      <c r="AF30" s="341" t="n">
        <v>37347</v>
      </c>
      <c r="AG30" s="31" t="n">
        <v>22</v>
      </c>
      <c r="AH30" s="31" t="n">
        <v>4</v>
      </c>
      <c r="AI30" s="31" t="n">
        <v>4</v>
      </c>
      <c r="AJ30" s="31" t="n">
        <v>0</v>
      </c>
      <c r="AK30" s="31" t="n">
        <v>30</v>
      </c>
    </row>
    <row r="31" customFormat="false" ht="12.75" hidden="false" customHeight="false" outlineLevel="0" collapsed="false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AF31" s="341" t="n">
        <v>37377</v>
      </c>
      <c r="AG31" s="31" t="n">
        <v>22</v>
      </c>
      <c r="AH31" s="31" t="n">
        <v>4</v>
      </c>
      <c r="AI31" s="31" t="n">
        <v>4</v>
      </c>
      <c r="AJ31" s="31" t="n">
        <v>1</v>
      </c>
      <c r="AK31" s="31" t="n">
        <v>31</v>
      </c>
    </row>
    <row r="32" customFormat="false" ht="12.75" hidden="false" customHeight="false" outlineLevel="0" collapsed="false">
      <c r="A32" s="356" t="s">
        <v>1314</v>
      </c>
      <c r="B32" s="357" t="n">
        <f aca="false">AVERAGE(B19:B26)</f>
        <v>0.969145769131439</v>
      </c>
      <c r="C32" s="357" t="n">
        <f aca="false">AVERAGE(C19:C26)</f>
        <v>0.969145769131439</v>
      </c>
      <c r="D32" s="357" t="n">
        <f aca="false">AVERAGE(D19:D26)</f>
        <v>0.97165</v>
      </c>
      <c r="E32" s="357" t="n">
        <f aca="false">AVERAGE(E19:E26)</f>
        <v>0.924989009949893</v>
      </c>
      <c r="F32" s="357" t="n">
        <f aca="false">AVERAGE(F20:F27)</f>
        <v>0.972355461918447</v>
      </c>
      <c r="G32" s="357" t="n">
        <f aca="false">AVERAGE(G19:G26)</f>
        <v>1.14029274839576</v>
      </c>
      <c r="H32" s="357" t="n">
        <f aca="false">AVERAGE(H19:H26)</f>
        <v>1.19166491456367</v>
      </c>
      <c r="I32" s="357" t="n">
        <f aca="false">AVERAGE(I19:I26)</f>
        <v>1.1089289483683</v>
      </c>
      <c r="J32" s="357" t="n">
        <f aca="false">AVERAGE(J20:J27)</f>
        <v>1.09653379232051</v>
      </c>
      <c r="K32" s="357" t="n">
        <f aca="false">AVERAGE(K19:K26)</f>
        <v>0.986925</v>
      </c>
      <c r="L32" s="357" t="n">
        <f aca="false">AVERAGE(L19:L26)</f>
        <v>0.989225</v>
      </c>
      <c r="M32" s="357" t="n">
        <f aca="false">AVERAGE(M19:M26)</f>
        <v>0.978519445147215</v>
      </c>
      <c r="N32" s="31"/>
      <c r="O32" s="358" t="s">
        <v>1356</v>
      </c>
      <c r="P32" s="31"/>
      <c r="AF32" s="341" t="n">
        <v>37408</v>
      </c>
      <c r="AG32" s="31" t="n">
        <v>20</v>
      </c>
      <c r="AH32" s="31" t="n">
        <v>5</v>
      </c>
      <c r="AI32" s="31" t="n">
        <v>5</v>
      </c>
      <c r="AJ32" s="31" t="n">
        <v>0</v>
      </c>
      <c r="AK32" s="31" t="n">
        <v>30</v>
      </c>
    </row>
    <row r="33" customFormat="false" ht="12.75" hidden="false" customHeight="false" outlineLevel="0" collapsed="false">
      <c r="A33" s="359" t="s">
        <v>1357</v>
      </c>
      <c r="B33" s="360"/>
      <c r="C33" s="360"/>
      <c r="D33" s="360"/>
      <c r="E33" s="360"/>
      <c r="F33" s="360"/>
      <c r="G33" s="360"/>
      <c r="H33" s="360"/>
      <c r="I33" s="360"/>
      <c r="J33" s="360"/>
      <c r="AF33" s="341" t="n">
        <v>37438</v>
      </c>
      <c r="AG33" s="31" t="n">
        <v>22</v>
      </c>
      <c r="AH33" s="31" t="n">
        <v>4</v>
      </c>
      <c r="AI33" s="31" t="n">
        <v>4</v>
      </c>
      <c r="AJ33" s="31" t="n">
        <v>1</v>
      </c>
      <c r="AK33" s="31" t="n">
        <v>31</v>
      </c>
    </row>
    <row r="34" customFormat="false" ht="12.75" hidden="false" customHeight="false" outlineLevel="0" collapsed="false">
      <c r="A34" s="361" t="s">
        <v>1358</v>
      </c>
      <c r="E34" s="362"/>
      <c r="F34" s="162"/>
      <c r="G34" s="132"/>
      <c r="L34" s="363" t="s">
        <v>1359</v>
      </c>
      <c r="M34" s="363"/>
      <c r="N34" s="363"/>
      <c r="O34" s="363"/>
      <c r="P34" s="363"/>
      <c r="AF34" s="341" t="n">
        <v>37469</v>
      </c>
      <c r="AG34" s="31" t="n">
        <v>22</v>
      </c>
      <c r="AH34" s="31" t="n">
        <v>5</v>
      </c>
      <c r="AI34" s="31" t="n">
        <v>4</v>
      </c>
      <c r="AJ34" s="31" t="n">
        <v>0</v>
      </c>
      <c r="AK34" s="31" t="n">
        <v>31</v>
      </c>
    </row>
    <row r="35" customFormat="false" ht="12.75" hidden="false" customHeight="false" outlineLevel="0" collapsed="false">
      <c r="B35" s="364" t="s">
        <v>1360</v>
      </c>
      <c r="C35" s="365"/>
      <c r="D35" s="366" t="s">
        <v>1361</v>
      </c>
      <c r="E35" s="364" t="s">
        <v>1362</v>
      </c>
      <c r="F35" s="366" t="s">
        <v>1363</v>
      </c>
      <c r="G35" s="364" t="s">
        <v>1364</v>
      </c>
      <c r="H35" s="366" t="s">
        <v>1365</v>
      </c>
      <c r="I35" s="364" t="s">
        <v>1299</v>
      </c>
      <c r="J35" s="364" t="s">
        <v>36</v>
      </c>
      <c r="L35" s="367" t="s">
        <v>1366</v>
      </c>
      <c r="M35" s="367" t="s">
        <v>1367</v>
      </c>
      <c r="N35" s="367" t="s">
        <v>1368</v>
      </c>
      <c r="O35" s="367" t="s">
        <v>1299</v>
      </c>
      <c r="P35" s="367" t="s">
        <v>36</v>
      </c>
      <c r="AF35" s="341" t="n">
        <v>37500</v>
      </c>
      <c r="AG35" s="31" t="n">
        <v>20</v>
      </c>
      <c r="AH35" s="31" t="n">
        <v>4</v>
      </c>
      <c r="AI35" s="31" t="n">
        <v>5</v>
      </c>
      <c r="AJ35" s="31" t="n">
        <v>1</v>
      </c>
      <c r="AK35" s="31" t="n">
        <v>30</v>
      </c>
    </row>
    <row r="36" customFormat="false" ht="12.75" hidden="false" customHeight="false" outlineLevel="0" collapsed="false">
      <c r="A36" s="326" t="s">
        <v>1310</v>
      </c>
      <c r="B36" s="364" t="s">
        <v>1369</v>
      </c>
      <c r="C36" s="364" t="s">
        <v>1370</v>
      </c>
      <c r="D36" s="366" t="s">
        <v>1326</v>
      </c>
      <c r="E36" s="364" t="s">
        <v>1369</v>
      </c>
      <c r="F36" s="366" t="s">
        <v>1326</v>
      </c>
      <c r="G36" s="364" t="s">
        <v>1369</v>
      </c>
      <c r="H36" s="366" t="s">
        <v>1326</v>
      </c>
      <c r="I36" s="364" t="s">
        <v>1371</v>
      </c>
      <c r="J36" s="364" t="s">
        <v>1372</v>
      </c>
      <c r="L36" s="367" t="s">
        <v>1326</v>
      </c>
      <c r="M36" s="367" t="s">
        <v>1326</v>
      </c>
      <c r="N36" s="367" t="s">
        <v>1326</v>
      </c>
      <c r="O36" s="367" t="s">
        <v>1371</v>
      </c>
      <c r="P36" s="367" t="s">
        <v>1372</v>
      </c>
      <c r="AF36" s="341" t="n">
        <v>37530</v>
      </c>
      <c r="AG36" s="31" t="n">
        <v>23</v>
      </c>
      <c r="AH36" s="31" t="n">
        <v>4</v>
      </c>
      <c r="AI36" s="31" t="n">
        <v>4</v>
      </c>
      <c r="AJ36" s="31" t="n">
        <v>0</v>
      </c>
      <c r="AK36" s="31" t="n">
        <v>31</v>
      </c>
    </row>
    <row r="37" customFormat="false" ht="12.75" hidden="false" customHeight="false" outlineLevel="0" collapsed="false">
      <c r="A37" s="368" t="n">
        <f aca="false">Calculations!A4</f>
        <v>36892</v>
      </c>
      <c r="B37" s="369" t="n">
        <f aca="false">IF(A37="N/A"," ",L37)</f>
        <v>37.5</v>
      </c>
      <c r="C37" s="370" t="n">
        <f aca="false">IF(A37="N/A"," ",(IF(AND(MONTH(A37)&gt;=6,MONTH(A37)&lt;=8,OR($K$37="REGION 2",$K$37="REGION 2A",$K$37="REGION 2B",$K$37="REGION 3",$K$37="REGION 3A",$K$37="REGION 3B",$K$37="REGION 4",$K$37="REGION 4B",$K$37="REGION 4C",$K$37="REGION 5",$K$37="REGION 5A")),((0.059228/(B37/100))-(0.4980013/(SQRT(B37/100)))+2.137988),HLOOKUP(MONTH(A37),ScalarTable,28))))</f>
        <v>0.969145769131439</v>
      </c>
      <c r="D37" s="371" t="n">
        <f aca="false">IF(A37="N/A"," ",C37*B37)</f>
        <v>36.342966342429</v>
      </c>
      <c r="E37" s="369" t="n">
        <f aca="false">IF(A37="N/A"," ",M37)</f>
        <v>28.7487487792969</v>
      </c>
      <c r="F37" s="371" t="n">
        <f aca="false">IF(A37="N/A"," ",E37*C37)</f>
        <v>27.8617282472782</v>
      </c>
      <c r="G37" s="369" t="n">
        <f aca="false">IF(A37="N/A"," ",N37)</f>
        <v>27.2525005340576</v>
      </c>
      <c r="H37" s="371" t="n">
        <f aca="false">IF(A37="N/A"," ",G37*C37)</f>
        <v>26.4116455908342</v>
      </c>
      <c r="I37" s="371" t="n">
        <f aca="false">IF(A37="N/A"," ",O37)</f>
        <v>20.8400001525879</v>
      </c>
      <c r="J37" s="372" t="e">
        <f aca="false">IF(A37="N/A"," ",P37)</f>
        <v>#N/A</v>
      </c>
      <c r="K37" s="373" t="str">
        <f aca="false">PositionRegion</f>
        <v>REGION 1</v>
      </c>
      <c r="L37" s="374" t="n">
        <f aca="false">IF(A37="N/A"," ",VLOOKUP(A37,PeakPowerCurves,(IF('Pricing Inputs'!$AT$3=2,3,IF('Pricing Inputs'!$AT$3=1,2,4))),FALSE()))</f>
        <v>37.5</v>
      </c>
      <c r="M37" s="374" t="n">
        <f aca="false">IF(A37="N/A"," ",VLOOKUP(A37,SatSunPeakPwr,(IF('Pricing Inputs'!$AT$3=2,3,IF('Pricing Inputs'!$AT$3=1,2,4))),FALSE()))</f>
        <v>28.7487487792969</v>
      </c>
      <c r="N37" s="374" t="n">
        <f aca="false">IF(A37="N/A"," ",VLOOKUP(A37,SatSunPeakPwr,(IF('Pricing Inputs'!$AT$3=2,7,IF('Pricing Inputs'!$AT$3=1,6,8))),FALSE()))</f>
        <v>27.2525005340576</v>
      </c>
      <c r="O37" s="375" t="n">
        <f aca="false">IF(A37="N/A"," ",(VLOOKUP(A37,OPPowerPrices,(IF('Pricing Inputs'!$AT$3=2,7,IF('Pricing Inputs'!$AT$3=1,6,8))),FALSE())))</f>
        <v>20.8400001525879</v>
      </c>
      <c r="P37" s="376" t="e">
        <f aca="false">IF(A37="N/A"," ",(VLOOKUP(A37,GasCurves,15,FALSE())))</f>
        <v>#N/A</v>
      </c>
      <c r="AF37" s="341" t="n">
        <v>37561</v>
      </c>
      <c r="AG37" s="31" t="n">
        <v>20</v>
      </c>
      <c r="AH37" s="31" t="n">
        <v>5</v>
      </c>
      <c r="AI37" s="31" t="n">
        <v>4</v>
      </c>
      <c r="AJ37" s="31" t="n">
        <v>1</v>
      </c>
      <c r="AK37" s="31" t="n">
        <v>30</v>
      </c>
    </row>
    <row r="38" customFormat="false" ht="12.75" hidden="false" customHeight="false" outlineLevel="0" collapsed="false">
      <c r="A38" s="368" t="n">
        <f aca="false">Calculations!A5</f>
        <v>36923</v>
      </c>
      <c r="B38" s="369" t="n">
        <f aca="false">IF(A38="N/A"," ",L38)</f>
        <v>37.5</v>
      </c>
      <c r="C38" s="370" t="n">
        <f aca="false">IF(A38="N/A"," ",(IF(AND(MONTH(A38)&gt;=6,MONTH(A38)&lt;=8,OR($K$37="REGION 2",$K$37="REGION 2A",$K$37="REGION 2B",$K$37="REGION 3",$K$37="REGION 3A",$K$37="REGION 3B",$K$37="REGION 4",$K$37="REGION 4B",$K$37="REGION 4C",$K$37="REGION 5",$K$37="REGION 5A")),((0.059228/(B38/100))-(0.4980013/(SQRT(B38/100)))+2.137988),HLOOKUP(MONTH(A38),ScalarTable,28))))</f>
        <v>0.969145769131439</v>
      </c>
      <c r="D38" s="371" t="n">
        <f aca="false">IF(A38="N/A"," ",C38*B38)</f>
        <v>36.342966342429</v>
      </c>
      <c r="E38" s="369" t="n">
        <f aca="false">IF(A38="N/A"," ",M38)</f>
        <v>27.7462501525879</v>
      </c>
      <c r="F38" s="371" t="n">
        <f aca="false">IF(A38="N/A"," ",E38*C38)</f>
        <v>26.8901609446431</v>
      </c>
      <c r="G38" s="369" t="n">
        <f aca="false">IF(A38="N/A"," ",N38)</f>
        <v>25.2474994659424</v>
      </c>
      <c r="H38" s="371" t="n">
        <f aca="false">IF(A38="N/A"," ",G38*C38)</f>
        <v>24.4685072885663</v>
      </c>
      <c r="I38" s="371" t="n">
        <f aca="false">IF(A38="N/A"," ",O38)</f>
        <v>20.6499977111816</v>
      </c>
      <c r="J38" s="372" t="e">
        <f aca="false">IF(A38="N/A"," ",P38)</f>
        <v>#N/A</v>
      </c>
      <c r="L38" s="374" t="n">
        <f aca="false">IF(A38="N/A"," ",VLOOKUP(A38,PeakPowerCurves,(IF('Pricing Inputs'!$AT$3=2,3,IF('Pricing Inputs'!$AT$3=1,2,4))),FALSE()))</f>
        <v>37.5</v>
      </c>
      <c r="M38" s="374" t="n">
        <f aca="false">IF(A38="N/A"," ",VLOOKUP(A38,SatSunPeakPwr,(IF('Pricing Inputs'!$AT$3=2,3,IF('Pricing Inputs'!$AT$3=1,2,4))),FALSE()))</f>
        <v>27.7462501525879</v>
      </c>
      <c r="N38" s="374" t="n">
        <f aca="false">IF(A38="N/A"," ",VLOOKUP(A38,SatSunPeakPwr,(IF('Pricing Inputs'!$AT$3=2,7,IF('Pricing Inputs'!$AT$3=1,6,8))),FALSE()))</f>
        <v>25.2474994659424</v>
      </c>
      <c r="O38" s="375" t="n">
        <f aca="false">IF(A38="N/A"," ",(VLOOKUP(A38,OPPowerPrices,(IF('Pricing Inputs'!$AT$3=2,7,IF('Pricing Inputs'!$AT$3=1,6,8))),FALSE())))</f>
        <v>20.6499977111816</v>
      </c>
      <c r="P38" s="376" t="e">
        <f aca="false">IF(A38="N/A"," ",(VLOOKUP(A38,GasCurves,15,FALSE())))</f>
        <v>#N/A</v>
      </c>
      <c r="AF38" s="341" t="n">
        <v>37591</v>
      </c>
      <c r="AG38" s="31" t="n">
        <v>21</v>
      </c>
      <c r="AH38" s="31" t="n">
        <v>4</v>
      </c>
      <c r="AI38" s="31" t="n">
        <v>5</v>
      </c>
      <c r="AJ38" s="31" t="n">
        <v>1</v>
      </c>
      <c r="AK38" s="31" t="n">
        <v>31</v>
      </c>
    </row>
    <row r="39" customFormat="false" ht="12.75" hidden="false" customHeight="false" outlineLevel="0" collapsed="false">
      <c r="A39" s="368" t="n">
        <f aca="false">Calculations!A6</f>
        <v>36951</v>
      </c>
      <c r="B39" s="369" t="n">
        <f aca="false">IF(A39="N/A"," ",L39)</f>
        <v>33.75</v>
      </c>
      <c r="C39" s="370" t="n">
        <f aca="false">IF(A39="N/A"," ",(IF(AND(MONTH(A39)&gt;=6,MONTH(A39)&lt;=8,OR($K$37="REGION 2",$K$37="REGION 2A",$K$37="REGION 2B",$K$37="REGION 3",$K$37="REGION 3A",$K$37="REGION 3B",$K$37="REGION 4",$K$37="REGION 4B",$K$37="REGION 4C",$K$37="REGION 5",$K$37="REGION 5A")),((0.059228/(B39/100))-(0.4980013/(SQRT(B39/100)))+2.137988),HLOOKUP(MONTH(A39),ScalarTable,28))))</f>
        <v>0.97165</v>
      </c>
      <c r="D39" s="371" t="n">
        <f aca="false">IF(A39="N/A"," ",C39*B39)</f>
        <v>32.7931875</v>
      </c>
      <c r="E39" s="369" t="n">
        <f aca="false">IF(A39="N/A"," ",M39)</f>
        <v>20.9347496032715</v>
      </c>
      <c r="F39" s="371" t="n">
        <f aca="false">IF(A39="N/A"," ",E39*C39)</f>
        <v>20.3412494520187</v>
      </c>
      <c r="G39" s="369" t="n">
        <f aca="false">IF(A39="N/A"," ",N39)</f>
        <v>20.5644989013672</v>
      </c>
      <c r="H39" s="371" t="n">
        <f aca="false">IF(A39="N/A"," ",G39*C39)</f>
        <v>19.9814953575134</v>
      </c>
      <c r="I39" s="371" t="n">
        <f aca="false">IF(A39="N/A"," ",O39)</f>
        <v>19.6499996185303</v>
      </c>
      <c r="J39" s="372" t="e">
        <f aca="false">IF(A39="N/A"," ",P39)</f>
        <v>#N/A</v>
      </c>
      <c r="L39" s="374" t="n">
        <f aca="false">IF(A39="N/A"," ",VLOOKUP(A39,PeakPowerCurves,(IF('Pricing Inputs'!$AT$3=2,3,IF('Pricing Inputs'!$AT$3=1,2,4))),FALSE()))</f>
        <v>33.75</v>
      </c>
      <c r="M39" s="374" t="n">
        <f aca="false">IF(A39="N/A"," ",VLOOKUP(A39,SatSunPeakPwr,(IF('Pricing Inputs'!$AT$3=2,3,IF('Pricing Inputs'!$AT$3=1,2,4))),FALSE()))</f>
        <v>20.9347496032715</v>
      </c>
      <c r="N39" s="374" t="n">
        <f aca="false">IF(A39="N/A"," ",VLOOKUP(A39,SatSunPeakPwr,(IF('Pricing Inputs'!$AT$3=2,7,IF('Pricing Inputs'!$AT$3=1,6,8))),FALSE()))</f>
        <v>20.5644989013672</v>
      </c>
      <c r="O39" s="375" t="n">
        <f aca="false">IF(A39="N/A"," ",(VLOOKUP(A39,OPPowerPrices,(IF('Pricing Inputs'!$AT$3=2,7,IF('Pricing Inputs'!$AT$3=1,6,8))),FALSE())))</f>
        <v>19.6499996185303</v>
      </c>
      <c r="P39" s="376" t="e">
        <f aca="false">IF(A39="N/A"," ",(VLOOKUP(A39,GasCurves,15,FALSE())))</f>
        <v>#N/A</v>
      </c>
      <c r="AF39" s="341" t="n">
        <v>37622</v>
      </c>
      <c r="AG39" s="31" t="n">
        <v>22</v>
      </c>
      <c r="AH39" s="31" t="n">
        <v>4</v>
      </c>
      <c r="AI39" s="31" t="n">
        <v>4</v>
      </c>
      <c r="AJ39" s="31" t="n">
        <v>1</v>
      </c>
      <c r="AK39" s="31" t="n">
        <v>31</v>
      </c>
    </row>
    <row r="40" customFormat="false" ht="12.75" hidden="false" customHeight="false" outlineLevel="0" collapsed="false">
      <c r="A40" s="368" t="n">
        <f aca="false">Calculations!A7</f>
        <v>36982</v>
      </c>
      <c r="B40" s="369" t="n">
        <f aca="false">IF(A40="N/A"," ",L40)</f>
        <v>32.5</v>
      </c>
      <c r="C40" s="370" t="n">
        <f aca="false">IF(A40="N/A"," ",(IF(AND(MONTH(A40)&gt;=6,MONTH(A40)&lt;=8,OR($K$37="REGION 2",$K$37="REGION 2A",$K$37="REGION 2B",$K$37="REGION 3",$K$37="REGION 3A",$K$37="REGION 3B",$K$37="REGION 4",$K$37="REGION 4B",$K$37="REGION 4C",$K$37="REGION 5",$K$37="REGION 5A")),((0.059228/(B40/100))-(0.4980013/(SQRT(B40/100)))+2.137988),HLOOKUP(MONTH(A40),ScalarTable,28))))</f>
        <v>0.924989009949893</v>
      </c>
      <c r="D40" s="371" t="n">
        <f aca="false">IF(A40="N/A"," ",C40*B40)</f>
        <v>30.0621428233715</v>
      </c>
      <c r="E40" s="369" t="n">
        <f aca="false">IF(A40="N/A"," ",M40)</f>
        <v>21.6175003051758</v>
      </c>
      <c r="F40" s="371" t="n">
        <f aca="false">IF(A40="N/A"," ",E40*C40)</f>
        <v>19.9959502048761</v>
      </c>
      <c r="G40" s="369" t="n">
        <f aca="false">IF(A40="N/A"," ",N40)</f>
        <v>20.3349990844727</v>
      </c>
      <c r="H40" s="371" t="n">
        <f aca="false">IF(A40="N/A"," ",G40*C40)</f>
        <v>18.8096506704783</v>
      </c>
      <c r="I40" s="371" t="n">
        <f aca="false">IF(A40="N/A"," ",O40)</f>
        <v>19.6499977111816</v>
      </c>
      <c r="J40" s="372" t="e">
        <f aca="false">IF(A40="N/A"," ",P40)</f>
        <v>#N/A</v>
      </c>
      <c r="L40" s="374" t="n">
        <f aca="false">IF(A40="N/A"," ",VLOOKUP(A40,PeakPowerCurves,(IF('Pricing Inputs'!$AT$3=2,3,IF('Pricing Inputs'!$AT$3=1,2,4))),FALSE()))</f>
        <v>32.5</v>
      </c>
      <c r="M40" s="374" t="n">
        <f aca="false">IF(A40="N/A"," ",VLOOKUP(A40,SatSunPeakPwr,(IF('Pricing Inputs'!$AT$3=2,3,IF('Pricing Inputs'!$AT$3=1,2,4))),FALSE()))</f>
        <v>21.6175003051758</v>
      </c>
      <c r="N40" s="374" t="n">
        <f aca="false">IF(A40="N/A"," ",VLOOKUP(A40,SatSunPeakPwr,(IF('Pricing Inputs'!$AT$3=2,7,IF('Pricing Inputs'!$AT$3=1,6,8))),FALSE()))</f>
        <v>20.3349990844727</v>
      </c>
      <c r="O40" s="375" t="n">
        <f aca="false">IF(A40="N/A"," ",(VLOOKUP(A40,OPPowerPrices,(IF('Pricing Inputs'!$AT$3=2,7,IF('Pricing Inputs'!$AT$3=1,6,8))),FALSE())))</f>
        <v>19.6499977111816</v>
      </c>
      <c r="P40" s="376" t="e">
        <f aca="false">IF(A40="N/A"," ",(VLOOKUP(A40,GasCurves,15,FALSE())))</f>
        <v>#N/A</v>
      </c>
      <c r="AF40" s="341" t="n">
        <v>37653</v>
      </c>
      <c r="AG40" s="31" t="n">
        <v>20</v>
      </c>
      <c r="AH40" s="31" t="n">
        <v>4</v>
      </c>
      <c r="AI40" s="31" t="n">
        <v>4</v>
      </c>
      <c r="AJ40" s="31" t="n">
        <v>0</v>
      </c>
      <c r="AK40" s="31" t="n">
        <v>28</v>
      </c>
    </row>
    <row r="41" customFormat="false" ht="12.75" hidden="false" customHeight="false" outlineLevel="0" collapsed="false">
      <c r="A41" s="368" t="n">
        <f aca="false">Calculations!A8</f>
        <v>37012</v>
      </c>
      <c r="B41" s="369" t="n">
        <f aca="false">IF(A41="N/A"," ",L41)</f>
        <v>34.5</v>
      </c>
      <c r="C41" s="370" t="n">
        <f aca="false">IF(A41="N/A"," ",(IF(AND(MONTH(A41)&gt;=6,MONTH(A41)&lt;=8,OR($K$37="REGION 2",$K$37="REGION 2A",$K$37="REGION 2B",$K$37="REGION 3",$K$37="REGION 3A",$K$37="REGION 3B",$K$37="REGION 4",$K$37="REGION 4B",$K$37="REGION 4C",$K$37="REGION 5",$K$37="REGION 5A")),((0.059228/(B41/100))-(0.4980013/(SQRT(B41/100)))+2.137988),HLOOKUP(MONTH(A41),ScalarTable,28))))</f>
        <v>0.972355461918447</v>
      </c>
      <c r="D41" s="371" t="n">
        <f aca="false">IF(A41="N/A"," ",C41*B41)</f>
        <v>33.5462634361864</v>
      </c>
      <c r="E41" s="369" t="n">
        <f aca="false">IF(A41="N/A"," ",M41)</f>
        <v>21.7325000762939</v>
      </c>
      <c r="F41" s="371" t="n">
        <f aca="false">IF(A41="N/A"," ",E41*C41)</f>
        <v>21.1317151503275</v>
      </c>
      <c r="G41" s="369" t="n">
        <f aca="false">IF(A41="N/A"," ",N41)</f>
        <v>20.8649997711182</v>
      </c>
      <c r="H41" s="371" t="n">
        <f aca="false">IF(A41="N/A"," ",G41*C41)</f>
        <v>20.2881964903739</v>
      </c>
      <c r="I41" s="371" t="n">
        <f aca="false">IF(A41="N/A"," ",O41)</f>
        <v>19.6499977111816</v>
      </c>
      <c r="J41" s="372" t="e">
        <f aca="false">IF(A41="N/A"," ",P41)</f>
        <v>#N/A</v>
      </c>
      <c r="L41" s="374" t="n">
        <f aca="false">IF(A41="N/A"," ",VLOOKUP(A41,PeakPowerCurves,(IF('Pricing Inputs'!$AT$3=2,3,IF('Pricing Inputs'!$AT$3=1,2,4))),FALSE()))</f>
        <v>34.5</v>
      </c>
      <c r="M41" s="374" t="n">
        <f aca="false">IF(A41="N/A"," ",VLOOKUP(A41,SatSunPeakPwr,(IF('Pricing Inputs'!$AT$3=2,3,IF('Pricing Inputs'!$AT$3=1,2,4))),FALSE()))</f>
        <v>21.7325000762939</v>
      </c>
      <c r="N41" s="374" t="n">
        <f aca="false">IF(A41="N/A"," ",VLOOKUP(A41,SatSunPeakPwr,(IF('Pricing Inputs'!$AT$3=2,7,IF('Pricing Inputs'!$AT$3=1,6,8))),FALSE()))</f>
        <v>20.8649997711182</v>
      </c>
      <c r="O41" s="375" t="n">
        <f aca="false">IF(A41="N/A"," ",(VLOOKUP(A41,OPPowerPrices,(IF('Pricing Inputs'!$AT$3=2,7,IF('Pricing Inputs'!$AT$3=1,6,8))),FALSE())))</f>
        <v>19.6499977111816</v>
      </c>
      <c r="P41" s="376" t="e">
        <f aca="false">IF(A41="N/A"," ",(VLOOKUP(A41,GasCurves,15,FALSE())))</f>
        <v>#N/A</v>
      </c>
      <c r="AF41" s="341" t="n">
        <v>37681</v>
      </c>
      <c r="AG41" s="31" t="n">
        <v>21</v>
      </c>
      <c r="AH41" s="31" t="n">
        <v>5</v>
      </c>
      <c r="AI41" s="31" t="n">
        <v>5</v>
      </c>
      <c r="AJ41" s="31" t="n">
        <v>0</v>
      </c>
      <c r="AK41" s="31" t="n">
        <v>31</v>
      </c>
    </row>
    <row r="42" customFormat="false" ht="12.75" hidden="false" customHeight="false" outlineLevel="0" collapsed="false">
      <c r="A42" s="368" t="n">
        <f aca="false">Calculations!A9</f>
        <v>37043</v>
      </c>
      <c r="B42" s="369" t="n">
        <f aca="false">IF(A42="N/A"," ",L42)</f>
        <v>51</v>
      </c>
      <c r="C42" s="370" t="n">
        <f aca="false">IF(A42="N/A"," ",(IF(AND(MONTH(A42)&gt;=6,MONTH(A42)&lt;=8,OR($K$37="REGION 2",$K$37="REGION 2A",$K$37="REGION 2B",$K$37="REGION 3",$K$37="REGION 3A",$K$37="REGION 3B",$K$37="REGION 4",$K$37="REGION 4B",$K$37="REGION 4C",$K$37="REGION 5",$K$37="REGION 5A")),((0.059228/(B42/100))-(0.4980013/(SQRT(B42/100)))+2.137988),HLOOKUP(MONTH(A42),ScalarTable,28))))</f>
        <v>1.14029274839576</v>
      </c>
      <c r="D42" s="371" t="n">
        <f aca="false">IF(A42="N/A"," ",C42*B42)</f>
        <v>58.1549301681835</v>
      </c>
      <c r="E42" s="369" t="n">
        <f aca="false">IF(A42="N/A"," ",M42)</f>
        <v>26.3087501525879</v>
      </c>
      <c r="F42" s="371" t="n">
        <f aca="false">IF(A42="N/A"," ",E42*C42)</f>
        <v>29.9996770183517</v>
      </c>
      <c r="G42" s="369" t="n">
        <f aca="false">IF(A42="N/A"," ",N42)</f>
        <v>19.7924995422363</v>
      </c>
      <c r="H42" s="371" t="n">
        <f aca="false">IF(A42="N/A"," ",G42*C42)</f>
        <v>22.5692437006384</v>
      </c>
      <c r="I42" s="371" t="n">
        <f aca="false">IF(A42="N/A"," ",O42)</f>
        <v>19.6549987792969</v>
      </c>
      <c r="J42" s="372" t="e">
        <f aca="false">IF(A42="N/A"," ",P42)</f>
        <v>#N/A</v>
      </c>
      <c r="L42" s="374" t="n">
        <f aca="false">IF(A42="N/A"," ",VLOOKUP(A42,PeakPowerCurves,(IF('Pricing Inputs'!$AT$3=2,3,IF('Pricing Inputs'!$AT$3=1,2,4))),FALSE()))</f>
        <v>51</v>
      </c>
      <c r="M42" s="374" t="n">
        <f aca="false">IF(A42="N/A"," ",VLOOKUP(A42,SatSunPeakPwr,(IF('Pricing Inputs'!$AT$3=2,3,IF('Pricing Inputs'!$AT$3=1,2,4))),FALSE()))</f>
        <v>26.3087501525879</v>
      </c>
      <c r="N42" s="374" t="n">
        <f aca="false">IF(A42="N/A"," ",VLOOKUP(A42,SatSunPeakPwr,(IF('Pricing Inputs'!$AT$3=2,7,IF('Pricing Inputs'!$AT$3=1,6,8))),FALSE()))</f>
        <v>19.7924995422363</v>
      </c>
      <c r="O42" s="375" t="n">
        <f aca="false">IF(A42="N/A"," ",(VLOOKUP(A42,OPPowerPrices,(IF('Pricing Inputs'!$AT$3=2,7,IF('Pricing Inputs'!$AT$3=1,6,8))),FALSE())))</f>
        <v>19.6549987792969</v>
      </c>
      <c r="P42" s="376" t="e">
        <f aca="false">IF(A42="N/A"," ",(VLOOKUP(A42,GasCurves,15,FALSE())))</f>
        <v>#N/A</v>
      </c>
      <c r="AF42" s="341" t="n">
        <v>37712</v>
      </c>
      <c r="AG42" s="31" t="n">
        <v>22</v>
      </c>
      <c r="AH42" s="31" t="n">
        <v>4</v>
      </c>
      <c r="AI42" s="31" t="n">
        <v>4</v>
      </c>
      <c r="AJ42" s="31" t="n">
        <v>0</v>
      </c>
      <c r="AK42" s="31" t="n">
        <v>30</v>
      </c>
    </row>
    <row r="43" customFormat="false" ht="12.75" hidden="false" customHeight="false" outlineLevel="0" collapsed="false">
      <c r="A43" s="368" t="n">
        <f aca="false">Calculations!A10</f>
        <v>37073</v>
      </c>
      <c r="B43" s="369" t="n">
        <f aca="false">IF(A43="N/A"," ",L43)</f>
        <v>75</v>
      </c>
      <c r="C43" s="370" t="n">
        <f aca="false">IF(A43="N/A"," ",(IF(AND(MONTH(A43)&gt;=6,MONTH(A43)&lt;=8,OR($K$37="REGION 2",$K$37="REGION 2A",$K$37="REGION 2B",$K$37="REGION 3",$K$37="REGION 3A",$K$37="REGION 3B",$K$37="REGION 4",$K$37="REGION 4B",$K$37="REGION 4C",$K$37="REGION 5",$K$37="REGION 5A")),((0.059228/(B43/100))-(0.4980013/(SQRT(B43/100)))+2.137988),HLOOKUP(MONTH(A43),ScalarTable,28))))</f>
        <v>1.19166491456367</v>
      </c>
      <c r="D43" s="371" t="n">
        <f aca="false">IF(A43="N/A"," ",C43*B43)</f>
        <v>89.3748685922752</v>
      </c>
      <c r="E43" s="369" t="n">
        <f aca="false">IF(A43="N/A"," ",M43)</f>
        <v>40.7612495422363</v>
      </c>
      <c r="F43" s="371" t="n">
        <f aca="false">IF(A43="N/A"," ",E43*C43)</f>
        <v>48.5737509532574</v>
      </c>
      <c r="G43" s="369" t="n">
        <f aca="false">IF(A43="N/A"," ",N43)</f>
        <v>30.2474994659424</v>
      </c>
      <c r="H43" s="371" t="n">
        <f aca="false">IF(A43="N/A"," ",G43*C43)</f>
        <v>36.0448838668468</v>
      </c>
      <c r="I43" s="371" t="n">
        <f aca="false">IF(A43="N/A"," ",O43)</f>
        <v>24.1499977111816</v>
      </c>
      <c r="J43" s="372" t="e">
        <f aca="false">IF(A43="N/A"," ",P43)</f>
        <v>#N/A</v>
      </c>
      <c r="L43" s="374" t="n">
        <f aca="false">IF(A43="N/A"," ",VLOOKUP(A43,PeakPowerCurves,(IF('Pricing Inputs'!$AT$3=2,3,IF('Pricing Inputs'!$AT$3=1,2,4))),FALSE()))</f>
        <v>75</v>
      </c>
      <c r="M43" s="374" t="n">
        <f aca="false">IF(A43="N/A"," ",VLOOKUP(A43,SatSunPeakPwr,(IF('Pricing Inputs'!$AT$3=2,3,IF('Pricing Inputs'!$AT$3=1,2,4))),FALSE()))</f>
        <v>40.7612495422363</v>
      </c>
      <c r="N43" s="374" t="n">
        <f aca="false">IF(A43="N/A"," ",VLOOKUP(A43,SatSunPeakPwr,(IF('Pricing Inputs'!$AT$3=2,7,IF('Pricing Inputs'!$AT$3=1,6,8))),FALSE()))</f>
        <v>30.2474994659424</v>
      </c>
      <c r="O43" s="375" t="n">
        <f aca="false">IF(A43="N/A"," ",(VLOOKUP(A43,OPPowerPrices,(IF('Pricing Inputs'!$AT$3=2,7,IF('Pricing Inputs'!$AT$3=1,6,8))),FALSE())))</f>
        <v>24.1499977111816</v>
      </c>
      <c r="P43" s="376" t="e">
        <f aca="false">IF(A43="N/A"," ",(VLOOKUP(A43,GasCurves,15,FALSE())))</f>
        <v>#N/A</v>
      </c>
      <c r="AF43" s="341" t="n">
        <v>37742</v>
      </c>
      <c r="AG43" s="31" t="n">
        <v>21</v>
      </c>
      <c r="AH43" s="31" t="n">
        <v>5</v>
      </c>
      <c r="AI43" s="31" t="n">
        <v>4</v>
      </c>
      <c r="AJ43" s="31" t="n">
        <v>1</v>
      </c>
      <c r="AK43" s="31" t="n">
        <v>31</v>
      </c>
    </row>
    <row r="44" customFormat="false" ht="12.75" hidden="false" customHeight="false" outlineLevel="0" collapsed="false">
      <c r="A44" s="368" t="n">
        <f aca="false">Calculations!A11</f>
        <v>37104</v>
      </c>
      <c r="B44" s="369" t="n">
        <f aca="false">IF(A44="N/A"," ",L44)</f>
        <v>70.5</v>
      </c>
      <c r="C44" s="370" t="n">
        <f aca="false">IF(A44="N/A"," ",(IF(AND(MONTH(A44)&gt;=6,MONTH(A44)&lt;=8,OR($K$37="REGION 2",$K$37="REGION 2A",$K$37="REGION 2B",$K$37="REGION 3",$K$37="REGION 3A",$K$37="REGION 3B",$K$37="REGION 4",$K$37="REGION 4B",$K$37="REGION 4C",$K$37="REGION 5",$K$37="REGION 5A")),((0.059228/(B44/100))-(0.4980013/(SQRT(B44/100)))+2.137988),HLOOKUP(MONTH(A44),ScalarTable,28))))</f>
        <v>1.1089289483683</v>
      </c>
      <c r="D44" s="371" t="n">
        <f aca="false">IF(A44="N/A"," ",C44*B44)</f>
        <v>78.1794908599654</v>
      </c>
      <c r="E44" s="369" t="n">
        <f aca="false">IF(A44="N/A"," ",M44)</f>
        <v>43.0224990844727</v>
      </c>
      <c r="F44" s="371" t="n">
        <f aca="false">IF(A44="N/A"," ",E44*C44)</f>
        <v>47.7088946659205</v>
      </c>
      <c r="G44" s="369" t="n">
        <f aca="false">IF(A44="N/A"," ",N44)</f>
        <v>31.7450008392334</v>
      </c>
      <c r="H44" s="371" t="n">
        <f aca="false">IF(A44="N/A"," ",G44*C44)</f>
        <v>35.202950396602</v>
      </c>
      <c r="I44" s="371" t="n">
        <f aca="false">IF(A44="N/A"," ",O44)</f>
        <v>24.4999980926514</v>
      </c>
      <c r="J44" s="372" t="e">
        <f aca="false">IF(A44="N/A"," ",P44)</f>
        <v>#N/A</v>
      </c>
      <c r="L44" s="374" t="n">
        <f aca="false">IF(A44="N/A"," ",VLOOKUP(A44,PeakPowerCurves,(IF('Pricing Inputs'!$AT$3=2,3,IF('Pricing Inputs'!$AT$3=1,2,4))),FALSE()))</f>
        <v>70.5</v>
      </c>
      <c r="M44" s="374" t="n">
        <f aca="false">IF(A44="N/A"," ",VLOOKUP(A44,SatSunPeakPwr,(IF('Pricing Inputs'!$AT$3=2,3,IF('Pricing Inputs'!$AT$3=1,2,4))),FALSE()))</f>
        <v>43.0224990844727</v>
      </c>
      <c r="N44" s="374" t="n">
        <f aca="false">IF(A44="N/A"," ",VLOOKUP(A44,SatSunPeakPwr,(IF('Pricing Inputs'!$AT$3=2,7,IF('Pricing Inputs'!$AT$3=1,6,8))),FALSE()))</f>
        <v>31.7450008392334</v>
      </c>
      <c r="O44" s="375" t="n">
        <f aca="false">IF(A44="N/A"," ",(VLOOKUP(A44,OPPowerPrices,(IF('Pricing Inputs'!$AT$3=2,7,IF('Pricing Inputs'!$AT$3=1,6,8))),FALSE())))</f>
        <v>24.4999980926514</v>
      </c>
      <c r="P44" s="376" t="e">
        <f aca="false">IF(A44="N/A"," ",(VLOOKUP(A44,GasCurves,15,FALSE())))</f>
        <v>#N/A</v>
      </c>
      <c r="AF44" s="341" t="n">
        <v>37773</v>
      </c>
      <c r="AG44" s="31" t="n">
        <v>21</v>
      </c>
      <c r="AH44" s="31" t="n">
        <v>4</v>
      </c>
      <c r="AI44" s="31" t="n">
        <v>5</v>
      </c>
      <c r="AJ44" s="31" t="n">
        <v>0</v>
      </c>
      <c r="AK44" s="31" t="n">
        <v>30</v>
      </c>
    </row>
    <row r="45" customFormat="false" ht="12.75" hidden="false" customHeight="false" outlineLevel="0" collapsed="false">
      <c r="A45" s="368" t="n">
        <f aca="false">Calculations!A12</f>
        <v>37135</v>
      </c>
      <c r="B45" s="369" t="n">
        <f aca="false">IF(A45="N/A"," ",L45)</f>
        <v>33.5</v>
      </c>
      <c r="C45" s="370" t="n">
        <f aca="false">IF(A45="N/A"," ",(IF(AND(MONTH(A45)&gt;=6,MONTH(A45)&lt;=8,OR($K$37="REGION 2",$K$37="REGION 2A",$K$37="REGION 2B",$K$37="REGION 3",$K$37="REGION 3A",$K$37="REGION 3B",$K$37="REGION 4",$K$37="REGION 4B",$K$37="REGION 4C",$K$37="REGION 5",$K$37="REGION 5A")),((0.059228/(B45/100))-(0.4980013/(SQRT(B45/100)))+2.137988),HLOOKUP(MONTH(A45),ScalarTable,28))))</f>
        <v>1.09653379232051</v>
      </c>
      <c r="D45" s="371" t="n">
        <f aca="false">IF(A45="N/A"," ",C45*B45)</f>
        <v>36.7338820427371</v>
      </c>
      <c r="E45" s="369" t="n">
        <f aca="false">IF(A45="N/A"," ",M45)</f>
        <v>23.0049991607666</v>
      </c>
      <c r="F45" s="371" t="n">
        <f aca="false">IF(A45="N/A"," ",E45*C45)</f>
        <v>25.2257589720856</v>
      </c>
      <c r="G45" s="369" t="n">
        <f aca="false">IF(A45="N/A"," ",N45)</f>
        <v>23.5</v>
      </c>
      <c r="H45" s="371" t="n">
        <f aca="false">IF(A45="N/A"," ",G45*C45)</f>
        <v>25.768544119532</v>
      </c>
      <c r="I45" s="371" t="n">
        <f aca="false">IF(A45="N/A"," ",O45)</f>
        <v>19.9999980926514</v>
      </c>
      <c r="J45" s="372" t="e">
        <f aca="false">IF(A45="N/A"," ",P45)</f>
        <v>#N/A</v>
      </c>
      <c r="L45" s="374" t="n">
        <f aca="false">IF(A45="N/A"," ",VLOOKUP(A45,PeakPowerCurves,(IF('Pricing Inputs'!$AT$3=2,3,IF('Pricing Inputs'!$AT$3=1,2,4))),FALSE()))</f>
        <v>33.5</v>
      </c>
      <c r="M45" s="374" t="n">
        <f aca="false">IF(A45="N/A"," ",VLOOKUP(A45,SatSunPeakPwr,(IF('Pricing Inputs'!$AT$3=2,3,IF('Pricing Inputs'!$AT$3=1,2,4))),FALSE()))</f>
        <v>23.0049991607666</v>
      </c>
      <c r="N45" s="374" t="n">
        <f aca="false">IF(A45="N/A"," ",VLOOKUP(A45,SatSunPeakPwr,(IF('Pricing Inputs'!$AT$3=2,7,IF('Pricing Inputs'!$AT$3=1,6,8))),FALSE()))</f>
        <v>23.5</v>
      </c>
      <c r="O45" s="375" t="n">
        <f aca="false">IF(A45="N/A"," ",(VLOOKUP(A45,OPPowerPrices,(IF('Pricing Inputs'!$AT$3=2,7,IF('Pricing Inputs'!$AT$3=1,6,8))),FALSE())))</f>
        <v>19.9999980926514</v>
      </c>
      <c r="P45" s="376" t="e">
        <f aca="false">IF(A45="N/A"," ",(VLOOKUP(A45,GasCurves,15,FALSE())))</f>
        <v>#N/A</v>
      </c>
      <c r="AF45" s="341" t="n">
        <v>37803</v>
      </c>
      <c r="AG45" s="31" t="n">
        <v>22</v>
      </c>
      <c r="AH45" s="31" t="n">
        <v>4</v>
      </c>
      <c r="AI45" s="31" t="n">
        <v>4</v>
      </c>
      <c r="AJ45" s="31" t="n">
        <v>1</v>
      </c>
      <c r="AK45" s="31" t="n">
        <v>31</v>
      </c>
    </row>
    <row r="46" customFormat="false" ht="12.75" hidden="false" customHeight="false" outlineLevel="0" collapsed="false">
      <c r="A46" s="368" t="n">
        <f aca="false">Calculations!A13</f>
        <v>37165</v>
      </c>
      <c r="B46" s="369" t="n">
        <f aca="false">IF(A46="N/A"," ",L46)</f>
        <v>31.25</v>
      </c>
      <c r="C46" s="370" t="n">
        <f aca="false">IF(A46="N/A"," ",(IF(AND(MONTH(A46)&gt;=6,MONTH(A46)&lt;=8,OR($K$37="REGION 2",$K$37="REGION 2A",$K$37="REGION 2B",$K$37="REGION 3",$K$37="REGION 3A",$K$37="REGION 3B",$K$37="REGION 4",$K$37="REGION 4B",$K$37="REGION 4C",$K$37="REGION 5",$K$37="REGION 5A")),((0.059228/(B46/100))-(0.4980013/(SQRT(B46/100)))+2.137988),HLOOKUP(MONTH(A46),ScalarTable,28))))</f>
        <v>0.986925</v>
      </c>
      <c r="D46" s="371" t="n">
        <f aca="false">IF(A46="N/A"," ",C46*B46)</f>
        <v>30.84140625</v>
      </c>
      <c r="E46" s="369" t="n">
        <f aca="false">IF(A46="N/A"," ",M46)</f>
        <v>23.1005001068115</v>
      </c>
      <c r="F46" s="371" t="n">
        <f aca="false">IF(A46="N/A"," ",E46*C46)</f>
        <v>22.798461067915</v>
      </c>
      <c r="G46" s="369" t="n">
        <f aca="false">IF(A46="N/A"," ",N46)</f>
        <v>21.1009998321533</v>
      </c>
      <c r="H46" s="371" t="n">
        <f aca="false">IF(A46="N/A"," ",G46*C46)</f>
        <v>20.8251042593479</v>
      </c>
      <c r="I46" s="371" t="n">
        <f aca="false">IF(A46="N/A"," ",O46)</f>
        <v>19.6999988555908</v>
      </c>
      <c r="J46" s="372" t="e">
        <f aca="false">IF(A46="N/A"," ",P46)</f>
        <v>#N/A</v>
      </c>
      <c r="L46" s="374" t="n">
        <f aca="false">IF(A46="N/A"," ",VLOOKUP(A46,PeakPowerCurves,(IF('Pricing Inputs'!$AT$3=2,3,IF('Pricing Inputs'!$AT$3=1,2,4))),FALSE()))</f>
        <v>31.25</v>
      </c>
      <c r="M46" s="374" t="n">
        <f aca="false">IF(A46="N/A"," ",VLOOKUP(A46,SatSunPeakPwr,(IF('Pricing Inputs'!$AT$3=2,3,IF('Pricing Inputs'!$AT$3=1,2,4))),FALSE()))</f>
        <v>23.1005001068115</v>
      </c>
      <c r="N46" s="374" t="n">
        <f aca="false">IF(A46="N/A"," ",VLOOKUP(A46,SatSunPeakPwr,(IF('Pricing Inputs'!$AT$3=2,7,IF('Pricing Inputs'!$AT$3=1,6,8))),FALSE()))</f>
        <v>21.1009998321533</v>
      </c>
      <c r="O46" s="375" t="n">
        <f aca="false">IF(A46="N/A"," ",(VLOOKUP(A46,OPPowerPrices,(IF('Pricing Inputs'!$AT$3=2,7,IF('Pricing Inputs'!$AT$3=1,6,8))),FALSE())))</f>
        <v>19.6999988555908</v>
      </c>
      <c r="P46" s="376" t="e">
        <f aca="false">IF(A46="N/A"," ",(VLOOKUP(A46,GasCurves,15,FALSE())))</f>
        <v>#N/A</v>
      </c>
      <c r="AF46" s="341" t="n">
        <v>37834</v>
      </c>
      <c r="AG46" s="31" t="n">
        <v>21</v>
      </c>
      <c r="AH46" s="31" t="n">
        <v>5</v>
      </c>
      <c r="AI46" s="31" t="n">
        <v>5</v>
      </c>
      <c r="AJ46" s="31" t="n">
        <v>0</v>
      </c>
      <c r="AK46" s="31" t="n">
        <v>31</v>
      </c>
    </row>
    <row r="47" customFormat="false" ht="12.75" hidden="false" customHeight="false" outlineLevel="0" collapsed="false">
      <c r="A47" s="368" t="n">
        <f aca="false">Calculations!A14</f>
        <v>37196</v>
      </c>
      <c r="B47" s="369" t="n">
        <f aca="false">IF(A47="N/A"," ",L47)</f>
        <v>31.625</v>
      </c>
      <c r="C47" s="370" t="n">
        <f aca="false">IF(A47="N/A"," ",(IF(AND(MONTH(A47)&gt;=6,MONTH(A47)&lt;=8,OR($K$37="REGION 2",$K$37="REGION 2A",$K$37="REGION 2B",$K$37="REGION 3",$K$37="REGION 3A",$K$37="REGION 3B",$K$37="REGION 4",$K$37="REGION 4B",$K$37="REGION 4C",$K$37="REGION 5",$K$37="REGION 5A")),((0.059228/(B47/100))-(0.4980013/(SQRT(B47/100)))+2.137988),HLOOKUP(MONTH(A47),ScalarTable,28))))</f>
        <v>0.989225</v>
      </c>
      <c r="D47" s="371" t="n">
        <f aca="false">IF(A47="N/A"," ",C47*B47)</f>
        <v>31.284240625</v>
      </c>
      <c r="E47" s="369" t="n">
        <f aca="false">IF(A47="N/A"," ",M47)</f>
        <v>24.1047515869141</v>
      </c>
      <c r="F47" s="371" t="n">
        <f aca="false">IF(A47="N/A"," ",E47*C47)</f>
        <v>23.8450228885651</v>
      </c>
      <c r="G47" s="369" t="n">
        <f aca="false">IF(A47="N/A"," ",N47)</f>
        <v>22.1044998168945</v>
      </c>
      <c r="H47" s="371" t="n">
        <f aca="false">IF(A47="N/A"," ",G47*C47)</f>
        <v>21.8663238313675</v>
      </c>
      <c r="I47" s="371" t="n">
        <f aca="false">IF(A47="N/A"," ",O47)</f>
        <v>19.6249980926514</v>
      </c>
      <c r="J47" s="372" t="e">
        <f aca="false">IF(A47="N/A"," ",P47)</f>
        <v>#N/A</v>
      </c>
      <c r="L47" s="374" t="n">
        <f aca="false">IF(A47="N/A"," ",VLOOKUP(A47,PeakPowerCurves,(IF('Pricing Inputs'!$AT$3=2,3,IF('Pricing Inputs'!$AT$3=1,2,4))),FALSE()))</f>
        <v>31.625</v>
      </c>
      <c r="M47" s="374" t="n">
        <f aca="false">IF(A47="N/A"," ",VLOOKUP(A47,SatSunPeakPwr,(IF('Pricing Inputs'!$AT$3=2,3,IF('Pricing Inputs'!$AT$3=1,2,4))),FALSE()))</f>
        <v>24.1047515869141</v>
      </c>
      <c r="N47" s="374" t="n">
        <f aca="false">IF(A47="N/A"," ",VLOOKUP(A47,SatSunPeakPwr,(IF('Pricing Inputs'!$AT$3=2,7,IF('Pricing Inputs'!$AT$3=1,6,8))),FALSE()))</f>
        <v>22.1044998168945</v>
      </c>
      <c r="O47" s="375" t="n">
        <f aca="false">IF(A47="N/A"," ",(VLOOKUP(A47,OPPowerPrices,(IF('Pricing Inputs'!$AT$3=2,7,IF('Pricing Inputs'!$AT$3=1,6,8))),FALSE())))</f>
        <v>19.6249980926514</v>
      </c>
      <c r="P47" s="376" t="e">
        <f aca="false">IF(A47="N/A"," ",(VLOOKUP(A47,GasCurves,15,FALSE())))</f>
        <v>#N/A</v>
      </c>
      <c r="AF47" s="341" t="n">
        <v>37865</v>
      </c>
      <c r="AG47" s="31" t="n">
        <v>21</v>
      </c>
      <c r="AH47" s="31" t="n">
        <v>4</v>
      </c>
      <c r="AI47" s="31" t="n">
        <v>4</v>
      </c>
      <c r="AJ47" s="31" t="n">
        <v>1</v>
      </c>
      <c r="AK47" s="31" t="n">
        <v>30</v>
      </c>
    </row>
    <row r="48" customFormat="false" ht="12.75" hidden="false" customHeight="false" outlineLevel="0" collapsed="false">
      <c r="A48" s="368" t="n">
        <f aca="false">Calculations!A15</f>
        <v>37226</v>
      </c>
      <c r="B48" s="369" t="n">
        <f aca="false">IF(A48="N/A"," ",L48)</f>
        <v>31.5</v>
      </c>
      <c r="C48" s="370" t="n">
        <f aca="false">IF(A48="N/A"," ",(IF(AND(MONTH(A48)&gt;=6,MONTH(A48)&lt;=8,OR($K$37="REGION 2",$K$37="REGION 2A",$K$37="REGION 2B",$K$37="REGION 3",$K$37="REGION 3A",$K$37="REGION 3B",$K$37="REGION 4",$K$37="REGION 4B",$K$37="REGION 4C",$K$37="REGION 5",$K$37="REGION 5A")),((0.059228/(B48/100))-(0.4980013/(SQRT(B48/100)))+2.137988),HLOOKUP(MONTH(A48),ScalarTable,28))))</f>
        <v>0.978519445147215</v>
      </c>
      <c r="D48" s="371" t="n">
        <f aca="false">IF(A48="N/A"," ",C48*B48)</f>
        <v>30.8233625221373</v>
      </c>
      <c r="E48" s="369" t="n">
        <f aca="false">IF(A48="N/A"," ",M48)</f>
        <v>25.5549983978272</v>
      </c>
      <c r="F48" s="371" t="n">
        <f aca="false">IF(A48="N/A"," ",E48*C48)</f>
        <v>25.0060628529798</v>
      </c>
      <c r="G48" s="369" t="n">
        <f aca="false">IF(A48="N/A"," ",N48)</f>
        <v>22.0499992370605</v>
      </c>
      <c r="H48" s="371" t="n">
        <f aca="false">IF(A48="N/A"," ",G48*C48)</f>
        <v>21.576353018945</v>
      </c>
      <c r="I48" s="371" t="n">
        <f aca="false">IF(A48="N/A"," ",O48)</f>
        <v>21.0499992370605</v>
      </c>
      <c r="J48" s="372" t="e">
        <f aca="false">IF(A48="N/A"," ",P48)</f>
        <v>#N/A</v>
      </c>
      <c r="L48" s="374" t="n">
        <f aca="false">IF(A48="N/A"," ",VLOOKUP(A48,PeakPowerCurves,(IF('Pricing Inputs'!$AT$3=2,3,IF('Pricing Inputs'!$AT$3=1,2,4))),FALSE()))</f>
        <v>31.5</v>
      </c>
      <c r="M48" s="374" t="n">
        <f aca="false">IF(A48="N/A"," ",VLOOKUP(A48,SatSunPeakPwr,(IF('Pricing Inputs'!$AT$3=2,3,IF('Pricing Inputs'!$AT$3=1,2,4))),FALSE()))</f>
        <v>25.5549983978272</v>
      </c>
      <c r="N48" s="374" t="n">
        <f aca="false">IF(A48="N/A"," ",VLOOKUP(A48,SatSunPeakPwr,(IF('Pricing Inputs'!$AT$3=2,7,IF('Pricing Inputs'!$AT$3=1,6,8))),FALSE()))</f>
        <v>22.0499992370605</v>
      </c>
      <c r="O48" s="375" t="n">
        <f aca="false">IF(A48="N/A"," ",(VLOOKUP(A48,OPPowerPrices,(IF('Pricing Inputs'!$AT$3=2,7,IF('Pricing Inputs'!$AT$3=1,6,8))),FALSE())))</f>
        <v>21.0499992370605</v>
      </c>
      <c r="P48" s="376" t="e">
        <f aca="false">IF(A48="N/A"," ",(VLOOKUP(A48,GasCurves,15,FALSE())))</f>
        <v>#N/A</v>
      </c>
      <c r="AF48" s="341" t="n">
        <v>37895</v>
      </c>
      <c r="AG48" s="31" t="n">
        <v>23</v>
      </c>
      <c r="AH48" s="31" t="n">
        <v>4</v>
      </c>
      <c r="AI48" s="31" t="n">
        <v>4</v>
      </c>
      <c r="AJ48" s="31" t="n">
        <v>0</v>
      </c>
      <c r="AK48" s="31" t="n">
        <v>31</v>
      </c>
    </row>
    <row r="49" customFormat="false" ht="12.75" hidden="false" customHeight="false" outlineLevel="0" collapsed="false">
      <c r="A49" s="368" t="n">
        <f aca="false">Calculations!A16</f>
        <v>37257</v>
      </c>
      <c r="B49" s="369" t="n">
        <f aca="false">IF(A49="N/A"," ",IF(ISERROR(L49),B37*Inputs!$F$19,L49))</f>
        <v>37</v>
      </c>
      <c r="C49" s="370" t="n">
        <f aca="false">IF(A49="N/A"," ",(IF(AND(MONTH(A49)&gt;=6,MONTH(A49)&lt;=8,OR($K$37="REGION 2",$K$37="REGION 2A",$K$37="REGION 2B",$K$37="REGION 3",$K$37="REGION 3A",$K$37="REGION 3B",$K$37="REGION 4",$K$37="REGION 4B",$K$37="REGION 4C",$K$37="REGION 5",$K$37="REGION 5A")),((0.059228/(B49/100))-(0.4980013/(SQRT(B49/100)))+2.137988),HLOOKUP(MONTH(A49),ScalarTable,28))))</f>
        <v>0.969145769131439</v>
      </c>
      <c r="D49" s="371" t="n">
        <f aca="false">IF(A49="N/A"," ",C49*B49)</f>
        <v>35.8583934578633</v>
      </c>
      <c r="E49" s="369" t="n">
        <f aca="false">IF(A49="N/A"," ",IF(ISERROR(M49),E37*Inputs!$F$19,M49))</f>
        <v>28.6487483978272</v>
      </c>
      <c r="F49" s="371" t="n">
        <f aca="false">IF(A49="N/A"," ",E49*C49)</f>
        <v>27.7648133006653</v>
      </c>
      <c r="G49" s="369" t="n">
        <f aca="false">IF(A49="N/A"," ",IF(ISERROR(N49),G37*Inputs!$F$19,N49))</f>
        <v>27.1525001525879</v>
      </c>
      <c r="H49" s="371" t="n">
        <f aca="false">IF(A49="N/A"," ",G49*C49)</f>
        <v>26.3147306442213</v>
      </c>
      <c r="I49" s="371" t="n">
        <f aca="false">IF(A49="N/A"," ",IF(ISERROR(O49),I37*Inputs!$F$19,O49))</f>
        <v>20.7900009155273</v>
      </c>
      <c r="J49" s="372" t="e">
        <f aca="false">IF(A49="N/A"," ",IF(ISERROR(P49),J37*Inputs!$F$23,P49))</f>
        <v>#N/A</v>
      </c>
      <c r="L49" s="374" t="n">
        <f aca="false">IF(A49="N/A"," ",VLOOKUP(A49,PeakPowerCurves,(IF('Pricing Inputs'!$AT$3=2,3,IF('Pricing Inputs'!$AT$3=1,2,4))),FALSE()))</f>
        <v>37</v>
      </c>
      <c r="M49" s="374" t="n">
        <f aca="false">IF(A49="N/A"," ",VLOOKUP(A49,SatSunPeakPwr,(IF('Pricing Inputs'!$AT$3=2,3,IF('Pricing Inputs'!$AT$3=1,2,4))),FALSE()))</f>
        <v>28.6487483978272</v>
      </c>
      <c r="N49" s="374" t="n">
        <f aca="false">IF(A49="N/A"," ",VLOOKUP(A49,SatSunPeakPwr,(IF('Pricing Inputs'!$AT$3=2,7,IF('Pricing Inputs'!$AT$3=1,6,8))),FALSE()))</f>
        <v>27.1525001525879</v>
      </c>
      <c r="O49" s="375" t="n">
        <f aca="false">IF(A49="N/A"," ",(VLOOKUP(A49,OPPowerPrices,(IF('Pricing Inputs'!$AT$3=2,7,IF('Pricing Inputs'!$AT$3=1,6,8))),FALSE())))</f>
        <v>20.7900009155273</v>
      </c>
      <c r="P49" s="376" t="e">
        <f aca="false">IF(A49="N/A"," ",(VLOOKUP(A49,GasCurves,15,FALSE())))</f>
        <v>#N/A</v>
      </c>
      <c r="AF49" s="341" t="n">
        <v>37926</v>
      </c>
      <c r="AG49" s="31" t="n">
        <v>19</v>
      </c>
      <c r="AH49" s="31" t="n">
        <v>5</v>
      </c>
      <c r="AI49" s="31" t="n">
        <v>5</v>
      </c>
      <c r="AJ49" s="31" t="n">
        <v>1</v>
      </c>
      <c r="AK49" s="31" t="n">
        <v>30</v>
      </c>
    </row>
    <row r="50" customFormat="false" ht="12.75" hidden="false" customHeight="false" outlineLevel="0" collapsed="false">
      <c r="A50" s="368" t="n">
        <f aca="false">Calculations!A17</f>
        <v>37288</v>
      </c>
      <c r="B50" s="369" t="n">
        <f aca="false">IF(A50="N/A"," ",IF(ISERROR(L50),B38*Inputs!$F$19,L50))</f>
        <v>37</v>
      </c>
      <c r="C50" s="370" t="n">
        <f aca="false">IF(A50="N/A"," ",(IF(AND(MONTH(A50)&gt;=6,MONTH(A50)&lt;=8,OR($K$37="REGION 2",$K$37="REGION 2A",$K$37="REGION 2B",$K$37="REGION 3",$K$37="REGION 3A",$K$37="REGION 3B",$K$37="REGION 4",$K$37="REGION 4B",$K$37="REGION 4C",$K$37="REGION 5",$K$37="REGION 5A")),((0.059228/(B50/100))-(0.4980013/(SQRT(B50/100)))+2.137988),HLOOKUP(MONTH(A50),ScalarTable,28))))</f>
        <v>0.969145769131439</v>
      </c>
      <c r="D50" s="371" t="n">
        <f aca="false">IF(A50="N/A"," ",C50*B50)</f>
        <v>35.8583934578633</v>
      </c>
      <c r="E50" s="369" t="n">
        <f aca="false">IF(A50="N/A"," ",IF(ISERROR(M50),E38*Inputs!$F$19,M50))</f>
        <v>27.6462501525879</v>
      </c>
      <c r="F50" s="371" t="n">
        <f aca="false">IF(A50="N/A"," ",E50*C50)</f>
        <v>26.79324636773</v>
      </c>
      <c r="G50" s="369" t="n">
        <f aca="false">IF(A50="N/A"," ",IF(ISERROR(N50),G38*Inputs!$F$19,N50))</f>
        <v>25.1474994659424</v>
      </c>
      <c r="H50" s="371" t="n">
        <f aca="false">IF(A50="N/A"," ",G50*C50)</f>
        <v>24.3715927116532</v>
      </c>
      <c r="I50" s="371" t="n">
        <f aca="false">IF(A50="N/A"," ",IF(ISERROR(O50),I38*Inputs!$F$19,O50))</f>
        <v>20.5999977111816</v>
      </c>
      <c r="J50" s="372" t="e">
        <f aca="false">IF(A50="N/A"," ",IF(ISERROR(P50),J38*Inputs!$F$23,P50))</f>
        <v>#N/A</v>
      </c>
      <c r="L50" s="374" t="n">
        <f aca="false">IF(A50="N/A"," ",VLOOKUP(A50,PeakPowerCurves,(IF('Pricing Inputs'!$AT$3=2,3,IF('Pricing Inputs'!$AT$3=1,2,4))),FALSE()))</f>
        <v>37</v>
      </c>
      <c r="M50" s="374" t="n">
        <f aca="false">IF(A50="N/A"," ",VLOOKUP(A50,SatSunPeakPwr,(IF('Pricing Inputs'!$AT$3=2,3,IF('Pricing Inputs'!$AT$3=1,2,4))),FALSE()))</f>
        <v>27.6462501525879</v>
      </c>
      <c r="N50" s="374" t="n">
        <f aca="false">IF(A50="N/A"," ",VLOOKUP(A50,SatSunPeakPwr,(IF('Pricing Inputs'!$AT$3=2,7,IF('Pricing Inputs'!$AT$3=1,6,8))),FALSE()))</f>
        <v>25.1474994659424</v>
      </c>
      <c r="O50" s="375" t="n">
        <f aca="false">IF(A50="N/A"," ",(VLOOKUP(A50,OPPowerPrices,(IF('Pricing Inputs'!$AT$3=2,7,IF('Pricing Inputs'!$AT$3=1,6,8))),FALSE())))</f>
        <v>20.5999977111816</v>
      </c>
      <c r="P50" s="376" t="e">
        <f aca="false">IF(A50="N/A"," ",(VLOOKUP(A50,GasCurves,15,FALSE())))</f>
        <v>#N/A</v>
      </c>
      <c r="AF50" s="341" t="n">
        <v>37956</v>
      </c>
      <c r="AG50" s="31" t="n">
        <v>22</v>
      </c>
      <c r="AH50" s="31" t="n">
        <v>4</v>
      </c>
      <c r="AI50" s="31" t="n">
        <v>4</v>
      </c>
      <c r="AJ50" s="31" t="n">
        <v>1</v>
      </c>
      <c r="AK50" s="31" t="n">
        <v>31</v>
      </c>
    </row>
    <row r="51" customFormat="false" ht="12.75" hidden="false" customHeight="false" outlineLevel="0" collapsed="false">
      <c r="A51" s="368" t="n">
        <f aca="false">Calculations!A18</f>
        <v>37316</v>
      </c>
      <c r="B51" s="369" t="n">
        <f aca="false">IF(A51="N/A"," ",IF(ISERROR(L51),B39*Inputs!$F$19,L51))</f>
        <v>33.25</v>
      </c>
      <c r="C51" s="370" t="n">
        <f aca="false">IF(A51="N/A"," ",(IF(AND(MONTH(A51)&gt;=6,MONTH(A51)&lt;=8,OR($K$37="REGION 2",$K$37="REGION 2A",$K$37="REGION 2B",$K$37="REGION 3",$K$37="REGION 3A",$K$37="REGION 3B",$K$37="REGION 4",$K$37="REGION 4B",$K$37="REGION 4C",$K$37="REGION 5",$K$37="REGION 5A")),((0.059228/(B51/100))-(0.4980013/(SQRT(B51/100)))+2.137988),HLOOKUP(MONTH(A51),ScalarTable,28))))</f>
        <v>0.97165</v>
      </c>
      <c r="D51" s="371" t="n">
        <f aca="false">IF(A51="N/A"," ",C51*B51)</f>
        <v>32.3073625</v>
      </c>
      <c r="E51" s="369" t="n">
        <f aca="false">IF(A51="N/A"," ",IF(ISERROR(M51),E39*Inputs!$F$19,M51))</f>
        <v>20.8347496032715</v>
      </c>
      <c r="F51" s="371" t="n">
        <f aca="false">IF(A51="N/A"," ",E51*C51)</f>
        <v>20.2440844520187</v>
      </c>
      <c r="G51" s="369" t="n">
        <f aca="false">IF(A51="N/A"," ",IF(ISERROR(N51),G39*Inputs!$F$19,N51))</f>
        <v>20.4644989013672</v>
      </c>
      <c r="H51" s="371" t="n">
        <f aca="false">IF(A51="N/A"," ",G51*C51)</f>
        <v>19.8843303575134</v>
      </c>
      <c r="I51" s="371" t="n">
        <f aca="false">IF(A51="N/A"," ",IF(ISERROR(O51),I39*Inputs!$F$19,O51))</f>
        <v>19.5999996185303</v>
      </c>
      <c r="J51" s="372" t="e">
        <f aca="false">IF(A51="N/A"," ",IF(ISERROR(P51),J39*Inputs!$F$23,P51))</f>
        <v>#N/A</v>
      </c>
      <c r="L51" s="374" t="n">
        <f aca="false">IF(A51="N/A"," ",VLOOKUP(A51,PeakPowerCurves,(IF('Pricing Inputs'!$AT$3=2,3,IF('Pricing Inputs'!$AT$3=1,2,4))),FALSE()))</f>
        <v>33.25</v>
      </c>
      <c r="M51" s="374" t="n">
        <f aca="false">IF(A51="N/A"," ",VLOOKUP(A51,SatSunPeakPwr,(IF('Pricing Inputs'!$AT$3=2,3,IF('Pricing Inputs'!$AT$3=1,2,4))),FALSE()))</f>
        <v>20.8347496032715</v>
      </c>
      <c r="N51" s="374" t="n">
        <f aca="false">IF(A51="N/A"," ",VLOOKUP(A51,SatSunPeakPwr,(IF('Pricing Inputs'!$AT$3=2,7,IF('Pricing Inputs'!$AT$3=1,6,8))),FALSE()))</f>
        <v>20.4644989013672</v>
      </c>
      <c r="O51" s="375" t="n">
        <f aca="false">IF(A51="N/A"," ",(VLOOKUP(A51,OPPowerPrices,(IF('Pricing Inputs'!$AT$3=2,7,IF('Pricing Inputs'!$AT$3=1,6,8))),FALSE())))</f>
        <v>19.5999996185303</v>
      </c>
      <c r="P51" s="376" t="e">
        <f aca="false">IF(A51="N/A"," ",(VLOOKUP(A51,GasCurves,15,FALSE())))</f>
        <v>#N/A</v>
      </c>
      <c r="AF51" s="341" t="n">
        <v>37987</v>
      </c>
      <c r="AG51" s="31" t="n">
        <v>21</v>
      </c>
      <c r="AH51" s="31" t="n">
        <v>5</v>
      </c>
      <c r="AI51" s="31" t="n">
        <v>4</v>
      </c>
      <c r="AJ51" s="31" t="n">
        <v>1</v>
      </c>
      <c r="AK51" s="31" t="n">
        <v>31</v>
      </c>
    </row>
    <row r="52" customFormat="false" ht="12.75" hidden="false" customHeight="false" outlineLevel="0" collapsed="false">
      <c r="A52" s="368" t="n">
        <f aca="false">Calculations!A19</f>
        <v>37347</v>
      </c>
      <c r="B52" s="369" t="n">
        <f aca="false">IF(A52="N/A"," ",IF(ISERROR(L52),B40*Inputs!$F$19,L52))</f>
        <v>32</v>
      </c>
      <c r="C52" s="370" t="n">
        <f aca="false">IF(A52="N/A"," ",(IF(AND(MONTH(A52)&gt;=6,MONTH(A52)&lt;=8,OR($K$37="REGION 2",$K$37="REGION 2A",$K$37="REGION 2B",$K$37="REGION 3",$K$37="REGION 3A",$K$37="REGION 3B",$K$37="REGION 4",$K$37="REGION 4B",$K$37="REGION 4C",$K$37="REGION 5",$K$37="REGION 5A")),((0.059228/(B52/100))-(0.4980013/(SQRT(B52/100)))+2.137988),HLOOKUP(MONTH(A52),ScalarTable,28))))</f>
        <v>0.924989009949893</v>
      </c>
      <c r="D52" s="371" t="n">
        <f aca="false">IF(A52="N/A"," ",C52*B52)</f>
        <v>29.5996483183966</v>
      </c>
      <c r="E52" s="369" t="n">
        <f aca="false">IF(A52="N/A"," ",IF(ISERROR(M52),E40*Inputs!$F$19,M52))</f>
        <v>21.5175003051758</v>
      </c>
      <c r="F52" s="371" t="n">
        <f aca="false">IF(A52="N/A"," ",E52*C52)</f>
        <v>19.9034513038811</v>
      </c>
      <c r="G52" s="369" t="n">
        <f aca="false">IF(A52="N/A"," ",IF(ISERROR(N52),G40*Inputs!$F$19,N52))</f>
        <v>20.2349990844727</v>
      </c>
      <c r="H52" s="371" t="n">
        <f aca="false">IF(A52="N/A"," ",G52*C52)</f>
        <v>18.7171517694834</v>
      </c>
      <c r="I52" s="371" t="n">
        <f aca="false">IF(A52="N/A"," ",IF(ISERROR(O52),I40*Inputs!$F$19,O52))</f>
        <v>19.5999977111816</v>
      </c>
      <c r="J52" s="372" t="e">
        <f aca="false">IF(A52="N/A"," ",IF(ISERROR(P52),J40*Inputs!$F$23,P52))</f>
        <v>#N/A</v>
      </c>
      <c r="L52" s="374" t="n">
        <f aca="false">IF(A52="N/A"," ",VLOOKUP(A52,PeakPowerCurves,(IF('Pricing Inputs'!$AT$3=2,3,IF('Pricing Inputs'!$AT$3=1,2,4))),FALSE()))</f>
        <v>32</v>
      </c>
      <c r="M52" s="374" t="n">
        <f aca="false">IF(A52="N/A"," ",VLOOKUP(A52,SatSunPeakPwr,(IF('Pricing Inputs'!$AT$3=2,3,IF('Pricing Inputs'!$AT$3=1,2,4))),FALSE()))</f>
        <v>21.5175003051758</v>
      </c>
      <c r="N52" s="374" t="n">
        <f aca="false">IF(A52="N/A"," ",VLOOKUP(A52,SatSunPeakPwr,(IF('Pricing Inputs'!$AT$3=2,7,IF('Pricing Inputs'!$AT$3=1,6,8))),FALSE()))</f>
        <v>20.2349990844727</v>
      </c>
      <c r="O52" s="375" t="n">
        <f aca="false">IF(A52="N/A"," ",(VLOOKUP(A52,OPPowerPrices,(IF('Pricing Inputs'!$AT$3=2,7,IF('Pricing Inputs'!$AT$3=1,6,8))),FALSE())))</f>
        <v>19.5999977111816</v>
      </c>
      <c r="P52" s="376" t="e">
        <f aca="false">IF(A52="N/A"," ",(VLOOKUP(A52,GasCurves,15,FALSE())))</f>
        <v>#N/A</v>
      </c>
      <c r="AF52" s="341" t="n">
        <v>38018</v>
      </c>
      <c r="AG52" s="31" t="n">
        <v>20</v>
      </c>
      <c r="AH52" s="31" t="n">
        <v>4</v>
      </c>
      <c r="AI52" s="31" t="n">
        <v>5</v>
      </c>
      <c r="AJ52" s="31" t="n">
        <v>0</v>
      </c>
      <c r="AK52" s="31" t="n">
        <v>29</v>
      </c>
    </row>
    <row r="53" customFormat="false" ht="12.75" hidden="false" customHeight="false" outlineLevel="0" collapsed="false">
      <c r="A53" s="368" t="n">
        <f aca="false">Calculations!A20</f>
        <v>37377</v>
      </c>
      <c r="B53" s="369" t="n">
        <f aca="false">IF(A53="N/A"," ",IF(ISERROR(L53),B41*Inputs!$F$19,L53))</f>
        <v>34</v>
      </c>
      <c r="C53" s="370" t="n">
        <f aca="false">IF(A53="N/A"," ",(IF(AND(MONTH(A53)&gt;=6,MONTH(A53)&lt;=8,OR($K$37="REGION 2",$K$37="REGION 2A",$K$37="REGION 2B",$K$37="REGION 3",$K$37="REGION 3A",$K$37="REGION 3B",$K$37="REGION 4",$K$37="REGION 4B",$K$37="REGION 4C",$K$37="REGION 5",$K$37="REGION 5A")),((0.059228/(B53/100))-(0.4980013/(SQRT(B53/100)))+2.137988),HLOOKUP(MONTH(A53),ScalarTable,28))))</f>
        <v>0.972355461918447</v>
      </c>
      <c r="D53" s="371" t="n">
        <f aca="false">IF(A53="N/A"," ",C53*B53)</f>
        <v>33.0600857052272</v>
      </c>
      <c r="E53" s="369" t="n">
        <f aca="false">IF(A53="N/A"," ",IF(ISERROR(M53),E41*Inputs!$F$19,M53))</f>
        <v>21.6325000762939</v>
      </c>
      <c r="F53" s="371" t="n">
        <f aca="false">IF(A53="N/A"," ",E53*C53)</f>
        <v>21.0344796041356</v>
      </c>
      <c r="G53" s="369" t="n">
        <f aca="false">IF(A53="N/A"," ",IF(ISERROR(N53),G41*Inputs!$F$19,N53))</f>
        <v>20.7649997711182</v>
      </c>
      <c r="H53" s="371" t="n">
        <f aca="false">IF(A53="N/A"," ",G53*C53)</f>
        <v>20.190960944182</v>
      </c>
      <c r="I53" s="371" t="n">
        <f aca="false">IF(A53="N/A"," ",IF(ISERROR(O53),I41*Inputs!$F$19,O53))</f>
        <v>19.5999977111816</v>
      </c>
      <c r="J53" s="372" t="e">
        <f aca="false">IF(A53="N/A"," ",IF(ISERROR(P53),J41*Inputs!$F$23,P53))</f>
        <v>#N/A</v>
      </c>
      <c r="L53" s="374" t="n">
        <f aca="false">IF(A53="N/A"," ",VLOOKUP(A53,PeakPowerCurves,(IF('Pricing Inputs'!$AT$3=2,3,IF('Pricing Inputs'!$AT$3=1,2,4))),FALSE()))</f>
        <v>34</v>
      </c>
      <c r="M53" s="374" t="n">
        <f aca="false">IF(A53="N/A"," ",VLOOKUP(A53,SatSunPeakPwr,(IF('Pricing Inputs'!$AT$3=2,3,IF('Pricing Inputs'!$AT$3=1,2,4))),FALSE()))</f>
        <v>21.6325000762939</v>
      </c>
      <c r="N53" s="374" t="n">
        <f aca="false">IF(A53="N/A"," ",VLOOKUP(A53,SatSunPeakPwr,(IF('Pricing Inputs'!$AT$3=2,7,IF('Pricing Inputs'!$AT$3=1,6,8))),FALSE()))</f>
        <v>20.7649997711182</v>
      </c>
      <c r="O53" s="375" t="n">
        <f aca="false">IF(A53="N/A"," ",(VLOOKUP(A53,OPPowerPrices,(IF('Pricing Inputs'!$AT$3=2,7,IF('Pricing Inputs'!$AT$3=1,6,8))),FALSE())))</f>
        <v>19.5999977111816</v>
      </c>
      <c r="P53" s="376" t="e">
        <f aca="false">IF(A53="N/A"," ",(VLOOKUP(A53,GasCurves,15,FALSE())))</f>
        <v>#N/A</v>
      </c>
      <c r="AF53" s="341" t="n">
        <v>38047</v>
      </c>
      <c r="AG53" s="31" t="n">
        <v>23</v>
      </c>
      <c r="AH53" s="31" t="n">
        <v>4</v>
      </c>
      <c r="AI53" s="31" t="n">
        <v>4</v>
      </c>
      <c r="AJ53" s="31" t="n">
        <v>0</v>
      </c>
      <c r="AK53" s="31" t="n">
        <v>31</v>
      </c>
    </row>
    <row r="54" customFormat="false" ht="12.75" hidden="false" customHeight="false" outlineLevel="0" collapsed="false">
      <c r="A54" s="368" t="n">
        <f aca="false">Calculations!A21</f>
        <v>37408</v>
      </c>
      <c r="B54" s="369" t="n">
        <f aca="false">IF(A54="N/A"," ",IF(ISERROR(L54),B42*Inputs!$F$19,L54))</f>
        <v>49.75</v>
      </c>
      <c r="C54" s="370" t="n">
        <f aca="false">IF(A54="N/A"," ",(IF(AND(MONTH(A54)&gt;=6,MONTH(A54)&lt;=8,OR($K$37="REGION 2",$K$37="REGION 2A",$K$37="REGION 2B",$K$37="REGION 3",$K$37="REGION 3A",$K$37="REGION 3B",$K$37="REGION 4",$K$37="REGION 4B",$K$37="REGION 4C",$K$37="REGION 5",$K$37="REGION 5A")),((0.059228/(B54/100))-(0.4980013/(SQRT(B54/100)))+2.137988),HLOOKUP(MONTH(A54),ScalarTable,28))))</f>
        <v>1.14029274839576</v>
      </c>
      <c r="D54" s="371" t="n">
        <f aca="false">IF(A54="N/A"," ",C54*B54)</f>
        <v>56.7295642326888</v>
      </c>
      <c r="E54" s="369" t="n">
        <f aca="false">IF(A54="N/A"," ",IF(ISERROR(M54),E42*Inputs!$F$19,M54))</f>
        <v>26.0587501525879</v>
      </c>
      <c r="F54" s="371" t="n">
        <f aca="false">IF(A54="N/A"," ",E54*C54)</f>
        <v>29.7146038312528</v>
      </c>
      <c r="G54" s="369" t="n">
        <f aca="false">IF(A54="N/A"," ",IF(ISERROR(N54),G42*Inputs!$F$19,N54))</f>
        <v>19.5424995422363</v>
      </c>
      <c r="H54" s="371" t="n">
        <f aca="false">IF(A54="N/A"," ",G54*C54)</f>
        <v>22.2841705135395</v>
      </c>
      <c r="I54" s="371" t="n">
        <f aca="false">IF(A54="N/A"," ",IF(ISERROR(O54),I42*Inputs!$F$19,O54))</f>
        <v>19.5549987792969</v>
      </c>
      <c r="J54" s="372" t="e">
        <f aca="false">IF(A54="N/A"," ",IF(ISERROR(P54),J42*Inputs!$F$23,P54))</f>
        <v>#N/A</v>
      </c>
      <c r="L54" s="374" t="n">
        <f aca="false">IF(A54="N/A"," ",VLOOKUP(A54,PeakPowerCurves,(IF('Pricing Inputs'!$AT$3=2,3,IF('Pricing Inputs'!$AT$3=1,2,4))),FALSE()))</f>
        <v>49.75</v>
      </c>
      <c r="M54" s="374" t="n">
        <f aca="false">IF(A54="N/A"," ",VLOOKUP(A54,SatSunPeakPwr,(IF('Pricing Inputs'!$AT$3=2,3,IF('Pricing Inputs'!$AT$3=1,2,4))),FALSE()))</f>
        <v>26.0587501525879</v>
      </c>
      <c r="N54" s="374" t="n">
        <f aca="false">IF(A54="N/A"," ",VLOOKUP(A54,SatSunPeakPwr,(IF('Pricing Inputs'!$AT$3=2,7,IF('Pricing Inputs'!$AT$3=1,6,8))),FALSE()))</f>
        <v>19.5424995422363</v>
      </c>
      <c r="O54" s="375" t="n">
        <f aca="false">IF(A54="N/A"," ",(VLOOKUP(A54,OPPowerPrices,(IF('Pricing Inputs'!$AT$3=2,7,IF('Pricing Inputs'!$AT$3=1,6,8))),FALSE())))</f>
        <v>19.5549987792969</v>
      </c>
      <c r="P54" s="376" t="e">
        <f aca="false">IF(A54="N/A"," ",(VLOOKUP(A54,GasCurves,15,FALSE())))</f>
        <v>#N/A</v>
      </c>
      <c r="AF54" s="341" t="n">
        <v>38078</v>
      </c>
      <c r="AG54" s="31" t="n">
        <v>22</v>
      </c>
      <c r="AH54" s="31" t="n">
        <v>4</v>
      </c>
      <c r="AI54" s="31" t="n">
        <v>4</v>
      </c>
      <c r="AJ54" s="31" t="n">
        <v>0</v>
      </c>
      <c r="AK54" s="31" t="n">
        <v>30</v>
      </c>
    </row>
    <row r="55" customFormat="false" ht="12.75" hidden="false" customHeight="false" outlineLevel="0" collapsed="false">
      <c r="A55" s="368" t="n">
        <f aca="false">Calculations!A22</f>
        <v>37438</v>
      </c>
      <c r="B55" s="369" t="n">
        <f aca="false">IF(A55="N/A"," ",IF(ISERROR(L55),B43*Inputs!$F$19,L55))</f>
        <v>72.5</v>
      </c>
      <c r="C55" s="370" t="n">
        <f aca="false">IF(A55="N/A"," ",(IF(AND(MONTH(A55)&gt;=6,MONTH(A55)&lt;=8,OR($K$37="REGION 2",$K$37="REGION 2A",$K$37="REGION 2B",$K$37="REGION 3",$K$37="REGION 3A",$K$37="REGION 3B",$K$37="REGION 4",$K$37="REGION 4B",$K$37="REGION 4C",$K$37="REGION 5",$K$37="REGION 5A")),((0.059228/(B55/100))-(0.4980013/(SQRT(B55/100)))+2.137988),HLOOKUP(MONTH(A55),ScalarTable,28))))</f>
        <v>1.19166491456367</v>
      </c>
      <c r="D55" s="371" t="n">
        <f aca="false">IF(A55="N/A"," ",C55*B55)</f>
        <v>86.395706305866</v>
      </c>
      <c r="E55" s="369" t="n">
        <f aca="false">IF(A55="N/A"," ",IF(ISERROR(M55),E43*Inputs!$F$19,M55))</f>
        <v>39.7612495422363</v>
      </c>
      <c r="F55" s="371" t="n">
        <f aca="false">IF(A55="N/A"," ",E55*C55)</f>
        <v>47.3820860386938</v>
      </c>
      <c r="G55" s="369" t="n">
        <f aca="false">IF(A55="N/A"," ",IF(ISERROR(N55),G43*Inputs!$F$19,N55))</f>
        <v>29.2474994659424</v>
      </c>
      <c r="H55" s="371" t="n">
        <f aca="false">IF(A55="N/A"," ",G55*C55)</f>
        <v>34.8532189522832</v>
      </c>
      <c r="I55" s="371" t="n">
        <f aca="false">IF(A55="N/A"," ",IF(ISERROR(O55),I43*Inputs!$F$19,O55))</f>
        <v>24.0499977111816</v>
      </c>
      <c r="J55" s="372" t="e">
        <f aca="false">IF(A55="N/A"," ",IF(ISERROR(P55),J43*Inputs!$F$23,P55))</f>
        <v>#N/A</v>
      </c>
      <c r="L55" s="374" t="n">
        <f aca="false">IF(A55="N/A"," ",VLOOKUP(A55,PeakPowerCurves,(IF('Pricing Inputs'!$AT$3=2,3,IF('Pricing Inputs'!$AT$3=1,2,4))),FALSE()))</f>
        <v>72.5</v>
      </c>
      <c r="M55" s="374" t="n">
        <f aca="false">IF(A55="N/A"," ",VLOOKUP(A55,SatSunPeakPwr,(IF('Pricing Inputs'!$AT$3=2,3,IF('Pricing Inputs'!$AT$3=1,2,4))),FALSE()))</f>
        <v>39.7612495422363</v>
      </c>
      <c r="N55" s="374" t="n">
        <f aca="false">IF(A55="N/A"," ",VLOOKUP(A55,SatSunPeakPwr,(IF('Pricing Inputs'!$AT$3=2,7,IF('Pricing Inputs'!$AT$3=1,6,8))),FALSE()))</f>
        <v>29.2474994659424</v>
      </c>
      <c r="O55" s="375" t="n">
        <f aca="false">IF(A55="N/A"," ",(VLOOKUP(A55,OPPowerPrices,(IF('Pricing Inputs'!$AT$3=2,7,IF('Pricing Inputs'!$AT$3=1,6,8))),FALSE())))</f>
        <v>24.0499977111816</v>
      </c>
      <c r="P55" s="376" t="e">
        <f aca="false">IF(A55="N/A"," ",(VLOOKUP(A55,GasCurves,15,FALSE())))</f>
        <v>#N/A</v>
      </c>
      <c r="AF55" s="341" t="n">
        <v>38108</v>
      </c>
      <c r="AG55" s="31" t="n">
        <v>20</v>
      </c>
      <c r="AH55" s="31" t="n">
        <v>5</v>
      </c>
      <c r="AI55" s="31" t="n">
        <v>5</v>
      </c>
      <c r="AJ55" s="31" t="n">
        <v>1</v>
      </c>
      <c r="AK55" s="31" t="n">
        <v>31</v>
      </c>
    </row>
    <row r="56" customFormat="false" ht="12.75" hidden="false" customHeight="false" outlineLevel="0" collapsed="false">
      <c r="A56" s="368" t="n">
        <f aca="false">Calculations!A23</f>
        <v>37469</v>
      </c>
      <c r="B56" s="369" t="n">
        <f aca="false">IF(A56="N/A"," ",IF(ISERROR(L56),B44*Inputs!$F$19,L56))</f>
        <v>68</v>
      </c>
      <c r="C56" s="370" t="n">
        <f aca="false">IF(A56="N/A"," ",(IF(AND(MONTH(A56)&gt;=6,MONTH(A56)&lt;=8,OR($K$37="REGION 2",$K$37="REGION 2A",$K$37="REGION 2B",$K$37="REGION 3",$K$37="REGION 3A",$K$37="REGION 3B",$K$37="REGION 4",$K$37="REGION 4B",$K$37="REGION 4C",$K$37="REGION 5",$K$37="REGION 5A")),((0.059228/(B56/100))-(0.4980013/(SQRT(B56/100)))+2.137988),HLOOKUP(MONTH(A56),ScalarTable,28))))</f>
        <v>1.1089289483683</v>
      </c>
      <c r="D56" s="371" t="n">
        <f aca="false">IF(A56="N/A"," ",C56*B56)</f>
        <v>75.4071684890446</v>
      </c>
      <c r="E56" s="369" t="n">
        <f aca="false">IF(A56="N/A"," ",IF(ISERROR(M56),E44*Inputs!$F$19,M56))</f>
        <v>42.0224990844727</v>
      </c>
      <c r="F56" s="371" t="n">
        <f aca="false">IF(A56="N/A"," ",E56*C56)</f>
        <v>46.5999657175522</v>
      </c>
      <c r="G56" s="369" t="n">
        <f aca="false">IF(A56="N/A"," ",IF(ISERROR(N56),G44*Inputs!$F$19,N56))</f>
        <v>30.7450008392334</v>
      </c>
      <c r="H56" s="371" t="n">
        <f aca="false">IF(A56="N/A"," ",G56*C56)</f>
        <v>34.0940214482337</v>
      </c>
      <c r="I56" s="371" t="n">
        <f aca="false">IF(A56="N/A"," ",IF(ISERROR(O56),I44*Inputs!$F$19,O56))</f>
        <v>24.3999980926514</v>
      </c>
      <c r="J56" s="372" t="e">
        <f aca="false">IF(A56="N/A"," ",IF(ISERROR(P56),J44*Inputs!$F$23,P56))</f>
        <v>#N/A</v>
      </c>
      <c r="L56" s="374" t="n">
        <f aca="false">IF(A56="N/A"," ",VLOOKUP(A56,PeakPowerCurves,(IF('Pricing Inputs'!$AT$3=2,3,IF('Pricing Inputs'!$AT$3=1,2,4))),FALSE()))</f>
        <v>68</v>
      </c>
      <c r="M56" s="374" t="n">
        <f aca="false">IF(A56="N/A"," ",VLOOKUP(A56,SatSunPeakPwr,(IF('Pricing Inputs'!$AT$3=2,3,IF('Pricing Inputs'!$AT$3=1,2,4))),FALSE()))</f>
        <v>42.0224990844727</v>
      </c>
      <c r="N56" s="374" t="n">
        <f aca="false">IF(A56="N/A"," ",VLOOKUP(A56,SatSunPeakPwr,(IF('Pricing Inputs'!$AT$3=2,7,IF('Pricing Inputs'!$AT$3=1,6,8))),FALSE()))</f>
        <v>30.7450008392334</v>
      </c>
      <c r="O56" s="375" t="n">
        <f aca="false">IF(A56="N/A"," ",(VLOOKUP(A56,OPPowerPrices,(IF('Pricing Inputs'!$AT$3=2,7,IF('Pricing Inputs'!$AT$3=1,6,8))),FALSE())))</f>
        <v>24.3999980926514</v>
      </c>
      <c r="P56" s="376" t="e">
        <f aca="false">IF(A56="N/A"," ",(VLOOKUP(A56,GasCurves,15,FALSE())))</f>
        <v>#N/A</v>
      </c>
      <c r="AF56" s="341" t="n">
        <v>38139</v>
      </c>
      <c r="AG56" s="31" t="n">
        <v>22</v>
      </c>
      <c r="AH56" s="31" t="n">
        <v>4</v>
      </c>
      <c r="AI56" s="31" t="n">
        <v>4</v>
      </c>
      <c r="AJ56" s="31" t="n">
        <v>0</v>
      </c>
      <c r="AK56" s="31" t="n">
        <v>30</v>
      </c>
    </row>
    <row r="57" customFormat="false" ht="12.75" hidden="false" customHeight="false" outlineLevel="0" collapsed="false">
      <c r="A57" s="368" t="n">
        <f aca="false">Calculations!A24</f>
        <v>37500</v>
      </c>
      <c r="B57" s="369" t="n">
        <f aca="false">IF(A57="N/A"," ",IF(ISERROR(L57),B45*Inputs!$F$19,L57))</f>
        <v>33</v>
      </c>
      <c r="C57" s="370" t="n">
        <f aca="false">IF(A57="N/A"," ",(IF(AND(MONTH(A57)&gt;=6,MONTH(A57)&lt;=8,OR($K$37="REGION 2",$K$37="REGION 2A",$K$37="REGION 2B",$K$37="REGION 3",$K$37="REGION 3A",$K$37="REGION 3B",$K$37="REGION 4",$K$37="REGION 4B",$K$37="REGION 4C",$K$37="REGION 5",$K$37="REGION 5A")),((0.059228/(B57/100))-(0.4980013/(SQRT(B57/100)))+2.137988),HLOOKUP(MONTH(A57),ScalarTable,28))))</f>
        <v>1.09653379232051</v>
      </c>
      <c r="D57" s="371" t="n">
        <f aca="false">IF(A57="N/A"," ",C57*B57)</f>
        <v>36.1856151465769</v>
      </c>
      <c r="E57" s="369" t="n">
        <f aca="false">IF(A57="N/A"," ",IF(ISERROR(M57),E45*Inputs!$F$19,M57))</f>
        <v>22.9049991607666</v>
      </c>
      <c r="F57" s="371" t="n">
        <f aca="false">IF(A57="N/A"," ",E57*C57)</f>
        <v>25.1161055928535</v>
      </c>
      <c r="G57" s="369" t="n">
        <f aca="false">IF(A57="N/A"," ",IF(ISERROR(N57),G45*Inputs!$F$19,N57))</f>
        <v>23.4</v>
      </c>
      <c r="H57" s="371" t="n">
        <f aca="false">IF(A57="N/A"," ",G57*C57)</f>
        <v>25.6588907402999</v>
      </c>
      <c r="I57" s="371" t="n">
        <f aca="false">IF(A57="N/A"," ",IF(ISERROR(O57),I45*Inputs!$F$19,O57))</f>
        <v>19.9499980926514</v>
      </c>
      <c r="J57" s="372" t="e">
        <f aca="false">IF(A57="N/A"," ",IF(ISERROR(P57),J45*Inputs!$F$23,P57))</f>
        <v>#N/A</v>
      </c>
      <c r="L57" s="374" t="n">
        <f aca="false">IF(A57="N/A"," ",VLOOKUP(A57,PeakPowerCurves,(IF('Pricing Inputs'!$AT$3=2,3,IF('Pricing Inputs'!$AT$3=1,2,4))),FALSE()))</f>
        <v>33</v>
      </c>
      <c r="M57" s="374" t="n">
        <f aca="false">IF(A57="N/A"," ",VLOOKUP(A57,SatSunPeakPwr,(IF('Pricing Inputs'!$AT$3=2,3,IF('Pricing Inputs'!$AT$3=1,2,4))),FALSE()))</f>
        <v>22.9049991607666</v>
      </c>
      <c r="N57" s="374" t="n">
        <f aca="false">IF(A57="N/A"," ",VLOOKUP(A57,SatSunPeakPwr,(IF('Pricing Inputs'!$AT$3=2,7,IF('Pricing Inputs'!$AT$3=1,6,8))),FALSE()))</f>
        <v>23.4</v>
      </c>
      <c r="O57" s="375" t="n">
        <f aca="false">IF(A57="N/A"," ",(VLOOKUP(A57,OPPowerPrices,(IF('Pricing Inputs'!$AT$3=2,7,IF('Pricing Inputs'!$AT$3=1,6,8))),FALSE())))</f>
        <v>19.9499980926514</v>
      </c>
      <c r="P57" s="376" t="e">
        <f aca="false">IF(A57="N/A"," ",(VLOOKUP(A57,GasCurves,15,FALSE())))</f>
        <v>#N/A</v>
      </c>
      <c r="AF57" s="341" t="n">
        <v>38169</v>
      </c>
      <c r="AG57" s="31" t="n">
        <v>21</v>
      </c>
      <c r="AH57" s="31" t="n">
        <v>5</v>
      </c>
      <c r="AI57" s="31" t="n">
        <v>4</v>
      </c>
      <c r="AJ57" s="31" t="n">
        <v>1</v>
      </c>
      <c r="AK57" s="31" t="n">
        <v>31</v>
      </c>
    </row>
    <row r="58" customFormat="false" ht="12.75" hidden="false" customHeight="false" outlineLevel="0" collapsed="false">
      <c r="A58" s="368" t="n">
        <f aca="false">Calculations!A25</f>
        <v>37530</v>
      </c>
      <c r="B58" s="369" t="n">
        <f aca="false">IF(A58="N/A"," ",IF(ISERROR(L58),B46*Inputs!$F$19,L58))</f>
        <v>30.75</v>
      </c>
      <c r="C58" s="370" t="n">
        <f aca="false">IF(A58="N/A"," ",(IF(AND(MONTH(A58)&gt;=6,MONTH(A58)&lt;=8,OR($K$37="REGION 2",$K$37="REGION 2A",$K$37="REGION 2B",$K$37="REGION 3",$K$37="REGION 3A",$K$37="REGION 3B",$K$37="REGION 4",$K$37="REGION 4B",$K$37="REGION 4C",$K$37="REGION 5",$K$37="REGION 5A")),((0.059228/(B58/100))-(0.4980013/(SQRT(B58/100)))+2.137988),HLOOKUP(MONTH(A58),ScalarTable,28))))</f>
        <v>0.986925</v>
      </c>
      <c r="D58" s="371" t="n">
        <f aca="false">IF(A58="N/A"," ",C58*B58)</f>
        <v>30.34794375</v>
      </c>
      <c r="E58" s="369" t="n">
        <f aca="false">IF(A58="N/A"," ",IF(ISERROR(M58),E46*Inputs!$F$19,M58))</f>
        <v>23.0005001068115</v>
      </c>
      <c r="F58" s="371" t="n">
        <f aca="false">IF(A58="N/A"," ",E58*C58)</f>
        <v>22.699768567915</v>
      </c>
      <c r="G58" s="369" t="n">
        <f aca="false">IF(A58="N/A"," ",IF(ISERROR(N58),G46*Inputs!$F$19,N58))</f>
        <v>21.0009998321533</v>
      </c>
      <c r="H58" s="371" t="n">
        <f aca="false">IF(A58="N/A"," ",G58*C58)</f>
        <v>20.7264117593479</v>
      </c>
      <c r="I58" s="371" t="n">
        <f aca="false">IF(A58="N/A"," ",IF(ISERROR(O58),I46*Inputs!$F$19,O58))</f>
        <v>19.6499988555908</v>
      </c>
      <c r="J58" s="372" t="e">
        <f aca="false">IF(A58="N/A"," ",IF(ISERROR(P58),J46*Inputs!$F$23,P58))</f>
        <v>#N/A</v>
      </c>
      <c r="L58" s="374" t="n">
        <f aca="false">IF(A58="N/A"," ",VLOOKUP(A58,PeakPowerCurves,(IF('Pricing Inputs'!$AT$3=2,3,IF('Pricing Inputs'!$AT$3=1,2,4))),FALSE()))</f>
        <v>30.75</v>
      </c>
      <c r="M58" s="374" t="n">
        <f aca="false">IF(A58="N/A"," ",VLOOKUP(A58,SatSunPeakPwr,(IF('Pricing Inputs'!$AT$3=2,3,IF('Pricing Inputs'!$AT$3=1,2,4))),FALSE()))</f>
        <v>23.0005001068115</v>
      </c>
      <c r="N58" s="374" t="n">
        <f aca="false">IF(A58="N/A"," ",VLOOKUP(A58,SatSunPeakPwr,(IF('Pricing Inputs'!$AT$3=2,7,IF('Pricing Inputs'!$AT$3=1,6,8))),FALSE()))</f>
        <v>21.0009998321533</v>
      </c>
      <c r="O58" s="375" t="n">
        <f aca="false">IF(A58="N/A"," ",(VLOOKUP(A58,OPPowerPrices,(IF('Pricing Inputs'!$AT$3=2,7,IF('Pricing Inputs'!$AT$3=1,6,8))),FALSE())))</f>
        <v>19.6499988555908</v>
      </c>
      <c r="P58" s="376" t="e">
        <f aca="false">IF(A58="N/A"," ",(VLOOKUP(A58,GasCurves,15,FALSE())))</f>
        <v>#N/A</v>
      </c>
      <c r="AF58" s="341" t="n">
        <v>38200</v>
      </c>
      <c r="AG58" s="31" t="n">
        <v>22</v>
      </c>
      <c r="AH58" s="31" t="n">
        <v>4</v>
      </c>
      <c r="AI58" s="31" t="n">
        <v>5</v>
      </c>
      <c r="AJ58" s="31" t="n">
        <v>0</v>
      </c>
      <c r="AK58" s="31" t="n">
        <v>31</v>
      </c>
    </row>
    <row r="59" customFormat="false" ht="12.75" hidden="false" customHeight="false" outlineLevel="0" collapsed="false">
      <c r="A59" s="368" t="n">
        <f aca="false">Calculations!A26</f>
        <v>37561</v>
      </c>
      <c r="B59" s="369" t="n">
        <f aca="false">IF(A59="N/A"," ",IF(ISERROR(L59),B47*Inputs!$F$19,L59))</f>
        <v>31.125</v>
      </c>
      <c r="C59" s="370" t="n">
        <f aca="false">IF(A59="N/A"," ",(IF(AND(MONTH(A59)&gt;=6,MONTH(A59)&lt;=8,OR($K$37="REGION 2",$K$37="REGION 2A",$K$37="REGION 2B",$K$37="REGION 3",$K$37="REGION 3A",$K$37="REGION 3B",$K$37="REGION 4",$K$37="REGION 4B",$K$37="REGION 4C",$K$37="REGION 5",$K$37="REGION 5A")),((0.059228/(B59/100))-(0.4980013/(SQRT(B59/100)))+2.137988),HLOOKUP(MONTH(A59),ScalarTable,28))))</f>
        <v>0.989225</v>
      </c>
      <c r="D59" s="371" t="n">
        <f aca="false">IF(A59="N/A"," ",C59*B59)</f>
        <v>30.789628125</v>
      </c>
      <c r="E59" s="369" t="n">
        <f aca="false">IF(A59="N/A"," ",IF(ISERROR(M59),E47*Inputs!$F$19,M59))</f>
        <v>24.0047515869141</v>
      </c>
      <c r="F59" s="371" t="n">
        <f aca="false">IF(A59="N/A"," ",E59*C59)</f>
        <v>23.7461003885651</v>
      </c>
      <c r="G59" s="369" t="n">
        <f aca="false">IF(A59="N/A"," ",IF(ISERROR(N59),G47*Inputs!$F$19,N59))</f>
        <v>22.0044998168945</v>
      </c>
      <c r="H59" s="371" t="n">
        <f aca="false">IF(A59="N/A"," ",G59*C59)</f>
        <v>21.7674013313675</v>
      </c>
      <c r="I59" s="371" t="n">
        <f aca="false">IF(A59="N/A"," ",IF(ISERROR(O59),I47*Inputs!$F$19,O59))</f>
        <v>19.5749980926514</v>
      </c>
      <c r="J59" s="372" t="e">
        <f aca="false">IF(A59="N/A"," ",IF(ISERROR(P59),J47*Inputs!$F$23,P59))</f>
        <v>#N/A</v>
      </c>
      <c r="L59" s="374" t="n">
        <f aca="false">IF(A59="N/A"," ",VLOOKUP(A59,PeakPowerCurves,(IF('Pricing Inputs'!$AT$3=2,3,IF('Pricing Inputs'!$AT$3=1,2,4))),FALSE()))</f>
        <v>31.125</v>
      </c>
      <c r="M59" s="374" t="n">
        <f aca="false">IF(A59="N/A"," ",VLOOKUP(A59,SatSunPeakPwr,(IF('Pricing Inputs'!$AT$3=2,3,IF('Pricing Inputs'!$AT$3=1,2,4))),FALSE()))</f>
        <v>24.0047515869141</v>
      </c>
      <c r="N59" s="374" t="n">
        <f aca="false">IF(A59="N/A"," ",VLOOKUP(A59,SatSunPeakPwr,(IF('Pricing Inputs'!$AT$3=2,7,IF('Pricing Inputs'!$AT$3=1,6,8))),FALSE()))</f>
        <v>22.0044998168945</v>
      </c>
      <c r="O59" s="375" t="n">
        <f aca="false">IF(A59="N/A"," ",(VLOOKUP(A59,OPPowerPrices,(IF('Pricing Inputs'!$AT$3=2,7,IF('Pricing Inputs'!$AT$3=1,6,8))),FALSE())))</f>
        <v>19.5749980926514</v>
      </c>
      <c r="P59" s="376" t="e">
        <f aca="false">IF(A59="N/A"," ",(VLOOKUP(A59,GasCurves,15,FALSE())))</f>
        <v>#N/A</v>
      </c>
      <c r="AF59" s="341" t="n">
        <v>38231</v>
      </c>
      <c r="AG59" s="31" t="n">
        <v>21</v>
      </c>
      <c r="AH59" s="31" t="n">
        <v>4</v>
      </c>
      <c r="AI59" s="31" t="n">
        <v>4</v>
      </c>
      <c r="AJ59" s="31" t="n">
        <v>1</v>
      </c>
      <c r="AK59" s="31" t="n">
        <v>30</v>
      </c>
    </row>
    <row r="60" customFormat="false" ht="12.75" hidden="false" customHeight="false" outlineLevel="0" collapsed="false">
      <c r="A60" s="368" t="n">
        <f aca="false">Calculations!A27</f>
        <v>37591</v>
      </c>
      <c r="B60" s="369" t="n">
        <f aca="false">IF(A60="N/A"," ",IF(ISERROR(L60),B48*Inputs!$F$19,L60))</f>
        <v>31</v>
      </c>
      <c r="C60" s="370" t="n">
        <f aca="false">IF(A60="N/A"," ",(IF(AND(MONTH(A60)&gt;=6,MONTH(A60)&lt;=8,OR($K$37="REGION 2",$K$37="REGION 2A",$K$37="REGION 2B",$K$37="REGION 3",$K$37="REGION 3A",$K$37="REGION 3B",$K$37="REGION 4",$K$37="REGION 4B",$K$37="REGION 4C",$K$37="REGION 5",$K$37="REGION 5A")),((0.059228/(B60/100))-(0.4980013/(SQRT(B60/100)))+2.137988),HLOOKUP(MONTH(A60),ScalarTable,28))))</f>
        <v>0.978519445147215</v>
      </c>
      <c r="D60" s="371" t="n">
        <f aca="false">IF(A60="N/A"," ",C60*B60)</f>
        <v>30.3341027995637</v>
      </c>
      <c r="E60" s="369" t="n">
        <f aca="false">IF(A60="N/A"," ",IF(ISERROR(M60),E48*Inputs!$F$19,M60))</f>
        <v>25.4549983978271</v>
      </c>
      <c r="F60" s="371" t="n">
        <f aca="false">IF(A60="N/A"," ",E60*C60)</f>
        <v>24.9082109084651</v>
      </c>
      <c r="G60" s="369" t="n">
        <f aca="false">IF(A60="N/A"," ",IF(ISERROR(N60),G48*Inputs!$F$19,N60))</f>
        <v>21.9499992370605</v>
      </c>
      <c r="H60" s="371" t="n">
        <f aca="false">IF(A60="N/A"," ",G60*C60)</f>
        <v>21.4785010744303</v>
      </c>
      <c r="I60" s="371" t="n">
        <f aca="false">IF(A60="N/A"," ",IF(ISERROR(O60),I48*Inputs!$F$19,O60))</f>
        <v>20.9999992370605</v>
      </c>
      <c r="J60" s="372" t="e">
        <f aca="false">IF(A60="N/A"," ",IF(ISERROR(P60),J48*Inputs!$F$23,P60))</f>
        <v>#N/A</v>
      </c>
      <c r="L60" s="374" t="n">
        <f aca="false">IF(A60="N/A"," ",VLOOKUP(A60,PeakPowerCurves,(IF('Pricing Inputs'!$AT$3=2,3,IF('Pricing Inputs'!$AT$3=1,2,4))),FALSE()))</f>
        <v>31</v>
      </c>
      <c r="M60" s="374" t="n">
        <f aca="false">IF(A60="N/A"," ",VLOOKUP(A60,SatSunPeakPwr,(IF('Pricing Inputs'!$AT$3=2,3,IF('Pricing Inputs'!$AT$3=1,2,4))),FALSE()))</f>
        <v>25.4549983978271</v>
      </c>
      <c r="N60" s="374" t="n">
        <f aca="false">IF(A60="N/A"," ",VLOOKUP(A60,SatSunPeakPwr,(IF('Pricing Inputs'!$AT$3=2,7,IF('Pricing Inputs'!$AT$3=1,6,8))),FALSE()))</f>
        <v>21.9499992370605</v>
      </c>
      <c r="O60" s="375" t="n">
        <f aca="false">IF(A60="N/A"," ",(VLOOKUP(A60,OPPowerPrices,(IF('Pricing Inputs'!$AT$3=2,7,IF('Pricing Inputs'!$AT$3=1,6,8))),FALSE())))</f>
        <v>20.9999992370605</v>
      </c>
      <c r="P60" s="376" t="e">
        <f aca="false">IF(A60="N/A"," ",(VLOOKUP(A60,GasCurves,15,FALSE())))</f>
        <v>#N/A</v>
      </c>
      <c r="AF60" s="341" t="n">
        <v>38261</v>
      </c>
      <c r="AG60" s="31" t="n">
        <v>21</v>
      </c>
      <c r="AH60" s="31" t="n">
        <v>5</v>
      </c>
      <c r="AI60" s="31" t="n">
        <v>5</v>
      </c>
      <c r="AJ60" s="31" t="n">
        <v>0</v>
      </c>
      <c r="AK60" s="31" t="n">
        <v>31</v>
      </c>
    </row>
    <row r="61" customFormat="false" ht="12.75" hidden="false" customHeight="false" outlineLevel="0" collapsed="false">
      <c r="A61" s="368" t="n">
        <f aca="false">Calculations!A28</f>
        <v>37622</v>
      </c>
      <c r="B61" s="369" t="n">
        <f aca="false">IF(A61="N/A"," ",IF(ISERROR(L61),B49*Inputs!$F$19,L61))</f>
        <v>36.65</v>
      </c>
      <c r="C61" s="370" t="n">
        <f aca="false">IF(A61="N/A"," ",(IF(AND(MONTH(A61)&gt;=6,MONTH(A61)&lt;=8,OR($K$37="REGION 2",$K$37="REGION 2A",$K$37="REGION 2B",$K$37="REGION 3",$K$37="REGION 3A",$K$37="REGION 3B",$K$37="REGION 4",$K$37="REGION 4B",$K$37="REGION 4C",$K$37="REGION 5",$K$37="REGION 5A")),((0.059228/(B61/100))-(0.4980013/(SQRT(B61/100)))+2.137988),HLOOKUP(MONTH(A61),ScalarTable,28))))</f>
        <v>0.969145769131439</v>
      </c>
      <c r="D61" s="371" t="n">
        <f aca="false">IF(A61="N/A"," ",C61*B61)</f>
        <v>35.5191924386672</v>
      </c>
      <c r="E61" s="369" t="n">
        <f aca="false">IF(A61="N/A"," ",IF(ISERROR(M61),E49*Inputs!$F$19,M61))</f>
        <v>28.6487483978272</v>
      </c>
      <c r="F61" s="371" t="n">
        <f aca="false">IF(A61="N/A"," ",E61*C61)</f>
        <v>27.7648133006653</v>
      </c>
      <c r="G61" s="369" t="n">
        <f aca="false">IF(A61="N/A"," ",IF(ISERROR(N61),G49*Inputs!$F$19,N61))</f>
        <v>27.1525001525879</v>
      </c>
      <c r="H61" s="371" t="n">
        <f aca="false">IF(A61="N/A"," ",G61*C61)</f>
        <v>26.3147306442213</v>
      </c>
      <c r="I61" s="371" t="n">
        <f aca="false">IF(A61="N/A"," ",IF(ISERROR(O61),I49*Inputs!$F$19,O61))</f>
        <v>20.7900009155273</v>
      </c>
      <c r="J61" s="372" t="e">
        <f aca="false">IF(A61="N/A"," ",IF(ISERROR(P61),J49*Inputs!$F$23,P61))</f>
        <v>#N/A</v>
      </c>
      <c r="L61" s="374" t="n">
        <f aca="false">IF(A61="N/A"," ",VLOOKUP(A61,PeakPowerCurves,(IF('Pricing Inputs'!$AT$3=2,3,IF('Pricing Inputs'!$AT$3=1,2,4))),FALSE()))</f>
        <v>36.65</v>
      </c>
      <c r="M61" s="374" t="n">
        <f aca="false">IF(A61="N/A"," ",VLOOKUP(A61,SatSunPeakPwr,(IF('Pricing Inputs'!$AT$3=2,3,IF('Pricing Inputs'!$AT$3=1,2,4))),FALSE()))</f>
        <v>28.6487483978272</v>
      </c>
      <c r="N61" s="374" t="n">
        <f aca="false">IF(A61="N/A"," ",VLOOKUP(A61,SatSunPeakPwr,(IF('Pricing Inputs'!$AT$3=2,7,IF('Pricing Inputs'!$AT$3=1,6,8))),FALSE()))</f>
        <v>27.1525001525879</v>
      </c>
      <c r="O61" s="375" t="n">
        <f aca="false">IF(A61="N/A"," ",(VLOOKUP(A61,OPPowerPrices,(IF('Pricing Inputs'!$AT$3=2,7,IF('Pricing Inputs'!$AT$3=1,6,8))),FALSE())))</f>
        <v>20.7900009155273</v>
      </c>
      <c r="P61" s="376" t="e">
        <f aca="false">IF(A61="N/A"," ",(VLOOKUP(A61,GasCurves,15,FALSE())))</f>
        <v>#N/A</v>
      </c>
      <c r="AF61" s="341" t="n">
        <v>38292</v>
      </c>
      <c r="AG61" s="31" t="n">
        <v>21</v>
      </c>
      <c r="AH61" s="31" t="n">
        <v>4</v>
      </c>
      <c r="AI61" s="31" t="n">
        <v>4</v>
      </c>
      <c r="AJ61" s="31" t="n">
        <v>1</v>
      </c>
      <c r="AK61" s="31" t="n">
        <v>30</v>
      </c>
    </row>
    <row r="62" customFormat="false" ht="12.75" hidden="false" customHeight="false" outlineLevel="0" collapsed="false">
      <c r="A62" s="368" t="n">
        <f aca="false">Calculations!A29</f>
        <v>37653</v>
      </c>
      <c r="B62" s="369" t="n">
        <f aca="false">IF(A62="N/A"," ",IF(ISERROR(L62),B50*Inputs!$F$19,L62))</f>
        <v>36.65</v>
      </c>
      <c r="C62" s="370" t="n">
        <f aca="false">IF(A62="N/A"," ",(IF(AND(MONTH(A62)&gt;=6,MONTH(A62)&lt;=8,OR($K$37="REGION 2",$K$37="REGION 2A",$K$37="REGION 2B",$K$37="REGION 3",$K$37="REGION 3A",$K$37="REGION 3B",$K$37="REGION 4",$K$37="REGION 4B",$K$37="REGION 4C",$K$37="REGION 5",$K$37="REGION 5A")),((0.059228/(B62/100))-(0.4980013/(SQRT(B62/100)))+2.137988),HLOOKUP(MONTH(A62),ScalarTable,28))))</f>
        <v>0.969145769131439</v>
      </c>
      <c r="D62" s="371" t="n">
        <f aca="false">IF(A62="N/A"," ",C62*B62)</f>
        <v>35.5191924386672</v>
      </c>
      <c r="E62" s="369" t="n">
        <f aca="false">IF(A62="N/A"," ",IF(ISERROR(M62),E50*Inputs!$F$19,M62))</f>
        <v>27.6462501525879</v>
      </c>
      <c r="F62" s="371" t="n">
        <f aca="false">IF(A62="N/A"," ",E62*C62)</f>
        <v>26.79324636773</v>
      </c>
      <c r="G62" s="369" t="n">
        <f aca="false">IF(A62="N/A"," ",IF(ISERROR(N62),G50*Inputs!$F$19,N62))</f>
        <v>25.1474994659424</v>
      </c>
      <c r="H62" s="371" t="n">
        <f aca="false">IF(A62="N/A"," ",G62*C62)</f>
        <v>24.3715927116532</v>
      </c>
      <c r="I62" s="371" t="n">
        <f aca="false">IF(A62="N/A"," ",IF(ISERROR(O62),I50*Inputs!$F$19,O62))</f>
        <v>20.5999977111816</v>
      </c>
      <c r="J62" s="372" t="e">
        <f aca="false">IF(A62="N/A"," ",IF(ISERROR(P62),J50*Inputs!$F$23,P62))</f>
        <v>#N/A</v>
      </c>
      <c r="L62" s="374" t="n">
        <f aca="false">IF(A62="N/A"," ",VLOOKUP(A62,PeakPowerCurves,(IF('Pricing Inputs'!$AT$3=2,3,IF('Pricing Inputs'!$AT$3=1,2,4))),FALSE()))</f>
        <v>36.65</v>
      </c>
      <c r="M62" s="374" t="n">
        <f aca="false">IF(A62="N/A"," ",VLOOKUP(A62,SatSunPeakPwr,(IF('Pricing Inputs'!$AT$3=2,3,IF('Pricing Inputs'!$AT$3=1,2,4))),FALSE()))</f>
        <v>27.6462501525879</v>
      </c>
      <c r="N62" s="374" t="n">
        <f aca="false">IF(A62="N/A"," ",VLOOKUP(A62,SatSunPeakPwr,(IF('Pricing Inputs'!$AT$3=2,7,IF('Pricing Inputs'!$AT$3=1,6,8))),FALSE()))</f>
        <v>25.1474994659424</v>
      </c>
      <c r="O62" s="375" t="n">
        <f aca="false">IF(A62="N/A"," ",(VLOOKUP(A62,OPPowerPrices,(IF('Pricing Inputs'!$AT$3=2,7,IF('Pricing Inputs'!$AT$3=1,6,8))),FALSE())))</f>
        <v>20.5999977111816</v>
      </c>
      <c r="P62" s="376" t="e">
        <f aca="false">IF(A62="N/A"," ",(VLOOKUP(A62,GasCurves,15,FALSE())))</f>
        <v>#N/A</v>
      </c>
      <c r="AF62" s="341" t="n">
        <v>38322</v>
      </c>
      <c r="AG62" s="31" t="n">
        <v>23</v>
      </c>
      <c r="AH62" s="31" t="n">
        <v>3</v>
      </c>
      <c r="AI62" s="31" t="n">
        <v>4</v>
      </c>
      <c r="AJ62" s="31" t="n">
        <v>1</v>
      </c>
      <c r="AK62" s="31" t="n">
        <v>31</v>
      </c>
    </row>
    <row r="63" customFormat="false" ht="12.75" hidden="false" customHeight="false" outlineLevel="0" collapsed="false">
      <c r="A63" s="368" t="n">
        <f aca="false">Calculations!A30</f>
        <v>37681</v>
      </c>
      <c r="B63" s="369" t="n">
        <f aca="false">IF(A63="N/A"," ",IF(ISERROR(L63),B51*Inputs!$F$19,L63))</f>
        <v>32.9</v>
      </c>
      <c r="C63" s="370" t="n">
        <f aca="false">IF(A63="N/A"," ",(IF(AND(MONTH(A63)&gt;=6,MONTH(A63)&lt;=8,OR($K$37="REGION 2",$K$37="REGION 2A",$K$37="REGION 2B",$K$37="REGION 3",$K$37="REGION 3A",$K$37="REGION 3B",$K$37="REGION 4",$K$37="REGION 4B",$K$37="REGION 4C",$K$37="REGION 5",$K$37="REGION 5A")),((0.059228/(B63/100))-(0.4980013/(SQRT(B63/100)))+2.137988),HLOOKUP(MONTH(A63),ScalarTable,28))))</f>
        <v>0.97165</v>
      </c>
      <c r="D63" s="371" t="n">
        <f aca="false">IF(A63="N/A"," ",C63*B63)</f>
        <v>31.967285</v>
      </c>
      <c r="E63" s="369" t="n">
        <f aca="false">IF(A63="N/A"," ",IF(ISERROR(M63),E51*Inputs!$F$19,M63))</f>
        <v>20.8347496032715</v>
      </c>
      <c r="F63" s="371" t="n">
        <f aca="false">IF(A63="N/A"," ",E63*C63)</f>
        <v>20.2440844520187</v>
      </c>
      <c r="G63" s="369" t="n">
        <f aca="false">IF(A63="N/A"," ",IF(ISERROR(N63),G51*Inputs!$F$19,N63))</f>
        <v>20.4644989013672</v>
      </c>
      <c r="H63" s="371" t="n">
        <f aca="false">IF(A63="N/A"," ",G63*C63)</f>
        <v>19.8843303575134</v>
      </c>
      <c r="I63" s="371" t="n">
        <f aca="false">IF(A63="N/A"," ",IF(ISERROR(O63),I51*Inputs!$F$19,O63))</f>
        <v>19.5999996185303</v>
      </c>
      <c r="J63" s="372" t="e">
        <f aca="false">IF(A63="N/A"," ",IF(ISERROR(P63),J51*Inputs!$F$23,P63))</f>
        <v>#N/A</v>
      </c>
      <c r="L63" s="374" t="n">
        <f aca="false">IF(A63="N/A"," ",VLOOKUP(A63,PeakPowerCurves,(IF('Pricing Inputs'!$AT$3=2,3,IF('Pricing Inputs'!$AT$3=1,2,4))),FALSE()))</f>
        <v>32.9</v>
      </c>
      <c r="M63" s="374" t="n">
        <f aca="false">IF(A63="N/A"," ",VLOOKUP(A63,SatSunPeakPwr,(IF('Pricing Inputs'!$AT$3=2,3,IF('Pricing Inputs'!$AT$3=1,2,4))),FALSE()))</f>
        <v>20.8347496032715</v>
      </c>
      <c r="N63" s="374" t="n">
        <f aca="false">IF(A63="N/A"," ",VLOOKUP(A63,SatSunPeakPwr,(IF('Pricing Inputs'!$AT$3=2,7,IF('Pricing Inputs'!$AT$3=1,6,8))),FALSE()))</f>
        <v>20.4644989013672</v>
      </c>
      <c r="O63" s="375" t="n">
        <f aca="false">IF(A63="N/A"," ",(VLOOKUP(A63,OPPowerPrices,(IF('Pricing Inputs'!$AT$3=2,7,IF('Pricing Inputs'!$AT$3=1,6,8))),FALSE())))</f>
        <v>19.5999996185303</v>
      </c>
      <c r="P63" s="376" t="e">
        <f aca="false">IF(A63="N/A"," ",(VLOOKUP(A63,GasCurves,15,FALSE())))</f>
        <v>#N/A</v>
      </c>
      <c r="AF63" s="341" t="n">
        <v>38353</v>
      </c>
      <c r="AG63" s="31" t="n">
        <v>21</v>
      </c>
      <c r="AH63" s="31" t="n">
        <v>4</v>
      </c>
      <c r="AI63" s="31" t="n">
        <v>5</v>
      </c>
      <c r="AJ63" s="31" t="n">
        <v>1</v>
      </c>
      <c r="AK63" s="31" t="n">
        <v>31</v>
      </c>
    </row>
    <row r="64" customFormat="false" ht="12.75" hidden="false" customHeight="false" outlineLevel="0" collapsed="false">
      <c r="A64" s="368" t="n">
        <f aca="false">Calculations!A31</f>
        <v>37712</v>
      </c>
      <c r="B64" s="369" t="n">
        <f aca="false">IF(A64="N/A"," ",IF(ISERROR(L64),B52*Inputs!$F$19,L64))</f>
        <v>31.65</v>
      </c>
      <c r="C64" s="370" t="n">
        <f aca="false">IF(A64="N/A"," ",(IF(AND(MONTH(A64)&gt;=6,MONTH(A64)&lt;=8,OR($K$37="REGION 2",$K$37="REGION 2A",$K$37="REGION 2B",$K$37="REGION 3",$K$37="REGION 3A",$K$37="REGION 3B",$K$37="REGION 4",$K$37="REGION 4B",$K$37="REGION 4C",$K$37="REGION 5",$K$37="REGION 5A")),((0.059228/(B64/100))-(0.4980013/(SQRT(B64/100)))+2.137988),HLOOKUP(MONTH(A64),ScalarTable,28))))</f>
        <v>0.924989009949893</v>
      </c>
      <c r="D64" s="371" t="n">
        <f aca="false">IF(A64="N/A"," ",C64*B64)</f>
        <v>29.2759021649141</v>
      </c>
      <c r="E64" s="369" t="n">
        <f aca="false">IF(A64="N/A"," ",IF(ISERROR(M64),E52*Inputs!$F$19,M64))</f>
        <v>21.5175003051758</v>
      </c>
      <c r="F64" s="371" t="n">
        <f aca="false">IF(A64="N/A"," ",E64*C64)</f>
        <v>19.9034513038811</v>
      </c>
      <c r="G64" s="369" t="n">
        <f aca="false">IF(A64="N/A"," ",IF(ISERROR(N64),G52*Inputs!$F$19,N64))</f>
        <v>20.2349990844727</v>
      </c>
      <c r="H64" s="371" t="n">
        <f aca="false">IF(A64="N/A"," ",G64*C64)</f>
        <v>18.7171517694834</v>
      </c>
      <c r="I64" s="371" t="n">
        <f aca="false">IF(A64="N/A"," ",IF(ISERROR(O64),I52*Inputs!$F$19,O64))</f>
        <v>19.5999977111816</v>
      </c>
      <c r="J64" s="372" t="e">
        <f aca="false">IF(A64="N/A"," ",IF(ISERROR(P64),J52*Inputs!$F$23,P64))</f>
        <v>#N/A</v>
      </c>
      <c r="L64" s="374" t="n">
        <f aca="false">IF(A64="N/A"," ",VLOOKUP(A64,PeakPowerCurves,(IF('Pricing Inputs'!$AT$3=2,3,IF('Pricing Inputs'!$AT$3=1,2,4))),FALSE()))</f>
        <v>31.65</v>
      </c>
      <c r="M64" s="374" t="n">
        <f aca="false">IF(A64="N/A"," ",VLOOKUP(A64,SatSunPeakPwr,(IF('Pricing Inputs'!$AT$3=2,3,IF('Pricing Inputs'!$AT$3=1,2,4))),FALSE()))</f>
        <v>21.5175003051758</v>
      </c>
      <c r="N64" s="374" t="n">
        <f aca="false">IF(A64="N/A"," ",VLOOKUP(A64,SatSunPeakPwr,(IF('Pricing Inputs'!$AT$3=2,7,IF('Pricing Inputs'!$AT$3=1,6,8))),FALSE()))</f>
        <v>20.2349990844727</v>
      </c>
      <c r="O64" s="375" t="n">
        <f aca="false">IF(A64="N/A"," ",(VLOOKUP(A64,OPPowerPrices,(IF('Pricing Inputs'!$AT$3=2,7,IF('Pricing Inputs'!$AT$3=1,6,8))),FALSE())))</f>
        <v>19.5999977111816</v>
      </c>
      <c r="P64" s="376" t="e">
        <f aca="false">IF(A64="N/A"," ",(VLOOKUP(A64,GasCurves,15,FALSE())))</f>
        <v>#N/A</v>
      </c>
      <c r="AF64" s="341" t="n">
        <v>38384</v>
      </c>
      <c r="AG64" s="31" t="n">
        <v>20</v>
      </c>
      <c r="AH64" s="31" t="n">
        <v>4</v>
      </c>
      <c r="AI64" s="31" t="n">
        <v>4</v>
      </c>
      <c r="AJ64" s="31" t="n">
        <v>0</v>
      </c>
      <c r="AK64" s="31" t="n">
        <v>28</v>
      </c>
    </row>
    <row r="65" customFormat="false" ht="12.75" hidden="false" customHeight="false" outlineLevel="0" collapsed="false">
      <c r="A65" s="368" t="n">
        <f aca="false">Calculations!A32</f>
        <v>37742</v>
      </c>
      <c r="B65" s="369" t="n">
        <f aca="false">IF(A65="N/A"," ",IF(ISERROR(L65),B53*Inputs!$F$19,L65))</f>
        <v>33.65</v>
      </c>
      <c r="C65" s="370" t="n">
        <f aca="false">IF(A65="N/A"," ",(IF(AND(MONTH(A65)&gt;=6,MONTH(A65)&lt;=8,OR($K$37="REGION 2",$K$37="REGION 2A",$K$37="REGION 2B",$K$37="REGION 3",$K$37="REGION 3A",$K$37="REGION 3B",$K$37="REGION 4",$K$37="REGION 4B",$K$37="REGION 4C",$K$37="REGION 5",$K$37="REGION 5A")),((0.059228/(B65/100))-(0.4980013/(SQRT(B65/100)))+2.137988),HLOOKUP(MONTH(A65),ScalarTable,28))))</f>
        <v>0.972355461918447</v>
      </c>
      <c r="D65" s="371" t="n">
        <f aca="false">IF(A65="N/A"," ",C65*B65)</f>
        <v>32.7197612935557</v>
      </c>
      <c r="E65" s="369" t="n">
        <f aca="false">IF(A65="N/A"," ",IF(ISERROR(M65),E53*Inputs!$F$19,M65))</f>
        <v>21.6325000762939</v>
      </c>
      <c r="F65" s="371" t="n">
        <f aca="false">IF(A65="N/A"," ",E65*C65)</f>
        <v>21.0344796041356</v>
      </c>
      <c r="G65" s="369" t="n">
        <f aca="false">IF(A65="N/A"," ",IF(ISERROR(N65),G53*Inputs!$F$19,N65))</f>
        <v>20.7649997711182</v>
      </c>
      <c r="H65" s="371" t="n">
        <f aca="false">IF(A65="N/A"," ",G65*C65)</f>
        <v>20.190960944182</v>
      </c>
      <c r="I65" s="371" t="n">
        <f aca="false">IF(A65="N/A"," ",IF(ISERROR(O65),I53*Inputs!$F$19,O65))</f>
        <v>19.5999977111816</v>
      </c>
      <c r="J65" s="372" t="e">
        <f aca="false">IF(A65="N/A"," ",IF(ISERROR(P65),J53*Inputs!$F$23,P65))</f>
        <v>#N/A</v>
      </c>
      <c r="L65" s="374" t="n">
        <f aca="false">IF(A65="N/A"," ",VLOOKUP(A65,PeakPowerCurves,(IF('Pricing Inputs'!$AT$3=2,3,IF('Pricing Inputs'!$AT$3=1,2,4))),FALSE()))</f>
        <v>33.65</v>
      </c>
      <c r="M65" s="374" t="n">
        <f aca="false">IF(A65="N/A"," ",VLOOKUP(A65,SatSunPeakPwr,(IF('Pricing Inputs'!$AT$3=2,3,IF('Pricing Inputs'!$AT$3=1,2,4))),FALSE()))</f>
        <v>21.6325000762939</v>
      </c>
      <c r="N65" s="374" t="n">
        <f aca="false">IF(A65="N/A"," ",VLOOKUP(A65,SatSunPeakPwr,(IF('Pricing Inputs'!$AT$3=2,7,IF('Pricing Inputs'!$AT$3=1,6,8))),FALSE()))</f>
        <v>20.7649997711182</v>
      </c>
      <c r="O65" s="375" t="n">
        <f aca="false">IF(A65="N/A"," ",(VLOOKUP(A65,OPPowerPrices,(IF('Pricing Inputs'!$AT$3=2,7,IF('Pricing Inputs'!$AT$3=1,6,8))),FALSE())))</f>
        <v>19.5999977111816</v>
      </c>
      <c r="P65" s="376" t="e">
        <f aca="false">IF(A65="N/A"," ",(VLOOKUP(A65,GasCurves,15,FALSE())))</f>
        <v>#N/A</v>
      </c>
      <c r="AF65" s="341" t="n">
        <v>38412</v>
      </c>
      <c r="AG65" s="31" t="n">
        <v>23</v>
      </c>
      <c r="AH65" s="31" t="n">
        <v>4</v>
      </c>
      <c r="AI65" s="31" t="n">
        <v>4</v>
      </c>
      <c r="AJ65" s="31" t="n">
        <v>0</v>
      </c>
      <c r="AK65" s="31" t="n">
        <v>31</v>
      </c>
    </row>
    <row r="66" customFormat="false" ht="12.75" hidden="false" customHeight="false" outlineLevel="0" collapsed="false">
      <c r="A66" s="368" t="n">
        <f aca="false">Calculations!A33</f>
        <v>37773</v>
      </c>
      <c r="B66" s="369" t="n">
        <f aca="false">IF(A66="N/A"," ",IF(ISERROR(L66),B54*Inputs!$F$19,L66))</f>
        <v>49</v>
      </c>
      <c r="C66" s="370" t="n">
        <f aca="false">IF(A66="N/A"," ",(IF(AND(MONTH(A66)&gt;=6,MONTH(A66)&lt;=8,OR($K$37="REGION 2",$K$37="REGION 2A",$K$37="REGION 2B",$K$37="REGION 3",$K$37="REGION 3A",$K$37="REGION 3B",$K$37="REGION 4",$K$37="REGION 4B",$K$37="REGION 4C",$K$37="REGION 5",$K$37="REGION 5A")),((0.059228/(B66/100))-(0.4980013/(SQRT(B66/100)))+2.137988),HLOOKUP(MONTH(A66),ScalarTable,28))))</f>
        <v>1.14029274839576</v>
      </c>
      <c r="D66" s="371" t="n">
        <f aca="false">IF(A66="N/A"," ",C66*B66)</f>
        <v>55.874344671392</v>
      </c>
      <c r="E66" s="369" t="n">
        <f aca="false">IF(A66="N/A"," ",IF(ISERROR(M66),E54*Inputs!$F$19,M66))</f>
        <v>26.0587501525879</v>
      </c>
      <c r="F66" s="371" t="n">
        <f aca="false">IF(A66="N/A"," ",E66*C66)</f>
        <v>29.7146038312528</v>
      </c>
      <c r="G66" s="369" t="n">
        <f aca="false">IF(A66="N/A"," ",IF(ISERROR(N66),G54*Inputs!$F$19,N66))</f>
        <v>19.5424995422363</v>
      </c>
      <c r="H66" s="371" t="n">
        <f aca="false">IF(A66="N/A"," ",G66*C66)</f>
        <v>22.2841705135395</v>
      </c>
      <c r="I66" s="371" t="n">
        <f aca="false">IF(A66="N/A"," ",IF(ISERROR(O66),I54*Inputs!$F$19,O66))</f>
        <v>19.5549987792969</v>
      </c>
      <c r="J66" s="372" t="e">
        <f aca="false">IF(A66="N/A"," ",IF(ISERROR(P66),J54*Inputs!$F$23,P66))</f>
        <v>#N/A</v>
      </c>
      <c r="L66" s="374" t="n">
        <f aca="false">IF(A66="N/A"," ",VLOOKUP(A66,PeakPowerCurves,(IF('Pricing Inputs'!$AT$3=2,3,IF('Pricing Inputs'!$AT$3=1,2,4))),FALSE()))</f>
        <v>49</v>
      </c>
      <c r="M66" s="374" t="n">
        <f aca="false">IF(A66="N/A"," ",VLOOKUP(A66,SatSunPeakPwr,(IF('Pricing Inputs'!$AT$3=2,3,IF('Pricing Inputs'!$AT$3=1,2,4))),FALSE()))</f>
        <v>26.0587501525879</v>
      </c>
      <c r="N66" s="374" t="n">
        <f aca="false">IF(A66="N/A"," ",VLOOKUP(A66,SatSunPeakPwr,(IF('Pricing Inputs'!$AT$3=2,7,IF('Pricing Inputs'!$AT$3=1,6,8))),FALSE()))</f>
        <v>19.5424995422363</v>
      </c>
      <c r="O66" s="375" t="n">
        <f aca="false">IF(A66="N/A"," ",(VLOOKUP(A66,OPPowerPrices,(IF('Pricing Inputs'!$AT$3=2,7,IF('Pricing Inputs'!$AT$3=1,6,8))),FALSE())))</f>
        <v>19.5549987792969</v>
      </c>
      <c r="P66" s="376" t="e">
        <f aca="false">IF(A66="N/A"," ",(VLOOKUP(A66,GasCurves,15,FALSE())))</f>
        <v>#N/A</v>
      </c>
      <c r="AF66" s="341" t="n">
        <v>38443</v>
      </c>
      <c r="AG66" s="31" t="n">
        <v>21</v>
      </c>
      <c r="AH66" s="31" t="n">
        <v>5</v>
      </c>
      <c r="AI66" s="31" t="n">
        <v>4</v>
      </c>
      <c r="AJ66" s="31" t="n">
        <v>0</v>
      </c>
      <c r="AK66" s="31" t="n">
        <v>30</v>
      </c>
    </row>
    <row r="67" customFormat="false" ht="12.75" hidden="false" customHeight="false" outlineLevel="0" collapsed="false">
      <c r="A67" s="368" t="n">
        <f aca="false">Calculations!A34</f>
        <v>37803</v>
      </c>
      <c r="B67" s="369" t="n">
        <f aca="false">IF(A67="N/A"," ",IF(ISERROR(L67),B55*Inputs!$F$19,L67))</f>
        <v>70.5</v>
      </c>
      <c r="C67" s="370" t="n">
        <f aca="false">IF(A67="N/A"," ",(IF(AND(MONTH(A67)&gt;=6,MONTH(A67)&lt;=8,OR($K$37="REGION 2",$K$37="REGION 2A",$K$37="REGION 2B",$K$37="REGION 3",$K$37="REGION 3A",$K$37="REGION 3B",$K$37="REGION 4",$K$37="REGION 4B",$K$37="REGION 4C",$K$37="REGION 5",$K$37="REGION 5A")),((0.059228/(B67/100))-(0.4980013/(SQRT(B67/100)))+2.137988),HLOOKUP(MONTH(A67),ScalarTable,28))))</f>
        <v>1.19166491456367</v>
      </c>
      <c r="D67" s="371" t="n">
        <f aca="false">IF(A67="N/A"," ",C67*B67)</f>
        <v>84.0123764767387</v>
      </c>
      <c r="E67" s="369" t="n">
        <f aca="false">IF(A67="N/A"," ",IF(ISERROR(M67),E55*Inputs!$F$19,M67))</f>
        <v>39.2612495422363</v>
      </c>
      <c r="F67" s="371" t="n">
        <f aca="false">IF(A67="N/A"," ",E67*C67)</f>
        <v>46.7862535814119</v>
      </c>
      <c r="G67" s="369" t="n">
        <f aca="false">IF(A67="N/A"," ",IF(ISERROR(N67),G55*Inputs!$F$19,N67))</f>
        <v>28.7474994659424</v>
      </c>
      <c r="H67" s="371" t="n">
        <f aca="false">IF(A67="N/A"," ",G67*C67)</f>
        <v>34.2573864950014</v>
      </c>
      <c r="I67" s="371" t="n">
        <f aca="false">IF(A67="N/A"," ",IF(ISERROR(O67),I55*Inputs!$F$19,O67))</f>
        <v>24.0499977111816</v>
      </c>
      <c r="J67" s="372" t="e">
        <f aca="false">IF(A67="N/A"," ",IF(ISERROR(P67),J55*Inputs!$F$23,P67))</f>
        <v>#N/A</v>
      </c>
      <c r="L67" s="374" t="n">
        <f aca="false">IF(A67="N/A"," ",VLOOKUP(A67,PeakPowerCurves,(IF('Pricing Inputs'!$AT$3=2,3,IF('Pricing Inputs'!$AT$3=1,2,4))),FALSE()))</f>
        <v>70.5</v>
      </c>
      <c r="M67" s="374" t="n">
        <f aca="false">IF(A67="N/A"," ",VLOOKUP(A67,SatSunPeakPwr,(IF('Pricing Inputs'!$AT$3=2,3,IF('Pricing Inputs'!$AT$3=1,2,4))),FALSE()))</f>
        <v>39.2612495422363</v>
      </c>
      <c r="N67" s="374" t="n">
        <f aca="false">IF(A67="N/A"," ",VLOOKUP(A67,SatSunPeakPwr,(IF('Pricing Inputs'!$AT$3=2,7,IF('Pricing Inputs'!$AT$3=1,6,8))),FALSE()))</f>
        <v>28.7474994659424</v>
      </c>
      <c r="O67" s="375" t="n">
        <f aca="false">IF(A67="N/A"," ",(VLOOKUP(A67,OPPowerPrices,(IF('Pricing Inputs'!$AT$3=2,7,IF('Pricing Inputs'!$AT$3=1,6,8))),FALSE())))</f>
        <v>24.0499977111816</v>
      </c>
      <c r="P67" s="376" t="e">
        <f aca="false">IF(A67="N/A"," ",(VLOOKUP(A67,GasCurves,15,FALSE())))</f>
        <v>#N/A</v>
      </c>
      <c r="AF67" s="341" t="n">
        <v>38473</v>
      </c>
      <c r="AG67" s="31" t="n">
        <v>21</v>
      </c>
      <c r="AH67" s="31" t="n">
        <v>4</v>
      </c>
      <c r="AI67" s="31" t="n">
        <v>5</v>
      </c>
      <c r="AJ67" s="31" t="n">
        <v>1</v>
      </c>
      <c r="AK67" s="31" t="n">
        <v>31</v>
      </c>
    </row>
    <row r="68" customFormat="false" ht="12.75" hidden="false" customHeight="false" outlineLevel="0" collapsed="false">
      <c r="A68" s="368" t="n">
        <f aca="false">Calculations!A35</f>
        <v>37834</v>
      </c>
      <c r="B68" s="369" t="n">
        <f aca="false">IF(A68="N/A"," ",IF(ISERROR(L68),B56*Inputs!$F$19,L68))</f>
        <v>66</v>
      </c>
      <c r="C68" s="370" t="n">
        <f aca="false">IF(A68="N/A"," ",(IF(AND(MONTH(A68)&gt;=6,MONTH(A68)&lt;=8,OR($K$37="REGION 2",$K$37="REGION 2A",$K$37="REGION 2B",$K$37="REGION 3",$K$37="REGION 3A",$K$37="REGION 3B",$K$37="REGION 4",$K$37="REGION 4B",$K$37="REGION 4C",$K$37="REGION 5",$K$37="REGION 5A")),((0.059228/(B68/100))-(0.4980013/(SQRT(B68/100)))+2.137988),HLOOKUP(MONTH(A68),ScalarTable,28))))</f>
        <v>1.1089289483683</v>
      </c>
      <c r="D68" s="371" t="n">
        <f aca="false">IF(A68="N/A"," ",C68*B68)</f>
        <v>73.189310592308</v>
      </c>
      <c r="E68" s="369" t="n">
        <f aca="false">IF(A68="N/A"," ",IF(ISERROR(M68),E56*Inputs!$F$19,M68))</f>
        <v>41.5224990844727</v>
      </c>
      <c r="F68" s="371" t="n">
        <f aca="false">IF(A68="N/A"," ",E68*C68)</f>
        <v>46.0455012433681</v>
      </c>
      <c r="G68" s="369" t="n">
        <f aca="false">IF(A68="N/A"," ",IF(ISERROR(N68),G56*Inputs!$F$19,N68))</f>
        <v>30.2450008392334</v>
      </c>
      <c r="H68" s="371" t="n">
        <f aca="false">IF(A68="N/A"," ",G68*C68)</f>
        <v>33.5395569740495</v>
      </c>
      <c r="I68" s="371" t="n">
        <f aca="false">IF(A68="N/A"," ",IF(ISERROR(O68),I56*Inputs!$F$19,O68))</f>
        <v>24.3999980926514</v>
      </c>
      <c r="J68" s="372" t="e">
        <f aca="false">IF(A68="N/A"," ",IF(ISERROR(P68),J56*Inputs!$F$23,P68))</f>
        <v>#N/A</v>
      </c>
      <c r="L68" s="374" t="n">
        <f aca="false">IF(A68="N/A"," ",VLOOKUP(A68,PeakPowerCurves,(IF('Pricing Inputs'!$AT$3=2,3,IF('Pricing Inputs'!$AT$3=1,2,4))),FALSE()))</f>
        <v>66</v>
      </c>
      <c r="M68" s="374" t="n">
        <f aca="false">IF(A68="N/A"," ",VLOOKUP(A68,SatSunPeakPwr,(IF('Pricing Inputs'!$AT$3=2,3,IF('Pricing Inputs'!$AT$3=1,2,4))),FALSE()))</f>
        <v>41.5224990844727</v>
      </c>
      <c r="N68" s="374" t="n">
        <f aca="false">IF(A68="N/A"," ",VLOOKUP(A68,SatSunPeakPwr,(IF('Pricing Inputs'!$AT$3=2,7,IF('Pricing Inputs'!$AT$3=1,6,8))),FALSE()))</f>
        <v>30.2450008392334</v>
      </c>
      <c r="O68" s="375" t="n">
        <f aca="false">IF(A68="N/A"," ",(VLOOKUP(A68,OPPowerPrices,(IF('Pricing Inputs'!$AT$3=2,7,IF('Pricing Inputs'!$AT$3=1,6,8))),FALSE())))</f>
        <v>24.3999980926514</v>
      </c>
      <c r="P68" s="376" t="e">
        <f aca="false">IF(A68="N/A"," ",(VLOOKUP(A68,GasCurves,15,FALSE())))</f>
        <v>#N/A</v>
      </c>
      <c r="AF68" s="341" t="n">
        <v>38504</v>
      </c>
      <c r="AG68" s="31" t="n">
        <v>22</v>
      </c>
      <c r="AH68" s="31" t="n">
        <v>4</v>
      </c>
      <c r="AI68" s="31" t="n">
        <v>4</v>
      </c>
      <c r="AJ68" s="31" t="n">
        <v>0</v>
      </c>
      <c r="AK68" s="31" t="n">
        <v>30</v>
      </c>
    </row>
    <row r="69" customFormat="false" ht="12.75" hidden="false" customHeight="false" outlineLevel="0" collapsed="false">
      <c r="A69" s="368" t="n">
        <f aca="false">Calculations!A36</f>
        <v>37865</v>
      </c>
      <c r="B69" s="369" t="n">
        <f aca="false">IF(A69="N/A"," ",IF(ISERROR(L69),B57*Inputs!$F$19,L69))</f>
        <v>32.65</v>
      </c>
      <c r="C69" s="370" t="n">
        <f aca="false">IF(A69="N/A"," ",(IF(AND(MONTH(A69)&gt;=6,MONTH(A69)&lt;=8,OR($K$37="REGION 2",$K$37="REGION 2A",$K$37="REGION 2B",$K$37="REGION 3",$K$37="REGION 3A",$K$37="REGION 3B",$K$37="REGION 4",$K$37="REGION 4B",$K$37="REGION 4C",$K$37="REGION 5",$K$37="REGION 5A")),((0.059228/(B69/100))-(0.4980013/(SQRT(B69/100)))+2.137988),HLOOKUP(MONTH(A69),ScalarTable,28))))</f>
        <v>1.09653379232051</v>
      </c>
      <c r="D69" s="371" t="n">
        <f aca="false">IF(A69="N/A"," ",C69*B69)</f>
        <v>35.8018283192647</v>
      </c>
      <c r="E69" s="369" t="n">
        <f aca="false">IF(A69="N/A"," ",IF(ISERROR(M69),E57*Inputs!$F$19,M69))</f>
        <v>22.9049991607666</v>
      </c>
      <c r="F69" s="371" t="n">
        <f aca="false">IF(A69="N/A"," ",E69*C69)</f>
        <v>25.1161055928535</v>
      </c>
      <c r="G69" s="369" t="n">
        <f aca="false">IF(A69="N/A"," ",IF(ISERROR(N69),G57*Inputs!$F$19,N69))</f>
        <v>23.4</v>
      </c>
      <c r="H69" s="371" t="n">
        <f aca="false">IF(A69="N/A"," ",G69*C69)</f>
        <v>25.6588907402999</v>
      </c>
      <c r="I69" s="371" t="n">
        <f aca="false">IF(A69="N/A"," ",IF(ISERROR(O69),I57*Inputs!$F$19,O69))</f>
        <v>19.9499980926514</v>
      </c>
      <c r="J69" s="372" t="e">
        <f aca="false">IF(A69="N/A"," ",IF(ISERROR(P69),J57*Inputs!$F$23,P69))</f>
        <v>#N/A</v>
      </c>
      <c r="L69" s="374" t="n">
        <f aca="false">IF(A69="N/A"," ",VLOOKUP(A69,PeakPowerCurves,(IF('Pricing Inputs'!$AT$3=2,3,IF('Pricing Inputs'!$AT$3=1,2,4))),FALSE()))</f>
        <v>32.65</v>
      </c>
      <c r="M69" s="374" t="n">
        <f aca="false">IF(A69="N/A"," ",VLOOKUP(A69,SatSunPeakPwr,(IF('Pricing Inputs'!$AT$3=2,3,IF('Pricing Inputs'!$AT$3=1,2,4))),FALSE()))</f>
        <v>22.9049991607666</v>
      </c>
      <c r="N69" s="374" t="n">
        <f aca="false">IF(A69="N/A"," ",VLOOKUP(A69,SatSunPeakPwr,(IF('Pricing Inputs'!$AT$3=2,7,IF('Pricing Inputs'!$AT$3=1,6,8))),FALSE()))</f>
        <v>23.4</v>
      </c>
      <c r="O69" s="375" t="n">
        <f aca="false">IF(A69="N/A"," ",(VLOOKUP(A69,OPPowerPrices,(IF('Pricing Inputs'!$AT$3=2,7,IF('Pricing Inputs'!$AT$3=1,6,8))),FALSE())))</f>
        <v>19.9499980926514</v>
      </c>
      <c r="P69" s="376" t="e">
        <f aca="false">IF(A69="N/A"," ",(VLOOKUP(A69,GasCurves,15,FALSE())))</f>
        <v>#N/A</v>
      </c>
      <c r="AF69" s="341" t="n">
        <v>38534</v>
      </c>
      <c r="AG69" s="31" t="n">
        <v>20</v>
      </c>
      <c r="AH69" s="31" t="n">
        <v>5</v>
      </c>
      <c r="AI69" s="31" t="n">
        <v>5</v>
      </c>
      <c r="AJ69" s="31" t="n">
        <v>1</v>
      </c>
      <c r="AK69" s="31" t="n">
        <v>31</v>
      </c>
    </row>
    <row r="70" customFormat="false" ht="12.75" hidden="false" customHeight="false" outlineLevel="0" collapsed="false">
      <c r="A70" s="368" t="n">
        <f aca="false">Calculations!A37</f>
        <v>37895</v>
      </c>
      <c r="B70" s="369" t="n">
        <f aca="false">IF(A70="N/A"," ",IF(ISERROR(L70),B58*Inputs!$F$19,L70))</f>
        <v>30.4</v>
      </c>
      <c r="C70" s="370" t="n">
        <f aca="false">IF(A70="N/A"," ",(IF(AND(MONTH(A70)&gt;=6,MONTH(A70)&lt;=8,OR($K$37="REGION 2",$K$37="REGION 2A",$K$37="REGION 2B",$K$37="REGION 3",$K$37="REGION 3A",$K$37="REGION 3B",$K$37="REGION 4",$K$37="REGION 4B",$K$37="REGION 4C",$K$37="REGION 5",$K$37="REGION 5A")),((0.059228/(B70/100))-(0.4980013/(SQRT(B70/100)))+2.137988),HLOOKUP(MONTH(A70),ScalarTable,28))))</f>
        <v>0.986925</v>
      </c>
      <c r="D70" s="371" t="n">
        <f aca="false">IF(A70="N/A"," ",C70*B70)</f>
        <v>30.00252</v>
      </c>
      <c r="E70" s="369" t="n">
        <f aca="false">IF(A70="N/A"," ",IF(ISERROR(M70),E58*Inputs!$F$19,M70))</f>
        <v>23.0005001068115</v>
      </c>
      <c r="F70" s="371" t="n">
        <f aca="false">IF(A70="N/A"," ",E70*C70)</f>
        <v>22.699768567915</v>
      </c>
      <c r="G70" s="369" t="n">
        <f aca="false">IF(A70="N/A"," ",IF(ISERROR(N70),G58*Inputs!$F$19,N70))</f>
        <v>21.0009998321533</v>
      </c>
      <c r="H70" s="371" t="n">
        <f aca="false">IF(A70="N/A"," ",G70*C70)</f>
        <v>20.7264117593479</v>
      </c>
      <c r="I70" s="371" t="n">
        <f aca="false">IF(A70="N/A"," ",IF(ISERROR(O70),I58*Inputs!$F$19,O70))</f>
        <v>19.6499988555908</v>
      </c>
      <c r="J70" s="372" t="e">
        <f aca="false">IF(A70="N/A"," ",IF(ISERROR(P70),J58*Inputs!$F$23,P70))</f>
        <v>#N/A</v>
      </c>
      <c r="L70" s="374" t="n">
        <f aca="false">IF(A70="N/A"," ",VLOOKUP(A70,PeakPowerCurves,(IF('Pricing Inputs'!$AT$3=2,3,IF('Pricing Inputs'!$AT$3=1,2,4))),FALSE()))</f>
        <v>30.4</v>
      </c>
      <c r="M70" s="374" t="n">
        <f aca="false">IF(A70="N/A"," ",VLOOKUP(A70,SatSunPeakPwr,(IF('Pricing Inputs'!$AT$3=2,3,IF('Pricing Inputs'!$AT$3=1,2,4))),FALSE()))</f>
        <v>23.0005001068115</v>
      </c>
      <c r="N70" s="374" t="n">
        <f aca="false">IF(A70="N/A"," ",VLOOKUP(A70,SatSunPeakPwr,(IF('Pricing Inputs'!$AT$3=2,7,IF('Pricing Inputs'!$AT$3=1,6,8))),FALSE()))</f>
        <v>21.0009998321533</v>
      </c>
      <c r="O70" s="375" t="n">
        <f aca="false">IF(A70="N/A"," ",(VLOOKUP(A70,OPPowerPrices,(IF('Pricing Inputs'!$AT$3=2,7,IF('Pricing Inputs'!$AT$3=1,6,8))),FALSE())))</f>
        <v>19.6499988555908</v>
      </c>
      <c r="P70" s="376" t="e">
        <f aca="false">IF(A70="N/A"," ",(VLOOKUP(A70,GasCurves,15,FALSE())))</f>
        <v>#N/A</v>
      </c>
      <c r="AF70" s="341" t="n">
        <v>38565</v>
      </c>
      <c r="AG70" s="31" t="n">
        <v>23</v>
      </c>
      <c r="AH70" s="31" t="n">
        <v>4</v>
      </c>
      <c r="AI70" s="31" t="n">
        <v>4</v>
      </c>
      <c r="AJ70" s="31" t="n">
        <v>0</v>
      </c>
      <c r="AK70" s="31" t="n">
        <v>31</v>
      </c>
    </row>
    <row r="71" customFormat="false" ht="12.75" hidden="false" customHeight="false" outlineLevel="0" collapsed="false">
      <c r="A71" s="368" t="n">
        <f aca="false">Calculations!A38</f>
        <v>37926</v>
      </c>
      <c r="B71" s="369" t="n">
        <f aca="false">IF(A71="N/A"," ",IF(ISERROR(L71),B59*Inputs!$F$19,L71))</f>
        <v>30.775</v>
      </c>
      <c r="C71" s="370" t="n">
        <f aca="false">IF(A71="N/A"," ",(IF(AND(MONTH(A71)&gt;=6,MONTH(A71)&lt;=8,OR($K$37="REGION 2",$K$37="REGION 2A",$K$37="REGION 2B",$K$37="REGION 3",$K$37="REGION 3A",$K$37="REGION 3B",$K$37="REGION 4",$K$37="REGION 4B",$K$37="REGION 4C",$K$37="REGION 5",$K$37="REGION 5A")),((0.059228/(B71/100))-(0.4980013/(SQRT(B71/100)))+2.137988),HLOOKUP(MONTH(A71),ScalarTable,28))))</f>
        <v>0.989225</v>
      </c>
      <c r="D71" s="371" t="n">
        <f aca="false">IF(A71="N/A"," ",C71*B71)</f>
        <v>30.443399375</v>
      </c>
      <c r="E71" s="369" t="n">
        <f aca="false">IF(A71="N/A"," ",IF(ISERROR(M71),E59*Inputs!$F$19,M71))</f>
        <v>24.0047515869141</v>
      </c>
      <c r="F71" s="371" t="n">
        <f aca="false">IF(A71="N/A"," ",E71*C71)</f>
        <v>23.7461003885651</v>
      </c>
      <c r="G71" s="369" t="n">
        <f aca="false">IF(A71="N/A"," ",IF(ISERROR(N71),G59*Inputs!$F$19,N71))</f>
        <v>22.0044998168945</v>
      </c>
      <c r="H71" s="371" t="n">
        <f aca="false">IF(A71="N/A"," ",G71*C71)</f>
        <v>21.7674013313675</v>
      </c>
      <c r="I71" s="371" t="n">
        <f aca="false">IF(A71="N/A"," ",IF(ISERROR(O71),I59*Inputs!$F$19,O71))</f>
        <v>19.5749980926514</v>
      </c>
      <c r="J71" s="372" t="e">
        <f aca="false">IF(A71="N/A"," ",IF(ISERROR(P71),J59*Inputs!$F$23,P71))</f>
        <v>#N/A</v>
      </c>
      <c r="L71" s="374" t="n">
        <f aca="false">IF(A71="N/A"," ",VLOOKUP(A71,PeakPowerCurves,(IF('Pricing Inputs'!$AT$3=2,3,IF('Pricing Inputs'!$AT$3=1,2,4))),FALSE()))</f>
        <v>30.775</v>
      </c>
      <c r="M71" s="374" t="n">
        <f aca="false">IF(A71="N/A"," ",VLOOKUP(A71,SatSunPeakPwr,(IF('Pricing Inputs'!$AT$3=2,3,IF('Pricing Inputs'!$AT$3=1,2,4))),FALSE()))</f>
        <v>24.0047515869141</v>
      </c>
      <c r="N71" s="374" t="n">
        <f aca="false">IF(A71="N/A"," ",VLOOKUP(A71,SatSunPeakPwr,(IF('Pricing Inputs'!$AT$3=2,7,IF('Pricing Inputs'!$AT$3=1,6,8))),FALSE()))</f>
        <v>22.0044998168945</v>
      </c>
      <c r="O71" s="375" t="n">
        <f aca="false">IF(A71="N/A"," ",(VLOOKUP(A71,OPPowerPrices,(IF('Pricing Inputs'!$AT$3=2,7,IF('Pricing Inputs'!$AT$3=1,6,8))),FALSE())))</f>
        <v>19.5749980926514</v>
      </c>
      <c r="P71" s="376" t="e">
        <f aca="false">IF(A71="N/A"," ",(VLOOKUP(A71,GasCurves,15,FALSE())))</f>
        <v>#N/A</v>
      </c>
      <c r="AF71" s="341" t="n">
        <v>38596</v>
      </c>
      <c r="AG71" s="31" t="n">
        <v>21</v>
      </c>
      <c r="AH71" s="31" t="n">
        <v>4</v>
      </c>
      <c r="AI71" s="31" t="n">
        <v>4</v>
      </c>
      <c r="AJ71" s="31" t="n">
        <v>1</v>
      </c>
      <c r="AK71" s="31" t="n">
        <v>30</v>
      </c>
    </row>
    <row r="72" customFormat="false" ht="12.75" hidden="false" customHeight="false" outlineLevel="0" collapsed="false">
      <c r="A72" s="368" t="n">
        <f aca="false">Calculations!A39</f>
        <v>37956</v>
      </c>
      <c r="B72" s="369" t="n">
        <f aca="false">IF(A72="N/A"," ",IF(ISERROR(L72),B60*Inputs!$F$19,L72))</f>
        <v>30.65</v>
      </c>
      <c r="C72" s="370" t="n">
        <f aca="false">IF(A72="N/A"," ",(IF(AND(MONTH(A72)&gt;=6,MONTH(A72)&lt;=8,OR($K$37="REGION 2",$K$37="REGION 2A",$K$37="REGION 2B",$K$37="REGION 3",$K$37="REGION 3A",$K$37="REGION 3B",$K$37="REGION 4",$K$37="REGION 4B",$K$37="REGION 4C",$K$37="REGION 5",$K$37="REGION 5A")),((0.059228/(B72/100))-(0.4980013/(SQRT(B72/100)))+2.137988),HLOOKUP(MONTH(A72),ScalarTable,28))))</f>
        <v>0.978519445147215</v>
      </c>
      <c r="D72" s="371" t="n">
        <f aca="false">IF(A72="N/A"," ",C72*B72)</f>
        <v>29.9916209937621</v>
      </c>
      <c r="E72" s="369" t="n">
        <f aca="false">IF(A72="N/A"," ",IF(ISERROR(M72),E60*Inputs!$F$19,M72))</f>
        <v>25.4549983978271</v>
      </c>
      <c r="F72" s="371" t="n">
        <f aca="false">IF(A72="N/A"," ",E72*C72)</f>
        <v>24.9082109084651</v>
      </c>
      <c r="G72" s="369" t="n">
        <f aca="false">IF(A72="N/A"," ",IF(ISERROR(N72),G60*Inputs!$F$19,N72))</f>
        <v>21.9499992370605</v>
      </c>
      <c r="H72" s="371" t="n">
        <f aca="false">IF(A72="N/A"," ",G72*C72)</f>
        <v>21.4785010744303</v>
      </c>
      <c r="I72" s="371" t="n">
        <f aca="false">IF(A72="N/A"," ",IF(ISERROR(O72),I60*Inputs!$F$19,O72))</f>
        <v>20.9999992370605</v>
      </c>
      <c r="J72" s="372" t="e">
        <f aca="false">IF(A72="N/A"," ",IF(ISERROR(P72),J60*Inputs!$F$23,P72))</f>
        <v>#N/A</v>
      </c>
      <c r="L72" s="374" t="n">
        <f aca="false">IF(A72="N/A"," ",VLOOKUP(A72,PeakPowerCurves,(IF('Pricing Inputs'!$AT$3=2,3,IF('Pricing Inputs'!$AT$3=1,2,4))),FALSE()))</f>
        <v>30.65</v>
      </c>
      <c r="M72" s="374" t="n">
        <f aca="false">IF(A72="N/A"," ",VLOOKUP(A72,SatSunPeakPwr,(IF('Pricing Inputs'!$AT$3=2,3,IF('Pricing Inputs'!$AT$3=1,2,4))),FALSE()))</f>
        <v>25.4549983978271</v>
      </c>
      <c r="N72" s="374" t="n">
        <f aca="false">IF(A72="N/A"," ",VLOOKUP(A72,SatSunPeakPwr,(IF('Pricing Inputs'!$AT$3=2,7,IF('Pricing Inputs'!$AT$3=1,6,8))),FALSE()))</f>
        <v>21.9499992370605</v>
      </c>
      <c r="O72" s="375" t="n">
        <f aca="false">IF(A72="N/A"," ",(VLOOKUP(A72,OPPowerPrices,(IF('Pricing Inputs'!$AT$3=2,7,IF('Pricing Inputs'!$AT$3=1,6,8))),FALSE())))</f>
        <v>20.9999992370605</v>
      </c>
      <c r="P72" s="376" t="e">
        <f aca="false">IF(A72="N/A"," ",(VLOOKUP(A72,GasCurves,15,FALSE())))</f>
        <v>#N/A</v>
      </c>
      <c r="AF72" s="341" t="n">
        <v>38626</v>
      </c>
      <c r="AG72" s="31" t="n">
        <v>21</v>
      </c>
      <c r="AH72" s="31" t="n">
        <v>5</v>
      </c>
      <c r="AI72" s="31" t="n">
        <v>5</v>
      </c>
      <c r="AJ72" s="31" t="n">
        <v>0</v>
      </c>
      <c r="AK72" s="31" t="n">
        <v>31</v>
      </c>
    </row>
    <row r="73" customFormat="false" ht="12.75" hidden="false" customHeight="false" outlineLevel="0" collapsed="false">
      <c r="A73" s="368" t="n">
        <f aca="false">Calculations!A40</f>
        <v>37987</v>
      </c>
      <c r="B73" s="369" t="n">
        <f aca="false">IF(A73="N/A"," ",IF(ISERROR(L73),B61*Inputs!$F$19,L73))</f>
        <v>36.65</v>
      </c>
      <c r="C73" s="370" t="n">
        <f aca="false">IF(A73="N/A"," ",(IF(AND(MONTH(A73)&gt;=6,MONTH(A73)&lt;=8,OR($K$37="REGION 2",$K$37="REGION 2A",$K$37="REGION 2B",$K$37="REGION 3",$K$37="REGION 3A",$K$37="REGION 3B",$K$37="REGION 4",$K$37="REGION 4B",$K$37="REGION 4C",$K$37="REGION 5",$K$37="REGION 5A")),((0.059228/(B73/100))-(0.4980013/(SQRT(B73/100)))+2.137988),HLOOKUP(MONTH(A73),ScalarTable,28))))</f>
        <v>0.969145769131439</v>
      </c>
      <c r="D73" s="371" t="n">
        <f aca="false">IF(A73="N/A"," ",C73*B73)</f>
        <v>35.5191924386672</v>
      </c>
      <c r="E73" s="369" t="n">
        <f aca="false">IF(A73="N/A"," ",IF(ISERROR(M73),E61*Inputs!$F$19,M73))</f>
        <v>28.8487483978271</v>
      </c>
      <c r="F73" s="371" t="n">
        <f aca="false">IF(A73="N/A"," ",E73*C73)</f>
        <v>27.9586424544916</v>
      </c>
      <c r="G73" s="369" t="n">
        <f aca="false">IF(A73="N/A"," ",IF(ISERROR(N73),G61*Inputs!$F$19,N73))</f>
        <v>27.3525001525879</v>
      </c>
      <c r="H73" s="371" t="n">
        <f aca="false">IF(A73="N/A"," ",G73*C73)</f>
        <v>26.5085597980476</v>
      </c>
      <c r="I73" s="371" t="n">
        <f aca="false">IF(A73="N/A"," ",IF(ISERROR(O73),I61*Inputs!$F$19,O73))</f>
        <v>20.7900009155273</v>
      </c>
      <c r="J73" s="372" t="e">
        <f aca="false">IF(A73="N/A"," ",IF(ISERROR(P73),J61*Inputs!$F$23,P73))</f>
        <v>#N/A</v>
      </c>
      <c r="L73" s="374" t="n">
        <f aca="false">IF(A73="N/A"," ",VLOOKUP(A73,PeakPowerCurves,(IF('Pricing Inputs'!$AT$3=2,3,IF('Pricing Inputs'!$AT$3=1,2,4))),FALSE()))</f>
        <v>36.65</v>
      </c>
      <c r="M73" s="374" t="n">
        <f aca="false">IF(A73="N/A"," ",VLOOKUP(A73,SatSunPeakPwr,(IF('Pricing Inputs'!$AT$3=2,3,IF('Pricing Inputs'!$AT$3=1,2,4))),FALSE()))</f>
        <v>28.8487483978271</v>
      </c>
      <c r="N73" s="374" t="n">
        <f aca="false">IF(A73="N/A"," ",VLOOKUP(A73,SatSunPeakPwr,(IF('Pricing Inputs'!$AT$3=2,7,IF('Pricing Inputs'!$AT$3=1,6,8))),FALSE()))</f>
        <v>27.3525001525879</v>
      </c>
      <c r="O73" s="375" t="n">
        <f aca="false">IF(A73="N/A"," ",(VLOOKUP(A73,OPPowerPrices,(IF('Pricing Inputs'!$AT$3=2,7,IF('Pricing Inputs'!$AT$3=1,6,8))),FALSE())))</f>
        <v>20.7900009155273</v>
      </c>
      <c r="P73" s="376" t="e">
        <f aca="false">IF(A73="N/A"," ",(VLOOKUP(A73,GasCurves,15,FALSE())))</f>
        <v>#N/A</v>
      </c>
      <c r="AF73" s="341" t="n">
        <v>38657</v>
      </c>
      <c r="AG73" s="31" t="n">
        <v>21</v>
      </c>
      <c r="AH73" s="31" t="n">
        <v>4</v>
      </c>
      <c r="AI73" s="31" t="n">
        <v>4</v>
      </c>
      <c r="AJ73" s="31" t="n">
        <v>1</v>
      </c>
      <c r="AK73" s="31" t="n">
        <v>30</v>
      </c>
    </row>
    <row r="74" customFormat="false" ht="12.75" hidden="false" customHeight="false" outlineLevel="0" collapsed="false">
      <c r="A74" s="368" t="n">
        <f aca="false">Calculations!A41</f>
        <v>38018</v>
      </c>
      <c r="B74" s="369" t="n">
        <f aca="false">IF(A74="N/A"," ",IF(ISERROR(L74),B62*Inputs!$F$19,L74))</f>
        <v>36.65</v>
      </c>
      <c r="C74" s="370" t="n">
        <f aca="false">IF(A74="N/A"," ",(IF(AND(MONTH(A74)&gt;=6,MONTH(A74)&lt;=8,OR($K$37="REGION 2",$K$37="REGION 2A",$K$37="REGION 2B",$K$37="REGION 3",$K$37="REGION 3A",$K$37="REGION 3B",$K$37="REGION 4",$K$37="REGION 4B",$K$37="REGION 4C",$K$37="REGION 5",$K$37="REGION 5A")),((0.059228/(B74/100))-(0.4980013/(SQRT(B74/100)))+2.137988),HLOOKUP(MONTH(A74),ScalarTable,28))))</f>
        <v>0.969145769131439</v>
      </c>
      <c r="D74" s="371" t="n">
        <f aca="false">IF(A74="N/A"," ",C74*B74)</f>
        <v>35.5191924386672</v>
      </c>
      <c r="E74" s="369" t="n">
        <f aca="false">IF(A74="N/A"," ",IF(ISERROR(M74),E62*Inputs!$F$19,M74))</f>
        <v>27.8462501525879</v>
      </c>
      <c r="F74" s="371" t="n">
        <f aca="false">IF(A74="N/A"," ",E74*C74)</f>
        <v>26.9870755215562</v>
      </c>
      <c r="G74" s="369" t="n">
        <f aca="false">IF(A74="N/A"," ",IF(ISERROR(N74),G62*Inputs!$F$19,N74))</f>
        <v>25.3474994659424</v>
      </c>
      <c r="H74" s="371" t="n">
        <f aca="false">IF(A74="N/A"," ",G74*C74)</f>
        <v>24.5654218654795</v>
      </c>
      <c r="I74" s="371" t="n">
        <f aca="false">IF(A74="N/A"," ",IF(ISERROR(O74),I62*Inputs!$F$19,O74))</f>
        <v>20.5999977111816</v>
      </c>
      <c r="J74" s="372" t="e">
        <f aca="false">IF(A74="N/A"," ",IF(ISERROR(P74),J62*Inputs!$F$23,P74))</f>
        <v>#N/A</v>
      </c>
      <c r="L74" s="374" t="n">
        <f aca="false">IF(A74="N/A"," ",VLOOKUP(A74,PeakPowerCurves,(IF('Pricing Inputs'!$AT$3=2,3,IF('Pricing Inputs'!$AT$3=1,2,4))),FALSE()))</f>
        <v>36.65</v>
      </c>
      <c r="M74" s="374" t="n">
        <f aca="false">IF(A74="N/A"," ",VLOOKUP(A74,SatSunPeakPwr,(IF('Pricing Inputs'!$AT$3=2,3,IF('Pricing Inputs'!$AT$3=1,2,4))),FALSE()))</f>
        <v>27.8462501525879</v>
      </c>
      <c r="N74" s="374" t="n">
        <f aca="false">IF(A74="N/A"," ",VLOOKUP(A74,SatSunPeakPwr,(IF('Pricing Inputs'!$AT$3=2,7,IF('Pricing Inputs'!$AT$3=1,6,8))),FALSE()))</f>
        <v>25.3474994659424</v>
      </c>
      <c r="O74" s="375" t="n">
        <f aca="false">IF(A74="N/A"," ",(VLOOKUP(A74,OPPowerPrices,(IF('Pricing Inputs'!$AT$3=2,7,IF('Pricing Inputs'!$AT$3=1,6,8))),FALSE())))</f>
        <v>20.5999977111816</v>
      </c>
      <c r="P74" s="376" t="e">
        <f aca="false">IF(A74="N/A"," ",(VLOOKUP(A74,GasCurves,15,FALSE())))</f>
        <v>#N/A</v>
      </c>
      <c r="AF74" s="341" t="n">
        <v>38687</v>
      </c>
      <c r="AG74" s="31" t="n">
        <v>21</v>
      </c>
      <c r="AH74" s="31" t="n">
        <v>5</v>
      </c>
      <c r="AI74" s="31" t="n">
        <v>4</v>
      </c>
      <c r="AJ74" s="31" t="n">
        <v>1</v>
      </c>
      <c r="AK74" s="31" t="n">
        <v>31</v>
      </c>
    </row>
    <row r="75" customFormat="false" ht="12.75" hidden="false" customHeight="false" outlineLevel="0" collapsed="false">
      <c r="A75" s="368" t="n">
        <f aca="false">Calculations!A42</f>
        <v>38047</v>
      </c>
      <c r="B75" s="369" t="n">
        <f aca="false">IF(A75="N/A"," ",IF(ISERROR(L75),B63*Inputs!$F$19,L75))</f>
        <v>32.9</v>
      </c>
      <c r="C75" s="370" t="n">
        <f aca="false">IF(A75="N/A"," ",(IF(AND(MONTH(A75)&gt;=6,MONTH(A75)&lt;=8,OR($K$37="REGION 2",$K$37="REGION 2A",$K$37="REGION 2B",$K$37="REGION 3",$K$37="REGION 3A",$K$37="REGION 3B",$K$37="REGION 4",$K$37="REGION 4B",$K$37="REGION 4C",$K$37="REGION 5",$K$37="REGION 5A")),((0.059228/(B75/100))-(0.4980013/(SQRT(B75/100)))+2.137988),HLOOKUP(MONTH(A75),ScalarTable,28))))</f>
        <v>0.97165</v>
      </c>
      <c r="D75" s="371" t="n">
        <f aca="false">IF(A75="N/A"," ",C75*B75)</f>
        <v>31.967285</v>
      </c>
      <c r="E75" s="369" t="n">
        <f aca="false">IF(A75="N/A"," ",IF(ISERROR(M75),E63*Inputs!$F$19,M75))</f>
        <v>21.0347496032715</v>
      </c>
      <c r="F75" s="371" t="n">
        <f aca="false">IF(A75="N/A"," ",E75*C75)</f>
        <v>20.4384144520187</v>
      </c>
      <c r="G75" s="369" t="n">
        <f aca="false">IF(A75="N/A"," ",IF(ISERROR(N75),G63*Inputs!$F$19,N75))</f>
        <v>20.6644989013672</v>
      </c>
      <c r="H75" s="371" t="n">
        <f aca="false">IF(A75="N/A"," ",G75*C75)</f>
        <v>20.0786603575134</v>
      </c>
      <c r="I75" s="371" t="n">
        <f aca="false">IF(A75="N/A"," ",IF(ISERROR(O75),I63*Inputs!$F$19,O75))</f>
        <v>19.5999996185303</v>
      </c>
      <c r="J75" s="372" t="e">
        <f aca="false">IF(A75="N/A"," ",IF(ISERROR(P75),J63*Inputs!$F$23,P75))</f>
        <v>#N/A</v>
      </c>
      <c r="L75" s="374" t="n">
        <f aca="false">IF(A75="N/A"," ",VLOOKUP(A75,PeakPowerCurves,(IF('Pricing Inputs'!$AT$3=2,3,IF('Pricing Inputs'!$AT$3=1,2,4))),FALSE()))</f>
        <v>32.9</v>
      </c>
      <c r="M75" s="374" t="n">
        <f aca="false">IF(A75="N/A"," ",VLOOKUP(A75,SatSunPeakPwr,(IF('Pricing Inputs'!$AT$3=2,3,IF('Pricing Inputs'!$AT$3=1,2,4))),FALSE()))</f>
        <v>21.0347496032715</v>
      </c>
      <c r="N75" s="374" t="n">
        <f aca="false">IF(A75="N/A"," ",VLOOKUP(A75,SatSunPeakPwr,(IF('Pricing Inputs'!$AT$3=2,7,IF('Pricing Inputs'!$AT$3=1,6,8))),FALSE()))</f>
        <v>20.6644989013672</v>
      </c>
      <c r="O75" s="375" t="n">
        <f aca="false">IF(A75="N/A"," ",(VLOOKUP(A75,OPPowerPrices,(IF('Pricing Inputs'!$AT$3=2,7,IF('Pricing Inputs'!$AT$3=1,6,8))),FALSE())))</f>
        <v>19.5999996185303</v>
      </c>
      <c r="P75" s="376" t="e">
        <f aca="false">IF(A75="N/A"," ",(VLOOKUP(A75,GasCurves,15,FALSE())))</f>
        <v>#N/A</v>
      </c>
      <c r="AF75" s="341" t="n">
        <v>38718</v>
      </c>
      <c r="AG75" s="31" t="n">
        <v>21</v>
      </c>
      <c r="AH75" s="31" t="n">
        <v>4</v>
      </c>
      <c r="AI75" s="31" t="n">
        <v>5</v>
      </c>
      <c r="AJ75" s="31" t="n">
        <v>1</v>
      </c>
      <c r="AK75" s="31" t="n">
        <v>31</v>
      </c>
    </row>
    <row r="76" customFormat="false" ht="12.75" hidden="false" customHeight="false" outlineLevel="0" collapsed="false">
      <c r="A76" s="368" t="n">
        <f aca="false">Calculations!A43</f>
        <v>38078</v>
      </c>
      <c r="B76" s="369" t="n">
        <f aca="false">IF(A76="N/A"," ",IF(ISERROR(L76),B64*Inputs!$F$19,L76))</f>
        <v>31.65</v>
      </c>
      <c r="C76" s="370" t="n">
        <f aca="false">IF(A76="N/A"," ",(IF(AND(MONTH(A76)&gt;=6,MONTH(A76)&lt;=8,OR($K$37="REGION 2",$K$37="REGION 2A",$K$37="REGION 2B",$K$37="REGION 3",$K$37="REGION 3A",$K$37="REGION 3B",$K$37="REGION 4",$K$37="REGION 4B",$K$37="REGION 4C",$K$37="REGION 5",$K$37="REGION 5A")),((0.059228/(B76/100))-(0.4980013/(SQRT(B76/100)))+2.137988),HLOOKUP(MONTH(A76),ScalarTable,28))))</f>
        <v>0.924989009949893</v>
      </c>
      <c r="D76" s="371" t="n">
        <f aca="false">IF(A76="N/A"," ",C76*B76)</f>
        <v>29.2759021649141</v>
      </c>
      <c r="E76" s="369" t="n">
        <f aca="false">IF(A76="N/A"," ",IF(ISERROR(M76),E64*Inputs!$F$19,M76))</f>
        <v>21.7175003051758</v>
      </c>
      <c r="F76" s="371" t="n">
        <f aca="false">IF(A76="N/A"," ",E76*C76)</f>
        <v>20.0884491058711</v>
      </c>
      <c r="G76" s="369" t="n">
        <f aca="false">IF(A76="N/A"," ",IF(ISERROR(N76),G64*Inputs!$F$19,N76))</f>
        <v>20.4349990844727</v>
      </c>
      <c r="H76" s="371" t="n">
        <f aca="false">IF(A76="N/A"," ",G76*C76)</f>
        <v>18.9021495714733</v>
      </c>
      <c r="I76" s="371" t="n">
        <f aca="false">IF(A76="N/A"," ",IF(ISERROR(O76),I64*Inputs!$F$19,O76))</f>
        <v>19.5999977111816</v>
      </c>
      <c r="J76" s="372" t="e">
        <f aca="false">IF(A76="N/A"," ",IF(ISERROR(P76),J64*Inputs!$F$23,P76))</f>
        <v>#N/A</v>
      </c>
      <c r="L76" s="374" t="n">
        <f aca="false">IF(A76="N/A"," ",VLOOKUP(A76,PeakPowerCurves,(IF('Pricing Inputs'!$AT$3=2,3,IF('Pricing Inputs'!$AT$3=1,2,4))),FALSE()))</f>
        <v>31.65</v>
      </c>
      <c r="M76" s="374" t="n">
        <f aca="false">IF(A76="N/A"," ",VLOOKUP(A76,SatSunPeakPwr,(IF('Pricing Inputs'!$AT$3=2,3,IF('Pricing Inputs'!$AT$3=1,2,4))),FALSE()))</f>
        <v>21.7175003051758</v>
      </c>
      <c r="N76" s="374" t="n">
        <f aca="false">IF(A76="N/A"," ",VLOOKUP(A76,SatSunPeakPwr,(IF('Pricing Inputs'!$AT$3=2,7,IF('Pricing Inputs'!$AT$3=1,6,8))),FALSE()))</f>
        <v>20.4349990844727</v>
      </c>
      <c r="O76" s="375" t="n">
        <f aca="false">IF(A76="N/A"," ",(VLOOKUP(A76,OPPowerPrices,(IF('Pricing Inputs'!$AT$3=2,7,IF('Pricing Inputs'!$AT$3=1,6,8))),FALSE())))</f>
        <v>19.5999977111816</v>
      </c>
      <c r="P76" s="376" t="e">
        <f aca="false">IF(A76="N/A"," ",(VLOOKUP(A76,GasCurves,15,FALSE())))</f>
        <v>#N/A</v>
      </c>
      <c r="AF76" s="341" t="n">
        <v>38749</v>
      </c>
      <c r="AG76" s="31" t="n">
        <v>20</v>
      </c>
      <c r="AH76" s="31" t="n">
        <v>4</v>
      </c>
      <c r="AI76" s="31" t="n">
        <v>4</v>
      </c>
      <c r="AJ76" s="31" t="n">
        <v>0</v>
      </c>
      <c r="AK76" s="31" t="n">
        <v>28</v>
      </c>
    </row>
    <row r="77" customFormat="false" ht="12.75" hidden="false" customHeight="false" outlineLevel="0" collapsed="false">
      <c r="A77" s="368" t="n">
        <f aca="false">Calculations!A44</f>
        <v>38108</v>
      </c>
      <c r="B77" s="369" t="n">
        <f aca="false">IF(A77="N/A"," ",IF(ISERROR(L77),B65*Inputs!$F$19,L77))</f>
        <v>33.65</v>
      </c>
      <c r="C77" s="370" t="n">
        <f aca="false">IF(A77="N/A"," ",(IF(AND(MONTH(A77)&gt;=6,MONTH(A77)&lt;=8,OR($K$37="REGION 2",$K$37="REGION 2A",$K$37="REGION 2B",$K$37="REGION 3",$K$37="REGION 3A",$K$37="REGION 3B",$K$37="REGION 4",$K$37="REGION 4B",$K$37="REGION 4C",$K$37="REGION 5",$K$37="REGION 5A")),((0.059228/(B77/100))-(0.4980013/(SQRT(B77/100)))+2.137988),HLOOKUP(MONTH(A77),ScalarTable,28))))</f>
        <v>0.972355461918447</v>
      </c>
      <c r="D77" s="371" t="n">
        <f aca="false">IF(A77="N/A"," ",C77*B77)</f>
        <v>32.7197612935557</v>
      </c>
      <c r="E77" s="369" t="n">
        <f aca="false">IF(A77="N/A"," ",IF(ISERROR(M77),E65*Inputs!$F$19,M77))</f>
        <v>21.8325000762939</v>
      </c>
      <c r="F77" s="371" t="n">
        <f aca="false">IF(A77="N/A"," ",E77*C77)</f>
        <v>21.2289506965193</v>
      </c>
      <c r="G77" s="369" t="n">
        <f aca="false">IF(A77="N/A"," ",IF(ISERROR(N77),G65*Inputs!$F$19,N77))</f>
        <v>20.9649997711182</v>
      </c>
      <c r="H77" s="371" t="n">
        <f aca="false">IF(A77="N/A"," ",G77*C77)</f>
        <v>20.3854320365657</v>
      </c>
      <c r="I77" s="371" t="n">
        <f aca="false">IF(A77="N/A"," ",IF(ISERROR(O77),I65*Inputs!$F$19,O77))</f>
        <v>19.5999977111816</v>
      </c>
      <c r="J77" s="372" t="e">
        <f aca="false">IF(A77="N/A"," ",IF(ISERROR(P77),J65*Inputs!$F$23,P77))</f>
        <v>#N/A</v>
      </c>
      <c r="L77" s="374" t="n">
        <f aca="false">IF(A77="N/A"," ",VLOOKUP(A77,PeakPowerCurves,(IF('Pricing Inputs'!$AT$3=2,3,IF('Pricing Inputs'!$AT$3=1,2,4))),FALSE()))</f>
        <v>33.65</v>
      </c>
      <c r="M77" s="374" t="n">
        <f aca="false">IF(A77="N/A"," ",VLOOKUP(A77,SatSunPeakPwr,(IF('Pricing Inputs'!$AT$3=2,3,IF('Pricing Inputs'!$AT$3=1,2,4))),FALSE()))</f>
        <v>21.8325000762939</v>
      </c>
      <c r="N77" s="374" t="n">
        <f aca="false">IF(A77="N/A"," ",VLOOKUP(A77,SatSunPeakPwr,(IF('Pricing Inputs'!$AT$3=2,7,IF('Pricing Inputs'!$AT$3=1,6,8))),FALSE()))</f>
        <v>20.9649997711182</v>
      </c>
      <c r="O77" s="375" t="n">
        <f aca="false">IF(A77="N/A"," ",(VLOOKUP(A77,OPPowerPrices,(IF('Pricing Inputs'!$AT$3=2,7,IF('Pricing Inputs'!$AT$3=1,6,8))),FALSE())))</f>
        <v>19.5999977111816</v>
      </c>
      <c r="P77" s="376" t="e">
        <f aca="false">IF(A77="N/A"," ",(VLOOKUP(A77,GasCurves,15,FALSE())))</f>
        <v>#N/A</v>
      </c>
      <c r="AF77" s="341" t="n">
        <v>38777</v>
      </c>
      <c r="AG77" s="31" t="n">
        <v>23</v>
      </c>
      <c r="AH77" s="31" t="n">
        <v>4</v>
      </c>
      <c r="AI77" s="31" t="n">
        <v>4</v>
      </c>
      <c r="AJ77" s="31" t="n">
        <v>0</v>
      </c>
      <c r="AK77" s="31" t="n">
        <v>31</v>
      </c>
    </row>
    <row r="78" customFormat="false" ht="12.75" hidden="false" customHeight="false" outlineLevel="0" collapsed="false">
      <c r="A78" s="368" t="n">
        <f aca="false">Calculations!A45</f>
        <v>38139</v>
      </c>
      <c r="B78" s="369" t="n">
        <f aca="false">IF(A78="N/A"," ",IF(ISERROR(L78),B66*Inputs!$F$19,L78))</f>
        <v>48.75</v>
      </c>
      <c r="C78" s="370" t="n">
        <f aca="false">IF(A78="N/A"," ",(IF(AND(MONTH(A78)&gt;=6,MONTH(A78)&lt;=8,OR($K$37="REGION 2",$K$37="REGION 2A",$K$37="REGION 2B",$K$37="REGION 3",$K$37="REGION 3A",$K$37="REGION 3B",$K$37="REGION 4",$K$37="REGION 4B",$K$37="REGION 4C",$K$37="REGION 5",$K$37="REGION 5A")),((0.059228/(B78/100))-(0.4980013/(SQRT(B78/100)))+2.137988),HLOOKUP(MONTH(A78),ScalarTable,28))))</f>
        <v>1.14029274839576</v>
      </c>
      <c r="D78" s="371" t="n">
        <f aca="false">IF(A78="N/A"," ",C78*B78)</f>
        <v>55.5892714842931</v>
      </c>
      <c r="E78" s="369" t="n">
        <f aca="false">IF(A78="N/A"," ",IF(ISERROR(M78),E66*Inputs!$F$19,M78))</f>
        <v>26.2587501525879</v>
      </c>
      <c r="F78" s="371" t="n">
        <f aca="false">IF(A78="N/A"," ",E78*C78)</f>
        <v>29.9426623809319</v>
      </c>
      <c r="G78" s="369" t="n">
        <f aca="false">IF(A78="N/A"," ",IF(ISERROR(N78),G66*Inputs!$F$19,N78))</f>
        <v>19.7424995422363</v>
      </c>
      <c r="H78" s="371" t="n">
        <f aca="false">IF(A78="N/A"," ",G78*C78)</f>
        <v>22.5122290632186</v>
      </c>
      <c r="I78" s="371" t="n">
        <f aca="false">IF(A78="N/A"," ",IF(ISERROR(O78),I66*Inputs!$F$19,O78))</f>
        <v>19.5549987792969</v>
      </c>
      <c r="J78" s="372" t="e">
        <f aca="false">IF(A78="N/A"," ",IF(ISERROR(P78),J66*Inputs!$F$23,P78))</f>
        <v>#N/A</v>
      </c>
      <c r="L78" s="374" t="n">
        <f aca="false">IF(A78="N/A"," ",VLOOKUP(A78,PeakPowerCurves,(IF('Pricing Inputs'!$AT$3=2,3,IF('Pricing Inputs'!$AT$3=1,2,4))),FALSE()))</f>
        <v>48.75</v>
      </c>
      <c r="M78" s="374" t="n">
        <f aca="false">IF(A78="N/A"," ",VLOOKUP(A78,SatSunPeakPwr,(IF('Pricing Inputs'!$AT$3=2,3,IF('Pricing Inputs'!$AT$3=1,2,4))),FALSE()))</f>
        <v>26.2587501525879</v>
      </c>
      <c r="N78" s="374" t="n">
        <f aca="false">IF(A78="N/A"," ",VLOOKUP(A78,SatSunPeakPwr,(IF('Pricing Inputs'!$AT$3=2,7,IF('Pricing Inputs'!$AT$3=1,6,8))),FALSE()))</f>
        <v>19.7424995422363</v>
      </c>
      <c r="O78" s="375" t="n">
        <f aca="false">IF(A78="N/A"," ",(VLOOKUP(A78,OPPowerPrices,(IF('Pricing Inputs'!$AT$3=2,7,IF('Pricing Inputs'!$AT$3=1,6,8))),FALSE())))</f>
        <v>19.5549987792969</v>
      </c>
      <c r="P78" s="376" t="e">
        <f aca="false">IF(A78="N/A"," ",(VLOOKUP(A78,GasCurves,15,FALSE())))</f>
        <v>#N/A</v>
      </c>
      <c r="AF78" s="341" t="n">
        <v>38808</v>
      </c>
      <c r="AG78" s="31" t="n">
        <v>20</v>
      </c>
      <c r="AH78" s="31" t="n">
        <v>5</v>
      </c>
      <c r="AI78" s="31" t="n">
        <v>5</v>
      </c>
      <c r="AJ78" s="31" t="n">
        <v>0</v>
      </c>
      <c r="AK78" s="31" t="n">
        <v>30</v>
      </c>
    </row>
    <row r="79" customFormat="false" ht="12.75" hidden="false" customHeight="false" outlineLevel="0" collapsed="false">
      <c r="A79" s="368" t="n">
        <f aca="false">Calculations!A46</f>
        <v>38169</v>
      </c>
      <c r="B79" s="369" t="n">
        <f aca="false">IF(A79="N/A"," ",IF(ISERROR(L79),B67*Inputs!$F$19,L79))</f>
        <v>69.5</v>
      </c>
      <c r="C79" s="370" t="n">
        <f aca="false">IF(A79="N/A"," ",(IF(AND(MONTH(A79)&gt;=6,MONTH(A79)&lt;=8,OR($K$37="REGION 2",$K$37="REGION 2A",$K$37="REGION 2B",$K$37="REGION 3",$K$37="REGION 3A",$K$37="REGION 3B",$K$37="REGION 4",$K$37="REGION 4B",$K$37="REGION 4C",$K$37="REGION 5",$K$37="REGION 5A")),((0.059228/(B79/100))-(0.4980013/(SQRT(B79/100)))+2.137988),HLOOKUP(MONTH(A79),ScalarTable,28))))</f>
        <v>1.19166491456367</v>
      </c>
      <c r="D79" s="371" t="n">
        <f aca="false">IF(A79="N/A"," ",C79*B79)</f>
        <v>82.820711562175</v>
      </c>
      <c r="E79" s="369" t="n">
        <f aca="false">IF(A79="N/A"," ",IF(ISERROR(M79),E67*Inputs!$F$19,M79))</f>
        <v>39.4612495422363</v>
      </c>
      <c r="F79" s="371" t="n">
        <f aca="false">IF(A79="N/A"," ",E79*C79)</f>
        <v>47.0245865643247</v>
      </c>
      <c r="G79" s="369" t="n">
        <f aca="false">IF(A79="N/A"," ",IF(ISERROR(N79),G67*Inputs!$F$19,N79))</f>
        <v>28.9474994659424</v>
      </c>
      <c r="H79" s="371" t="n">
        <f aca="false">IF(A79="N/A"," ",G79*C79)</f>
        <v>34.4957194779141</v>
      </c>
      <c r="I79" s="371" t="n">
        <f aca="false">IF(A79="N/A"," ",IF(ISERROR(O79),I67*Inputs!$F$19,O79))</f>
        <v>24.0499977111816</v>
      </c>
      <c r="J79" s="372" t="e">
        <f aca="false">IF(A79="N/A"," ",IF(ISERROR(P79),J67*Inputs!$F$23,P79))</f>
        <v>#N/A</v>
      </c>
      <c r="L79" s="374" t="n">
        <f aca="false">IF(A79="N/A"," ",VLOOKUP(A79,PeakPowerCurves,(IF('Pricing Inputs'!$AT$3=2,3,IF('Pricing Inputs'!$AT$3=1,2,4))),FALSE()))</f>
        <v>69.5</v>
      </c>
      <c r="M79" s="374" t="n">
        <f aca="false">IF(A79="N/A"," ",VLOOKUP(A79,SatSunPeakPwr,(IF('Pricing Inputs'!$AT$3=2,3,IF('Pricing Inputs'!$AT$3=1,2,4))),FALSE()))</f>
        <v>39.4612495422363</v>
      </c>
      <c r="N79" s="374" t="n">
        <f aca="false">IF(A79="N/A"," ",VLOOKUP(A79,SatSunPeakPwr,(IF('Pricing Inputs'!$AT$3=2,7,IF('Pricing Inputs'!$AT$3=1,6,8))),FALSE()))</f>
        <v>28.9474994659424</v>
      </c>
      <c r="O79" s="375" t="n">
        <f aca="false">IF(A79="N/A"," ",(VLOOKUP(A79,OPPowerPrices,(IF('Pricing Inputs'!$AT$3=2,7,IF('Pricing Inputs'!$AT$3=1,6,8))),FALSE())))</f>
        <v>24.0499977111816</v>
      </c>
      <c r="P79" s="376" t="e">
        <f aca="false">IF(A79="N/A"," ",(VLOOKUP(A79,GasCurves,15,FALSE())))</f>
        <v>#N/A</v>
      </c>
      <c r="AF79" s="341" t="n">
        <v>38838</v>
      </c>
      <c r="AG79" s="31" t="n">
        <v>22</v>
      </c>
      <c r="AH79" s="31" t="n">
        <v>4</v>
      </c>
      <c r="AI79" s="31" t="n">
        <v>4</v>
      </c>
      <c r="AJ79" s="31" t="n">
        <v>1</v>
      </c>
      <c r="AK79" s="31" t="n">
        <v>31</v>
      </c>
    </row>
    <row r="80" customFormat="false" ht="12.75" hidden="false" customHeight="false" outlineLevel="0" collapsed="false">
      <c r="A80" s="368" t="n">
        <f aca="false">Calculations!A47</f>
        <v>38200</v>
      </c>
      <c r="B80" s="369" t="n">
        <f aca="false">IF(A80="N/A"," ",IF(ISERROR(L80),B68*Inputs!$F$19,L80))</f>
        <v>65</v>
      </c>
      <c r="C80" s="370" t="n">
        <f aca="false">IF(A80="N/A"," ",(IF(AND(MONTH(A80)&gt;=6,MONTH(A80)&lt;=8,OR($K$37="REGION 2",$K$37="REGION 2A",$K$37="REGION 2B",$K$37="REGION 3",$K$37="REGION 3A",$K$37="REGION 3B",$K$37="REGION 4",$K$37="REGION 4B",$K$37="REGION 4C",$K$37="REGION 5",$K$37="REGION 5A")),((0.059228/(B80/100))-(0.4980013/(SQRT(B80/100)))+2.137988),HLOOKUP(MONTH(A80),ScalarTable,28))))</f>
        <v>1.1089289483683</v>
      </c>
      <c r="D80" s="371" t="n">
        <f aca="false">IF(A80="N/A"," ",C80*B80)</f>
        <v>72.0803816439397</v>
      </c>
      <c r="E80" s="369" t="n">
        <f aca="false">IF(A80="N/A"," ",IF(ISERROR(M80),E68*Inputs!$F$19,M80))</f>
        <v>41.7224990844727</v>
      </c>
      <c r="F80" s="371" t="n">
        <f aca="false">IF(A80="N/A"," ",E80*C80)</f>
        <v>46.2672870330418</v>
      </c>
      <c r="G80" s="369" t="n">
        <f aca="false">IF(A80="N/A"," ",IF(ISERROR(N80),G68*Inputs!$F$19,N80))</f>
        <v>30.4450008392334</v>
      </c>
      <c r="H80" s="371" t="n">
        <f aca="false">IF(A80="N/A"," ",G80*C80)</f>
        <v>33.7613427637232</v>
      </c>
      <c r="I80" s="371" t="n">
        <f aca="false">IF(A80="N/A"," ",IF(ISERROR(O80),I68*Inputs!$F$19,O80))</f>
        <v>24.3999980926514</v>
      </c>
      <c r="J80" s="372" t="e">
        <f aca="false">IF(A80="N/A"," ",IF(ISERROR(P80),J68*Inputs!$F$23,P80))</f>
        <v>#N/A</v>
      </c>
      <c r="L80" s="374" t="n">
        <f aca="false">IF(A80="N/A"," ",VLOOKUP(A80,PeakPowerCurves,(IF('Pricing Inputs'!$AT$3=2,3,IF('Pricing Inputs'!$AT$3=1,2,4))),FALSE()))</f>
        <v>65</v>
      </c>
      <c r="M80" s="374" t="n">
        <f aca="false">IF(A80="N/A"," ",VLOOKUP(A80,SatSunPeakPwr,(IF('Pricing Inputs'!$AT$3=2,3,IF('Pricing Inputs'!$AT$3=1,2,4))),FALSE()))</f>
        <v>41.7224990844727</v>
      </c>
      <c r="N80" s="374" t="n">
        <f aca="false">IF(A80="N/A"," ",VLOOKUP(A80,SatSunPeakPwr,(IF('Pricing Inputs'!$AT$3=2,7,IF('Pricing Inputs'!$AT$3=1,6,8))),FALSE()))</f>
        <v>30.4450008392334</v>
      </c>
      <c r="O80" s="375" t="n">
        <f aca="false">IF(A80="N/A"," ",(VLOOKUP(A80,OPPowerPrices,(IF('Pricing Inputs'!$AT$3=2,7,IF('Pricing Inputs'!$AT$3=1,6,8))),FALSE())))</f>
        <v>24.3999980926514</v>
      </c>
      <c r="P80" s="376" t="e">
        <f aca="false">IF(A80="N/A"," ",(VLOOKUP(A80,GasCurves,15,FALSE())))</f>
        <v>#N/A</v>
      </c>
      <c r="AF80" s="341" t="n">
        <v>38869</v>
      </c>
      <c r="AG80" s="31" t="n">
        <v>22</v>
      </c>
      <c r="AH80" s="31" t="n">
        <v>4</v>
      </c>
      <c r="AI80" s="31" t="n">
        <v>4</v>
      </c>
      <c r="AJ80" s="31" t="n">
        <v>0</v>
      </c>
      <c r="AK80" s="31" t="n">
        <v>30</v>
      </c>
    </row>
    <row r="81" customFormat="false" ht="12.75" hidden="false" customHeight="false" outlineLevel="0" collapsed="false">
      <c r="A81" s="368" t="n">
        <f aca="false">Calculations!A48</f>
        <v>38231</v>
      </c>
      <c r="B81" s="369" t="n">
        <f aca="false">IF(A81="N/A"," ",IF(ISERROR(L81),B69*Inputs!$F$19,L81))</f>
        <v>32.65</v>
      </c>
      <c r="C81" s="370" t="n">
        <f aca="false">IF(A81="N/A"," ",(IF(AND(MONTH(A81)&gt;=6,MONTH(A81)&lt;=8,OR($K$37="REGION 2",$K$37="REGION 2A",$K$37="REGION 2B",$K$37="REGION 3",$K$37="REGION 3A",$K$37="REGION 3B",$K$37="REGION 4",$K$37="REGION 4B",$K$37="REGION 4C",$K$37="REGION 5",$K$37="REGION 5A")),((0.059228/(B81/100))-(0.4980013/(SQRT(B81/100)))+2.137988),HLOOKUP(MONTH(A81),ScalarTable,28))))</f>
        <v>1.09653379232051</v>
      </c>
      <c r="D81" s="371" t="n">
        <f aca="false">IF(A81="N/A"," ",C81*B81)</f>
        <v>35.8018283192647</v>
      </c>
      <c r="E81" s="369" t="n">
        <f aca="false">IF(A81="N/A"," ",IF(ISERROR(M81),E69*Inputs!$F$19,M81))</f>
        <v>23.1049991607666</v>
      </c>
      <c r="F81" s="371" t="n">
        <f aca="false">IF(A81="N/A"," ",E81*C81)</f>
        <v>25.3354123513176</v>
      </c>
      <c r="G81" s="369" t="n">
        <f aca="false">IF(A81="N/A"," ",IF(ISERROR(N81),G69*Inputs!$F$19,N81))</f>
        <v>23.6</v>
      </c>
      <c r="H81" s="371" t="n">
        <f aca="false">IF(A81="N/A"," ",G81*C81)</f>
        <v>25.8781974987641</v>
      </c>
      <c r="I81" s="371" t="n">
        <f aca="false">IF(A81="N/A"," ",IF(ISERROR(O81),I69*Inputs!$F$19,O81))</f>
        <v>19.9499980926514</v>
      </c>
      <c r="J81" s="372" t="e">
        <f aca="false">IF(A81="N/A"," ",IF(ISERROR(P81),J69*Inputs!$F$23,P81))</f>
        <v>#N/A</v>
      </c>
      <c r="L81" s="374" t="n">
        <f aca="false">IF(A81="N/A"," ",VLOOKUP(A81,PeakPowerCurves,(IF('Pricing Inputs'!$AT$3=2,3,IF('Pricing Inputs'!$AT$3=1,2,4))),FALSE()))</f>
        <v>32.65</v>
      </c>
      <c r="M81" s="374" t="n">
        <f aca="false">IF(A81="N/A"," ",VLOOKUP(A81,SatSunPeakPwr,(IF('Pricing Inputs'!$AT$3=2,3,IF('Pricing Inputs'!$AT$3=1,2,4))),FALSE()))</f>
        <v>23.1049991607666</v>
      </c>
      <c r="N81" s="374" t="n">
        <f aca="false">IF(A81="N/A"," ",VLOOKUP(A81,SatSunPeakPwr,(IF('Pricing Inputs'!$AT$3=2,7,IF('Pricing Inputs'!$AT$3=1,6,8))),FALSE()))</f>
        <v>23.6</v>
      </c>
      <c r="O81" s="375" t="n">
        <f aca="false">IF(A81="N/A"," ",(VLOOKUP(A81,OPPowerPrices,(IF('Pricing Inputs'!$AT$3=2,7,IF('Pricing Inputs'!$AT$3=1,6,8))),FALSE())))</f>
        <v>19.9499980926514</v>
      </c>
      <c r="P81" s="376" t="e">
        <f aca="false">IF(A81="N/A"," ",(VLOOKUP(A81,GasCurves,15,FALSE())))</f>
        <v>#N/A</v>
      </c>
      <c r="AF81" s="341" t="n">
        <v>38899</v>
      </c>
      <c r="AG81" s="31" t="n">
        <v>20</v>
      </c>
      <c r="AH81" s="31" t="n">
        <v>5</v>
      </c>
      <c r="AI81" s="31" t="n">
        <v>5</v>
      </c>
      <c r="AJ81" s="31" t="n">
        <v>1</v>
      </c>
      <c r="AK81" s="31" t="n">
        <v>31</v>
      </c>
    </row>
    <row r="82" customFormat="false" ht="12.75" hidden="false" customHeight="false" outlineLevel="0" collapsed="false">
      <c r="A82" s="368" t="n">
        <f aca="false">Calculations!A49</f>
        <v>38261</v>
      </c>
      <c r="B82" s="369" t="n">
        <f aca="false">IF(A82="N/A"," ",IF(ISERROR(L82),B70*Inputs!$F$19,L82))</f>
        <v>30.4</v>
      </c>
      <c r="C82" s="370" t="n">
        <f aca="false">IF(A82="N/A"," ",(IF(AND(MONTH(A82)&gt;=6,MONTH(A82)&lt;=8,OR($K$37="REGION 2",$K$37="REGION 2A",$K$37="REGION 2B",$K$37="REGION 3",$K$37="REGION 3A",$K$37="REGION 3B",$K$37="REGION 4",$K$37="REGION 4B",$K$37="REGION 4C",$K$37="REGION 5",$K$37="REGION 5A")),((0.059228/(B82/100))-(0.4980013/(SQRT(B82/100)))+2.137988),HLOOKUP(MONTH(A82),ScalarTable,28))))</f>
        <v>0.986925</v>
      </c>
      <c r="D82" s="371" t="n">
        <f aca="false">IF(A82="N/A"," ",C82*B82)</f>
        <v>30.00252</v>
      </c>
      <c r="E82" s="369" t="n">
        <f aca="false">IF(A82="N/A"," ",IF(ISERROR(M82),E70*Inputs!$F$19,M82))</f>
        <v>23.2005001068115</v>
      </c>
      <c r="F82" s="371" t="n">
        <f aca="false">IF(A82="N/A"," ",E82*C82)</f>
        <v>22.897153567915</v>
      </c>
      <c r="G82" s="369" t="n">
        <f aca="false">IF(A82="N/A"," ",IF(ISERROR(N82),G70*Inputs!$F$19,N82))</f>
        <v>21.2009998321533</v>
      </c>
      <c r="H82" s="371" t="n">
        <f aca="false">IF(A82="N/A"," ",G82*C82)</f>
        <v>20.9237967593479</v>
      </c>
      <c r="I82" s="371" t="n">
        <f aca="false">IF(A82="N/A"," ",IF(ISERROR(O82),I70*Inputs!$F$19,O82))</f>
        <v>19.6499988555908</v>
      </c>
      <c r="J82" s="372" t="e">
        <f aca="false">IF(A82="N/A"," ",IF(ISERROR(P82),J70*Inputs!$F$23,P82))</f>
        <v>#N/A</v>
      </c>
      <c r="L82" s="374" t="n">
        <f aca="false">IF(A82="N/A"," ",VLOOKUP(A82,PeakPowerCurves,(IF('Pricing Inputs'!$AT$3=2,3,IF('Pricing Inputs'!$AT$3=1,2,4))),FALSE()))</f>
        <v>30.4</v>
      </c>
      <c r="M82" s="374" t="n">
        <f aca="false">IF(A82="N/A"," ",VLOOKUP(A82,SatSunPeakPwr,(IF('Pricing Inputs'!$AT$3=2,3,IF('Pricing Inputs'!$AT$3=1,2,4))),FALSE()))</f>
        <v>23.2005001068115</v>
      </c>
      <c r="N82" s="374" t="n">
        <f aca="false">IF(A82="N/A"," ",VLOOKUP(A82,SatSunPeakPwr,(IF('Pricing Inputs'!$AT$3=2,7,IF('Pricing Inputs'!$AT$3=1,6,8))),FALSE()))</f>
        <v>21.2009998321533</v>
      </c>
      <c r="O82" s="375" t="n">
        <f aca="false">IF(A82="N/A"," ",(VLOOKUP(A82,OPPowerPrices,(IF('Pricing Inputs'!$AT$3=2,7,IF('Pricing Inputs'!$AT$3=1,6,8))),FALSE())))</f>
        <v>19.6499988555908</v>
      </c>
      <c r="P82" s="376" t="e">
        <f aca="false">IF(A82="N/A"," ",(VLOOKUP(A82,GasCurves,15,FALSE())))</f>
        <v>#N/A</v>
      </c>
      <c r="AF82" s="341" t="n">
        <v>38930</v>
      </c>
      <c r="AG82" s="31" t="n">
        <v>23</v>
      </c>
      <c r="AH82" s="31" t="n">
        <v>4</v>
      </c>
      <c r="AI82" s="31" t="n">
        <v>4</v>
      </c>
      <c r="AJ82" s="31" t="n">
        <v>0</v>
      </c>
      <c r="AK82" s="31" t="n">
        <v>31</v>
      </c>
    </row>
    <row r="83" customFormat="false" ht="12.75" hidden="false" customHeight="false" outlineLevel="0" collapsed="false">
      <c r="A83" s="368" t="n">
        <f aca="false">Calculations!A50</f>
        <v>38292</v>
      </c>
      <c r="B83" s="369" t="n">
        <f aca="false">IF(A83="N/A"," ",IF(ISERROR(L83),B71*Inputs!$F$19,L83))</f>
        <v>30.775</v>
      </c>
      <c r="C83" s="370" t="n">
        <f aca="false">IF(A83="N/A"," ",(IF(AND(MONTH(A83)&gt;=6,MONTH(A83)&lt;=8,OR($K$37="REGION 2",$K$37="REGION 2A",$K$37="REGION 2B",$K$37="REGION 3",$K$37="REGION 3A",$K$37="REGION 3B",$K$37="REGION 4",$K$37="REGION 4B",$K$37="REGION 4C",$K$37="REGION 5",$K$37="REGION 5A")),((0.059228/(B83/100))-(0.4980013/(SQRT(B83/100)))+2.137988),HLOOKUP(MONTH(A83),ScalarTable,28))))</f>
        <v>0.989225</v>
      </c>
      <c r="D83" s="371" t="n">
        <f aca="false">IF(A83="N/A"," ",C83*B83)</f>
        <v>30.443399375</v>
      </c>
      <c r="E83" s="369" t="n">
        <f aca="false">IF(A83="N/A"," ",IF(ISERROR(M83),E71*Inputs!$F$19,M83))</f>
        <v>24.2047515869141</v>
      </c>
      <c r="F83" s="371" t="n">
        <f aca="false">IF(A83="N/A"," ",E83*C83)</f>
        <v>23.9439453885651</v>
      </c>
      <c r="G83" s="369" t="n">
        <f aca="false">IF(A83="N/A"," ",IF(ISERROR(N83),G71*Inputs!$F$19,N83))</f>
        <v>22.2044998168945</v>
      </c>
      <c r="H83" s="371" t="n">
        <f aca="false">IF(A83="N/A"," ",G83*C83)</f>
        <v>21.9652463313675</v>
      </c>
      <c r="I83" s="371" t="n">
        <f aca="false">IF(A83="N/A"," ",IF(ISERROR(O83),I71*Inputs!$F$19,O83))</f>
        <v>19.5749980926514</v>
      </c>
      <c r="J83" s="372" t="e">
        <f aca="false">IF(A83="N/A"," ",IF(ISERROR(P83),J71*Inputs!$F$23,P83))</f>
        <v>#N/A</v>
      </c>
      <c r="L83" s="374" t="n">
        <f aca="false">IF(A83="N/A"," ",VLOOKUP(A83,PeakPowerCurves,(IF('Pricing Inputs'!$AT$3=2,3,IF('Pricing Inputs'!$AT$3=1,2,4))),FALSE()))</f>
        <v>30.775</v>
      </c>
      <c r="M83" s="374" t="n">
        <f aca="false">IF(A83="N/A"," ",VLOOKUP(A83,SatSunPeakPwr,(IF('Pricing Inputs'!$AT$3=2,3,IF('Pricing Inputs'!$AT$3=1,2,4))),FALSE()))</f>
        <v>24.2047515869141</v>
      </c>
      <c r="N83" s="374" t="n">
        <f aca="false">IF(A83="N/A"," ",VLOOKUP(A83,SatSunPeakPwr,(IF('Pricing Inputs'!$AT$3=2,7,IF('Pricing Inputs'!$AT$3=1,6,8))),FALSE()))</f>
        <v>22.2044998168945</v>
      </c>
      <c r="O83" s="375" t="n">
        <f aca="false">IF(A83="N/A"," ",(VLOOKUP(A83,OPPowerPrices,(IF('Pricing Inputs'!$AT$3=2,7,IF('Pricing Inputs'!$AT$3=1,6,8))),FALSE())))</f>
        <v>19.5749980926514</v>
      </c>
      <c r="P83" s="376" t="e">
        <f aca="false">IF(A83="N/A"," ",(VLOOKUP(A83,GasCurves,15,FALSE())))</f>
        <v>#N/A</v>
      </c>
      <c r="AF83" s="341" t="n">
        <v>38961</v>
      </c>
      <c r="AG83" s="31" t="n">
        <v>20</v>
      </c>
      <c r="AH83" s="31" t="n">
        <v>5</v>
      </c>
      <c r="AI83" s="31" t="n">
        <v>4</v>
      </c>
      <c r="AJ83" s="31" t="n">
        <v>1</v>
      </c>
      <c r="AK83" s="31" t="n">
        <v>30</v>
      </c>
    </row>
    <row r="84" customFormat="false" ht="12.75" hidden="false" customHeight="false" outlineLevel="0" collapsed="false">
      <c r="A84" s="368" t="n">
        <f aca="false">Calculations!A51</f>
        <v>38322</v>
      </c>
      <c r="B84" s="369" t="n">
        <f aca="false">IF(A84="N/A"," ",IF(ISERROR(L84),B72*Inputs!$F$19,L84))</f>
        <v>30.65</v>
      </c>
      <c r="C84" s="370" t="n">
        <f aca="false">IF(A84="N/A"," ",(IF(AND(MONTH(A84)&gt;=6,MONTH(A84)&lt;=8,OR($K$37="REGION 2",$K$37="REGION 2A",$K$37="REGION 2B",$K$37="REGION 3",$K$37="REGION 3A",$K$37="REGION 3B",$K$37="REGION 4",$K$37="REGION 4B",$K$37="REGION 4C",$K$37="REGION 5",$K$37="REGION 5A")),((0.059228/(B84/100))-(0.4980013/(SQRT(B84/100)))+2.137988),HLOOKUP(MONTH(A84),ScalarTable,28))))</f>
        <v>0.978519445147215</v>
      </c>
      <c r="D84" s="371" t="n">
        <f aca="false">IF(A84="N/A"," ",C84*B84)</f>
        <v>29.9916209937621</v>
      </c>
      <c r="E84" s="369" t="n">
        <f aca="false">IF(A84="N/A"," ",IF(ISERROR(M84),E72*Inputs!$F$19,M84))</f>
        <v>25.6549983978271</v>
      </c>
      <c r="F84" s="371" t="n">
        <f aca="false">IF(A84="N/A"," ",E84*C84)</f>
        <v>25.1039147974945</v>
      </c>
      <c r="G84" s="369" t="n">
        <f aca="false">IF(A84="N/A"," ",IF(ISERROR(N84),G72*Inputs!$F$19,N84))</f>
        <v>22.1499992370605</v>
      </c>
      <c r="H84" s="371" t="n">
        <f aca="false">IF(A84="N/A"," ",G84*C84)</f>
        <v>21.6742049634597</v>
      </c>
      <c r="I84" s="371" t="n">
        <f aca="false">IF(A84="N/A"," ",IF(ISERROR(O84),I72*Inputs!$F$19,O84))</f>
        <v>20.9999992370605</v>
      </c>
      <c r="J84" s="372" t="e">
        <f aca="false">IF(A84="N/A"," ",IF(ISERROR(P84),J72*Inputs!$F$23,P84))</f>
        <v>#N/A</v>
      </c>
      <c r="L84" s="374" t="n">
        <f aca="false">IF(A84="N/A"," ",VLOOKUP(A84,PeakPowerCurves,(IF('Pricing Inputs'!$AT$3=2,3,IF('Pricing Inputs'!$AT$3=1,2,4))),FALSE()))</f>
        <v>30.65</v>
      </c>
      <c r="M84" s="374" t="n">
        <f aca="false">IF(A84="N/A"," ",VLOOKUP(A84,SatSunPeakPwr,(IF('Pricing Inputs'!$AT$3=2,3,IF('Pricing Inputs'!$AT$3=1,2,4))),FALSE()))</f>
        <v>25.6549983978271</v>
      </c>
      <c r="N84" s="374" t="n">
        <f aca="false">IF(A84="N/A"," ",VLOOKUP(A84,SatSunPeakPwr,(IF('Pricing Inputs'!$AT$3=2,7,IF('Pricing Inputs'!$AT$3=1,6,8))),FALSE()))</f>
        <v>22.1499992370605</v>
      </c>
      <c r="O84" s="375" t="n">
        <f aca="false">IF(A84="N/A"," ",(VLOOKUP(A84,OPPowerPrices,(IF('Pricing Inputs'!$AT$3=2,7,IF('Pricing Inputs'!$AT$3=1,6,8))),FALSE())))</f>
        <v>20.9999992370605</v>
      </c>
      <c r="P84" s="376" t="e">
        <f aca="false">IF(A84="N/A"," ",(VLOOKUP(A84,GasCurves,15,FALSE())))</f>
        <v>#N/A</v>
      </c>
      <c r="AF84" s="341" t="n">
        <v>38991</v>
      </c>
      <c r="AG84" s="31" t="n">
        <v>22</v>
      </c>
      <c r="AH84" s="31" t="n">
        <v>4</v>
      </c>
      <c r="AI84" s="31" t="n">
        <v>5</v>
      </c>
      <c r="AJ84" s="31" t="n">
        <v>0</v>
      </c>
      <c r="AK84" s="31" t="n">
        <v>31</v>
      </c>
    </row>
    <row r="85" customFormat="false" ht="12.75" hidden="false" customHeight="false" outlineLevel="0" collapsed="false">
      <c r="A85" s="368" t="n">
        <f aca="false">Calculations!A52</f>
        <v>38353</v>
      </c>
      <c r="B85" s="369" t="n">
        <f aca="false">IF(A85="N/A"," ",IF(ISERROR(L85),B73*Inputs!$F$19,L85))</f>
        <v>36.75</v>
      </c>
      <c r="C85" s="370" t="n">
        <f aca="false">IF(A85="N/A"," ",(IF(AND(MONTH(A85)&gt;=6,MONTH(A85)&lt;=8,OR($K$37="REGION 2",$K$37="REGION 2A",$K$37="REGION 2B",$K$37="REGION 3",$K$37="REGION 3A",$K$37="REGION 3B",$K$37="REGION 4",$K$37="REGION 4B",$K$37="REGION 4C",$K$37="REGION 5",$K$37="REGION 5A")),((0.059228/(B85/100))-(0.4980013/(SQRT(B85/100)))+2.137988),HLOOKUP(MONTH(A85),ScalarTable,28))))</f>
        <v>0.969145769131439</v>
      </c>
      <c r="D85" s="371" t="n">
        <f aca="false">IF(A85="N/A"," ",C85*B85)</f>
        <v>35.6161070155804</v>
      </c>
      <c r="E85" s="369" t="n">
        <f aca="false">IF(A85="N/A"," ",IF(ISERROR(M85),E73*Inputs!$F$19,M85))</f>
        <v>29.0487483978271</v>
      </c>
      <c r="F85" s="371" t="n">
        <f aca="false">IF(A85="N/A"," ",E85*C85)</f>
        <v>28.1524716083179</v>
      </c>
      <c r="G85" s="369" t="n">
        <f aca="false">IF(A85="N/A"," ",IF(ISERROR(N85),G73*Inputs!$F$19,N85))</f>
        <v>27.5525001525879</v>
      </c>
      <c r="H85" s="371" t="n">
        <f aca="false">IF(A85="N/A"," ",G85*C85)</f>
        <v>26.7023889518739</v>
      </c>
      <c r="I85" s="371" t="n">
        <f aca="false">IF(A85="N/A"," ",IF(ISERROR(O85),I73*Inputs!$F$19,O85))</f>
        <v>20.7900009155273</v>
      </c>
      <c r="J85" s="372" t="e">
        <f aca="false">IF(A85="N/A"," ",IF(ISERROR(P85),J73*Inputs!$F$23,P85))</f>
        <v>#N/A</v>
      </c>
      <c r="L85" s="374" t="n">
        <f aca="false">IF(A85="N/A"," ",VLOOKUP(A85,PeakPowerCurves,(IF('Pricing Inputs'!$AT$3=2,3,IF('Pricing Inputs'!$AT$3=1,2,4))),FALSE()))</f>
        <v>36.75</v>
      </c>
      <c r="M85" s="374" t="n">
        <f aca="false">IF(A85="N/A"," ",VLOOKUP(A85,SatSunPeakPwr,(IF('Pricing Inputs'!$AT$3=2,3,IF('Pricing Inputs'!$AT$3=1,2,4))),FALSE()))</f>
        <v>29.0487483978271</v>
      </c>
      <c r="N85" s="374" t="n">
        <f aca="false">IF(A85="N/A"," ",VLOOKUP(A85,SatSunPeakPwr,(IF('Pricing Inputs'!$AT$3=2,7,IF('Pricing Inputs'!$AT$3=1,6,8))),FALSE()))</f>
        <v>27.5525001525879</v>
      </c>
      <c r="O85" s="375" t="n">
        <f aca="false">IF(A85="N/A"," ",(VLOOKUP(A85,OPPowerPrices,(IF('Pricing Inputs'!$AT$3=2,7,IF('Pricing Inputs'!$AT$3=1,6,8))),FALSE())))</f>
        <v>20.7900009155273</v>
      </c>
      <c r="P85" s="376" t="e">
        <f aca="false">IF(A85="N/A"," ",(VLOOKUP(A85,GasCurves,15,FALSE())))</f>
        <v>#N/A</v>
      </c>
      <c r="AF85" s="341" t="n">
        <v>39022</v>
      </c>
      <c r="AG85" s="31" t="n">
        <v>21</v>
      </c>
      <c r="AH85" s="31" t="n">
        <v>4</v>
      </c>
      <c r="AI85" s="31" t="n">
        <v>4</v>
      </c>
      <c r="AJ85" s="31" t="n">
        <v>1</v>
      </c>
      <c r="AK85" s="31" t="n">
        <v>30</v>
      </c>
    </row>
    <row r="86" customFormat="false" ht="12.75" hidden="false" customHeight="false" outlineLevel="0" collapsed="false">
      <c r="A86" s="368" t="n">
        <f aca="false">Calculations!A53</f>
        <v>38384</v>
      </c>
      <c r="B86" s="369" t="n">
        <f aca="false">IF(A86="N/A"," ",IF(ISERROR(L86),B74*Inputs!$F$19,L86))</f>
        <v>36.75</v>
      </c>
      <c r="C86" s="370" t="n">
        <f aca="false">IF(A86="N/A"," ",(IF(AND(MONTH(A86)&gt;=6,MONTH(A86)&lt;=8,OR($K$37="REGION 2",$K$37="REGION 2A",$K$37="REGION 2B",$K$37="REGION 3",$K$37="REGION 3A",$K$37="REGION 3B",$K$37="REGION 4",$K$37="REGION 4B",$K$37="REGION 4C",$K$37="REGION 5",$K$37="REGION 5A")),((0.059228/(B86/100))-(0.4980013/(SQRT(B86/100)))+2.137988),HLOOKUP(MONTH(A86),ScalarTable,28))))</f>
        <v>0.969145769131439</v>
      </c>
      <c r="D86" s="371" t="n">
        <f aca="false">IF(A86="N/A"," ",C86*B86)</f>
        <v>35.6161070155804</v>
      </c>
      <c r="E86" s="369" t="n">
        <f aca="false">IF(A86="N/A"," ",IF(ISERROR(M86),E74*Inputs!$F$19,M86))</f>
        <v>28.0462501525879</v>
      </c>
      <c r="F86" s="371" t="n">
        <f aca="false">IF(A86="N/A"," ",E86*C86)</f>
        <v>27.1809046753825</v>
      </c>
      <c r="G86" s="369" t="n">
        <f aca="false">IF(A86="N/A"," ",IF(ISERROR(N86),G74*Inputs!$F$19,N86))</f>
        <v>25.5474994659424</v>
      </c>
      <c r="H86" s="371" t="n">
        <f aca="false">IF(A86="N/A"," ",G86*C86)</f>
        <v>24.7592510193058</v>
      </c>
      <c r="I86" s="371" t="n">
        <f aca="false">IF(A86="N/A"," ",IF(ISERROR(O86),I74*Inputs!$F$19,O86))</f>
        <v>20.5999977111816</v>
      </c>
      <c r="J86" s="372" t="e">
        <f aca="false">IF(A86="N/A"," ",IF(ISERROR(P86),J74*Inputs!$F$23,P86))</f>
        <v>#N/A</v>
      </c>
      <c r="L86" s="374" t="n">
        <f aca="false">IF(A86="N/A"," ",VLOOKUP(A86,PeakPowerCurves,(IF('Pricing Inputs'!$AT$3=2,3,IF('Pricing Inputs'!$AT$3=1,2,4))),FALSE()))</f>
        <v>36.75</v>
      </c>
      <c r="M86" s="374" t="n">
        <f aca="false">IF(A86="N/A"," ",VLOOKUP(A86,SatSunPeakPwr,(IF('Pricing Inputs'!$AT$3=2,3,IF('Pricing Inputs'!$AT$3=1,2,4))),FALSE()))</f>
        <v>28.0462501525879</v>
      </c>
      <c r="N86" s="374" t="n">
        <f aca="false">IF(A86="N/A"," ",VLOOKUP(A86,SatSunPeakPwr,(IF('Pricing Inputs'!$AT$3=2,7,IF('Pricing Inputs'!$AT$3=1,6,8))),FALSE()))</f>
        <v>25.5474994659424</v>
      </c>
      <c r="O86" s="375" t="n">
        <f aca="false">IF(A86="N/A"," ",(VLOOKUP(A86,OPPowerPrices,(IF('Pricing Inputs'!$AT$3=2,7,IF('Pricing Inputs'!$AT$3=1,6,8))),FALSE())))</f>
        <v>20.5999977111816</v>
      </c>
      <c r="P86" s="376" t="e">
        <f aca="false">IF(A86="N/A"," ",(VLOOKUP(A86,GasCurves,15,FALSE())))</f>
        <v>#N/A</v>
      </c>
      <c r="AF86" s="341" t="n">
        <v>39052</v>
      </c>
      <c r="AG86" s="31" t="n">
        <v>20</v>
      </c>
      <c r="AH86" s="31" t="n">
        <v>5</v>
      </c>
      <c r="AI86" s="31" t="n">
        <v>5</v>
      </c>
      <c r="AJ86" s="31" t="n">
        <v>1</v>
      </c>
      <c r="AK86" s="31" t="n">
        <v>31</v>
      </c>
    </row>
    <row r="87" customFormat="false" ht="12.75" hidden="false" customHeight="false" outlineLevel="0" collapsed="false">
      <c r="A87" s="368" t="n">
        <f aca="false">Calculations!A54</f>
        <v>38412</v>
      </c>
      <c r="B87" s="369" t="n">
        <f aca="false">IF(A87="N/A"," ",IF(ISERROR(L87),B75*Inputs!$F$19,L87))</f>
        <v>33</v>
      </c>
      <c r="C87" s="370" t="n">
        <f aca="false">IF(A87="N/A"," ",(IF(AND(MONTH(A87)&gt;=6,MONTH(A87)&lt;=8,OR($K$37="REGION 2",$K$37="REGION 2A",$K$37="REGION 2B",$K$37="REGION 3",$K$37="REGION 3A",$K$37="REGION 3B",$K$37="REGION 4",$K$37="REGION 4B",$K$37="REGION 4C",$K$37="REGION 5",$K$37="REGION 5A")),((0.059228/(B87/100))-(0.4980013/(SQRT(B87/100)))+2.137988),HLOOKUP(MONTH(A87),ScalarTable,28))))</f>
        <v>0.97165</v>
      </c>
      <c r="D87" s="371" t="n">
        <f aca="false">IF(A87="N/A"," ",C87*B87)</f>
        <v>32.06445</v>
      </c>
      <c r="E87" s="369" t="n">
        <f aca="false">IF(A87="N/A"," ",IF(ISERROR(M87),E75*Inputs!$F$19,M87))</f>
        <v>21.2347496032715</v>
      </c>
      <c r="F87" s="371" t="n">
        <f aca="false">IF(A87="N/A"," ",E87*C87)</f>
        <v>20.6327444520187</v>
      </c>
      <c r="G87" s="369" t="n">
        <f aca="false">IF(A87="N/A"," ",IF(ISERROR(N87),G75*Inputs!$F$19,N87))</f>
        <v>20.8644989013672</v>
      </c>
      <c r="H87" s="371" t="n">
        <f aca="false">IF(A87="N/A"," ",G87*C87)</f>
        <v>20.2729903575134</v>
      </c>
      <c r="I87" s="371" t="n">
        <f aca="false">IF(A87="N/A"," ",IF(ISERROR(O87),I75*Inputs!$F$19,O87))</f>
        <v>19.5999996185303</v>
      </c>
      <c r="J87" s="372" t="e">
        <f aca="false">IF(A87="N/A"," ",IF(ISERROR(P87),J75*Inputs!$F$23,P87))</f>
        <v>#N/A</v>
      </c>
      <c r="L87" s="374" t="n">
        <f aca="false">IF(A87="N/A"," ",VLOOKUP(A87,PeakPowerCurves,(IF('Pricing Inputs'!$AT$3=2,3,IF('Pricing Inputs'!$AT$3=1,2,4))),FALSE()))</f>
        <v>33</v>
      </c>
      <c r="M87" s="374" t="n">
        <f aca="false">IF(A87="N/A"," ",VLOOKUP(A87,SatSunPeakPwr,(IF('Pricing Inputs'!$AT$3=2,3,IF('Pricing Inputs'!$AT$3=1,2,4))),FALSE()))</f>
        <v>21.2347496032715</v>
      </c>
      <c r="N87" s="374" t="n">
        <f aca="false">IF(A87="N/A"," ",VLOOKUP(A87,SatSunPeakPwr,(IF('Pricing Inputs'!$AT$3=2,7,IF('Pricing Inputs'!$AT$3=1,6,8))),FALSE()))</f>
        <v>20.8644989013672</v>
      </c>
      <c r="O87" s="375" t="n">
        <f aca="false">IF(A87="N/A"," ",(VLOOKUP(A87,OPPowerPrices,(IF('Pricing Inputs'!$AT$3=2,7,IF('Pricing Inputs'!$AT$3=1,6,8))),FALSE())))</f>
        <v>19.5999996185303</v>
      </c>
      <c r="P87" s="376" t="e">
        <f aca="false">IF(A87="N/A"," ",(VLOOKUP(A87,GasCurves,15,FALSE())))</f>
        <v>#N/A</v>
      </c>
      <c r="AF87" s="341" t="n">
        <v>39083</v>
      </c>
      <c r="AG87" s="31" t="n">
        <v>22</v>
      </c>
      <c r="AH87" s="31" t="n">
        <v>4</v>
      </c>
      <c r="AI87" s="31" t="n">
        <v>4</v>
      </c>
      <c r="AJ87" s="31" t="n">
        <v>1</v>
      </c>
      <c r="AK87" s="31" t="n">
        <v>31</v>
      </c>
    </row>
    <row r="88" customFormat="false" ht="12.75" hidden="false" customHeight="false" outlineLevel="0" collapsed="false">
      <c r="A88" s="368" t="n">
        <f aca="false">Calculations!A55</f>
        <v>38443</v>
      </c>
      <c r="B88" s="369" t="n">
        <f aca="false">IF(A88="N/A"," ",IF(ISERROR(L88),B76*Inputs!$F$19,L88))</f>
        <v>31.75</v>
      </c>
      <c r="C88" s="370" t="n">
        <f aca="false">IF(A88="N/A"," ",(IF(AND(MONTH(A88)&gt;=6,MONTH(A88)&lt;=8,OR($K$37="REGION 2",$K$37="REGION 2A",$K$37="REGION 2B",$K$37="REGION 3",$K$37="REGION 3A",$K$37="REGION 3B",$K$37="REGION 4",$K$37="REGION 4B",$K$37="REGION 4C",$K$37="REGION 5",$K$37="REGION 5A")),((0.059228/(B88/100))-(0.4980013/(SQRT(B88/100)))+2.137988),HLOOKUP(MONTH(A88),ScalarTable,28))))</f>
        <v>0.924989009949893</v>
      </c>
      <c r="D88" s="371" t="n">
        <f aca="false">IF(A88="N/A"," ",C88*B88)</f>
        <v>29.3684010659091</v>
      </c>
      <c r="E88" s="369" t="n">
        <f aca="false">IF(A88="N/A"," ",IF(ISERROR(M88),E76*Inputs!$F$19,M88))</f>
        <v>21.9175003051758</v>
      </c>
      <c r="F88" s="371" t="n">
        <f aca="false">IF(A88="N/A"," ",E88*C88)</f>
        <v>20.273446907861</v>
      </c>
      <c r="G88" s="369" t="n">
        <f aca="false">IF(A88="N/A"," ",IF(ISERROR(N88),G76*Inputs!$F$19,N88))</f>
        <v>20.6349990844727</v>
      </c>
      <c r="H88" s="371" t="n">
        <f aca="false">IF(A88="N/A"," ",G88*C88)</f>
        <v>19.0871473734633</v>
      </c>
      <c r="I88" s="371" t="n">
        <f aca="false">IF(A88="N/A"," ",IF(ISERROR(O88),I76*Inputs!$F$19,O88))</f>
        <v>19.5999977111816</v>
      </c>
      <c r="J88" s="372" t="e">
        <f aca="false">IF(A88="N/A"," ",IF(ISERROR(P88),J76*Inputs!$F$23,P88))</f>
        <v>#N/A</v>
      </c>
      <c r="L88" s="374" t="n">
        <f aca="false">IF(A88="N/A"," ",VLOOKUP(A88,PeakPowerCurves,(IF('Pricing Inputs'!$AT$3=2,3,IF('Pricing Inputs'!$AT$3=1,2,4))),FALSE()))</f>
        <v>31.75</v>
      </c>
      <c r="M88" s="374" t="n">
        <f aca="false">IF(A88="N/A"," ",VLOOKUP(A88,SatSunPeakPwr,(IF('Pricing Inputs'!$AT$3=2,3,IF('Pricing Inputs'!$AT$3=1,2,4))),FALSE()))</f>
        <v>21.9175003051758</v>
      </c>
      <c r="N88" s="374" t="n">
        <f aca="false">IF(A88="N/A"," ",VLOOKUP(A88,SatSunPeakPwr,(IF('Pricing Inputs'!$AT$3=2,7,IF('Pricing Inputs'!$AT$3=1,6,8))),FALSE()))</f>
        <v>20.6349990844727</v>
      </c>
      <c r="O88" s="375" t="n">
        <f aca="false">IF(A88="N/A"," ",(VLOOKUP(A88,OPPowerPrices,(IF('Pricing Inputs'!$AT$3=2,7,IF('Pricing Inputs'!$AT$3=1,6,8))),FALSE())))</f>
        <v>19.5999977111816</v>
      </c>
      <c r="P88" s="376" t="e">
        <f aca="false">IF(A88="N/A"," ",(VLOOKUP(A88,GasCurves,15,FALSE())))</f>
        <v>#N/A</v>
      </c>
      <c r="AF88" s="341" t="n">
        <v>39114</v>
      </c>
      <c r="AG88" s="31" t="n">
        <v>20</v>
      </c>
      <c r="AH88" s="31" t="n">
        <v>4</v>
      </c>
      <c r="AI88" s="31" t="n">
        <v>4</v>
      </c>
      <c r="AJ88" s="31" t="n">
        <v>0</v>
      </c>
      <c r="AK88" s="31" t="n">
        <v>28</v>
      </c>
    </row>
    <row r="89" customFormat="false" ht="12.75" hidden="false" customHeight="false" outlineLevel="0" collapsed="false">
      <c r="A89" s="368" t="n">
        <f aca="false">Calculations!A56</f>
        <v>38473</v>
      </c>
      <c r="B89" s="369" t="n">
        <f aca="false">IF(A89="N/A"," ",IF(ISERROR(L89),B77*Inputs!$F$19,L89))</f>
        <v>33.75</v>
      </c>
      <c r="C89" s="370" t="n">
        <f aca="false">IF(A89="N/A"," ",(IF(AND(MONTH(A89)&gt;=6,MONTH(A89)&lt;=8,OR($K$37="REGION 2",$K$37="REGION 2A",$K$37="REGION 2B",$K$37="REGION 3",$K$37="REGION 3A",$K$37="REGION 3B",$K$37="REGION 4",$K$37="REGION 4B",$K$37="REGION 4C",$K$37="REGION 5",$K$37="REGION 5A")),((0.059228/(B89/100))-(0.4980013/(SQRT(B89/100)))+2.137988),HLOOKUP(MONTH(A89),ScalarTable,28))))</f>
        <v>0.972355461918447</v>
      </c>
      <c r="D89" s="371" t="n">
        <f aca="false">IF(A89="N/A"," ",C89*B89)</f>
        <v>32.8169968397476</v>
      </c>
      <c r="E89" s="369" t="n">
        <f aca="false">IF(A89="N/A"," ",IF(ISERROR(M89),E77*Inputs!$F$19,M89))</f>
        <v>22.0325000762939</v>
      </c>
      <c r="F89" s="371" t="n">
        <f aca="false">IF(A89="N/A"," ",E89*C89)</f>
        <v>21.423421788903</v>
      </c>
      <c r="G89" s="369" t="n">
        <f aca="false">IF(A89="N/A"," ",IF(ISERROR(N89),G77*Inputs!$F$19,N89))</f>
        <v>21.1649997711182</v>
      </c>
      <c r="H89" s="371" t="n">
        <f aca="false">IF(A89="N/A"," ",G89*C89)</f>
        <v>20.5799031289494</v>
      </c>
      <c r="I89" s="371" t="n">
        <f aca="false">IF(A89="N/A"," ",IF(ISERROR(O89),I77*Inputs!$F$19,O89))</f>
        <v>19.5999977111816</v>
      </c>
      <c r="J89" s="372" t="e">
        <f aca="false">IF(A89="N/A"," ",IF(ISERROR(P89),J77*Inputs!$F$23,P89))</f>
        <v>#N/A</v>
      </c>
      <c r="L89" s="374" t="n">
        <f aca="false">IF(A89="N/A"," ",VLOOKUP(A89,PeakPowerCurves,(IF('Pricing Inputs'!$AT$3=2,3,IF('Pricing Inputs'!$AT$3=1,2,4))),FALSE()))</f>
        <v>33.75</v>
      </c>
      <c r="M89" s="374" t="n">
        <f aca="false">IF(A89="N/A"," ",VLOOKUP(A89,SatSunPeakPwr,(IF('Pricing Inputs'!$AT$3=2,3,IF('Pricing Inputs'!$AT$3=1,2,4))),FALSE()))</f>
        <v>22.0325000762939</v>
      </c>
      <c r="N89" s="374" t="n">
        <f aca="false">IF(A89="N/A"," ",VLOOKUP(A89,SatSunPeakPwr,(IF('Pricing Inputs'!$AT$3=2,7,IF('Pricing Inputs'!$AT$3=1,6,8))),FALSE()))</f>
        <v>21.1649997711182</v>
      </c>
      <c r="O89" s="375" t="n">
        <f aca="false">IF(A89="N/A"," ",(VLOOKUP(A89,OPPowerPrices,(IF('Pricing Inputs'!$AT$3=2,7,IF('Pricing Inputs'!$AT$3=1,6,8))),FALSE())))</f>
        <v>19.5999977111816</v>
      </c>
      <c r="P89" s="376" t="e">
        <f aca="false">IF(A89="N/A"," ",(VLOOKUP(A89,GasCurves,15,FALSE())))</f>
        <v>#N/A</v>
      </c>
      <c r="AF89" s="341" t="n">
        <v>39142</v>
      </c>
      <c r="AG89" s="31" t="n">
        <v>22</v>
      </c>
      <c r="AH89" s="31" t="n">
        <v>5</v>
      </c>
      <c r="AI89" s="31" t="n">
        <v>4</v>
      </c>
      <c r="AJ89" s="31" t="n">
        <v>0</v>
      </c>
      <c r="AK89" s="31" t="n">
        <v>31</v>
      </c>
    </row>
    <row r="90" customFormat="false" ht="12.75" hidden="false" customHeight="false" outlineLevel="0" collapsed="false">
      <c r="A90" s="368" t="n">
        <f aca="false">Calculations!A57</f>
        <v>38504</v>
      </c>
      <c r="B90" s="369" t="n">
        <f aca="false">IF(A90="N/A"," ",IF(ISERROR(L90),B78*Inputs!$F$19,L90))</f>
        <v>48.75</v>
      </c>
      <c r="C90" s="370" t="n">
        <f aca="false">IF(A90="N/A"," ",(IF(AND(MONTH(A90)&gt;=6,MONTH(A90)&lt;=8,OR($K$37="REGION 2",$K$37="REGION 2A",$K$37="REGION 2B",$K$37="REGION 3",$K$37="REGION 3A",$K$37="REGION 3B",$K$37="REGION 4",$K$37="REGION 4B",$K$37="REGION 4C",$K$37="REGION 5",$K$37="REGION 5A")),((0.059228/(B90/100))-(0.4980013/(SQRT(B90/100)))+2.137988),HLOOKUP(MONTH(A90),ScalarTable,28))))</f>
        <v>1.14029274839576</v>
      </c>
      <c r="D90" s="371" t="n">
        <f aca="false">IF(A90="N/A"," ",C90*B90)</f>
        <v>55.5892714842931</v>
      </c>
      <c r="E90" s="369" t="n">
        <f aca="false">IF(A90="N/A"," ",IF(ISERROR(M90),E78*Inputs!$F$19,M90))</f>
        <v>26.4587501525879</v>
      </c>
      <c r="F90" s="371" t="n">
        <f aca="false">IF(A90="N/A"," ",E90*C90)</f>
        <v>30.1707209306111</v>
      </c>
      <c r="G90" s="369" t="n">
        <f aca="false">IF(A90="N/A"," ",IF(ISERROR(N90),G78*Inputs!$F$19,N90))</f>
        <v>19.9424995422363</v>
      </c>
      <c r="H90" s="371" t="n">
        <f aca="false">IF(A90="N/A"," ",G90*C90)</f>
        <v>22.7402876128978</v>
      </c>
      <c r="I90" s="371" t="n">
        <f aca="false">IF(A90="N/A"," ",IF(ISERROR(O90),I78*Inputs!$F$19,O90))</f>
        <v>19.5549987792969</v>
      </c>
      <c r="J90" s="372" t="e">
        <f aca="false">IF(A90="N/A"," ",IF(ISERROR(P90),J78*Inputs!$F$23,P90))</f>
        <v>#N/A</v>
      </c>
      <c r="L90" s="374" t="n">
        <f aca="false">IF(A90="N/A"," ",VLOOKUP(A90,PeakPowerCurves,(IF('Pricing Inputs'!$AT$3=2,3,IF('Pricing Inputs'!$AT$3=1,2,4))),FALSE()))</f>
        <v>48.75</v>
      </c>
      <c r="M90" s="374" t="n">
        <f aca="false">IF(A90="N/A"," ",VLOOKUP(A90,SatSunPeakPwr,(IF('Pricing Inputs'!$AT$3=2,3,IF('Pricing Inputs'!$AT$3=1,2,4))),FALSE()))</f>
        <v>26.4587501525879</v>
      </c>
      <c r="N90" s="374" t="n">
        <f aca="false">IF(A90="N/A"," ",VLOOKUP(A90,SatSunPeakPwr,(IF('Pricing Inputs'!$AT$3=2,7,IF('Pricing Inputs'!$AT$3=1,6,8))),FALSE()))</f>
        <v>19.9424995422363</v>
      </c>
      <c r="O90" s="375" t="n">
        <f aca="false">IF(A90="N/A"," ",(VLOOKUP(A90,OPPowerPrices,(IF('Pricing Inputs'!$AT$3=2,7,IF('Pricing Inputs'!$AT$3=1,6,8))),FALSE())))</f>
        <v>19.5549987792969</v>
      </c>
      <c r="P90" s="376" t="e">
        <f aca="false">IF(A90="N/A"," ",(VLOOKUP(A90,GasCurves,15,FALSE())))</f>
        <v>#N/A</v>
      </c>
      <c r="AF90" s="341" t="n">
        <v>39173</v>
      </c>
      <c r="AG90" s="31" t="n">
        <v>21</v>
      </c>
      <c r="AH90" s="31" t="n">
        <v>4</v>
      </c>
      <c r="AI90" s="31" t="n">
        <v>5</v>
      </c>
      <c r="AJ90" s="31" t="n">
        <v>0</v>
      </c>
      <c r="AK90" s="31" t="n">
        <v>30</v>
      </c>
    </row>
    <row r="91" customFormat="false" ht="12.75" hidden="false" customHeight="false" outlineLevel="0" collapsed="false">
      <c r="A91" s="368" t="n">
        <f aca="false">Calculations!A58</f>
        <v>38534</v>
      </c>
      <c r="B91" s="369" t="n">
        <f aca="false">IF(A91="N/A"," ",IF(ISERROR(L91),B79*Inputs!$F$19,L91))</f>
        <v>69.5</v>
      </c>
      <c r="C91" s="370" t="n">
        <f aca="false">IF(A91="N/A"," ",(IF(AND(MONTH(A91)&gt;=6,MONTH(A91)&lt;=8,OR($K$37="REGION 2",$K$37="REGION 2A",$K$37="REGION 2B",$K$37="REGION 3",$K$37="REGION 3A",$K$37="REGION 3B",$K$37="REGION 4",$K$37="REGION 4B",$K$37="REGION 4C",$K$37="REGION 5",$K$37="REGION 5A")),((0.059228/(B91/100))-(0.4980013/(SQRT(B91/100)))+2.137988),HLOOKUP(MONTH(A91),ScalarTable,28))))</f>
        <v>1.19166491456367</v>
      </c>
      <c r="D91" s="371" t="n">
        <f aca="false">IF(A91="N/A"," ",C91*B91)</f>
        <v>82.820711562175</v>
      </c>
      <c r="E91" s="369" t="n">
        <f aca="false">IF(A91="N/A"," ",IF(ISERROR(M91),E79*Inputs!$F$19,M91))</f>
        <v>39.6612495422363</v>
      </c>
      <c r="F91" s="371" t="n">
        <f aca="false">IF(A91="N/A"," ",E91*C91)</f>
        <v>47.2629195472374</v>
      </c>
      <c r="G91" s="369" t="n">
        <f aca="false">IF(A91="N/A"," ",IF(ISERROR(N91),G79*Inputs!$F$19,N91))</f>
        <v>29.1474994659424</v>
      </c>
      <c r="H91" s="371" t="n">
        <f aca="false">IF(A91="N/A"," ",G91*C91)</f>
        <v>34.7340524608268</v>
      </c>
      <c r="I91" s="371" t="n">
        <f aca="false">IF(A91="N/A"," ",IF(ISERROR(O91),I79*Inputs!$F$19,O91))</f>
        <v>24.0499977111816</v>
      </c>
      <c r="J91" s="372" t="e">
        <f aca="false">IF(A91="N/A"," ",IF(ISERROR(P91),J79*Inputs!$F$23,P91))</f>
        <v>#N/A</v>
      </c>
      <c r="L91" s="374" t="n">
        <f aca="false">IF(A91="N/A"," ",VLOOKUP(A91,PeakPowerCurves,(IF('Pricing Inputs'!$AT$3=2,3,IF('Pricing Inputs'!$AT$3=1,2,4))),FALSE()))</f>
        <v>69.5</v>
      </c>
      <c r="M91" s="374" t="n">
        <f aca="false">IF(A91="N/A"," ",VLOOKUP(A91,SatSunPeakPwr,(IF('Pricing Inputs'!$AT$3=2,3,IF('Pricing Inputs'!$AT$3=1,2,4))),FALSE()))</f>
        <v>39.6612495422363</v>
      </c>
      <c r="N91" s="374" t="n">
        <f aca="false">IF(A91="N/A"," ",VLOOKUP(A91,SatSunPeakPwr,(IF('Pricing Inputs'!$AT$3=2,7,IF('Pricing Inputs'!$AT$3=1,6,8))),FALSE()))</f>
        <v>29.1474994659424</v>
      </c>
      <c r="O91" s="375" t="n">
        <f aca="false">IF(A91="N/A"," ",(VLOOKUP(A91,OPPowerPrices,(IF('Pricing Inputs'!$AT$3=2,7,IF('Pricing Inputs'!$AT$3=1,6,8))),FALSE())))</f>
        <v>24.0499977111816</v>
      </c>
      <c r="P91" s="376" t="e">
        <f aca="false">IF(A91="N/A"," ",(VLOOKUP(A91,GasCurves,15,FALSE())))</f>
        <v>#N/A</v>
      </c>
      <c r="AF91" s="341" t="n">
        <v>39203</v>
      </c>
      <c r="AG91" s="31" t="n">
        <v>22</v>
      </c>
      <c r="AH91" s="31" t="n">
        <v>4</v>
      </c>
      <c r="AI91" s="31" t="n">
        <v>4</v>
      </c>
      <c r="AJ91" s="31" t="n">
        <v>1</v>
      </c>
      <c r="AK91" s="31" t="n">
        <v>31</v>
      </c>
    </row>
    <row r="92" customFormat="false" ht="12.75" hidden="false" customHeight="false" outlineLevel="0" collapsed="false">
      <c r="A92" s="368" t="n">
        <f aca="false">Calculations!A59</f>
        <v>38565</v>
      </c>
      <c r="B92" s="369" t="n">
        <f aca="false">IF(A92="N/A"," ",IF(ISERROR(L92),B80*Inputs!$F$19,L92))</f>
        <v>65</v>
      </c>
      <c r="C92" s="370" t="n">
        <f aca="false">IF(A92="N/A"," ",(IF(AND(MONTH(A92)&gt;=6,MONTH(A92)&lt;=8,OR($K$37="REGION 2",$K$37="REGION 2A",$K$37="REGION 2B",$K$37="REGION 3",$K$37="REGION 3A",$K$37="REGION 3B",$K$37="REGION 4",$K$37="REGION 4B",$K$37="REGION 4C",$K$37="REGION 5",$K$37="REGION 5A")),((0.059228/(B92/100))-(0.4980013/(SQRT(B92/100)))+2.137988),HLOOKUP(MONTH(A92),ScalarTable,28))))</f>
        <v>1.1089289483683</v>
      </c>
      <c r="D92" s="371" t="n">
        <f aca="false">IF(A92="N/A"," ",C92*B92)</f>
        <v>72.0803816439397</v>
      </c>
      <c r="E92" s="369" t="n">
        <f aca="false">IF(A92="N/A"," ",IF(ISERROR(M92),E80*Inputs!$F$19,M92))</f>
        <v>41.9224990844727</v>
      </c>
      <c r="F92" s="371" t="n">
        <f aca="false">IF(A92="N/A"," ",E92*C92)</f>
        <v>46.4890728227154</v>
      </c>
      <c r="G92" s="369" t="n">
        <f aca="false">IF(A92="N/A"," ",IF(ISERROR(N92),G80*Inputs!$F$19,N92))</f>
        <v>30.6450008392334</v>
      </c>
      <c r="H92" s="371" t="n">
        <f aca="false">IF(A92="N/A"," ",G92*C92)</f>
        <v>33.9831285533969</v>
      </c>
      <c r="I92" s="371" t="n">
        <f aca="false">IF(A92="N/A"," ",IF(ISERROR(O92),I80*Inputs!$F$19,O92))</f>
        <v>24.3999980926514</v>
      </c>
      <c r="J92" s="372" t="e">
        <f aca="false">IF(A92="N/A"," ",IF(ISERROR(P92),J80*Inputs!$F$23,P92))</f>
        <v>#N/A</v>
      </c>
      <c r="L92" s="374" t="n">
        <f aca="false">IF(A92="N/A"," ",VLOOKUP(A92,PeakPowerCurves,(IF('Pricing Inputs'!$AT$3=2,3,IF('Pricing Inputs'!$AT$3=1,2,4))),FALSE()))</f>
        <v>65</v>
      </c>
      <c r="M92" s="374" t="n">
        <f aca="false">IF(A92="N/A"," ",VLOOKUP(A92,SatSunPeakPwr,(IF('Pricing Inputs'!$AT$3=2,3,IF('Pricing Inputs'!$AT$3=1,2,4))),FALSE()))</f>
        <v>41.9224990844727</v>
      </c>
      <c r="N92" s="374" t="n">
        <f aca="false">IF(A92="N/A"," ",VLOOKUP(A92,SatSunPeakPwr,(IF('Pricing Inputs'!$AT$3=2,7,IF('Pricing Inputs'!$AT$3=1,6,8))),FALSE()))</f>
        <v>30.6450008392334</v>
      </c>
      <c r="O92" s="375" t="n">
        <f aca="false">IF(A92="N/A"," ",(VLOOKUP(A92,OPPowerPrices,(IF('Pricing Inputs'!$AT$3=2,7,IF('Pricing Inputs'!$AT$3=1,6,8))),FALSE())))</f>
        <v>24.3999980926514</v>
      </c>
      <c r="P92" s="376" t="e">
        <f aca="false">IF(A92="N/A"," ",(VLOOKUP(A92,GasCurves,15,FALSE())))</f>
        <v>#N/A</v>
      </c>
      <c r="AF92" s="341" t="n">
        <v>39234</v>
      </c>
      <c r="AG92" s="31" t="n">
        <v>21</v>
      </c>
      <c r="AH92" s="31" t="n">
        <v>5</v>
      </c>
      <c r="AI92" s="31" t="n">
        <v>4</v>
      </c>
      <c r="AJ92" s="31" t="n">
        <v>0</v>
      </c>
      <c r="AK92" s="31" t="n">
        <v>30</v>
      </c>
    </row>
    <row r="93" customFormat="false" ht="12.75" hidden="false" customHeight="false" outlineLevel="0" collapsed="false">
      <c r="A93" s="368" t="n">
        <f aca="false">Calculations!A60</f>
        <v>38596</v>
      </c>
      <c r="B93" s="369" t="n">
        <f aca="false">IF(A93="N/A"," ",IF(ISERROR(L93),B81*Inputs!$F$19,L93))</f>
        <v>32.75</v>
      </c>
      <c r="C93" s="370" t="n">
        <f aca="false">IF(A93="N/A"," ",(IF(AND(MONTH(A93)&gt;=6,MONTH(A93)&lt;=8,OR($K$37="REGION 2",$K$37="REGION 2A",$K$37="REGION 2B",$K$37="REGION 3",$K$37="REGION 3A",$K$37="REGION 3B",$K$37="REGION 4",$K$37="REGION 4B",$K$37="REGION 4C",$K$37="REGION 5",$K$37="REGION 5A")),((0.059228/(B93/100))-(0.4980013/(SQRT(B93/100)))+2.137988),HLOOKUP(MONTH(A93),ScalarTable,28))))</f>
        <v>1.09653379232051</v>
      </c>
      <c r="D93" s="371" t="n">
        <f aca="false">IF(A93="N/A"," ",C93*B93)</f>
        <v>35.9114816984967</v>
      </c>
      <c r="E93" s="369" t="n">
        <f aca="false">IF(A93="N/A"," ",IF(ISERROR(M93),E81*Inputs!$F$19,M93))</f>
        <v>23.3049991607666</v>
      </c>
      <c r="F93" s="371" t="n">
        <f aca="false">IF(A93="N/A"," ",E93*C93)</f>
        <v>25.5547191097817</v>
      </c>
      <c r="G93" s="369" t="n">
        <f aca="false">IF(A93="N/A"," ",IF(ISERROR(N93),G81*Inputs!$F$19,N93))</f>
        <v>23.8</v>
      </c>
      <c r="H93" s="371" t="n">
        <f aca="false">IF(A93="N/A"," ",G93*C93)</f>
        <v>26.0975042572282</v>
      </c>
      <c r="I93" s="371" t="n">
        <f aca="false">IF(A93="N/A"," ",IF(ISERROR(O93),I81*Inputs!$F$19,O93))</f>
        <v>19.9499980926514</v>
      </c>
      <c r="J93" s="372" t="e">
        <f aca="false">IF(A93="N/A"," ",IF(ISERROR(P93),J81*Inputs!$F$23,P93))</f>
        <v>#N/A</v>
      </c>
      <c r="L93" s="374" t="n">
        <f aca="false">IF(A93="N/A"," ",VLOOKUP(A93,PeakPowerCurves,(IF('Pricing Inputs'!$AT$3=2,3,IF('Pricing Inputs'!$AT$3=1,2,4))),FALSE()))</f>
        <v>32.75</v>
      </c>
      <c r="M93" s="374" t="n">
        <f aca="false">IF(A93="N/A"," ",VLOOKUP(A93,SatSunPeakPwr,(IF('Pricing Inputs'!$AT$3=2,3,IF('Pricing Inputs'!$AT$3=1,2,4))),FALSE()))</f>
        <v>23.3049991607666</v>
      </c>
      <c r="N93" s="374" t="n">
        <f aca="false">IF(A93="N/A"," ",VLOOKUP(A93,SatSunPeakPwr,(IF('Pricing Inputs'!$AT$3=2,7,IF('Pricing Inputs'!$AT$3=1,6,8))),FALSE()))</f>
        <v>23.8</v>
      </c>
      <c r="O93" s="375" t="n">
        <f aca="false">IF(A93="N/A"," ",(VLOOKUP(A93,OPPowerPrices,(IF('Pricing Inputs'!$AT$3=2,7,IF('Pricing Inputs'!$AT$3=1,6,8))),FALSE())))</f>
        <v>19.9499980926514</v>
      </c>
      <c r="P93" s="376" t="e">
        <f aca="false">IF(A93="N/A"," ",(VLOOKUP(A93,GasCurves,15,FALSE())))</f>
        <v>#N/A</v>
      </c>
      <c r="AF93" s="341" t="n">
        <v>39264</v>
      </c>
      <c r="AG93" s="31" t="n">
        <v>21</v>
      </c>
      <c r="AH93" s="31" t="n">
        <v>4</v>
      </c>
      <c r="AI93" s="31" t="n">
        <v>5</v>
      </c>
      <c r="AJ93" s="31" t="n">
        <v>1</v>
      </c>
      <c r="AK93" s="31" t="n">
        <v>31</v>
      </c>
    </row>
    <row r="94" customFormat="false" ht="12.75" hidden="false" customHeight="false" outlineLevel="0" collapsed="false">
      <c r="A94" s="368" t="n">
        <f aca="false">Calculations!A61</f>
        <v>38626</v>
      </c>
      <c r="B94" s="369" t="n">
        <f aca="false">IF(A94="N/A"," ",IF(ISERROR(L94),B82*Inputs!$F$19,L94))</f>
        <v>30.5</v>
      </c>
      <c r="C94" s="370" t="n">
        <f aca="false">IF(A94="N/A"," ",(IF(AND(MONTH(A94)&gt;=6,MONTH(A94)&lt;=8,OR($K$37="REGION 2",$K$37="REGION 2A",$K$37="REGION 2B",$K$37="REGION 3",$K$37="REGION 3A",$K$37="REGION 3B",$K$37="REGION 4",$K$37="REGION 4B",$K$37="REGION 4C",$K$37="REGION 5",$K$37="REGION 5A")),((0.059228/(B94/100))-(0.4980013/(SQRT(B94/100)))+2.137988),HLOOKUP(MONTH(A94),ScalarTable,28))))</f>
        <v>0.986925</v>
      </c>
      <c r="D94" s="371" t="n">
        <f aca="false">IF(A94="N/A"," ",C94*B94)</f>
        <v>30.1012125</v>
      </c>
      <c r="E94" s="369" t="n">
        <f aca="false">IF(A94="N/A"," ",IF(ISERROR(M94),E82*Inputs!$F$19,M94))</f>
        <v>23.4005001068115</v>
      </c>
      <c r="F94" s="371" t="n">
        <f aca="false">IF(A94="N/A"," ",E94*C94)</f>
        <v>23.094538567915</v>
      </c>
      <c r="G94" s="369" t="n">
        <f aca="false">IF(A94="N/A"," ",IF(ISERROR(N94),G82*Inputs!$F$19,N94))</f>
        <v>21.4009998321533</v>
      </c>
      <c r="H94" s="371" t="n">
        <f aca="false">IF(A94="N/A"," ",G94*C94)</f>
        <v>21.1211817593479</v>
      </c>
      <c r="I94" s="371" t="n">
        <f aca="false">IF(A94="N/A"," ",IF(ISERROR(O94),I82*Inputs!$F$19,O94))</f>
        <v>19.6499988555908</v>
      </c>
      <c r="J94" s="372" t="e">
        <f aca="false">IF(A94="N/A"," ",IF(ISERROR(P94),J82*Inputs!$F$23,P94))</f>
        <v>#N/A</v>
      </c>
      <c r="L94" s="374" t="n">
        <f aca="false">IF(A94="N/A"," ",VLOOKUP(A94,PeakPowerCurves,(IF('Pricing Inputs'!$AT$3=2,3,IF('Pricing Inputs'!$AT$3=1,2,4))),FALSE()))</f>
        <v>30.5</v>
      </c>
      <c r="M94" s="374" t="n">
        <f aca="false">IF(A94="N/A"," ",VLOOKUP(A94,SatSunPeakPwr,(IF('Pricing Inputs'!$AT$3=2,3,IF('Pricing Inputs'!$AT$3=1,2,4))),FALSE()))</f>
        <v>23.4005001068115</v>
      </c>
      <c r="N94" s="374" t="n">
        <f aca="false">IF(A94="N/A"," ",VLOOKUP(A94,SatSunPeakPwr,(IF('Pricing Inputs'!$AT$3=2,7,IF('Pricing Inputs'!$AT$3=1,6,8))),FALSE()))</f>
        <v>21.4009998321533</v>
      </c>
      <c r="O94" s="375" t="n">
        <f aca="false">IF(A94="N/A"," ",(VLOOKUP(A94,OPPowerPrices,(IF('Pricing Inputs'!$AT$3=2,7,IF('Pricing Inputs'!$AT$3=1,6,8))),FALSE())))</f>
        <v>19.6499988555908</v>
      </c>
      <c r="P94" s="376" t="e">
        <f aca="false">IF(A94="N/A"," ",(VLOOKUP(A94,GasCurves,15,FALSE())))</f>
        <v>#N/A</v>
      </c>
      <c r="AF94" s="341" t="n">
        <v>39295</v>
      </c>
      <c r="AG94" s="31" t="n">
        <v>23</v>
      </c>
      <c r="AH94" s="31" t="n">
        <v>4</v>
      </c>
      <c r="AI94" s="31" t="n">
        <v>4</v>
      </c>
      <c r="AJ94" s="31" t="n">
        <v>0</v>
      </c>
      <c r="AK94" s="31" t="n">
        <v>31</v>
      </c>
    </row>
    <row r="95" customFormat="false" ht="12.75" hidden="false" customHeight="false" outlineLevel="0" collapsed="false">
      <c r="A95" s="368" t="n">
        <f aca="false">Calculations!A62</f>
        <v>38657</v>
      </c>
      <c r="B95" s="369" t="n">
        <f aca="false">IF(A95="N/A"," ",IF(ISERROR(L95),B83*Inputs!$F$19,L95))</f>
        <v>30.875</v>
      </c>
      <c r="C95" s="370" t="n">
        <f aca="false">IF(A95="N/A"," ",(IF(AND(MONTH(A95)&gt;=6,MONTH(A95)&lt;=8,OR($K$37="REGION 2",$K$37="REGION 2A",$K$37="REGION 2B",$K$37="REGION 3",$K$37="REGION 3A",$K$37="REGION 3B",$K$37="REGION 4",$K$37="REGION 4B",$K$37="REGION 4C",$K$37="REGION 5",$K$37="REGION 5A")),((0.059228/(B95/100))-(0.4980013/(SQRT(B95/100)))+2.137988),HLOOKUP(MONTH(A95),ScalarTable,28))))</f>
        <v>0.989225</v>
      </c>
      <c r="D95" s="371" t="n">
        <f aca="false">IF(A95="N/A"," ",C95*B95)</f>
        <v>30.542321875</v>
      </c>
      <c r="E95" s="369" t="n">
        <f aca="false">IF(A95="N/A"," ",IF(ISERROR(M95),E83*Inputs!$F$19,M95))</f>
        <v>24.4047515869141</v>
      </c>
      <c r="F95" s="371" t="n">
        <f aca="false">IF(A95="N/A"," ",E95*C95)</f>
        <v>24.1417903885651</v>
      </c>
      <c r="G95" s="369" t="n">
        <f aca="false">IF(A95="N/A"," ",IF(ISERROR(N95),G83*Inputs!$F$19,N95))</f>
        <v>22.4044998168945</v>
      </c>
      <c r="H95" s="371" t="n">
        <f aca="false">IF(A95="N/A"," ",G95*C95)</f>
        <v>22.1630913313675</v>
      </c>
      <c r="I95" s="371" t="n">
        <f aca="false">IF(A95="N/A"," ",IF(ISERROR(O95),I83*Inputs!$F$19,O95))</f>
        <v>19.5749980926514</v>
      </c>
      <c r="J95" s="372" t="e">
        <f aca="false">IF(A95="N/A"," ",IF(ISERROR(P95),J83*Inputs!$F$23,P95))</f>
        <v>#N/A</v>
      </c>
      <c r="L95" s="374" t="n">
        <f aca="false">IF(A95="N/A"," ",VLOOKUP(A95,PeakPowerCurves,(IF('Pricing Inputs'!$AT$3=2,3,IF('Pricing Inputs'!$AT$3=1,2,4))),FALSE()))</f>
        <v>30.875</v>
      </c>
      <c r="M95" s="374" t="n">
        <f aca="false">IF(A95="N/A"," ",VLOOKUP(A95,SatSunPeakPwr,(IF('Pricing Inputs'!$AT$3=2,3,IF('Pricing Inputs'!$AT$3=1,2,4))),FALSE()))</f>
        <v>24.4047515869141</v>
      </c>
      <c r="N95" s="374" t="n">
        <f aca="false">IF(A95="N/A"," ",VLOOKUP(A95,SatSunPeakPwr,(IF('Pricing Inputs'!$AT$3=2,7,IF('Pricing Inputs'!$AT$3=1,6,8))),FALSE()))</f>
        <v>22.4044998168945</v>
      </c>
      <c r="O95" s="375" t="n">
        <f aca="false">IF(A95="N/A"," ",(VLOOKUP(A95,OPPowerPrices,(IF('Pricing Inputs'!$AT$3=2,7,IF('Pricing Inputs'!$AT$3=1,6,8))),FALSE())))</f>
        <v>19.5749980926514</v>
      </c>
      <c r="P95" s="376" t="e">
        <f aca="false">IF(A95="N/A"," ",(VLOOKUP(A95,GasCurves,15,FALSE())))</f>
        <v>#N/A</v>
      </c>
      <c r="AF95" s="341" t="n">
        <v>39326</v>
      </c>
      <c r="AG95" s="31" t="n">
        <v>19</v>
      </c>
      <c r="AH95" s="31" t="n">
        <v>5</v>
      </c>
      <c r="AI95" s="31" t="n">
        <v>5</v>
      </c>
      <c r="AJ95" s="31" t="n">
        <v>1</v>
      </c>
      <c r="AK95" s="31" t="n">
        <v>30</v>
      </c>
    </row>
    <row r="96" customFormat="false" ht="12.75" hidden="false" customHeight="false" outlineLevel="0" collapsed="false">
      <c r="A96" s="368" t="n">
        <f aca="false">Calculations!A63</f>
        <v>38687</v>
      </c>
      <c r="B96" s="369" t="n">
        <f aca="false">IF(A96="N/A"," ",IF(ISERROR(L96),B84*Inputs!$F$19,L96))</f>
        <v>30.75</v>
      </c>
      <c r="C96" s="370" t="n">
        <f aca="false">IF(A96="N/A"," ",(IF(AND(MONTH(A96)&gt;=6,MONTH(A96)&lt;=8,OR($K$37="REGION 2",$K$37="REGION 2A",$K$37="REGION 2B",$K$37="REGION 3",$K$37="REGION 3A",$K$37="REGION 3B",$K$37="REGION 4",$K$37="REGION 4B",$K$37="REGION 4C",$K$37="REGION 5",$K$37="REGION 5A")),((0.059228/(B96/100))-(0.4980013/(SQRT(B96/100)))+2.137988),HLOOKUP(MONTH(A96),ScalarTable,28))))</f>
        <v>0.978519445147215</v>
      </c>
      <c r="D96" s="371" t="n">
        <f aca="false">IF(A96="N/A"," ",C96*B96)</f>
        <v>30.0894729382769</v>
      </c>
      <c r="E96" s="369" t="n">
        <f aca="false">IF(A96="N/A"," ",IF(ISERROR(M96),E84*Inputs!$F$19,M96))</f>
        <v>25.8549983978271</v>
      </c>
      <c r="F96" s="371" t="n">
        <f aca="false">IF(A96="N/A"," ",E96*C96)</f>
        <v>25.299618686524</v>
      </c>
      <c r="G96" s="369" t="n">
        <f aca="false">IF(A96="N/A"," ",IF(ISERROR(N96),G84*Inputs!$F$19,N96))</f>
        <v>22.3499992370605</v>
      </c>
      <c r="H96" s="371" t="n">
        <f aca="false">IF(A96="N/A"," ",G96*C96)</f>
        <v>21.8699088524892</v>
      </c>
      <c r="I96" s="371" t="n">
        <f aca="false">IF(A96="N/A"," ",IF(ISERROR(O96),I84*Inputs!$F$19,O96))</f>
        <v>20.9999992370605</v>
      </c>
      <c r="J96" s="372" t="e">
        <f aca="false">IF(A96="N/A"," ",IF(ISERROR(P96),J84*Inputs!$F$23,P96))</f>
        <v>#N/A</v>
      </c>
      <c r="L96" s="374" t="n">
        <f aca="false">IF(A96="N/A"," ",VLOOKUP(A96,PeakPowerCurves,(IF('Pricing Inputs'!$AT$3=2,3,IF('Pricing Inputs'!$AT$3=1,2,4))),FALSE()))</f>
        <v>30.75</v>
      </c>
      <c r="M96" s="374" t="n">
        <f aca="false">IF(A96="N/A"," ",VLOOKUP(A96,SatSunPeakPwr,(IF('Pricing Inputs'!$AT$3=2,3,IF('Pricing Inputs'!$AT$3=1,2,4))),FALSE()))</f>
        <v>25.8549983978271</v>
      </c>
      <c r="N96" s="374" t="n">
        <f aca="false">IF(A96="N/A"," ",VLOOKUP(A96,SatSunPeakPwr,(IF('Pricing Inputs'!$AT$3=2,7,IF('Pricing Inputs'!$AT$3=1,6,8))),FALSE()))</f>
        <v>22.3499992370605</v>
      </c>
      <c r="O96" s="375" t="n">
        <f aca="false">IF(A96="N/A"," ",(VLOOKUP(A96,OPPowerPrices,(IF('Pricing Inputs'!$AT$3=2,7,IF('Pricing Inputs'!$AT$3=1,6,8))),FALSE())))</f>
        <v>20.9999992370605</v>
      </c>
      <c r="P96" s="376" t="e">
        <f aca="false">IF(A96="N/A"," ",(VLOOKUP(A96,GasCurves,15,FALSE())))</f>
        <v>#N/A</v>
      </c>
      <c r="AF96" s="341" t="n">
        <v>39356</v>
      </c>
      <c r="AG96" s="31" t="n">
        <v>23</v>
      </c>
      <c r="AH96" s="31" t="n">
        <v>4</v>
      </c>
      <c r="AI96" s="31" t="n">
        <v>4</v>
      </c>
      <c r="AJ96" s="31" t="n">
        <v>0</v>
      </c>
      <c r="AK96" s="31" t="n">
        <v>31</v>
      </c>
    </row>
    <row r="97" customFormat="false" ht="12.75" hidden="false" customHeight="false" outlineLevel="0" collapsed="false">
      <c r="A97" s="368" t="n">
        <f aca="false">Calculations!A64</f>
        <v>38718</v>
      </c>
      <c r="B97" s="369" t="n">
        <f aca="false">IF(A97="N/A"," ",IF(ISERROR(L97),B85*Inputs!$F$19,L97))</f>
        <v>36.85</v>
      </c>
      <c r="C97" s="370" t="n">
        <f aca="false">IF(A97="N/A"," ",(IF(AND(MONTH(A97)&gt;=6,MONTH(A97)&lt;=8,OR($K$37="REGION 2",$K$37="REGION 2A",$K$37="REGION 2B",$K$37="REGION 3",$K$37="REGION 3A",$K$37="REGION 3B",$K$37="REGION 4",$K$37="REGION 4B",$K$37="REGION 4C",$K$37="REGION 5",$K$37="REGION 5A")),((0.059228/(B97/100))-(0.4980013/(SQRT(B97/100)))+2.137988),HLOOKUP(MONTH(A97),ScalarTable,28))))</f>
        <v>0.969145769131439</v>
      </c>
      <c r="D97" s="371" t="n">
        <f aca="false">IF(A97="N/A"," ",C97*B97)</f>
        <v>35.7130215924935</v>
      </c>
      <c r="E97" s="369" t="n">
        <f aca="false">IF(A97="N/A"," ",IF(ISERROR(M97),E85*Inputs!$F$19,M97))</f>
        <v>29.2487483978271</v>
      </c>
      <c r="F97" s="371" t="n">
        <f aca="false">IF(A97="N/A"," ",E97*C97)</f>
        <v>28.3463007621441</v>
      </c>
      <c r="G97" s="369" t="n">
        <f aca="false">IF(A97="N/A"," ",IF(ISERROR(N97),G85*Inputs!$F$19,N97))</f>
        <v>27.7525001525879</v>
      </c>
      <c r="H97" s="371" t="n">
        <f aca="false">IF(A97="N/A"," ",G97*C97)</f>
        <v>26.8962181057002</v>
      </c>
      <c r="I97" s="371" t="n">
        <f aca="false">IF(A97="N/A"," ",IF(ISERROR(O97),I85*Inputs!$F$19,O97))</f>
        <v>20.7900009155273</v>
      </c>
      <c r="J97" s="372" t="e">
        <f aca="false">IF(A97="N/A"," ",IF(ISERROR(P97),J85*Inputs!$F$23,P97))</f>
        <v>#N/A</v>
      </c>
      <c r="L97" s="374" t="n">
        <f aca="false">IF(A97="N/A"," ",VLOOKUP(A97,PeakPowerCurves,(IF('Pricing Inputs'!$AT$3=2,3,IF('Pricing Inputs'!$AT$3=1,2,4))),FALSE()))</f>
        <v>36.85</v>
      </c>
      <c r="M97" s="374" t="n">
        <f aca="false">IF(A97="N/A"," ",VLOOKUP(A97,SatSunPeakPwr,(IF('Pricing Inputs'!$AT$3=2,3,IF('Pricing Inputs'!$AT$3=1,2,4))),FALSE()))</f>
        <v>29.2487483978271</v>
      </c>
      <c r="N97" s="374" t="n">
        <f aca="false">IF(A97="N/A"," ",VLOOKUP(A97,SatSunPeakPwr,(IF('Pricing Inputs'!$AT$3=2,7,IF('Pricing Inputs'!$AT$3=1,6,8))),FALSE()))</f>
        <v>27.7525001525879</v>
      </c>
      <c r="O97" s="375" t="n">
        <f aca="false">IF(A97="N/A"," ",(VLOOKUP(A97,OPPowerPrices,(IF('Pricing Inputs'!$AT$3=2,7,IF('Pricing Inputs'!$AT$3=1,6,8))),FALSE())))</f>
        <v>20.7900009155273</v>
      </c>
      <c r="P97" s="376" t="e">
        <f aca="false">IF(A97="N/A"," ",(VLOOKUP(A97,GasCurves,15,FALSE())))</f>
        <v>#N/A</v>
      </c>
      <c r="AF97" s="341" t="n">
        <v>39387</v>
      </c>
      <c r="AG97" s="31" t="n">
        <v>21</v>
      </c>
      <c r="AH97" s="31" t="n">
        <v>4</v>
      </c>
      <c r="AI97" s="31" t="n">
        <v>4</v>
      </c>
      <c r="AJ97" s="31" t="n">
        <v>1</v>
      </c>
      <c r="AK97" s="31" t="n">
        <v>30</v>
      </c>
    </row>
    <row r="98" customFormat="false" ht="12.75" hidden="false" customHeight="false" outlineLevel="0" collapsed="false">
      <c r="A98" s="368" t="n">
        <f aca="false">Calculations!A65</f>
        <v>38749</v>
      </c>
      <c r="B98" s="369" t="n">
        <f aca="false">IF(A98="N/A"," ",IF(ISERROR(L98),B86*Inputs!$F$19,L98))</f>
        <v>36.85</v>
      </c>
      <c r="C98" s="370" t="n">
        <f aca="false">IF(A98="N/A"," ",(IF(AND(MONTH(A98)&gt;=6,MONTH(A98)&lt;=8,OR($K$37="REGION 2",$K$37="REGION 2A",$K$37="REGION 2B",$K$37="REGION 3",$K$37="REGION 3A",$K$37="REGION 3B",$K$37="REGION 4",$K$37="REGION 4B",$K$37="REGION 4C",$K$37="REGION 5",$K$37="REGION 5A")),((0.059228/(B98/100))-(0.4980013/(SQRT(B98/100)))+2.137988),HLOOKUP(MONTH(A98),ScalarTable,28))))</f>
        <v>0.969145769131439</v>
      </c>
      <c r="D98" s="371" t="n">
        <f aca="false">IF(A98="N/A"," ",C98*B98)</f>
        <v>35.7130215924935</v>
      </c>
      <c r="E98" s="369" t="n">
        <f aca="false">IF(A98="N/A"," ",IF(ISERROR(M98),E86*Inputs!$F$19,M98))</f>
        <v>28.2462501525879</v>
      </c>
      <c r="F98" s="371" t="n">
        <f aca="false">IF(A98="N/A"," ",E98*C98)</f>
        <v>27.3747338292088</v>
      </c>
      <c r="G98" s="369" t="n">
        <f aca="false">IF(A98="N/A"," ",IF(ISERROR(N98),G86*Inputs!$F$19,N98))</f>
        <v>25.7474994659424</v>
      </c>
      <c r="H98" s="371" t="n">
        <f aca="false">IF(A98="N/A"," ",G98*C98)</f>
        <v>24.953080173132</v>
      </c>
      <c r="I98" s="371" t="n">
        <f aca="false">IF(A98="N/A"," ",IF(ISERROR(O98),I86*Inputs!$F$19,O98))</f>
        <v>20.5999977111816</v>
      </c>
      <c r="J98" s="372" t="e">
        <f aca="false">IF(A98="N/A"," ",IF(ISERROR(P98),J86*Inputs!$F$23,P98))</f>
        <v>#N/A</v>
      </c>
      <c r="L98" s="374" t="n">
        <f aca="false">IF(A98="N/A"," ",VLOOKUP(A98,PeakPowerCurves,(IF('Pricing Inputs'!$AT$3=2,3,IF('Pricing Inputs'!$AT$3=1,2,4))),FALSE()))</f>
        <v>36.85</v>
      </c>
      <c r="M98" s="374" t="n">
        <f aca="false">IF(A98="N/A"," ",VLOOKUP(A98,SatSunPeakPwr,(IF('Pricing Inputs'!$AT$3=2,3,IF('Pricing Inputs'!$AT$3=1,2,4))),FALSE()))</f>
        <v>28.2462501525879</v>
      </c>
      <c r="N98" s="374" t="n">
        <f aca="false">IF(A98="N/A"," ",VLOOKUP(A98,SatSunPeakPwr,(IF('Pricing Inputs'!$AT$3=2,7,IF('Pricing Inputs'!$AT$3=1,6,8))),FALSE()))</f>
        <v>25.7474994659424</v>
      </c>
      <c r="O98" s="375" t="n">
        <f aca="false">IF(A98="N/A"," ",(VLOOKUP(A98,OPPowerPrices,(IF('Pricing Inputs'!$AT$3=2,7,IF('Pricing Inputs'!$AT$3=1,6,8))),FALSE())))</f>
        <v>20.5999977111816</v>
      </c>
      <c r="P98" s="376" t="e">
        <f aca="false">IF(A98="N/A"," ",(VLOOKUP(A98,GasCurves,15,FALSE())))</f>
        <v>#N/A</v>
      </c>
      <c r="AF98" s="341" t="n">
        <v>39417</v>
      </c>
      <c r="AG98" s="31" t="n">
        <v>20</v>
      </c>
      <c r="AH98" s="31" t="n">
        <v>5</v>
      </c>
      <c r="AI98" s="31" t="n">
        <v>5</v>
      </c>
      <c r="AJ98" s="31" t="n">
        <v>1</v>
      </c>
      <c r="AK98" s="31" t="n">
        <v>31</v>
      </c>
    </row>
    <row r="99" customFormat="false" ht="12.75" hidden="false" customHeight="false" outlineLevel="0" collapsed="false">
      <c r="A99" s="368" t="n">
        <f aca="false">Calculations!A66</f>
        <v>38777</v>
      </c>
      <c r="B99" s="369" t="n">
        <f aca="false">IF(A99="N/A"," ",IF(ISERROR(L99),B87*Inputs!$F$19,L99))</f>
        <v>33.1</v>
      </c>
      <c r="C99" s="370" t="n">
        <f aca="false">IF(A99="N/A"," ",(IF(AND(MONTH(A99)&gt;=6,MONTH(A99)&lt;=8,OR($K$37="REGION 2",$K$37="REGION 2A",$K$37="REGION 2B",$K$37="REGION 3",$K$37="REGION 3A",$K$37="REGION 3B",$K$37="REGION 4",$K$37="REGION 4B",$K$37="REGION 4C",$K$37="REGION 5",$K$37="REGION 5A")),((0.059228/(B99/100))-(0.4980013/(SQRT(B99/100)))+2.137988),HLOOKUP(MONTH(A99),ScalarTable,28))))</f>
        <v>0.97165</v>
      </c>
      <c r="D99" s="371" t="n">
        <f aca="false">IF(A99="N/A"," ",C99*B99)</f>
        <v>32.161615</v>
      </c>
      <c r="E99" s="369" t="n">
        <f aca="false">IF(A99="N/A"," ",IF(ISERROR(M99),E87*Inputs!$F$19,M99))</f>
        <v>21.4347496032715</v>
      </c>
      <c r="F99" s="371" t="n">
        <f aca="false">IF(A99="N/A"," ",E99*C99)</f>
        <v>20.8270744520187</v>
      </c>
      <c r="G99" s="369" t="n">
        <f aca="false">IF(A99="N/A"," ",IF(ISERROR(N99),G87*Inputs!$F$19,N99))</f>
        <v>21.0644989013672</v>
      </c>
      <c r="H99" s="371" t="n">
        <f aca="false">IF(A99="N/A"," ",G99*C99)</f>
        <v>20.4673203575134</v>
      </c>
      <c r="I99" s="371" t="n">
        <f aca="false">IF(A99="N/A"," ",IF(ISERROR(O99),I87*Inputs!$F$19,O99))</f>
        <v>19.5999996185303</v>
      </c>
      <c r="J99" s="372" t="e">
        <f aca="false">IF(A99="N/A"," ",IF(ISERROR(P99),J87*Inputs!$F$23,P99))</f>
        <v>#N/A</v>
      </c>
      <c r="L99" s="374" t="n">
        <f aca="false">IF(A99="N/A"," ",VLOOKUP(A99,PeakPowerCurves,(IF('Pricing Inputs'!$AT$3=2,3,IF('Pricing Inputs'!$AT$3=1,2,4))),FALSE()))</f>
        <v>33.1</v>
      </c>
      <c r="M99" s="374" t="n">
        <f aca="false">IF(A99="N/A"," ",VLOOKUP(A99,SatSunPeakPwr,(IF('Pricing Inputs'!$AT$3=2,3,IF('Pricing Inputs'!$AT$3=1,2,4))),FALSE()))</f>
        <v>21.4347496032715</v>
      </c>
      <c r="N99" s="374" t="n">
        <f aca="false">IF(A99="N/A"," ",VLOOKUP(A99,SatSunPeakPwr,(IF('Pricing Inputs'!$AT$3=2,7,IF('Pricing Inputs'!$AT$3=1,6,8))),FALSE()))</f>
        <v>21.0644989013672</v>
      </c>
      <c r="O99" s="375" t="n">
        <f aca="false">IF(A99="N/A"," ",(VLOOKUP(A99,OPPowerPrices,(IF('Pricing Inputs'!$AT$3=2,7,IF('Pricing Inputs'!$AT$3=1,6,8))),FALSE())))</f>
        <v>19.5999996185303</v>
      </c>
      <c r="P99" s="376" t="e">
        <f aca="false">IF(A99="N/A"," ",(VLOOKUP(A99,GasCurves,15,FALSE())))</f>
        <v>#N/A</v>
      </c>
      <c r="AF99" s="341" t="n">
        <v>39448</v>
      </c>
      <c r="AG99" s="31" t="n">
        <v>22</v>
      </c>
      <c r="AH99" s="31" t="n">
        <v>4</v>
      </c>
      <c r="AI99" s="31" t="n">
        <v>4</v>
      </c>
      <c r="AJ99" s="31" t="n">
        <v>1</v>
      </c>
      <c r="AK99" s="31" t="n">
        <v>31</v>
      </c>
    </row>
    <row r="100" customFormat="false" ht="12.75" hidden="false" customHeight="false" outlineLevel="0" collapsed="false">
      <c r="A100" s="368" t="n">
        <f aca="false">Calculations!A67</f>
        <v>38808</v>
      </c>
      <c r="B100" s="369" t="n">
        <f aca="false">IF(A100="N/A"," ",IF(ISERROR(L100),B88*Inputs!$F$19,L100))</f>
        <v>31.85</v>
      </c>
      <c r="C100" s="370" t="n">
        <f aca="false">IF(A100="N/A"," ",(IF(AND(MONTH(A100)&gt;=6,MONTH(A100)&lt;=8,OR($K$37="REGION 2",$K$37="REGION 2A",$K$37="REGION 2B",$K$37="REGION 3",$K$37="REGION 3A",$K$37="REGION 3B",$K$37="REGION 4",$K$37="REGION 4B",$K$37="REGION 4C",$K$37="REGION 5",$K$37="REGION 5A")),((0.059228/(B100/100))-(0.4980013/(SQRT(B100/100)))+2.137988),HLOOKUP(MONTH(A100),ScalarTable,28))))</f>
        <v>0.924989009949893</v>
      </c>
      <c r="D100" s="371" t="n">
        <f aca="false">IF(A100="N/A"," ",C100*B100)</f>
        <v>29.4608999669041</v>
      </c>
      <c r="E100" s="369" t="n">
        <f aca="false">IF(A100="N/A"," ",IF(ISERROR(M100),E88*Inputs!$F$19,M100))</f>
        <v>22.1175003051758</v>
      </c>
      <c r="F100" s="371" t="n">
        <f aca="false">IF(A100="N/A"," ",E100*C100)</f>
        <v>20.458444709851</v>
      </c>
      <c r="G100" s="369" t="n">
        <f aca="false">IF(A100="N/A"," ",IF(ISERROR(N100),G88*Inputs!$F$19,N100))</f>
        <v>20.8349990844727</v>
      </c>
      <c r="H100" s="371" t="n">
        <f aca="false">IF(A100="N/A"," ",G100*C100)</f>
        <v>19.2721451754533</v>
      </c>
      <c r="I100" s="371" t="n">
        <f aca="false">IF(A100="N/A"," ",IF(ISERROR(O100),I88*Inputs!$F$19,O100))</f>
        <v>19.5999977111816</v>
      </c>
      <c r="J100" s="372" t="e">
        <f aca="false">IF(A100="N/A"," ",IF(ISERROR(P100),J88*Inputs!$F$23,P100))</f>
        <v>#N/A</v>
      </c>
      <c r="L100" s="374" t="n">
        <f aca="false">IF(A100="N/A"," ",VLOOKUP(A100,PeakPowerCurves,(IF('Pricing Inputs'!$AT$3=2,3,IF('Pricing Inputs'!$AT$3=1,2,4))),FALSE()))</f>
        <v>31.85</v>
      </c>
      <c r="M100" s="374" t="n">
        <f aca="false">IF(A100="N/A"," ",VLOOKUP(A100,SatSunPeakPwr,(IF('Pricing Inputs'!$AT$3=2,3,IF('Pricing Inputs'!$AT$3=1,2,4))),FALSE()))</f>
        <v>22.1175003051758</v>
      </c>
      <c r="N100" s="374" t="n">
        <f aca="false">IF(A100="N/A"," ",VLOOKUP(A100,SatSunPeakPwr,(IF('Pricing Inputs'!$AT$3=2,7,IF('Pricing Inputs'!$AT$3=1,6,8))),FALSE()))</f>
        <v>20.8349990844727</v>
      </c>
      <c r="O100" s="375" t="n">
        <f aca="false">IF(A100="N/A"," ",(VLOOKUP(A100,OPPowerPrices,(IF('Pricing Inputs'!$AT$3=2,7,IF('Pricing Inputs'!$AT$3=1,6,8))),FALSE())))</f>
        <v>19.5999977111816</v>
      </c>
      <c r="P100" s="376" t="e">
        <f aca="false">IF(A100="N/A"," ",(VLOOKUP(A100,GasCurves,15,FALSE())))</f>
        <v>#N/A</v>
      </c>
      <c r="AF100" s="341" t="n">
        <v>39479</v>
      </c>
      <c r="AG100" s="31" t="n">
        <v>21</v>
      </c>
      <c r="AH100" s="31" t="n">
        <v>4</v>
      </c>
      <c r="AI100" s="31" t="n">
        <v>4</v>
      </c>
      <c r="AJ100" s="31" t="n">
        <v>0</v>
      </c>
      <c r="AK100" s="31" t="n">
        <v>29</v>
      </c>
    </row>
    <row r="101" customFormat="false" ht="12.75" hidden="false" customHeight="false" outlineLevel="0" collapsed="false">
      <c r="A101" s="368" t="n">
        <f aca="false">Calculations!A68</f>
        <v>38838</v>
      </c>
      <c r="B101" s="369" t="n">
        <f aca="false">IF(A101="N/A"," ",IF(ISERROR(L101),B89*Inputs!$F$19,L101))</f>
        <v>33.85</v>
      </c>
      <c r="C101" s="370" t="n">
        <f aca="false">IF(A101="N/A"," ",(IF(AND(MONTH(A101)&gt;=6,MONTH(A101)&lt;=8,OR($K$37="REGION 2",$K$37="REGION 2A",$K$37="REGION 2B",$K$37="REGION 3",$K$37="REGION 3A",$K$37="REGION 3B",$K$37="REGION 4",$K$37="REGION 4B",$K$37="REGION 4C",$K$37="REGION 5",$K$37="REGION 5A")),((0.059228/(B101/100))-(0.4980013/(SQRT(B101/100)))+2.137988),HLOOKUP(MONTH(A101),ScalarTable,28))))</f>
        <v>0.972355461918447</v>
      </c>
      <c r="D101" s="371" t="n">
        <f aca="false">IF(A101="N/A"," ",C101*B101)</f>
        <v>32.9142323859394</v>
      </c>
      <c r="E101" s="369" t="n">
        <f aca="false">IF(A101="N/A"," ",IF(ISERROR(M101),E89*Inputs!$F$19,M101))</f>
        <v>22.2325000762939</v>
      </c>
      <c r="F101" s="371" t="n">
        <f aca="false">IF(A101="N/A"," ",E101*C101)</f>
        <v>21.6178928812867</v>
      </c>
      <c r="G101" s="369" t="n">
        <f aca="false">IF(A101="N/A"," ",IF(ISERROR(N101),G89*Inputs!$F$19,N101))</f>
        <v>21.3649997711182</v>
      </c>
      <c r="H101" s="371" t="n">
        <f aca="false">IF(A101="N/A"," ",G101*C101)</f>
        <v>20.7743742213331</v>
      </c>
      <c r="I101" s="371" t="n">
        <f aca="false">IF(A101="N/A"," ",IF(ISERROR(O101),I89*Inputs!$F$19,O101))</f>
        <v>19.5999977111816</v>
      </c>
      <c r="J101" s="372" t="e">
        <f aca="false">IF(A101="N/A"," ",IF(ISERROR(P101),J89*Inputs!$F$23,P101))</f>
        <v>#N/A</v>
      </c>
      <c r="L101" s="374" t="n">
        <f aca="false">IF(A101="N/A"," ",VLOOKUP(A101,PeakPowerCurves,(IF('Pricing Inputs'!$AT$3=2,3,IF('Pricing Inputs'!$AT$3=1,2,4))),FALSE()))</f>
        <v>33.85</v>
      </c>
      <c r="M101" s="374" t="n">
        <f aca="false">IF(A101="N/A"," ",VLOOKUP(A101,SatSunPeakPwr,(IF('Pricing Inputs'!$AT$3=2,3,IF('Pricing Inputs'!$AT$3=1,2,4))),FALSE()))</f>
        <v>22.2325000762939</v>
      </c>
      <c r="N101" s="374" t="n">
        <f aca="false">IF(A101="N/A"," ",VLOOKUP(A101,SatSunPeakPwr,(IF('Pricing Inputs'!$AT$3=2,7,IF('Pricing Inputs'!$AT$3=1,6,8))),FALSE()))</f>
        <v>21.3649997711182</v>
      </c>
      <c r="O101" s="375" t="n">
        <f aca="false">IF(A101="N/A"," ",(VLOOKUP(A101,OPPowerPrices,(IF('Pricing Inputs'!$AT$3=2,7,IF('Pricing Inputs'!$AT$3=1,6,8))),FALSE())))</f>
        <v>19.5999977111816</v>
      </c>
      <c r="P101" s="376" t="e">
        <f aca="false">IF(A101="N/A"," ",(VLOOKUP(A101,GasCurves,15,FALSE())))</f>
        <v>#N/A</v>
      </c>
      <c r="AF101" s="341" t="n">
        <v>39508</v>
      </c>
      <c r="AG101" s="31" t="n">
        <v>21</v>
      </c>
      <c r="AH101" s="31" t="n">
        <v>5</v>
      </c>
      <c r="AI101" s="31" t="n">
        <v>5</v>
      </c>
      <c r="AJ101" s="31" t="n">
        <v>0</v>
      </c>
      <c r="AK101" s="31" t="n">
        <v>31</v>
      </c>
    </row>
    <row r="102" customFormat="false" ht="12.75" hidden="false" customHeight="false" outlineLevel="0" collapsed="false">
      <c r="A102" s="368" t="n">
        <f aca="false">Calculations!A69</f>
        <v>38869</v>
      </c>
      <c r="B102" s="369" t="n">
        <f aca="false">IF(A102="N/A"," ",IF(ISERROR(L102),B90*Inputs!$F$19,L102))</f>
        <v>49</v>
      </c>
      <c r="C102" s="370" t="n">
        <f aca="false">IF(A102="N/A"," ",(IF(AND(MONTH(A102)&gt;=6,MONTH(A102)&lt;=8,OR($K$37="REGION 2",$K$37="REGION 2A",$K$37="REGION 2B",$K$37="REGION 3",$K$37="REGION 3A",$K$37="REGION 3B",$K$37="REGION 4",$K$37="REGION 4B",$K$37="REGION 4C",$K$37="REGION 5",$K$37="REGION 5A")),((0.059228/(B102/100))-(0.4980013/(SQRT(B102/100)))+2.137988),HLOOKUP(MONTH(A102),ScalarTable,28))))</f>
        <v>1.14029274839576</v>
      </c>
      <c r="D102" s="371" t="n">
        <f aca="false">IF(A102="N/A"," ",C102*B102)</f>
        <v>55.874344671392</v>
      </c>
      <c r="E102" s="369" t="n">
        <f aca="false">IF(A102="N/A"," ",IF(ISERROR(M102),E90*Inputs!$F$19,M102))</f>
        <v>26.6587501525879</v>
      </c>
      <c r="F102" s="371" t="n">
        <f aca="false">IF(A102="N/A"," ",E102*C102)</f>
        <v>30.3987794802902</v>
      </c>
      <c r="G102" s="369" t="n">
        <f aca="false">IF(A102="N/A"," ",IF(ISERROR(N102),G90*Inputs!$F$19,N102))</f>
        <v>20.1424995422363</v>
      </c>
      <c r="H102" s="371" t="n">
        <f aca="false">IF(A102="N/A"," ",G102*C102)</f>
        <v>22.9683461625769</v>
      </c>
      <c r="I102" s="371" t="n">
        <f aca="false">IF(A102="N/A"," ",IF(ISERROR(O102),I90*Inputs!$F$19,O102))</f>
        <v>19.5549987792969</v>
      </c>
      <c r="J102" s="372" t="e">
        <f aca="false">IF(A102="N/A"," ",IF(ISERROR(P102),J90*Inputs!$F$23,P102))</f>
        <v>#N/A</v>
      </c>
      <c r="L102" s="374" t="n">
        <f aca="false">IF(A102="N/A"," ",VLOOKUP(A102,PeakPowerCurves,(IF('Pricing Inputs'!$AT$3=2,3,IF('Pricing Inputs'!$AT$3=1,2,4))),FALSE()))</f>
        <v>49</v>
      </c>
      <c r="M102" s="374" t="n">
        <f aca="false">IF(A102="N/A"," ",VLOOKUP(A102,SatSunPeakPwr,(IF('Pricing Inputs'!$AT$3=2,3,IF('Pricing Inputs'!$AT$3=1,2,4))),FALSE()))</f>
        <v>26.6587501525879</v>
      </c>
      <c r="N102" s="374" t="n">
        <f aca="false">IF(A102="N/A"," ",VLOOKUP(A102,SatSunPeakPwr,(IF('Pricing Inputs'!$AT$3=2,7,IF('Pricing Inputs'!$AT$3=1,6,8))),FALSE()))</f>
        <v>20.1424995422363</v>
      </c>
      <c r="O102" s="375" t="n">
        <f aca="false">IF(A102="N/A"," ",(VLOOKUP(A102,OPPowerPrices,(IF('Pricing Inputs'!$AT$3=2,7,IF('Pricing Inputs'!$AT$3=1,6,8))),FALSE())))</f>
        <v>19.5549987792969</v>
      </c>
      <c r="P102" s="376" t="e">
        <f aca="false">IF(A102="N/A"," ",(VLOOKUP(A102,GasCurves,15,FALSE())))</f>
        <v>#N/A</v>
      </c>
      <c r="AF102" s="341" t="n">
        <v>39539</v>
      </c>
      <c r="AG102" s="31" t="n">
        <v>22</v>
      </c>
      <c r="AH102" s="31" t="n">
        <v>4</v>
      </c>
      <c r="AI102" s="31" t="n">
        <v>4</v>
      </c>
      <c r="AJ102" s="31" t="n">
        <v>0</v>
      </c>
      <c r="AK102" s="31" t="n">
        <v>30</v>
      </c>
    </row>
    <row r="103" customFormat="false" ht="12.75" hidden="false" customHeight="false" outlineLevel="0" collapsed="false">
      <c r="A103" s="368" t="n">
        <f aca="false">Calculations!A70</f>
        <v>38899</v>
      </c>
      <c r="B103" s="369" t="n">
        <f aca="false">IF(A103="N/A"," ",IF(ISERROR(L103),B91*Inputs!$F$19,L103))</f>
        <v>70</v>
      </c>
      <c r="C103" s="370" t="n">
        <f aca="false">IF(A103="N/A"," ",(IF(AND(MONTH(A103)&gt;=6,MONTH(A103)&lt;=8,OR($K$37="REGION 2",$K$37="REGION 2A",$K$37="REGION 2B",$K$37="REGION 3",$K$37="REGION 3A",$K$37="REGION 3B",$K$37="REGION 4",$K$37="REGION 4B",$K$37="REGION 4C",$K$37="REGION 5",$K$37="REGION 5A")),((0.059228/(B103/100))-(0.4980013/(SQRT(B103/100)))+2.137988),HLOOKUP(MONTH(A103),ScalarTable,28))))</f>
        <v>1.19166491456367</v>
      </c>
      <c r="D103" s="371" t="n">
        <f aca="false">IF(A103="N/A"," ",C103*B103)</f>
        <v>83.4165440194568</v>
      </c>
      <c r="E103" s="369" t="n">
        <f aca="false">IF(A103="N/A"," ",IF(ISERROR(M103),E91*Inputs!$F$19,M103))</f>
        <v>39.8612495422363</v>
      </c>
      <c r="F103" s="371" t="n">
        <f aca="false">IF(A103="N/A"," ",E103*C103)</f>
        <v>47.5012525301502</v>
      </c>
      <c r="G103" s="369" t="n">
        <f aca="false">IF(A103="N/A"," ",IF(ISERROR(N103),G91*Inputs!$F$19,N103))</f>
        <v>29.3474994659424</v>
      </c>
      <c r="H103" s="371" t="n">
        <f aca="false">IF(A103="N/A"," ",G103*C103)</f>
        <v>34.9723854437396</v>
      </c>
      <c r="I103" s="371" t="n">
        <f aca="false">IF(A103="N/A"," ",IF(ISERROR(O103),I91*Inputs!$F$19,O103))</f>
        <v>24.0499977111816</v>
      </c>
      <c r="J103" s="372" t="e">
        <f aca="false">IF(A103="N/A"," ",IF(ISERROR(P103),J91*Inputs!$F$23,P103))</f>
        <v>#N/A</v>
      </c>
      <c r="L103" s="374" t="n">
        <f aca="false">IF(A103="N/A"," ",VLOOKUP(A103,PeakPowerCurves,(IF('Pricing Inputs'!$AT$3=2,3,IF('Pricing Inputs'!$AT$3=1,2,4))),FALSE()))</f>
        <v>70</v>
      </c>
      <c r="M103" s="374" t="n">
        <f aca="false">IF(A103="N/A"," ",VLOOKUP(A103,SatSunPeakPwr,(IF('Pricing Inputs'!$AT$3=2,3,IF('Pricing Inputs'!$AT$3=1,2,4))),FALSE()))</f>
        <v>39.8612495422363</v>
      </c>
      <c r="N103" s="374" t="n">
        <f aca="false">IF(A103="N/A"," ",VLOOKUP(A103,SatSunPeakPwr,(IF('Pricing Inputs'!$AT$3=2,7,IF('Pricing Inputs'!$AT$3=1,6,8))),FALSE()))</f>
        <v>29.3474994659424</v>
      </c>
      <c r="O103" s="375" t="n">
        <f aca="false">IF(A103="N/A"," ",(VLOOKUP(A103,OPPowerPrices,(IF('Pricing Inputs'!$AT$3=2,7,IF('Pricing Inputs'!$AT$3=1,6,8))),FALSE())))</f>
        <v>24.0499977111816</v>
      </c>
      <c r="P103" s="376" t="e">
        <f aca="false">IF(A103="N/A"," ",(VLOOKUP(A103,GasCurves,15,FALSE())))</f>
        <v>#N/A</v>
      </c>
      <c r="AF103" s="341" t="n">
        <v>39569</v>
      </c>
      <c r="AG103" s="31" t="n">
        <v>21</v>
      </c>
      <c r="AH103" s="31" t="n">
        <v>5</v>
      </c>
      <c r="AI103" s="31" t="n">
        <v>4</v>
      </c>
      <c r="AJ103" s="31" t="n">
        <v>1</v>
      </c>
      <c r="AK103" s="31" t="n">
        <v>31</v>
      </c>
    </row>
    <row r="104" customFormat="false" ht="12.75" hidden="false" customHeight="false" outlineLevel="0" collapsed="false">
      <c r="A104" s="368" t="n">
        <f aca="false">Calculations!A71</f>
        <v>38930</v>
      </c>
      <c r="B104" s="369" t="n">
        <f aca="false">IF(A104="N/A"," ",IF(ISERROR(L104),B92*Inputs!$F$19,L104))</f>
        <v>65.5</v>
      </c>
      <c r="C104" s="370" t="n">
        <f aca="false">IF(A104="N/A"," ",(IF(AND(MONTH(A104)&gt;=6,MONTH(A104)&lt;=8,OR($K$37="REGION 2",$K$37="REGION 2A",$K$37="REGION 2B",$K$37="REGION 3",$K$37="REGION 3A",$K$37="REGION 3B",$K$37="REGION 4",$K$37="REGION 4B",$K$37="REGION 4C",$K$37="REGION 5",$K$37="REGION 5A")),((0.059228/(B104/100))-(0.4980013/(SQRT(B104/100)))+2.137988),HLOOKUP(MONTH(A104),ScalarTable,28))))</f>
        <v>1.1089289483683</v>
      </c>
      <c r="D104" s="371" t="n">
        <f aca="false">IF(A104="N/A"," ",C104*B104)</f>
        <v>72.6348461181239</v>
      </c>
      <c r="E104" s="369" t="n">
        <f aca="false">IF(A104="N/A"," ",IF(ISERROR(M104),E92*Inputs!$F$19,M104))</f>
        <v>42.1224990844727</v>
      </c>
      <c r="F104" s="371" t="n">
        <f aca="false">IF(A104="N/A"," ",E104*C104)</f>
        <v>46.7108586123891</v>
      </c>
      <c r="G104" s="369" t="n">
        <f aca="false">IF(A104="N/A"," ",IF(ISERROR(N104),G92*Inputs!$F$19,N104))</f>
        <v>30.8450008392334</v>
      </c>
      <c r="H104" s="371" t="n">
        <f aca="false">IF(A104="N/A"," ",G104*C104)</f>
        <v>34.2049143430705</v>
      </c>
      <c r="I104" s="371" t="n">
        <f aca="false">IF(A104="N/A"," ",IF(ISERROR(O104),I92*Inputs!$F$19,O104))</f>
        <v>24.3999980926514</v>
      </c>
      <c r="J104" s="372" t="e">
        <f aca="false">IF(A104="N/A"," ",IF(ISERROR(P104),J92*Inputs!$F$23,P104))</f>
        <v>#N/A</v>
      </c>
      <c r="L104" s="374" t="n">
        <f aca="false">IF(A104="N/A"," ",VLOOKUP(A104,PeakPowerCurves,(IF('Pricing Inputs'!$AT$3=2,3,IF('Pricing Inputs'!$AT$3=1,2,4))),FALSE()))</f>
        <v>65.5</v>
      </c>
      <c r="M104" s="374" t="n">
        <f aca="false">IF(A104="N/A"," ",VLOOKUP(A104,SatSunPeakPwr,(IF('Pricing Inputs'!$AT$3=2,3,IF('Pricing Inputs'!$AT$3=1,2,4))),FALSE()))</f>
        <v>42.1224990844727</v>
      </c>
      <c r="N104" s="374" t="n">
        <f aca="false">IF(A104="N/A"," ",VLOOKUP(A104,SatSunPeakPwr,(IF('Pricing Inputs'!$AT$3=2,7,IF('Pricing Inputs'!$AT$3=1,6,8))),FALSE()))</f>
        <v>30.8450008392334</v>
      </c>
      <c r="O104" s="375" t="n">
        <f aca="false">IF(A104="N/A"," ",(VLOOKUP(A104,OPPowerPrices,(IF('Pricing Inputs'!$AT$3=2,7,IF('Pricing Inputs'!$AT$3=1,6,8))),FALSE())))</f>
        <v>24.3999980926514</v>
      </c>
      <c r="P104" s="376" t="e">
        <f aca="false">IF(A104="N/A"," ",(VLOOKUP(A104,GasCurves,15,FALSE())))</f>
        <v>#N/A</v>
      </c>
      <c r="AF104" s="341" t="n">
        <v>39600</v>
      </c>
      <c r="AG104" s="31" t="n">
        <v>21</v>
      </c>
      <c r="AH104" s="31" t="n">
        <v>4</v>
      </c>
      <c r="AI104" s="31" t="n">
        <v>5</v>
      </c>
      <c r="AJ104" s="31" t="n">
        <v>0</v>
      </c>
      <c r="AK104" s="31" t="n">
        <v>30</v>
      </c>
    </row>
    <row r="105" customFormat="false" ht="12.75" hidden="false" customHeight="false" outlineLevel="0" collapsed="false">
      <c r="A105" s="368" t="n">
        <f aca="false">Calculations!A72</f>
        <v>38961</v>
      </c>
      <c r="B105" s="369" t="n">
        <f aca="false">IF(A105="N/A"," ",IF(ISERROR(L105),B93*Inputs!$F$19,L105))</f>
        <v>32.85</v>
      </c>
      <c r="C105" s="370" t="n">
        <f aca="false">IF(A105="N/A"," ",(IF(AND(MONTH(A105)&gt;=6,MONTH(A105)&lt;=8,OR($K$37="REGION 2",$K$37="REGION 2A",$K$37="REGION 2B",$K$37="REGION 3",$K$37="REGION 3A",$K$37="REGION 3B",$K$37="REGION 4",$K$37="REGION 4B",$K$37="REGION 4C",$K$37="REGION 5",$K$37="REGION 5A")),((0.059228/(B105/100))-(0.4980013/(SQRT(B105/100)))+2.137988),HLOOKUP(MONTH(A105),ScalarTable,28))))</f>
        <v>1.09653379232051</v>
      </c>
      <c r="D105" s="371" t="n">
        <f aca="false">IF(A105="N/A"," ",C105*B105)</f>
        <v>36.0211350777288</v>
      </c>
      <c r="E105" s="369" t="n">
        <f aca="false">IF(A105="N/A"," ",IF(ISERROR(M105),E93*Inputs!$F$19,M105))</f>
        <v>23.5049991607666</v>
      </c>
      <c r="F105" s="371" t="n">
        <f aca="false">IF(A105="N/A"," ",E105*C105)</f>
        <v>25.7740258682458</v>
      </c>
      <c r="G105" s="369" t="n">
        <f aca="false">IF(A105="N/A"," ",IF(ISERROR(N105),G93*Inputs!$F$19,N105))</f>
        <v>24</v>
      </c>
      <c r="H105" s="371" t="n">
        <f aca="false">IF(A105="N/A"," ",G105*C105)</f>
        <v>26.3168110156923</v>
      </c>
      <c r="I105" s="371" t="n">
        <f aca="false">IF(A105="N/A"," ",IF(ISERROR(O105),I93*Inputs!$F$19,O105))</f>
        <v>19.9499980926514</v>
      </c>
      <c r="J105" s="372" t="e">
        <f aca="false">IF(A105="N/A"," ",IF(ISERROR(P105),J93*Inputs!$F$23,P105))</f>
        <v>#N/A</v>
      </c>
      <c r="L105" s="374" t="n">
        <f aca="false">IF(A105="N/A"," ",VLOOKUP(A105,PeakPowerCurves,(IF('Pricing Inputs'!$AT$3=2,3,IF('Pricing Inputs'!$AT$3=1,2,4))),FALSE()))</f>
        <v>32.85</v>
      </c>
      <c r="M105" s="374" t="n">
        <f aca="false">IF(A105="N/A"," ",VLOOKUP(A105,SatSunPeakPwr,(IF('Pricing Inputs'!$AT$3=2,3,IF('Pricing Inputs'!$AT$3=1,2,4))),FALSE()))</f>
        <v>23.5049991607666</v>
      </c>
      <c r="N105" s="374" t="n">
        <f aca="false">IF(A105="N/A"," ",VLOOKUP(A105,SatSunPeakPwr,(IF('Pricing Inputs'!$AT$3=2,7,IF('Pricing Inputs'!$AT$3=1,6,8))),FALSE()))</f>
        <v>24</v>
      </c>
      <c r="O105" s="375" t="n">
        <f aca="false">IF(A105="N/A"," ",(VLOOKUP(A105,OPPowerPrices,(IF('Pricing Inputs'!$AT$3=2,7,IF('Pricing Inputs'!$AT$3=1,6,8))),FALSE())))</f>
        <v>19.9499980926514</v>
      </c>
      <c r="P105" s="376" t="e">
        <f aca="false">IF(A105="N/A"," ",(VLOOKUP(A105,GasCurves,15,FALSE())))</f>
        <v>#N/A</v>
      </c>
      <c r="AF105" s="341" t="n">
        <v>39630</v>
      </c>
      <c r="AG105" s="31" t="n">
        <v>22</v>
      </c>
      <c r="AH105" s="31" t="n">
        <v>4</v>
      </c>
      <c r="AI105" s="31" t="n">
        <v>4</v>
      </c>
      <c r="AJ105" s="31" t="n">
        <v>1</v>
      </c>
      <c r="AK105" s="31" t="n">
        <v>31</v>
      </c>
    </row>
    <row r="106" customFormat="false" ht="12.75" hidden="false" customHeight="false" outlineLevel="0" collapsed="false">
      <c r="A106" s="368" t="n">
        <f aca="false">Calculations!A73</f>
        <v>38991</v>
      </c>
      <c r="B106" s="369" t="n">
        <f aca="false">IF(A106="N/A"," ",IF(ISERROR(L106),B94*Inputs!$F$19,L106))</f>
        <v>30.6</v>
      </c>
      <c r="C106" s="370" t="n">
        <f aca="false">IF(A106="N/A"," ",(IF(AND(MONTH(A106)&gt;=6,MONTH(A106)&lt;=8,OR($K$37="REGION 2",$K$37="REGION 2A",$K$37="REGION 2B",$K$37="REGION 3",$K$37="REGION 3A",$K$37="REGION 3B",$K$37="REGION 4",$K$37="REGION 4B",$K$37="REGION 4C",$K$37="REGION 5",$K$37="REGION 5A")),((0.059228/(B106/100))-(0.4980013/(SQRT(B106/100)))+2.137988),HLOOKUP(MONTH(A106),ScalarTable,28))))</f>
        <v>0.986925</v>
      </c>
      <c r="D106" s="371" t="n">
        <f aca="false">IF(A106="N/A"," ",C106*B106)</f>
        <v>30.199905</v>
      </c>
      <c r="E106" s="369" t="n">
        <f aca="false">IF(A106="N/A"," ",IF(ISERROR(M106),E94*Inputs!$F$19,M106))</f>
        <v>23.6005001068115</v>
      </c>
      <c r="F106" s="371" t="n">
        <f aca="false">IF(A106="N/A"," ",E106*C106)</f>
        <v>23.291923567915</v>
      </c>
      <c r="G106" s="369" t="n">
        <f aca="false">IF(A106="N/A"," ",IF(ISERROR(N106),G94*Inputs!$F$19,N106))</f>
        <v>21.6009998321533</v>
      </c>
      <c r="H106" s="371" t="n">
        <f aca="false">IF(A106="N/A"," ",G106*C106)</f>
        <v>21.3185667593479</v>
      </c>
      <c r="I106" s="371" t="n">
        <f aca="false">IF(A106="N/A"," ",IF(ISERROR(O106),I94*Inputs!$F$19,O106))</f>
        <v>19.6499988555908</v>
      </c>
      <c r="J106" s="372" t="e">
        <f aca="false">IF(A106="N/A"," ",IF(ISERROR(P106),J94*Inputs!$F$23,P106))</f>
        <v>#N/A</v>
      </c>
      <c r="L106" s="374" t="n">
        <f aca="false">IF(A106="N/A"," ",VLOOKUP(A106,PeakPowerCurves,(IF('Pricing Inputs'!$AT$3=2,3,IF('Pricing Inputs'!$AT$3=1,2,4))),FALSE()))</f>
        <v>30.6</v>
      </c>
      <c r="M106" s="374" t="n">
        <f aca="false">IF(A106="N/A"," ",VLOOKUP(A106,SatSunPeakPwr,(IF('Pricing Inputs'!$AT$3=2,3,IF('Pricing Inputs'!$AT$3=1,2,4))),FALSE()))</f>
        <v>23.6005001068115</v>
      </c>
      <c r="N106" s="374" t="n">
        <f aca="false">IF(A106="N/A"," ",VLOOKUP(A106,SatSunPeakPwr,(IF('Pricing Inputs'!$AT$3=2,7,IF('Pricing Inputs'!$AT$3=1,6,8))),FALSE()))</f>
        <v>21.6009998321533</v>
      </c>
      <c r="O106" s="375" t="n">
        <f aca="false">IF(A106="N/A"," ",(VLOOKUP(A106,OPPowerPrices,(IF('Pricing Inputs'!$AT$3=2,7,IF('Pricing Inputs'!$AT$3=1,6,8))),FALSE())))</f>
        <v>19.6499988555908</v>
      </c>
      <c r="P106" s="376" t="e">
        <f aca="false">IF(A106="N/A"," ",(VLOOKUP(A106,GasCurves,15,FALSE())))</f>
        <v>#N/A</v>
      </c>
      <c r="AF106" s="341" t="n">
        <v>39661</v>
      </c>
      <c r="AG106" s="31" t="n">
        <v>21</v>
      </c>
      <c r="AH106" s="31" t="n">
        <v>5</v>
      </c>
      <c r="AI106" s="31" t="n">
        <v>5</v>
      </c>
      <c r="AJ106" s="31" t="n">
        <v>0</v>
      </c>
      <c r="AK106" s="31" t="n">
        <v>31</v>
      </c>
    </row>
    <row r="107" customFormat="false" ht="12.75" hidden="false" customHeight="false" outlineLevel="0" collapsed="false">
      <c r="A107" s="368" t="n">
        <f aca="false">Calculations!A74</f>
        <v>39022</v>
      </c>
      <c r="B107" s="369" t="n">
        <f aca="false">IF(A107="N/A"," ",IF(ISERROR(L107),B95*Inputs!$F$19,L107))</f>
        <v>30.975</v>
      </c>
      <c r="C107" s="370" t="n">
        <f aca="false">IF(A107="N/A"," ",(IF(AND(MONTH(A107)&gt;=6,MONTH(A107)&lt;=8,OR($K$37="REGION 2",$K$37="REGION 2A",$K$37="REGION 2B",$K$37="REGION 3",$K$37="REGION 3A",$K$37="REGION 3B",$K$37="REGION 4",$K$37="REGION 4B",$K$37="REGION 4C",$K$37="REGION 5",$K$37="REGION 5A")),((0.059228/(B107/100))-(0.4980013/(SQRT(B107/100)))+2.137988),HLOOKUP(MONTH(A107),ScalarTable,28))))</f>
        <v>0.989225</v>
      </c>
      <c r="D107" s="371" t="n">
        <f aca="false">IF(A107="N/A"," ",C107*B107)</f>
        <v>30.641244375</v>
      </c>
      <c r="E107" s="369" t="n">
        <f aca="false">IF(A107="N/A"," ",IF(ISERROR(M107),E95*Inputs!$F$19,M107))</f>
        <v>24.6047515869141</v>
      </c>
      <c r="F107" s="371" t="n">
        <f aca="false">IF(A107="N/A"," ",E107*C107)</f>
        <v>24.3396353885651</v>
      </c>
      <c r="G107" s="369" t="n">
        <f aca="false">IF(A107="N/A"," ",IF(ISERROR(N107),G95*Inputs!$F$19,N107))</f>
        <v>22.6044998168945</v>
      </c>
      <c r="H107" s="371" t="n">
        <f aca="false">IF(A107="N/A"," ",G107*C107)</f>
        <v>22.3609363313675</v>
      </c>
      <c r="I107" s="371" t="n">
        <f aca="false">IF(A107="N/A"," ",IF(ISERROR(O107),I95*Inputs!$F$19,O107))</f>
        <v>19.5749980926514</v>
      </c>
      <c r="J107" s="372" t="e">
        <f aca="false">IF(A107="N/A"," ",IF(ISERROR(P107),J95*Inputs!$F$23,P107))</f>
        <v>#N/A</v>
      </c>
      <c r="L107" s="374" t="n">
        <f aca="false">IF(A107="N/A"," ",VLOOKUP(A107,PeakPowerCurves,(IF('Pricing Inputs'!$AT$3=2,3,IF('Pricing Inputs'!$AT$3=1,2,4))),FALSE()))</f>
        <v>30.975</v>
      </c>
      <c r="M107" s="374" t="n">
        <f aca="false">IF(A107="N/A"," ",VLOOKUP(A107,SatSunPeakPwr,(IF('Pricing Inputs'!$AT$3=2,3,IF('Pricing Inputs'!$AT$3=1,2,4))),FALSE()))</f>
        <v>24.6047515869141</v>
      </c>
      <c r="N107" s="374" t="n">
        <f aca="false">IF(A107="N/A"," ",VLOOKUP(A107,SatSunPeakPwr,(IF('Pricing Inputs'!$AT$3=2,7,IF('Pricing Inputs'!$AT$3=1,6,8))),FALSE()))</f>
        <v>22.6044998168945</v>
      </c>
      <c r="O107" s="375" t="n">
        <f aca="false">IF(A107="N/A"," ",(VLOOKUP(A107,OPPowerPrices,(IF('Pricing Inputs'!$AT$3=2,7,IF('Pricing Inputs'!$AT$3=1,6,8))),FALSE())))</f>
        <v>19.5749980926514</v>
      </c>
      <c r="P107" s="376" t="e">
        <f aca="false">IF(A107="N/A"," ",(VLOOKUP(A107,GasCurves,15,FALSE())))</f>
        <v>#N/A</v>
      </c>
      <c r="AF107" s="341" t="n">
        <v>39692</v>
      </c>
      <c r="AG107" s="31" t="n">
        <v>21</v>
      </c>
      <c r="AH107" s="31" t="n">
        <v>4</v>
      </c>
      <c r="AI107" s="31" t="n">
        <v>4</v>
      </c>
      <c r="AJ107" s="31" t="n">
        <v>1</v>
      </c>
      <c r="AK107" s="31" t="n">
        <v>30</v>
      </c>
    </row>
    <row r="108" customFormat="false" ht="12.75" hidden="false" customHeight="false" outlineLevel="0" collapsed="false">
      <c r="A108" s="368" t="n">
        <f aca="false">Calculations!A75</f>
        <v>39052</v>
      </c>
      <c r="B108" s="369" t="n">
        <f aca="false">IF(A108="N/A"," ",IF(ISERROR(L108),B96*Inputs!$F$19,L108))</f>
        <v>30.85</v>
      </c>
      <c r="C108" s="370" t="n">
        <f aca="false">IF(A108="N/A"," ",(IF(AND(MONTH(A108)&gt;=6,MONTH(A108)&lt;=8,OR($K$37="REGION 2",$K$37="REGION 2A",$K$37="REGION 2B",$K$37="REGION 3",$K$37="REGION 3A",$K$37="REGION 3B",$K$37="REGION 4",$K$37="REGION 4B",$K$37="REGION 4C",$K$37="REGION 5",$K$37="REGION 5A")),((0.059228/(B108/100))-(0.4980013/(SQRT(B108/100)))+2.137988),HLOOKUP(MONTH(A108),ScalarTable,28))))</f>
        <v>0.978519445147215</v>
      </c>
      <c r="D108" s="371" t="n">
        <f aca="false">IF(A108="N/A"," ",C108*B108)</f>
        <v>30.1873248827916</v>
      </c>
      <c r="E108" s="369" t="n">
        <f aca="false">IF(A108="N/A"," ",IF(ISERROR(M108),E96*Inputs!$F$19,M108))</f>
        <v>26.0549983978271</v>
      </c>
      <c r="F108" s="371" t="n">
        <f aca="false">IF(A108="N/A"," ",E108*C108)</f>
        <v>25.4953225755534</v>
      </c>
      <c r="G108" s="369" t="n">
        <f aca="false">IF(A108="N/A"," ",IF(ISERROR(N108),G96*Inputs!$F$19,N108))</f>
        <v>22.5499992370605</v>
      </c>
      <c r="H108" s="371" t="n">
        <f aca="false">IF(A108="N/A"," ",G108*C108)</f>
        <v>22.0656127415186</v>
      </c>
      <c r="I108" s="371" t="n">
        <f aca="false">IF(A108="N/A"," ",IF(ISERROR(O108),I96*Inputs!$F$19,O108))</f>
        <v>20.9999992370605</v>
      </c>
      <c r="J108" s="372" t="e">
        <f aca="false">IF(A108="N/A"," ",IF(ISERROR(P108),J96*Inputs!$F$23,P108))</f>
        <v>#N/A</v>
      </c>
      <c r="L108" s="374" t="n">
        <f aca="false">IF(A108="N/A"," ",VLOOKUP(A108,PeakPowerCurves,(IF('Pricing Inputs'!$AT$3=2,3,IF('Pricing Inputs'!$AT$3=1,2,4))),FALSE()))</f>
        <v>30.85</v>
      </c>
      <c r="M108" s="374" t="n">
        <f aca="false">IF(A108="N/A"," ",VLOOKUP(A108,SatSunPeakPwr,(IF('Pricing Inputs'!$AT$3=2,3,IF('Pricing Inputs'!$AT$3=1,2,4))),FALSE()))</f>
        <v>26.0549983978271</v>
      </c>
      <c r="N108" s="374" t="n">
        <f aca="false">IF(A108="N/A"," ",VLOOKUP(A108,SatSunPeakPwr,(IF('Pricing Inputs'!$AT$3=2,7,IF('Pricing Inputs'!$AT$3=1,6,8))),FALSE()))</f>
        <v>22.5499992370605</v>
      </c>
      <c r="O108" s="375" t="n">
        <f aca="false">IF(A108="N/A"," ",(VLOOKUP(A108,OPPowerPrices,(IF('Pricing Inputs'!$AT$3=2,7,IF('Pricing Inputs'!$AT$3=1,6,8))),FALSE())))</f>
        <v>20.9999992370605</v>
      </c>
      <c r="P108" s="376" t="e">
        <f aca="false">IF(A108="N/A"," ",(VLOOKUP(A108,GasCurves,15,FALSE())))</f>
        <v>#N/A</v>
      </c>
      <c r="AF108" s="341" t="n">
        <v>39722</v>
      </c>
      <c r="AG108" s="31" t="n">
        <v>23</v>
      </c>
      <c r="AH108" s="31" t="n">
        <v>4</v>
      </c>
      <c r="AI108" s="31" t="n">
        <v>4</v>
      </c>
      <c r="AJ108" s="31" t="n">
        <v>0</v>
      </c>
      <c r="AK108" s="31" t="n">
        <v>31</v>
      </c>
    </row>
    <row r="109" customFormat="false" ht="12.75" hidden="false" customHeight="false" outlineLevel="0" collapsed="false">
      <c r="A109" s="368" t="n">
        <f aca="false">Calculations!A76</f>
        <v>39083</v>
      </c>
      <c r="B109" s="369" t="n">
        <f aca="false">IF(A109="N/A"," ",IF(ISERROR(L109),B97*Inputs!$F$19,L109))</f>
        <v>36.95</v>
      </c>
      <c r="C109" s="370" t="n">
        <f aca="false">IF(A109="N/A"," ",(IF(AND(MONTH(A109)&gt;=6,MONTH(A109)&lt;=8,OR($K$37="REGION 2",$K$37="REGION 2A",$K$37="REGION 2B",$K$37="REGION 3",$K$37="REGION 3A",$K$37="REGION 3B",$K$37="REGION 4",$K$37="REGION 4B",$K$37="REGION 4C",$K$37="REGION 5",$K$37="REGION 5A")),((0.059228/(B109/100))-(0.4980013/(SQRT(B109/100)))+2.137988),HLOOKUP(MONTH(A109),ScalarTable,28))))</f>
        <v>0.969145769131439</v>
      </c>
      <c r="D109" s="371" t="n">
        <f aca="false">IF(A109="N/A"," ",C109*B109)</f>
        <v>35.8099361694067</v>
      </c>
      <c r="E109" s="369" t="n">
        <f aca="false">IF(A109="N/A"," ",IF(ISERROR(M109),E97*Inputs!$F$19,M109))</f>
        <v>29.4487483978271</v>
      </c>
      <c r="F109" s="371" t="n">
        <f aca="false">IF(A109="N/A"," ",E109*C109)</f>
        <v>28.5401299159704</v>
      </c>
      <c r="G109" s="369" t="n">
        <f aca="false">IF(A109="N/A"," ",IF(ISERROR(N109),G97*Inputs!$F$19,N109))</f>
        <v>27.9525001525879</v>
      </c>
      <c r="H109" s="371" t="n">
        <f aca="false">IF(A109="N/A"," ",G109*C109)</f>
        <v>27.0900472595265</v>
      </c>
      <c r="I109" s="371" t="n">
        <f aca="false">IF(A109="N/A"," ",IF(ISERROR(O109),I97*Inputs!$F$19,O109))</f>
        <v>20.7900009155273</v>
      </c>
      <c r="J109" s="372" t="e">
        <f aca="false">IF(A109="N/A"," ",IF(ISERROR(P109),J97*Inputs!$F$23,P109))</f>
        <v>#N/A</v>
      </c>
      <c r="L109" s="374" t="n">
        <f aca="false">IF(A109="N/A"," ",VLOOKUP(A109,PeakPowerCurves,(IF('Pricing Inputs'!$AT$3=2,3,IF('Pricing Inputs'!$AT$3=1,2,4))),FALSE()))</f>
        <v>36.95</v>
      </c>
      <c r="M109" s="374" t="n">
        <f aca="false">IF(A109="N/A"," ",VLOOKUP(A109,SatSunPeakPwr,(IF('Pricing Inputs'!$AT$3=2,3,IF('Pricing Inputs'!$AT$3=1,2,4))),FALSE()))</f>
        <v>29.4487483978271</v>
      </c>
      <c r="N109" s="374" t="n">
        <f aca="false">IF(A109="N/A"," ",VLOOKUP(A109,SatSunPeakPwr,(IF('Pricing Inputs'!$AT$3=2,7,IF('Pricing Inputs'!$AT$3=1,6,8))),FALSE()))</f>
        <v>27.9525001525879</v>
      </c>
      <c r="O109" s="375" t="n">
        <f aca="false">IF(A109="N/A"," ",(VLOOKUP(A109,OPPowerPrices,(IF('Pricing Inputs'!$AT$3=2,7,IF('Pricing Inputs'!$AT$3=1,6,8))),FALSE())))</f>
        <v>20.7900009155273</v>
      </c>
      <c r="P109" s="376" t="e">
        <f aca="false">IF(A109="N/A"," ",(VLOOKUP(A109,GasCurves,15,FALSE())))</f>
        <v>#N/A</v>
      </c>
      <c r="AF109" s="341" t="n">
        <v>39753</v>
      </c>
      <c r="AG109" s="31" t="n">
        <v>19</v>
      </c>
      <c r="AH109" s="31" t="n">
        <v>5</v>
      </c>
      <c r="AI109" s="31" t="n">
        <v>5</v>
      </c>
      <c r="AJ109" s="31" t="n">
        <v>1</v>
      </c>
      <c r="AK109" s="31" t="n">
        <v>30</v>
      </c>
    </row>
    <row r="110" customFormat="false" ht="12.75" hidden="false" customHeight="false" outlineLevel="0" collapsed="false">
      <c r="A110" s="368" t="n">
        <f aca="false">Calculations!A77</f>
        <v>39114</v>
      </c>
      <c r="B110" s="369" t="n">
        <f aca="false">IF(A110="N/A"," ",IF(ISERROR(L110),B98*Inputs!$F$19,L110))</f>
        <v>36.95</v>
      </c>
      <c r="C110" s="370" t="n">
        <f aca="false">IF(A110="N/A"," ",(IF(AND(MONTH(A110)&gt;=6,MONTH(A110)&lt;=8,OR($K$37="REGION 2",$K$37="REGION 2A",$K$37="REGION 2B",$K$37="REGION 3",$K$37="REGION 3A",$K$37="REGION 3B",$K$37="REGION 4",$K$37="REGION 4B",$K$37="REGION 4C",$K$37="REGION 5",$K$37="REGION 5A")),((0.059228/(B110/100))-(0.4980013/(SQRT(B110/100)))+2.137988),HLOOKUP(MONTH(A110),ScalarTable,28))))</f>
        <v>0.969145769131439</v>
      </c>
      <c r="D110" s="371" t="n">
        <f aca="false">IF(A110="N/A"," ",C110*B110)</f>
        <v>35.8099361694067</v>
      </c>
      <c r="E110" s="369" t="n">
        <f aca="false">IF(A110="N/A"," ",IF(ISERROR(M110),E98*Inputs!$F$19,M110))</f>
        <v>28.4462501525879</v>
      </c>
      <c r="F110" s="371" t="n">
        <f aca="false">IF(A110="N/A"," ",E110*C110)</f>
        <v>27.5685629830351</v>
      </c>
      <c r="G110" s="369" t="n">
        <f aca="false">IF(A110="N/A"," ",IF(ISERROR(N110),G98*Inputs!$F$19,N110))</f>
        <v>25.9474994659424</v>
      </c>
      <c r="H110" s="371" t="n">
        <f aca="false">IF(A110="N/A"," ",G110*C110)</f>
        <v>25.1469093269583</v>
      </c>
      <c r="I110" s="371" t="n">
        <f aca="false">IF(A110="N/A"," ",IF(ISERROR(O110),I98*Inputs!$F$19,O110))</f>
        <v>20.5999977111816</v>
      </c>
      <c r="J110" s="372" t="e">
        <f aca="false">IF(A110="N/A"," ",IF(ISERROR(P110),J98*Inputs!$F$23,P110))</f>
        <v>#N/A</v>
      </c>
      <c r="L110" s="374" t="n">
        <f aca="false">IF(A110="N/A"," ",VLOOKUP(A110,PeakPowerCurves,(IF('Pricing Inputs'!$AT$3=2,3,IF('Pricing Inputs'!$AT$3=1,2,4))),FALSE()))</f>
        <v>36.95</v>
      </c>
      <c r="M110" s="374" t="n">
        <f aca="false">IF(A110="N/A"," ",VLOOKUP(A110,SatSunPeakPwr,(IF('Pricing Inputs'!$AT$3=2,3,IF('Pricing Inputs'!$AT$3=1,2,4))),FALSE()))</f>
        <v>28.4462501525879</v>
      </c>
      <c r="N110" s="374" t="n">
        <f aca="false">IF(A110="N/A"," ",VLOOKUP(A110,SatSunPeakPwr,(IF('Pricing Inputs'!$AT$3=2,7,IF('Pricing Inputs'!$AT$3=1,6,8))),FALSE()))</f>
        <v>25.9474994659424</v>
      </c>
      <c r="O110" s="375" t="n">
        <f aca="false">IF(A110="N/A"," ",(VLOOKUP(A110,OPPowerPrices,(IF('Pricing Inputs'!$AT$3=2,7,IF('Pricing Inputs'!$AT$3=1,6,8))),FALSE())))</f>
        <v>20.5999977111816</v>
      </c>
      <c r="P110" s="376" t="e">
        <f aca="false">IF(A110="N/A"," ",(VLOOKUP(A110,GasCurves,15,FALSE())))</f>
        <v>#N/A</v>
      </c>
      <c r="AF110" s="341" t="n">
        <v>39783</v>
      </c>
      <c r="AG110" s="31" t="n">
        <v>22</v>
      </c>
      <c r="AH110" s="31" t="n">
        <v>4</v>
      </c>
      <c r="AI110" s="31" t="n">
        <v>4</v>
      </c>
      <c r="AJ110" s="31" t="n">
        <v>1</v>
      </c>
      <c r="AK110" s="31" t="n">
        <v>31</v>
      </c>
    </row>
    <row r="111" customFormat="false" ht="12.75" hidden="false" customHeight="false" outlineLevel="0" collapsed="false">
      <c r="A111" s="368" t="n">
        <f aca="false">Calculations!A78</f>
        <v>39142</v>
      </c>
      <c r="B111" s="369" t="n">
        <f aca="false">IF(A111="N/A"," ",IF(ISERROR(L111),B99*Inputs!$F$19,L111))</f>
        <v>33.2</v>
      </c>
      <c r="C111" s="370" t="n">
        <f aca="false">IF(A111="N/A"," ",(IF(AND(MONTH(A111)&gt;=6,MONTH(A111)&lt;=8,OR($K$37="REGION 2",$K$37="REGION 2A",$K$37="REGION 2B",$K$37="REGION 3",$K$37="REGION 3A",$K$37="REGION 3B",$K$37="REGION 4",$K$37="REGION 4B",$K$37="REGION 4C",$K$37="REGION 5",$K$37="REGION 5A")),((0.059228/(B111/100))-(0.4980013/(SQRT(B111/100)))+2.137988),HLOOKUP(MONTH(A111),ScalarTable,28))))</f>
        <v>0.97165</v>
      </c>
      <c r="D111" s="371" t="n">
        <f aca="false">IF(A111="N/A"," ",C111*B111)</f>
        <v>32.25878</v>
      </c>
      <c r="E111" s="369" t="n">
        <f aca="false">IF(A111="N/A"," ",IF(ISERROR(M111),E99*Inputs!$F$19,M111))</f>
        <v>21.6347496032715</v>
      </c>
      <c r="F111" s="371" t="n">
        <f aca="false">IF(A111="N/A"," ",E111*C111)</f>
        <v>21.0214044520187</v>
      </c>
      <c r="G111" s="369" t="n">
        <f aca="false">IF(A111="N/A"," ",IF(ISERROR(N111),G99*Inputs!$F$19,N111))</f>
        <v>21.2644989013672</v>
      </c>
      <c r="H111" s="371" t="n">
        <f aca="false">IF(A111="N/A"," ",G111*C111)</f>
        <v>20.6616503575134</v>
      </c>
      <c r="I111" s="371" t="n">
        <f aca="false">IF(A111="N/A"," ",IF(ISERROR(O111),I99*Inputs!$F$19,O111))</f>
        <v>19.5999996185303</v>
      </c>
      <c r="J111" s="372" t="e">
        <f aca="false">IF(A111="N/A"," ",IF(ISERROR(P111),J99*Inputs!$F$23,P111))</f>
        <v>#N/A</v>
      </c>
      <c r="L111" s="374" t="n">
        <f aca="false">IF(A111="N/A"," ",VLOOKUP(A111,PeakPowerCurves,(IF('Pricing Inputs'!$AT$3=2,3,IF('Pricing Inputs'!$AT$3=1,2,4))),FALSE()))</f>
        <v>33.2</v>
      </c>
      <c r="M111" s="374" t="n">
        <f aca="false">IF(A111="N/A"," ",VLOOKUP(A111,SatSunPeakPwr,(IF('Pricing Inputs'!$AT$3=2,3,IF('Pricing Inputs'!$AT$3=1,2,4))),FALSE()))</f>
        <v>21.6347496032715</v>
      </c>
      <c r="N111" s="374" t="n">
        <f aca="false">IF(A111="N/A"," ",VLOOKUP(A111,SatSunPeakPwr,(IF('Pricing Inputs'!$AT$3=2,7,IF('Pricing Inputs'!$AT$3=1,6,8))),FALSE()))</f>
        <v>21.2644989013672</v>
      </c>
      <c r="O111" s="375" t="n">
        <f aca="false">IF(A111="N/A"," ",(VLOOKUP(A111,OPPowerPrices,(IF('Pricing Inputs'!$AT$3=2,7,IF('Pricing Inputs'!$AT$3=1,6,8))),FALSE())))</f>
        <v>19.5999996185303</v>
      </c>
      <c r="P111" s="376" t="e">
        <f aca="false">IF(A111="N/A"," ",(VLOOKUP(A111,GasCurves,15,FALSE())))</f>
        <v>#N/A</v>
      </c>
      <c r="AF111" s="341" t="n">
        <v>39814</v>
      </c>
      <c r="AG111" s="31" t="n">
        <v>21</v>
      </c>
      <c r="AH111" s="31" t="n">
        <v>5</v>
      </c>
      <c r="AI111" s="31" t="n">
        <v>4</v>
      </c>
      <c r="AJ111" s="31" t="n">
        <v>1</v>
      </c>
      <c r="AK111" s="31" t="n">
        <v>31</v>
      </c>
    </row>
    <row r="112" customFormat="false" ht="12.75" hidden="false" customHeight="false" outlineLevel="0" collapsed="false">
      <c r="A112" s="368" t="n">
        <f aca="false">Calculations!A79</f>
        <v>39173</v>
      </c>
      <c r="B112" s="369" t="n">
        <f aca="false">IF(A112="N/A"," ",IF(ISERROR(L112),B100*Inputs!$F$19,L112))</f>
        <v>31.95</v>
      </c>
      <c r="C112" s="370" t="n">
        <f aca="false">IF(A112="N/A"," ",(IF(AND(MONTH(A112)&gt;=6,MONTH(A112)&lt;=8,OR($K$37="REGION 2",$K$37="REGION 2A",$K$37="REGION 2B",$K$37="REGION 3",$K$37="REGION 3A",$K$37="REGION 3B",$K$37="REGION 4",$K$37="REGION 4B",$K$37="REGION 4C",$K$37="REGION 5",$K$37="REGION 5A")),((0.059228/(B112/100))-(0.4980013/(SQRT(B112/100)))+2.137988),HLOOKUP(MONTH(A112),ScalarTable,28))))</f>
        <v>0.924989009949893</v>
      </c>
      <c r="D112" s="371" t="n">
        <f aca="false">IF(A112="N/A"," ",C112*B112)</f>
        <v>29.5533988678991</v>
      </c>
      <c r="E112" s="369" t="n">
        <f aca="false">IF(A112="N/A"," ",IF(ISERROR(M112),E100*Inputs!$F$19,M112))</f>
        <v>22.3175003051758</v>
      </c>
      <c r="F112" s="371" t="n">
        <f aca="false">IF(A112="N/A"," ",E112*C112)</f>
        <v>20.643442511841</v>
      </c>
      <c r="G112" s="369" t="n">
        <f aca="false">IF(A112="N/A"," ",IF(ISERROR(N112),G100*Inputs!$F$19,N112))</f>
        <v>21.0349990844727</v>
      </c>
      <c r="H112" s="371" t="n">
        <f aca="false">IF(A112="N/A"," ",G112*C112)</f>
        <v>19.4571429774433</v>
      </c>
      <c r="I112" s="371" t="n">
        <f aca="false">IF(A112="N/A"," ",IF(ISERROR(O112),I100*Inputs!$F$19,O112))</f>
        <v>19.5999977111816</v>
      </c>
      <c r="J112" s="372" t="e">
        <f aca="false">IF(A112="N/A"," ",IF(ISERROR(P112),J100*Inputs!$F$23,P112))</f>
        <v>#N/A</v>
      </c>
      <c r="L112" s="374" t="n">
        <f aca="false">IF(A112="N/A"," ",VLOOKUP(A112,PeakPowerCurves,(IF('Pricing Inputs'!$AT$3=2,3,IF('Pricing Inputs'!$AT$3=1,2,4))),FALSE()))</f>
        <v>31.95</v>
      </c>
      <c r="M112" s="374" t="n">
        <f aca="false">IF(A112="N/A"," ",VLOOKUP(A112,SatSunPeakPwr,(IF('Pricing Inputs'!$AT$3=2,3,IF('Pricing Inputs'!$AT$3=1,2,4))),FALSE()))</f>
        <v>22.3175003051758</v>
      </c>
      <c r="N112" s="374" t="n">
        <f aca="false">IF(A112="N/A"," ",VLOOKUP(A112,SatSunPeakPwr,(IF('Pricing Inputs'!$AT$3=2,7,IF('Pricing Inputs'!$AT$3=1,6,8))),FALSE()))</f>
        <v>21.0349990844727</v>
      </c>
      <c r="O112" s="375" t="n">
        <f aca="false">IF(A112="N/A"," ",(VLOOKUP(A112,OPPowerPrices,(IF('Pricing Inputs'!$AT$3=2,7,IF('Pricing Inputs'!$AT$3=1,6,8))),FALSE())))</f>
        <v>19.5999977111816</v>
      </c>
      <c r="P112" s="376" t="e">
        <f aca="false">IF(A112="N/A"," ",(VLOOKUP(A112,GasCurves,15,FALSE())))</f>
        <v>#N/A</v>
      </c>
      <c r="AF112" s="341" t="n">
        <v>39845</v>
      </c>
      <c r="AG112" s="31" t="n">
        <v>20</v>
      </c>
      <c r="AH112" s="31" t="n">
        <v>4</v>
      </c>
      <c r="AI112" s="31" t="n">
        <v>4</v>
      </c>
      <c r="AJ112" s="31" t="n">
        <v>0</v>
      </c>
      <c r="AK112" s="31" t="n">
        <v>28</v>
      </c>
    </row>
    <row r="113" customFormat="false" ht="12.75" hidden="false" customHeight="false" outlineLevel="0" collapsed="false">
      <c r="A113" s="368" t="n">
        <f aca="false">Calculations!A80</f>
        <v>39203</v>
      </c>
      <c r="B113" s="369" t="n">
        <f aca="false">IF(A113="N/A"," ",IF(ISERROR(L113),B101*Inputs!$F$19,L113))</f>
        <v>33.95</v>
      </c>
      <c r="C113" s="370" t="n">
        <f aca="false">IF(A113="N/A"," ",(IF(AND(MONTH(A113)&gt;=6,MONTH(A113)&lt;=8,OR($K$37="REGION 2",$K$37="REGION 2A",$K$37="REGION 2B",$K$37="REGION 3",$K$37="REGION 3A",$K$37="REGION 3B",$K$37="REGION 4",$K$37="REGION 4B",$K$37="REGION 4C",$K$37="REGION 5",$K$37="REGION 5A")),((0.059228/(B113/100))-(0.4980013/(SQRT(B113/100)))+2.137988),HLOOKUP(MONTH(A113),ScalarTable,28))))</f>
        <v>0.972355461918447</v>
      </c>
      <c r="D113" s="371" t="n">
        <f aca="false">IF(A113="N/A"," ",C113*B113)</f>
        <v>33.0114679321313</v>
      </c>
      <c r="E113" s="369" t="n">
        <f aca="false">IF(A113="N/A"," ",IF(ISERROR(M113),E101*Inputs!$F$19,M113))</f>
        <v>22.4325000762939</v>
      </c>
      <c r="F113" s="371" t="n">
        <f aca="false">IF(A113="N/A"," ",E113*C113)</f>
        <v>21.8123639736704</v>
      </c>
      <c r="G113" s="369" t="n">
        <f aca="false">IF(A113="N/A"," ",IF(ISERROR(N113),G101*Inputs!$F$19,N113))</f>
        <v>21.5649997711182</v>
      </c>
      <c r="H113" s="371" t="n">
        <f aca="false">IF(A113="N/A"," ",G113*C113)</f>
        <v>20.9688453137168</v>
      </c>
      <c r="I113" s="371" t="n">
        <f aca="false">IF(A113="N/A"," ",IF(ISERROR(O113),I101*Inputs!$F$19,O113))</f>
        <v>19.5999977111816</v>
      </c>
      <c r="J113" s="372" t="e">
        <f aca="false">IF(A113="N/A"," ",IF(ISERROR(P113),J101*Inputs!$F$23,P113))</f>
        <v>#N/A</v>
      </c>
      <c r="L113" s="374" t="n">
        <f aca="false">IF(A113="N/A"," ",VLOOKUP(A113,PeakPowerCurves,(IF('Pricing Inputs'!$AT$3=2,3,IF('Pricing Inputs'!$AT$3=1,2,4))),FALSE()))</f>
        <v>33.95</v>
      </c>
      <c r="M113" s="374" t="n">
        <f aca="false">IF(A113="N/A"," ",VLOOKUP(A113,SatSunPeakPwr,(IF('Pricing Inputs'!$AT$3=2,3,IF('Pricing Inputs'!$AT$3=1,2,4))),FALSE()))</f>
        <v>22.4325000762939</v>
      </c>
      <c r="N113" s="374" t="n">
        <f aca="false">IF(A113="N/A"," ",VLOOKUP(A113,SatSunPeakPwr,(IF('Pricing Inputs'!$AT$3=2,7,IF('Pricing Inputs'!$AT$3=1,6,8))),FALSE()))</f>
        <v>21.5649997711182</v>
      </c>
      <c r="O113" s="375" t="n">
        <f aca="false">IF(A113="N/A"," ",(VLOOKUP(A113,OPPowerPrices,(IF('Pricing Inputs'!$AT$3=2,7,IF('Pricing Inputs'!$AT$3=1,6,8))),FALSE())))</f>
        <v>19.5999977111816</v>
      </c>
      <c r="P113" s="376" t="e">
        <f aca="false">IF(A113="N/A"," ",(VLOOKUP(A113,GasCurves,15,FALSE())))</f>
        <v>#N/A</v>
      </c>
      <c r="AF113" s="341" t="n">
        <v>39873</v>
      </c>
      <c r="AG113" s="31" t="n">
        <v>22</v>
      </c>
      <c r="AH113" s="31" t="n">
        <v>4</v>
      </c>
      <c r="AI113" s="31" t="n">
        <v>5</v>
      </c>
      <c r="AJ113" s="31" t="n">
        <v>0</v>
      </c>
      <c r="AK113" s="31" t="n">
        <v>31</v>
      </c>
    </row>
    <row r="114" customFormat="false" ht="12.75" hidden="false" customHeight="false" outlineLevel="0" collapsed="false">
      <c r="A114" s="368" t="n">
        <f aca="false">Calculations!A81</f>
        <v>39234</v>
      </c>
      <c r="B114" s="369" t="n">
        <f aca="false">IF(A114="N/A"," ",IF(ISERROR(L114),B102*Inputs!$F$19,L114))</f>
        <v>49.5</v>
      </c>
      <c r="C114" s="370" t="n">
        <f aca="false">IF(A114="N/A"," ",(IF(AND(MONTH(A114)&gt;=6,MONTH(A114)&lt;=8,OR($K$37="REGION 2",$K$37="REGION 2A",$K$37="REGION 2B",$K$37="REGION 3",$K$37="REGION 3A",$K$37="REGION 3B",$K$37="REGION 4",$K$37="REGION 4B",$K$37="REGION 4C",$K$37="REGION 5",$K$37="REGION 5A")),((0.059228/(B114/100))-(0.4980013/(SQRT(B114/100)))+2.137988),HLOOKUP(MONTH(A114),ScalarTable,28))))</f>
        <v>1.14029274839576</v>
      </c>
      <c r="D114" s="371" t="n">
        <f aca="false">IF(A114="N/A"," ",C114*B114)</f>
        <v>56.4444910455899</v>
      </c>
      <c r="E114" s="369" t="n">
        <f aca="false">IF(A114="N/A"," ",IF(ISERROR(M114),E102*Inputs!$F$19,M114))</f>
        <v>26.8587501525879</v>
      </c>
      <c r="F114" s="371" t="n">
        <f aca="false">IF(A114="N/A"," ",E114*C114)</f>
        <v>30.6268380299694</v>
      </c>
      <c r="G114" s="369" t="n">
        <f aca="false">IF(A114="N/A"," ",IF(ISERROR(N114),G102*Inputs!$F$19,N114))</f>
        <v>20.3424995422363</v>
      </c>
      <c r="H114" s="371" t="n">
        <f aca="false">IF(A114="N/A"," ",G114*C114)</f>
        <v>23.1964047122561</v>
      </c>
      <c r="I114" s="371" t="n">
        <f aca="false">IF(A114="N/A"," ",IF(ISERROR(O114),I102*Inputs!$F$19,O114))</f>
        <v>19.5549987792969</v>
      </c>
      <c r="J114" s="372" t="e">
        <f aca="false">IF(A114="N/A"," ",IF(ISERROR(P114),J102*Inputs!$F$23,P114))</f>
        <v>#N/A</v>
      </c>
      <c r="L114" s="374" t="n">
        <f aca="false">IF(A114="N/A"," ",VLOOKUP(A114,PeakPowerCurves,(IF('Pricing Inputs'!$AT$3=2,3,IF('Pricing Inputs'!$AT$3=1,2,4))),FALSE()))</f>
        <v>49.5</v>
      </c>
      <c r="M114" s="374" t="n">
        <f aca="false">IF(A114="N/A"," ",VLOOKUP(A114,SatSunPeakPwr,(IF('Pricing Inputs'!$AT$3=2,3,IF('Pricing Inputs'!$AT$3=1,2,4))),FALSE()))</f>
        <v>26.8587501525879</v>
      </c>
      <c r="N114" s="374" t="n">
        <f aca="false">IF(A114="N/A"," ",VLOOKUP(A114,SatSunPeakPwr,(IF('Pricing Inputs'!$AT$3=2,7,IF('Pricing Inputs'!$AT$3=1,6,8))),FALSE()))</f>
        <v>20.3424995422363</v>
      </c>
      <c r="O114" s="375" t="n">
        <f aca="false">IF(A114="N/A"," ",(VLOOKUP(A114,OPPowerPrices,(IF('Pricing Inputs'!$AT$3=2,7,IF('Pricing Inputs'!$AT$3=1,6,8))),FALSE())))</f>
        <v>19.5549987792969</v>
      </c>
      <c r="P114" s="376" t="e">
        <f aca="false">IF(A114="N/A"," ",(VLOOKUP(A114,GasCurves,15,FALSE())))</f>
        <v>#N/A</v>
      </c>
      <c r="AF114" s="341" t="n">
        <v>39904</v>
      </c>
      <c r="AG114" s="31" t="n">
        <v>22</v>
      </c>
      <c r="AH114" s="31" t="n">
        <v>4</v>
      </c>
      <c r="AI114" s="31" t="n">
        <v>4</v>
      </c>
      <c r="AJ114" s="31" t="n">
        <v>0</v>
      </c>
      <c r="AK114" s="31" t="n">
        <v>30</v>
      </c>
    </row>
    <row r="115" customFormat="false" ht="12.75" hidden="false" customHeight="false" outlineLevel="0" collapsed="false">
      <c r="A115" s="368" t="n">
        <f aca="false">Calculations!A82</f>
        <v>39264</v>
      </c>
      <c r="B115" s="369" t="n">
        <f aca="false">IF(A115="N/A"," ",IF(ISERROR(L115),B103*Inputs!$F$19,L115))</f>
        <v>71</v>
      </c>
      <c r="C115" s="370" t="n">
        <f aca="false">IF(A115="N/A"," ",(IF(AND(MONTH(A115)&gt;=6,MONTH(A115)&lt;=8,OR($K$37="REGION 2",$K$37="REGION 2A",$K$37="REGION 2B",$K$37="REGION 3",$K$37="REGION 3A",$K$37="REGION 3B",$K$37="REGION 4",$K$37="REGION 4B",$K$37="REGION 4C",$K$37="REGION 5",$K$37="REGION 5A")),((0.059228/(B115/100))-(0.4980013/(SQRT(B115/100)))+2.137988),HLOOKUP(MONTH(A115),ScalarTable,28))))</f>
        <v>1.19166491456367</v>
      </c>
      <c r="D115" s="371" t="n">
        <f aca="false">IF(A115="N/A"," ",C115*B115)</f>
        <v>84.6082089340205</v>
      </c>
      <c r="E115" s="369" t="n">
        <f aca="false">IF(A115="N/A"," ",IF(ISERROR(M115),E103*Inputs!$F$19,M115))</f>
        <v>40.0612495422363</v>
      </c>
      <c r="F115" s="371" t="n">
        <f aca="false">IF(A115="N/A"," ",E115*C115)</f>
        <v>47.7395855130629</v>
      </c>
      <c r="G115" s="369" t="n">
        <f aca="false">IF(A115="N/A"," ",IF(ISERROR(N115),G103*Inputs!$F$19,N115))</f>
        <v>29.5474994659424</v>
      </c>
      <c r="H115" s="371" t="n">
        <f aca="false">IF(A115="N/A"," ",G115*C115)</f>
        <v>35.2107184266523</v>
      </c>
      <c r="I115" s="371" t="n">
        <f aca="false">IF(A115="N/A"," ",IF(ISERROR(O115),I103*Inputs!$F$19,O115))</f>
        <v>24.0499977111816</v>
      </c>
      <c r="J115" s="372" t="e">
        <f aca="false">IF(A115="N/A"," ",IF(ISERROR(P115),J103*Inputs!$F$23,P115))</f>
        <v>#N/A</v>
      </c>
      <c r="L115" s="374" t="n">
        <f aca="false">IF(A115="N/A"," ",VLOOKUP(A115,PeakPowerCurves,(IF('Pricing Inputs'!$AT$3=2,3,IF('Pricing Inputs'!$AT$3=1,2,4))),FALSE()))</f>
        <v>71</v>
      </c>
      <c r="M115" s="374" t="n">
        <f aca="false">IF(A115="N/A"," ",VLOOKUP(A115,SatSunPeakPwr,(IF('Pricing Inputs'!$AT$3=2,3,IF('Pricing Inputs'!$AT$3=1,2,4))),FALSE()))</f>
        <v>40.0612495422363</v>
      </c>
      <c r="N115" s="374" t="n">
        <f aca="false">IF(A115="N/A"," ",VLOOKUP(A115,SatSunPeakPwr,(IF('Pricing Inputs'!$AT$3=2,7,IF('Pricing Inputs'!$AT$3=1,6,8))),FALSE()))</f>
        <v>29.5474994659424</v>
      </c>
      <c r="O115" s="375" t="n">
        <f aca="false">IF(A115="N/A"," ",(VLOOKUP(A115,OPPowerPrices,(IF('Pricing Inputs'!$AT$3=2,7,IF('Pricing Inputs'!$AT$3=1,6,8))),FALSE())))</f>
        <v>24.0499977111816</v>
      </c>
      <c r="P115" s="376" t="e">
        <f aca="false">IF(A115="N/A"," ",(VLOOKUP(A115,GasCurves,15,FALSE())))</f>
        <v>#N/A</v>
      </c>
      <c r="AF115" s="341" t="n">
        <v>39934</v>
      </c>
      <c r="AG115" s="31" t="n">
        <v>20</v>
      </c>
      <c r="AH115" s="31" t="n">
        <v>5</v>
      </c>
      <c r="AI115" s="31" t="n">
        <v>5</v>
      </c>
      <c r="AJ115" s="31" t="n">
        <v>1</v>
      </c>
      <c r="AK115" s="31" t="n">
        <v>31</v>
      </c>
    </row>
    <row r="116" customFormat="false" ht="12.75" hidden="false" customHeight="false" outlineLevel="0" collapsed="false">
      <c r="A116" s="368" t="n">
        <f aca="false">Calculations!A83</f>
        <v>39295</v>
      </c>
      <c r="B116" s="369" t="n">
        <f aca="false">IF(A116="N/A"," ",IF(ISERROR(L116),B104*Inputs!$F$19,L116))</f>
        <v>66.5</v>
      </c>
      <c r="C116" s="370" t="n">
        <f aca="false">IF(A116="N/A"," ",(IF(AND(MONTH(A116)&gt;=6,MONTH(A116)&lt;=8,OR($K$37="REGION 2",$K$37="REGION 2A",$K$37="REGION 2B",$K$37="REGION 3",$K$37="REGION 3A",$K$37="REGION 3B",$K$37="REGION 4",$K$37="REGION 4B",$K$37="REGION 4C",$K$37="REGION 5",$K$37="REGION 5A")),((0.059228/(B116/100))-(0.4980013/(SQRT(B116/100)))+2.137988),HLOOKUP(MONTH(A116),ScalarTable,28))))</f>
        <v>1.1089289483683</v>
      </c>
      <c r="D116" s="371" t="n">
        <f aca="false">IF(A116="N/A"," ",C116*B116)</f>
        <v>73.7437750664922</v>
      </c>
      <c r="E116" s="369" t="n">
        <f aca="false">IF(A116="N/A"," ",IF(ISERROR(M116),E104*Inputs!$F$19,M116))</f>
        <v>42.3224990844727</v>
      </c>
      <c r="F116" s="371" t="n">
        <f aca="false">IF(A116="N/A"," ",E116*C116)</f>
        <v>46.9326444020628</v>
      </c>
      <c r="G116" s="369" t="n">
        <f aca="false">IF(A116="N/A"," ",IF(ISERROR(N116),G104*Inputs!$F$19,N116))</f>
        <v>31.0450008392334</v>
      </c>
      <c r="H116" s="371" t="n">
        <f aca="false">IF(A116="N/A"," ",G116*C116)</f>
        <v>34.4267001327442</v>
      </c>
      <c r="I116" s="371" t="n">
        <f aca="false">IF(A116="N/A"," ",IF(ISERROR(O116),I104*Inputs!$F$19,O116))</f>
        <v>24.3999980926514</v>
      </c>
      <c r="J116" s="372" t="e">
        <f aca="false">IF(A116="N/A"," ",IF(ISERROR(P116),J104*Inputs!$F$23,P116))</f>
        <v>#N/A</v>
      </c>
      <c r="L116" s="374" t="n">
        <f aca="false">IF(A116="N/A"," ",VLOOKUP(A116,PeakPowerCurves,(IF('Pricing Inputs'!$AT$3=2,3,IF('Pricing Inputs'!$AT$3=1,2,4))),FALSE()))</f>
        <v>66.5</v>
      </c>
      <c r="M116" s="374" t="n">
        <f aca="false">IF(A116="N/A"," ",VLOOKUP(A116,SatSunPeakPwr,(IF('Pricing Inputs'!$AT$3=2,3,IF('Pricing Inputs'!$AT$3=1,2,4))),FALSE()))</f>
        <v>42.3224990844727</v>
      </c>
      <c r="N116" s="374" t="n">
        <f aca="false">IF(A116="N/A"," ",VLOOKUP(A116,SatSunPeakPwr,(IF('Pricing Inputs'!$AT$3=2,7,IF('Pricing Inputs'!$AT$3=1,6,8))),FALSE()))</f>
        <v>31.0450008392334</v>
      </c>
      <c r="O116" s="375" t="n">
        <f aca="false">IF(A116="N/A"," ",(VLOOKUP(A116,OPPowerPrices,(IF('Pricing Inputs'!$AT$3=2,7,IF('Pricing Inputs'!$AT$3=1,6,8))),FALSE())))</f>
        <v>24.3999980926514</v>
      </c>
      <c r="P116" s="376" t="e">
        <f aca="false">IF(A116="N/A"," ",(VLOOKUP(A116,GasCurves,15,FALSE())))</f>
        <v>#N/A</v>
      </c>
      <c r="AF116" s="341" t="n">
        <v>39965</v>
      </c>
      <c r="AG116" s="31" t="n">
        <v>22</v>
      </c>
      <c r="AH116" s="31" t="n">
        <v>4</v>
      </c>
      <c r="AI116" s="31" t="n">
        <v>4</v>
      </c>
      <c r="AJ116" s="31" t="n">
        <v>0</v>
      </c>
      <c r="AK116" s="31" t="n">
        <v>30</v>
      </c>
    </row>
    <row r="117" customFormat="false" ht="12.75" hidden="false" customHeight="false" outlineLevel="0" collapsed="false">
      <c r="A117" s="368" t="n">
        <f aca="false">Calculations!A84</f>
        <v>39326</v>
      </c>
      <c r="B117" s="369" t="n">
        <f aca="false">IF(A117="N/A"," ",IF(ISERROR(L117),B105*Inputs!$F$19,L117))</f>
        <v>32.95</v>
      </c>
      <c r="C117" s="370" t="n">
        <f aca="false">IF(A117="N/A"," ",(IF(AND(MONTH(A117)&gt;=6,MONTH(A117)&lt;=8,OR($K$37="REGION 2",$K$37="REGION 2A",$K$37="REGION 2B",$K$37="REGION 3",$K$37="REGION 3A",$K$37="REGION 3B",$K$37="REGION 4",$K$37="REGION 4B",$K$37="REGION 4C",$K$37="REGION 5",$K$37="REGION 5A")),((0.059228/(B117/100))-(0.4980013/(SQRT(B117/100)))+2.137988),HLOOKUP(MONTH(A117),ScalarTable,28))))</f>
        <v>1.09653379232051</v>
      </c>
      <c r="D117" s="371" t="n">
        <f aca="false">IF(A117="N/A"," ",C117*B117)</f>
        <v>36.1307884569608</v>
      </c>
      <c r="E117" s="369" t="n">
        <f aca="false">IF(A117="N/A"," ",IF(ISERROR(M117),E105*Inputs!$F$19,M117))</f>
        <v>23.7049991607666</v>
      </c>
      <c r="F117" s="371" t="n">
        <f aca="false">IF(A117="N/A"," ",E117*C117)</f>
        <v>25.9933326267099</v>
      </c>
      <c r="G117" s="369" t="n">
        <f aca="false">IF(A117="N/A"," ",IF(ISERROR(N117),G105*Inputs!$F$19,N117))</f>
        <v>24.2</v>
      </c>
      <c r="H117" s="371" t="n">
        <f aca="false">IF(A117="N/A"," ",G117*C117)</f>
        <v>26.5361177741564</v>
      </c>
      <c r="I117" s="371" t="n">
        <f aca="false">IF(A117="N/A"," ",IF(ISERROR(O117),I105*Inputs!$F$19,O117))</f>
        <v>19.9499980926514</v>
      </c>
      <c r="J117" s="372" t="e">
        <f aca="false">IF(A117="N/A"," ",IF(ISERROR(P117),J105*Inputs!$F$23,P117))</f>
        <v>#N/A</v>
      </c>
      <c r="L117" s="374" t="n">
        <f aca="false">IF(A117="N/A"," ",VLOOKUP(A117,PeakPowerCurves,(IF('Pricing Inputs'!$AT$3=2,3,IF('Pricing Inputs'!$AT$3=1,2,4))),FALSE()))</f>
        <v>32.95</v>
      </c>
      <c r="M117" s="374" t="n">
        <f aca="false">IF(A117="N/A"," ",VLOOKUP(A117,SatSunPeakPwr,(IF('Pricing Inputs'!$AT$3=2,3,IF('Pricing Inputs'!$AT$3=1,2,4))),FALSE()))</f>
        <v>23.7049991607666</v>
      </c>
      <c r="N117" s="374" t="n">
        <f aca="false">IF(A117="N/A"," ",VLOOKUP(A117,SatSunPeakPwr,(IF('Pricing Inputs'!$AT$3=2,7,IF('Pricing Inputs'!$AT$3=1,6,8))),FALSE()))</f>
        <v>24.2</v>
      </c>
      <c r="O117" s="375" t="n">
        <f aca="false">IF(A117="N/A"," ",(VLOOKUP(A117,OPPowerPrices,(IF('Pricing Inputs'!$AT$3=2,7,IF('Pricing Inputs'!$AT$3=1,6,8))),FALSE())))</f>
        <v>19.9499980926514</v>
      </c>
      <c r="P117" s="376" t="e">
        <f aca="false">IF(A117="N/A"," ",(VLOOKUP(A117,GasCurves,15,FALSE())))</f>
        <v>#N/A</v>
      </c>
      <c r="AF117" s="341" t="n">
        <v>39995</v>
      </c>
      <c r="AG117" s="31" t="n">
        <v>23</v>
      </c>
      <c r="AH117" s="31" t="n">
        <v>3</v>
      </c>
      <c r="AI117" s="31" t="n">
        <v>4</v>
      </c>
      <c r="AJ117" s="31" t="n">
        <v>1</v>
      </c>
      <c r="AK117" s="31" t="n">
        <v>31</v>
      </c>
    </row>
    <row r="118" customFormat="false" ht="12.75" hidden="false" customHeight="false" outlineLevel="0" collapsed="false">
      <c r="A118" s="368" t="n">
        <f aca="false">Calculations!A85</f>
        <v>39356</v>
      </c>
      <c r="B118" s="369" t="n">
        <f aca="false">IF(A118="N/A"," ",IF(ISERROR(L118),B106*Inputs!$F$19,L118))</f>
        <v>30.7</v>
      </c>
      <c r="C118" s="370" t="n">
        <f aca="false">IF(A118="N/A"," ",(IF(AND(MONTH(A118)&gt;=6,MONTH(A118)&lt;=8,OR($K$37="REGION 2",$K$37="REGION 2A",$K$37="REGION 2B",$K$37="REGION 3",$K$37="REGION 3A",$K$37="REGION 3B",$K$37="REGION 4",$K$37="REGION 4B",$K$37="REGION 4C",$K$37="REGION 5",$K$37="REGION 5A")),((0.059228/(B118/100))-(0.4980013/(SQRT(B118/100)))+2.137988),HLOOKUP(MONTH(A118),ScalarTable,28))))</f>
        <v>0.986925</v>
      </c>
      <c r="D118" s="371" t="n">
        <f aca="false">IF(A118="N/A"," ",C118*B118)</f>
        <v>30.2985975</v>
      </c>
      <c r="E118" s="369" t="n">
        <f aca="false">IF(A118="N/A"," ",IF(ISERROR(M118),E106*Inputs!$F$19,M118))</f>
        <v>23.8005001068115</v>
      </c>
      <c r="F118" s="371" t="n">
        <f aca="false">IF(A118="N/A"," ",E118*C118)</f>
        <v>23.489308567915</v>
      </c>
      <c r="G118" s="369" t="n">
        <f aca="false">IF(A118="N/A"," ",IF(ISERROR(N118),G106*Inputs!$F$19,N118))</f>
        <v>21.8009998321533</v>
      </c>
      <c r="H118" s="371" t="n">
        <f aca="false">IF(A118="N/A"," ",G118*C118)</f>
        <v>21.5159517593479</v>
      </c>
      <c r="I118" s="371" t="n">
        <f aca="false">IF(A118="N/A"," ",IF(ISERROR(O118),I106*Inputs!$F$19,O118))</f>
        <v>19.6499988555908</v>
      </c>
      <c r="J118" s="372" t="e">
        <f aca="false">IF(A118="N/A"," ",IF(ISERROR(P118),J106*Inputs!$F$23,P118))</f>
        <v>#N/A</v>
      </c>
      <c r="L118" s="374" t="n">
        <f aca="false">IF(A118="N/A"," ",VLOOKUP(A118,PeakPowerCurves,(IF('Pricing Inputs'!$AT$3=2,3,IF('Pricing Inputs'!$AT$3=1,2,4))),FALSE()))</f>
        <v>30.7</v>
      </c>
      <c r="M118" s="374" t="n">
        <f aca="false">IF(A118="N/A"," ",VLOOKUP(A118,SatSunPeakPwr,(IF('Pricing Inputs'!$AT$3=2,3,IF('Pricing Inputs'!$AT$3=1,2,4))),FALSE()))</f>
        <v>23.8005001068115</v>
      </c>
      <c r="N118" s="374" t="n">
        <f aca="false">IF(A118="N/A"," ",VLOOKUP(A118,SatSunPeakPwr,(IF('Pricing Inputs'!$AT$3=2,7,IF('Pricing Inputs'!$AT$3=1,6,8))),FALSE()))</f>
        <v>21.8009998321533</v>
      </c>
      <c r="O118" s="375" t="n">
        <f aca="false">IF(A118="N/A"," ",(VLOOKUP(A118,OPPowerPrices,(IF('Pricing Inputs'!$AT$3=2,7,IF('Pricing Inputs'!$AT$3=1,6,8))),FALSE())))</f>
        <v>19.6499988555908</v>
      </c>
      <c r="P118" s="376" t="e">
        <f aca="false">IF(A118="N/A"," ",(VLOOKUP(A118,GasCurves,15,FALSE())))</f>
        <v>#N/A</v>
      </c>
      <c r="AF118" s="341" t="n">
        <v>40026</v>
      </c>
      <c r="AG118" s="31" t="n">
        <v>21</v>
      </c>
      <c r="AH118" s="31" t="n">
        <v>5</v>
      </c>
      <c r="AI118" s="31" t="n">
        <v>5</v>
      </c>
      <c r="AJ118" s="31" t="n">
        <v>0</v>
      </c>
      <c r="AK118" s="31" t="n">
        <v>31</v>
      </c>
    </row>
    <row r="119" customFormat="false" ht="12.75" hidden="false" customHeight="false" outlineLevel="0" collapsed="false">
      <c r="A119" s="368" t="n">
        <f aca="false">Calculations!A86</f>
        <v>39387</v>
      </c>
      <c r="B119" s="369" t="n">
        <f aca="false">IF(A119="N/A"," ",IF(ISERROR(L119),B107*Inputs!$F$19,L119))</f>
        <v>31.075</v>
      </c>
      <c r="C119" s="370" t="n">
        <f aca="false">IF(A119="N/A"," ",(IF(AND(MONTH(A119)&gt;=6,MONTH(A119)&lt;=8,OR($K$37="REGION 2",$K$37="REGION 2A",$K$37="REGION 2B",$K$37="REGION 3",$K$37="REGION 3A",$K$37="REGION 3B",$K$37="REGION 4",$K$37="REGION 4B",$K$37="REGION 4C",$K$37="REGION 5",$K$37="REGION 5A")),((0.059228/(B119/100))-(0.4980013/(SQRT(B119/100)))+2.137988),HLOOKUP(MONTH(A119),ScalarTable,28))))</f>
        <v>0.989225</v>
      </c>
      <c r="D119" s="371" t="n">
        <f aca="false">IF(A119="N/A"," ",C119*B119)</f>
        <v>30.740166875</v>
      </c>
      <c r="E119" s="369" t="n">
        <f aca="false">IF(A119="N/A"," ",IF(ISERROR(M119),E107*Inputs!$F$19,M119))</f>
        <v>24.8047515869141</v>
      </c>
      <c r="F119" s="371" t="n">
        <f aca="false">IF(A119="N/A"," ",E119*C119)</f>
        <v>24.5374803885651</v>
      </c>
      <c r="G119" s="369" t="n">
        <f aca="false">IF(A119="N/A"," ",IF(ISERROR(N119),G107*Inputs!$F$19,N119))</f>
        <v>22.8044998168945</v>
      </c>
      <c r="H119" s="371" t="n">
        <f aca="false">IF(A119="N/A"," ",G119*C119)</f>
        <v>22.5587813313675</v>
      </c>
      <c r="I119" s="371" t="n">
        <f aca="false">IF(A119="N/A"," ",IF(ISERROR(O119),I107*Inputs!$F$19,O119))</f>
        <v>19.5749980926514</v>
      </c>
      <c r="J119" s="372" t="e">
        <f aca="false">IF(A119="N/A"," ",IF(ISERROR(P119),J107*Inputs!$F$23,P119))</f>
        <v>#N/A</v>
      </c>
      <c r="L119" s="374" t="n">
        <f aca="false">IF(A119="N/A"," ",VLOOKUP(A119,PeakPowerCurves,(IF('Pricing Inputs'!$AT$3=2,3,IF('Pricing Inputs'!$AT$3=1,2,4))),FALSE()))</f>
        <v>31.075</v>
      </c>
      <c r="M119" s="374" t="n">
        <f aca="false">IF(A119="N/A"," ",VLOOKUP(A119,SatSunPeakPwr,(IF('Pricing Inputs'!$AT$3=2,3,IF('Pricing Inputs'!$AT$3=1,2,4))),FALSE()))</f>
        <v>24.8047515869141</v>
      </c>
      <c r="N119" s="374" t="n">
        <f aca="false">IF(A119="N/A"," ",VLOOKUP(A119,SatSunPeakPwr,(IF('Pricing Inputs'!$AT$3=2,7,IF('Pricing Inputs'!$AT$3=1,6,8))),FALSE()))</f>
        <v>22.8044998168945</v>
      </c>
      <c r="O119" s="375" t="n">
        <f aca="false">IF(A119="N/A"," ",(VLOOKUP(A119,OPPowerPrices,(IF('Pricing Inputs'!$AT$3=2,7,IF('Pricing Inputs'!$AT$3=1,6,8))),FALSE())))</f>
        <v>19.5749980926514</v>
      </c>
      <c r="P119" s="376" t="e">
        <f aca="false">IF(A119="N/A"," ",(VLOOKUP(A119,GasCurves,15,FALSE())))</f>
        <v>#N/A</v>
      </c>
      <c r="AF119" s="341" t="n">
        <v>40057</v>
      </c>
      <c r="AG119" s="31" t="n">
        <v>21</v>
      </c>
      <c r="AH119" s="31" t="n">
        <v>4</v>
      </c>
      <c r="AI119" s="31" t="n">
        <v>4</v>
      </c>
      <c r="AJ119" s="31" t="n">
        <v>1</v>
      </c>
      <c r="AK119" s="31" t="n">
        <v>30</v>
      </c>
    </row>
    <row r="120" customFormat="false" ht="12.75" hidden="false" customHeight="false" outlineLevel="0" collapsed="false">
      <c r="A120" s="368" t="n">
        <f aca="false">Calculations!A87</f>
        <v>39417</v>
      </c>
      <c r="B120" s="369" t="n">
        <f aca="false">IF(A120="N/A"," ",IF(ISERROR(L120),B108*Inputs!$F$19,L120))</f>
        <v>30.95</v>
      </c>
      <c r="C120" s="370" t="n">
        <f aca="false">IF(A120="N/A"," ",(IF(AND(MONTH(A120)&gt;=6,MONTH(A120)&lt;=8,OR($K$37="REGION 2",$K$37="REGION 2A",$K$37="REGION 2B",$K$37="REGION 3",$K$37="REGION 3A",$K$37="REGION 3B",$K$37="REGION 4",$K$37="REGION 4B",$K$37="REGION 4C",$K$37="REGION 5",$K$37="REGION 5A")),((0.059228/(B120/100))-(0.4980013/(SQRT(B120/100)))+2.137988),HLOOKUP(MONTH(A120),ScalarTable,28))))</f>
        <v>0.978519445147215</v>
      </c>
      <c r="D120" s="371" t="n">
        <f aca="false">IF(A120="N/A"," ",C120*B120)</f>
        <v>30.2851768273063</v>
      </c>
      <c r="E120" s="369" t="n">
        <f aca="false">IF(A120="N/A"," ",IF(ISERROR(M120),E108*Inputs!$F$19,M120))</f>
        <v>26.2549983978271</v>
      </c>
      <c r="F120" s="371" t="n">
        <f aca="false">IF(A120="N/A"," ",E120*C120)</f>
        <v>25.6910264645828</v>
      </c>
      <c r="G120" s="369" t="n">
        <f aca="false">IF(A120="N/A"," ",IF(ISERROR(N120),G108*Inputs!$F$19,N120))</f>
        <v>22.7499992370605</v>
      </c>
      <c r="H120" s="371" t="n">
        <f aca="false">IF(A120="N/A"," ",G120*C120)</f>
        <v>22.261316630548</v>
      </c>
      <c r="I120" s="371" t="n">
        <f aca="false">IF(A120="N/A"," ",IF(ISERROR(O120),I108*Inputs!$F$19,O120))</f>
        <v>20.9999992370605</v>
      </c>
      <c r="J120" s="372" t="e">
        <f aca="false">IF(A120="N/A"," ",IF(ISERROR(P120),J108*Inputs!$F$23,P120))</f>
        <v>#N/A</v>
      </c>
      <c r="L120" s="374" t="n">
        <f aca="false">IF(A120="N/A"," ",VLOOKUP(A120,PeakPowerCurves,(IF('Pricing Inputs'!$AT$3=2,3,IF('Pricing Inputs'!$AT$3=1,2,4))),FALSE()))</f>
        <v>30.95</v>
      </c>
      <c r="M120" s="374" t="n">
        <f aca="false">IF(A120="N/A"," ",VLOOKUP(A120,SatSunPeakPwr,(IF('Pricing Inputs'!$AT$3=2,3,IF('Pricing Inputs'!$AT$3=1,2,4))),FALSE()))</f>
        <v>26.2549983978271</v>
      </c>
      <c r="N120" s="374" t="n">
        <f aca="false">IF(A120="N/A"," ",VLOOKUP(A120,SatSunPeakPwr,(IF('Pricing Inputs'!$AT$3=2,7,IF('Pricing Inputs'!$AT$3=1,6,8))),FALSE()))</f>
        <v>22.7499992370605</v>
      </c>
      <c r="O120" s="375" t="n">
        <f aca="false">IF(A120="N/A"," ",(VLOOKUP(A120,OPPowerPrices,(IF('Pricing Inputs'!$AT$3=2,7,IF('Pricing Inputs'!$AT$3=1,6,8))),FALSE())))</f>
        <v>20.9999992370605</v>
      </c>
      <c r="P120" s="376" t="e">
        <f aca="false">IF(A120="N/A"," ",(VLOOKUP(A120,GasCurves,15,FALSE())))</f>
        <v>#N/A</v>
      </c>
      <c r="AF120" s="341" t="n">
        <v>40087</v>
      </c>
      <c r="AG120" s="31" t="n">
        <v>22</v>
      </c>
      <c r="AH120" s="31" t="n">
        <v>5</v>
      </c>
      <c r="AI120" s="31" t="n">
        <v>4</v>
      </c>
      <c r="AJ120" s="31" t="n">
        <v>0</v>
      </c>
      <c r="AK120" s="31" t="n">
        <v>31</v>
      </c>
    </row>
    <row r="121" customFormat="false" ht="12.75" hidden="false" customHeight="false" outlineLevel="0" collapsed="false">
      <c r="A121" s="368" t="n">
        <f aca="false">Calculations!A88</f>
        <v>39448</v>
      </c>
      <c r="B121" s="369" t="n">
        <f aca="false">IF(A121="N/A"," ",IF(ISERROR(L121),B109*Inputs!$F$19,L121))</f>
        <v>37.05</v>
      </c>
      <c r="C121" s="370" t="n">
        <f aca="false">IF(A121="N/A"," ",(IF(AND(MONTH(A121)&gt;=6,MONTH(A121)&lt;=8,OR($K$37="REGION 2",$K$37="REGION 2A",$K$37="REGION 2B",$K$37="REGION 3",$K$37="REGION 3A",$K$37="REGION 3B",$K$37="REGION 4",$K$37="REGION 4B",$K$37="REGION 4C",$K$37="REGION 5",$K$37="REGION 5A")),((0.059228/(B121/100))-(0.4980013/(SQRT(B121/100)))+2.137988),HLOOKUP(MONTH(A121),ScalarTable,28))))</f>
        <v>0.969145769131439</v>
      </c>
      <c r="D121" s="371" t="n">
        <f aca="false">IF(A121="N/A"," ",C121*B121)</f>
        <v>35.9068507463198</v>
      </c>
      <c r="E121" s="369" t="n">
        <f aca="false">IF(A121="N/A"," ",IF(ISERROR(M121),E109*Inputs!$F$19,M121))</f>
        <v>29.6487483978271</v>
      </c>
      <c r="F121" s="371" t="n">
        <f aca="false">IF(A121="N/A"," ",E121*C121)</f>
        <v>28.7339590697967</v>
      </c>
      <c r="G121" s="369" t="n">
        <f aca="false">IF(A121="N/A"," ",IF(ISERROR(N121),G109*Inputs!$F$19,N121))</f>
        <v>28.1525001525879</v>
      </c>
      <c r="H121" s="371" t="n">
        <f aca="false">IF(A121="N/A"," ",G121*C121)</f>
        <v>27.2838764133527</v>
      </c>
      <c r="I121" s="371" t="n">
        <f aca="false">IF(A121="N/A"," ",IF(ISERROR(O121),I109*Inputs!$F$19,O121))</f>
        <v>20.7900009155273</v>
      </c>
      <c r="J121" s="372" t="e">
        <f aca="false">IF(A121="N/A"," ",IF(ISERROR(P121),J109*Inputs!$F$23,P121))</f>
        <v>#N/A</v>
      </c>
      <c r="L121" s="374" t="n">
        <f aca="false">IF(A121="N/A"," ",VLOOKUP(A121,PeakPowerCurves,(IF('Pricing Inputs'!$AT$3=2,3,IF('Pricing Inputs'!$AT$3=1,2,4))),FALSE()))</f>
        <v>37.05</v>
      </c>
      <c r="M121" s="374" t="n">
        <f aca="false">IF(A121="N/A"," ",VLOOKUP(A121,SatSunPeakPwr,(IF('Pricing Inputs'!$AT$3=2,3,IF('Pricing Inputs'!$AT$3=1,2,4))),FALSE()))</f>
        <v>29.6487483978271</v>
      </c>
      <c r="N121" s="374" t="n">
        <f aca="false">IF(A121="N/A"," ",VLOOKUP(A121,SatSunPeakPwr,(IF('Pricing Inputs'!$AT$3=2,7,IF('Pricing Inputs'!$AT$3=1,6,8))),FALSE()))</f>
        <v>28.1525001525879</v>
      </c>
      <c r="O121" s="375" t="n">
        <f aca="false">IF(A121="N/A"," ",(VLOOKUP(A121,OPPowerPrices,(IF('Pricing Inputs'!$AT$3=2,7,IF('Pricing Inputs'!$AT$3=1,6,8))),FALSE())))</f>
        <v>20.7900009155273</v>
      </c>
      <c r="P121" s="376" t="e">
        <f aca="false">IF(A121="N/A"," ",(VLOOKUP(A121,GasCurves,15,FALSE())))</f>
        <v>#N/A</v>
      </c>
      <c r="AF121" s="341" t="n">
        <v>40118</v>
      </c>
      <c r="AG121" s="31" t="n">
        <v>20</v>
      </c>
      <c r="AH121" s="31" t="n">
        <v>4</v>
      </c>
      <c r="AI121" s="31" t="n">
        <v>5</v>
      </c>
      <c r="AJ121" s="31" t="n">
        <v>1</v>
      </c>
      <c r="AK121" s="31" t="n">
        <v>30</v>
      </c>
    </row>
    <row r="122" customFormat="false" ht="12.75" hidden="false" customHeight="false" outlineLevel="0" collapsed="false">
      <c r="A122" s="368" t="n">
        <f aca="false">Calculations!A89</f>
        <v>39479</v>
      </c>
      <c r="B122" s="369" t="n">
        <f aca="false">IF(A122="N/A"," ",IF(ISERROR(L122),B110*Inputs!$F$19,L122))</f>
        <v>37.05</v>
      </c>
      <c r="C122" s="370" t="n">
        <f aca="false">IF(A122="N/A"," ",(IF(AND(MONTH(A122)&gt;=6,MONTH(A122)&lt;=8,OR($K$37="REGION 2",$K$37="REGION 2A",$K$37="REGION 2B",$K$37="REGION 3",$K$37="REGION 3A",$K$37="REGION 3B",$K$37="REGION 4",$K$37="REGION 4B",$K$37="REGION 4C",$K$37="REGION 5",$K$37="REGION 5A")),((0.059228/(B122/100))-(0.4980013/(SQRT(B122/100)))+2.137988),HLOOKUP(MONTH(A122),ScalarTable,28))))</f>
        <v>0.969145769131439</v>
      </c>
      <c r="D122" s="371" t="n">
        <f aca="false">IF(A122="N/A"," ",C122*B122)</f>
        <v>35.9068507463198</v>
      </c>
      <c r="E122" s="369" t="n">
        <f aca="false">IF(A122="N/A"," ",IF(ISERROR(M122),E110*Inputs!$F$19,M122))</f>
        <v>28.6462501525879</v>
      </c>
      <c r="F122" s="371" t="n">
        <f aca="false">IF(A122="N/A"," ",E122*C122)</f>
        <v>27.7623921368614</v>
      </c>
      <c r="G122" s="369" t="n">
        <f aca="false">IF(A122="N/A"," ",IF(ISERROR(N122),G110*Inputs!$F$19,N122))</f>
        <v>26.1474994659424</v>
      </c>
      <c r="H122" s="371" t="n">
        <f aca="false">IF(A122="N/A"," ",G122*C122)</f>
        <v>25.3407384807846</v>
      </c>
      <c r="I122" s="371" t="n">
        <f aca="false">IF(A122="N/A"," ",IF(ISERROR(O122),I110*Inputs!$F$19,O122))</f>
        <v>20.5999977111816</v>
      </c>
      <c r="J122" s="372" t="e">
        <f aca="false">IF(A122="N/A"," ",IF(ISERROR(P122),J110*Inputs!$F$23,P122))</f>
        <v>#N/A</v>
      </c>
      <c r="L122" s="374" t="n">
        <f aca="false">IF(A122="N/A"," ",VLOOKUP(A122,PeakPowerCurves,(IF('Pricing Inputs'!$AT$3=2,3,IF('Pricing Inputs'!$AT$3=1,2,4))),FALSE()))</f>
        <v>37.05</v>
      </c>
      <c r="M122" s="374" t="n">
        <f aca="false">IF(A122="N/A"," ",VLOOKUP(A122,SatSunPeakPwr,(IF('Pricing Inputs'!$AT$3=2,3,IF('Pricing Inputs'!$AT$3=1,2,4))),FALSE()))</f>
        <v>28.6462501525879</v>
      </c>
      <c r="N122" s="374" t="n">
        <f aca="false">IF(A122="N/A"," ",VLOOKUP(A122,SatSunPeakPwr,(IF('Pricing Inputs'!$AT$3=2,7,IF('Pricing Inputs'!$AT$3=1,6,8))),FALSE()))</f>
        <v>26.1474994659424</v>
      </c>
      <c r="O122" s="375" t="n">
        <f aca="false">IF(A122="N/A"," ",(VLOOKUP(A122,OPPowerPrices,(IF('Pricing Inputs'!$AT$3=2,7,IF('Pricing Inputs'!$AT$3=1,6,8))),FALSE())))</f>
        <v>20.5999977111816</v>
      </c>
      <c r="P122" s="376" t="e">
        <f aca="false">IF(A122="N/A"," ",(VLOOKUP(A122,GasCurves,15,FALSE())))</f>
        <v>#N/A</v>
      </c>
      <c r="AF122" s="341" t="n">
        <v>40148</v>
      </c>
      <c r="AG122" s="31" t="n">
        <v>22</v>
      </c>
      <c r="AH122" s="31" t="n">
        <v>4</v>
      </c>
      <c r="AI122" s="31" t="n">
        <v>4</v>
      </c>
      <c r="AJ122" s="31" t="n">
        <v>1</v>
      </c>
      <c r="AK122" s="31" t="n">
        <v>31</v>
      </c>
    </row>
    <row r="123" customFormat="false" ht="12.75" hidden="false" customHeight="false" outlineLevel="0" collapsed="false">
      <c r="A123" s="368" t="n">
        <f aca="false">Calculations!A90</f>
        <v>39508</v>
      </c>
      <c r="B123" s="369" t="n">
        <f aca="false">IF(A123="N/A"," ",IF(ISERROR(L123),B111*Inputs!$F$19,L123))</f>
        <v>33.3</v>
      </c>
      <c r="C123" s="370" t="n">
        <f aca="false">IF(A123="N/A"," ",(IF(AND(MONTH(A123)&gt;=6,MONTH(A123)&lt;=8,OR($K$37="REGION 2",$K$37="REGION 2A",$K$37="REGION 2B",$K$37="REGION 3",$K$37="REGION 3A",$K$37="REGION 3B",$K$37="REGION 4",$K$37="REGION 4B",$K$37="REGION 4C",$K$37="REGION 5",$K$37="REGION 5A")),((0.059228/(B123/100))-(0.4980013/(SQRT(B123/100)))+2.137988),HLOOKUP(MONTH(A123),ScalarTable,28))))</f>
        <v>0.97165</v>
      </c>
      <c r="D123" s="371" t="n">
        <f aca="false">IF(A123="N/A"," ",C123*B123)</f>
        <v>32.355945</v>
      </c>
      <c r="E123" s="369" t="n">
        <f aca="false">IF(A123="N/A"," ",IF(ISERROR(M123),E111*Inputs!$F$19,M123))</f>
        <v>21.8347496032715</v>
      </c>
      <c r="F123" s="371" t="n">
        <f aca="false">IF(A123="N/A"," ",E123*C123)</f>
        <v>21.2157344520187</v>
      </c>
      <c r="G123" s="369" t="n">
        <f aca="false">IF(A123="N/A"," ",IF(ISERROR(N123),G111*Inputs!$F$19,N123))</f>
        <v>21.4644989013672</v>
      </c>
      <c r="H123" s="371" t="n">
        <f aca="false">IF(A123="N/A"," ",G123*C123)</f>
        <v>20.8559803575134</v>
      </c>
      <c r="I123" s="371" t="n">
        <f aca="false">IF(A123="N/A"," ",IF(ISERROR(O123),I111*Inputs!$F$19,O123))</f>
        <v>19.5999996185303</v>
      </c>
      <c r="J123" s="372" t="e">
        <f aca="false">IF(A123="N/A"," ",IF(ISERROR(P123),J111*Inputs!$F$23,P123))</f>
        <v>#N/A</v>
      </c>
      <c r="L123" s="374" t="n">
        <f aca="false">IF(A123="N/A"," ",VLOOKUP(A123,PeakPowerCurves,(IF('Pricing Inputs'!$AT$3=2,3,IF('Pricing Inputs'!$AT$3=1,2,4))),FALSE()))</f>
        <v>33.3</v>
      </c>
      <c r="M123" s="374" t="n">
        <f aca="false">IF(A123="N/A"," ",VLOOKUP(A123,SatSunPeakPwr,(IF('Pricing Inputs'!$AT$3=2,3,IF('Pricing Inputs'!$AT$3=1,2,4))),FALSE()))</f>
        <v>21.8347496032715</v>
      </c>
      <c r="N123" s="374" t="n">
        <f aca="false">IF(A123="N/A"," ",VLOOKUP(A123,SatSunPeakPwr,(IF('Pricing Inputs'!$AT$3=2,7,IF('Pricing Inputs'!$AT$3=1,6,8))),FALSE()))</f>
        <v>21.4644989013672</v>
      </c>
      <c r="O123" s="375" t="n">
        <f aca="false">IF(A123="N/A"," ",(VLOOKUP(A123,OPPowerPrices,(IF('Pricing Inputs'!$AT$3=2,7,IF('Pricing Inputs'!$AT$3=1,6,8))),FALSE())))</f>
        <v>19.5999996185303</v>
      </c>
      <c r="P123" s="376" t="e">
        <f aca="false">IF(A123="N/A"," ",(VLOOKUP(A123,GasCurves,15,FALSE())))</f>
        <v>#N/A</v>
      </c>
      <c r="AF123" s="341" t="n">
        <v>40179</v>
      </c>
      <c r="AG123" s="31" t="n">
        <v>20</v>
      </c>
      <c r="AH123" s="31" t="n">
        <v>5</v>
      </c>
      <c r="AI123" s="31" t="n">
        <v>5</v>
      </c>
      <c r="AJ123" s="31" t="n">
        <v>1</v>
      </c>
      <c r="AK123" s="31" t="n">
        <v>31</v>
      </c>
    </row>
    <row r="124" customFormat="false" ht="12.75" hidden="false" customHeight="false" outlineLevel="0" collapsed="false">
      <c r="A124" s="368" t="n">
        <f aca="false">Calculations!A91</f>
        <v>39539</v>
      </c>
      <c r="B124" s="369" t="n">
        <f aca="false">IF(A124="N/A"," ",IF(ISERROR(L124),B112*Inputs!$F$19,L124))</f>
        <v>32.05</v>
      </c>
      <c r="C124" s="370" t="n">
        <f aca="false">IF(A124="N/A"," ",(IF(AND(MONTH(A124)&gt;=6,MONTH(A124)&lt;=8,OR($K$37="REGION 2",$K$37="REGION 2A",$K$37="REGION 2B",$K$37="REGION 3",$K$37="REGION 3A",$K$37="REGION 3B",$K$37="REGION 4",$K$37="REGION 4B",$K$37="REGION 4C",$K$37="REGION 5",$K$37="REGION 5A")),((0.059228/(B124/100))-(0.4980013/(SQRT(B124/100)))+2.137988),HLOOKUP(MONTH(A124),ScalarTable,28))))</f>
        <v>0.924989009949893</v>
      </c>
      <c r="D124" s="371" t="n">
        <f aca="false">IF(A124="N/A"," ",C124*B124)</f>
        <v>29.6458977688941</v>
      </c>
      <c r="E124" s="369" t="n">
        <f aca="false">IF(A124="N/A"," ",IF(ISERROR(M124),E112*Inputs!$F$19,M124))</f>
        <v>22.5175003051758</v>
      </c>
      <c r="F124" s="371" t="n">
        <f aca="false">IF(A124="N/A"," ",E124*C124)</f>
        <v>20.828440313831</v>
      </c>
      <c r="G124" s="369" t="n">
        <f aca="false">IF(A124="N/A"," ",IF(ISERROR(N124),G112*Inputs!$F$19,N124))</f>
        <v>21.2349990844727</v>
      </c>
      <c r="H124" s="371" t="n">
        <f aca="false">IF(A124="N/A"," ",G124*C124)</f>
        <v>19.6421407794332</v>
      </c>
      <c r="I124" s="371" t="n">
        <f aca="false">IF(A124="N/A"," ",IF(ISERROR(O124),I112*Inputs!$F$19,O124))</f>
        <v>19.5999977111816</v>
      </c>
      <c r="J124" s="372" t="e">
        <f aca="false">IF(A124="N/A"," ",IF(ISERROR(P124),J112*Inputs!$F$23,P124))</f>
        <v>#N/A</v>
      </c>
      <c r="L124" s="374" t="n">
        <f aca="false">IF(A124="N/A"," ",VLOOKUP(A124,PeakPowerCurves,(IF('Pricing Inputs'!$AT$3=2,3,IF('Pricing Inputs'!$AT$3=1,2,4))),FALSE()))</f>
        <v>32.05</v>
      </c>
      <c r="M124" s="374" t="n">
        <f aca="false">IF(A124="N/A"," ",VLOOKUP(A124,SatSunPeakPwr,(IF('Pricing Inputs'!$AT$3=2,3,IF('Pricing Inputs'!$AT$3=1,2,4))),FALSE()))</f>
        <v>22.5175003051758</v>
      </c>
      <c r="N124" s="374" t="n">
        <f aca="false">IF(A124="N/A"," ",VLOOKUP(A124,SatSunPeakPwr,(IF('Pricing Inputs'!$AT$3=2,7,IF('Pricing Inputs'!$AT$3=1,6,8))),FALSE()))</f>
        <v>21.2349990844727</v>
      </c>
      <c r="O124" s="375" t="n">
        <f aca="false">IF(A124="N/A"," ",(VLOOKUP(A124,OPPowerPrices,(IF('Pricing Inputs'!$AT$3=2,7,IF('Pricing Inputs'!$AT$3=1,6,8))),FALSE())))</f>
        <v>19.5999977111816</v>
      </c>
      <c r="P124" s="376" t="e">
        <f aca="false">IF(A124="N/A"," ",(VLOOKUP(A124,GasCurves,15,FALSE())))</f>
        <v>#N/A</v>
      </c>
      <c r="AF124" s="341" t="n">
        <v>40210</v>
      </c>
      <c r="AG124" s="31" t="n">
        <v>20</v>
      </c>
      <c r="AH124" s="31" t="n">
        <v>4</v>
      </c>
      <c r="AI124" s="31" t="n">
        <v>4</v>
      </c>
      <c r="AJ124" s="31" t="n">
        <v>0</v>
      </c>
      <c r="AK124" s="31" t="n">
        <v>28</v>
      </c>
    </row>
    <row r="125" customFormat="false" ht="12.75" hidden="false" customHeight="false" outlineLevel="0" collapsed="false">
      <c r="A125" s="368" t="n">
        <f aca="false">Calculations!A92</f>
        <v>39569</v>
      </c>
      <c r="B125" s="369" t="n">
        <f aca="false">IF(A125="N/A"," ",IF(ISERROR(L125),B113*Inputs!$F$19,L125))</f>
        <v>34.05</v>
      </c>
      <c r="C125" s="370" t="n">
        <f aca="false">IF(A125="N/A"," ",(IF(AND(MONTH(A125)&gt;=6,MONTH(A125)&lt;=8,OR($K$37="REGION 2",$K$37="REGION 2A",$K$37="REGION 2B",$K$37="REGION 3",$K$37="REGION 3A",$K$37="REGION 3B",$K$37="REGION 4",$K$37="REGION 4B",$K$37="REGION 4C",$K$37="REGION 5",$K$37="REGION 5A")),((0.059228/(B125/100))-(0.4980013/(SQRT(B125/100)))+2.137988),HLOOKUP(MONTH(A125),ScalarTable,28))))</f>
        <v>0.972355461918447</v>
      </c>
      <c r="D125" s="371" t="n">
        <f aca="false">IF(A125="N/A"," ",C125*B125)</f>
        <v>33.1087034783231</v>
      </c>
      <c r="E125" s="369" t="n">
        <f aca="false">IF(A125="N/A"," ",IF(ISERROR(M125),E113*Inputs!$F$19,M125))</f>
        <v>22.6325000762939</v>
      </c>
      <c r="F125" s="371" t="n">
        <f aca="false">IF(A125="N/A"," ",E125*C125)</f>
        <v>22.0068350660541</v>
      </c>
      <c r="G125" s="369" t="n">
        <f aca="false">IF(A125="N/A"," ",IF(ISERROR(N125),G113*Inputs!$F$19,N125))</f>
        <v>21.7649997711182</v>
      </c>
      <c r="H125" s="371" t="n">
        <f aca="false">IF(A125="N/A"," ",G125*C125)</f>
        <v>21.1633164061005</v>
      </c>
      <c r="I125" s="371" t="n">
        <f aca="false">IF(A125="N/A"," ",IF(ISERROR(O125),I113*Inputs!$F$19,O125))</f>
        <v>19.5999977111816</v>
      </c>
      <c r="J125" s="372" t="e">
        <f aca="false">IF(A125="N/A"," ",IF(ISERROR(P125),J113*Inputs!$F$23,P125))</f>
        <v>#N/A</v>
      </c>
      <c r="L125" s="374" t="n">
        <f aca="false">IF(A125="N/A"," ",VLOOKUP(A125,PeakPowerCurves,(IF('Pricing Inputs'!$AT$3=2,3,IF('Pricing Inputs'!$AT$3=1,2,4))),FALSE()))</f>
        <v>34.05</v>
      </c>
      <c r="M125" s="374" t="n">
        <f aca="false">IF(A125="N/A"," ",VLOOKUP(A125,SatSunPeakPwr,(IF('Pricing Inputs'!$AT$3=2,3,IF('Pricing Inputs'!$AT$3=1,2,4))),FALSE()))</f>
        <v>22.6325000762939</v>
      </c>
      <c r="N125" s="374" t="n">
        <f aca="false">IF(A125="N/A"," ",VLOOKUP(A125,SatSunPeakPwr,(IF('Pricing Inputs'!$AT$3=2,7,IF('Pricing Inputs'!$AT$3=1,6,8))),FALSE()))</f>
        <v>21.7649997711182</v>
      </c>
      <c r="O125" s="375" t="n">
        <f aca="false">IF(A125="N/A"," ",(VLOOKUP(A125,OPPowerPrices,(IF('Pricing Inputs'!$AT$3=2,7,IF('Pricing Inputs'!$AT$3=1,6,8))),FALSE())))</f>
        <v>19.5999977111816</v>
      </c>
      <c r="P125" s="376" t="e">
        <f aca="false">IF(A125="N/A"," ",(VLOOKUP(A125,GasCurves,15,FALSE())))</f>
        <v>#N/A</v>
      </c>
      <c r="AF125" s="341" t="n">
        <v>40238</v>
      </c>
      <c r="AG125" s="31" t="n">
        <v>23</v>
      </c>
      <c r="AH125" s="31" t="n">
        <v>4</v>
      </c>
      <c r="AI125" s="31" t="n">
        <v>4</v>
      </c>
      <c r="AJ125" s="31" t="n">
        <v>0</v>
      </c>
      <c r="AK125" s="31" t="n">
        <v>31</v>
      </c>
    </row>
    <row r="126" customFormat="false" ht="12.75" hidden="false" customHeight="false" outlineLevel="0" collapsed="false">
      <c r="A126" s="368" t="n">
        <f aca="false">Calculations!A93</f>
        <v>39600</v>
      </c>
      <c r="B126" s="369" t="n">
        <f aca="false">IF(A126="N/A"," ",IF(ISERROR(L126),B114*Inputs!$F$19,L126))</f>
        <v>50.25</v>
      </c>
      <c r="C126" s="370" t="n">
        <f aca="false">IF(A126="N/A"," ",(IF(AND(MONTH(A126)&gt;=6,MONTH(A126)&lt;=8,OR($K$37="REGION 2",$K$37="REGION 2A",$K$37="REGION 2B",$K$37="REGION 3",$K$37="REGION 3A",$K$37="REGION 3B",$K$37="REGION 4",$K$37="REGION 4B",$K$37="REGION 4C",$K$37="REGION 5",$K$37="REGION 5A")),((0.059228/(B126/100))-(0.4980013/(SQRT(B126/100)))+2.137988),HLOOKUP(MONTH(A126),ScalarTable,28))))</f>
        <v>1.14029274839576</v>
      </c>
      <c r="D126" s="371" t="n">
        <f aca="false">IF(A126="N/A"," ",C126*B126)</f>
        <v>57.2997106068867</v>
      </c>
      <c r="E126" s="369" t="n">
        <f aca="false">IF(A126="N/A"," ",IF(ISERROR(M126),E114*Inputs!$F$19,M126))</f>
        <v>27.0587501525879</v>
      </c>
      <c r="F126" s="371" t="n">
        <f aca="false">IF(A126="N/A"," ",E126*C126)</f>
        <v>30.8548965796485</v>
      </c>
      <c r="G126" s="369" t="n">
        <f aca="false">IF(A126="N/A"," ",IF(ISERROR(N126),G114*Inputs!$F$19,N126))</f>
        <v>20.5424995422363</v>
      </c>
      <c r="H126" s="371" t="n">
        <f aca="false">IF(A126="N/A"," ",G126*C126)</f>
        <v>23.4244632619352</v>
      </c>
      <c r="I126" s="371" t="n">
        <f aca="false">IF(A126="N/A"," ",IF(ISERROR(O126),I114*Inputs!$F$19,O126))</f>
        <v>19.5549987792969</v>
      </c>
      <c r="J126" s="372" t="e">
        <f aca="false">IF(A126="N/A"," ",IF(ISERROR(P126),J114*Inputs!$F$23,P126))</f>
        <v>#N/A</v>
      </c>
      <c r="L126" s="374" t="n">
        <f aca="false">IF(A126="N/A"," ",VLOOKUP(A126,PeakPowerCurves,(IF('Pricing Inputs'!$AT$3=2,3,IF('Pricing Inputs'!$AT$3=1,2,4))),FALSE()))</f>
        <v>50.25</v>
      </c>
      <c r="M126" s="374" t="n">
        <f aca="false">IF(A126="N/A"," ",VLOOKUP(A126,SatSunPeakPwr,(IF('Pricing Inputs'!$AT$3=2,3,IF('Pricing Inputs'!$AT$3=1,2,4))),FALSE()))</f>
        <v>27.0587501525879</v>
      </c>
      <c r="N126" s="374" t="n">
        <f aca="false">IF(A126="N/A"," ",VLOOKUP(A126,SatSunPeakPwr,(IF('Pricing Inputs'!$AT$3=2,7,IF('Pricing Inputs'!$AT$3=1,6,8))),FALSE()))</f>
        <v>20.5424995422363</v>
      </c>
      <c r="O126" s="375" t="n">
        <f aca="false">IF(A126="N/A"," ",(VLOOKUP(A126,OPPowerPrices,(IF('Pricing Inputs'!$AT$3=2,7,IF('Pricing Inputs'!$AT$3=1,6,8))),FALSE())))</f>
        <v>19.5549987792969</v>
      </c>
      <c r="P126" s="376" t="e">
        <f aca="false">IF(A126="N/A"," ",(VLOOKUP(A126,GasCurves,15,FALSE())))</f>
        <v>#N/A</v>
      </c>
      <c r="AF126" s="341" t="n">
        <v>40269</v>
      </c>
      <c r="AG126" s="31" t="n">
        <v>22</v>
      </c>
      <c r="AH126" s="31" t="n">
        <v>4</v>
      </c>
      <c r="AI126" s="31" t="n">
        <v>4</v>
      </c>
      <c r="AJ126" s="31" t="n">
        <v>0</v>
      </c>
      <c r="AK126" s="31" t="n">
        <v>30</v>
      </c>
    </row>
    <row r="127" customFormat="false" ht="12.75" hidden="false" customHeight="false" outlineLevel="0" collapsed="false">
      <c r="A127" s="368" t="n">
        <f aca="false">Calculations!A94</f>
        <v>39630</v>
      </c>
      <c r="B127" s="369" t="n">
        <f aca="false">IF(A127="N/A"," ",IF(ISERROR(L127),B115*Inputs!$F$19,L127))</f>
        <v>72.5</v>
      </c>
      <c r="C127" s="370" t="n">
        <f aca="false">IF(A127="N/A"," ",(IF(AND(MONTH(A127)&gt;=6,MONTH(A127)&lt;=8,OR($K$37="REGION 2",$K$37="REGION 2A",$K$37="REGION 2B",$K$37="REGION 3",$K$37="REGION 3A",$K$37="REGION 3B",$K$37="REGION 4",$K$37="REGION 4B",$K$37="REGION 4C",$K$37="REGION 5",$K$37="REGION 5A")),((0.059228/(B127/100))-(0.4980013/(SQRT(B127/100)))+2.137988),HLOOKUP(MONTH(A127),ScalarTable,28))))</f>
        <v>1.19166491456367</v>
      </c>
      <c r="D127" s="371" t="n">
        <f aca="false">IF(A127="N/A"," ",C127*B127)</f>
        <v>86.395706305866</v>
      </c>
      <c r="E127" s="369" t="n">
        <f aca="false">IF(A127="N/A"," ",IF(ISERROR(M127),E115*Inputs!$F$19,M127))</f>
        <v>40.2612495422363</v>
      </c>
      <c r="F127" s="371" t="n">
        <f aca="false">IF(A127="N/A"," ",E127*C127)</f>
        <v>47.9779184959756</v>
      </c>
      <c r="G127" s="369" t="n">
        <f aca="false">IF(A127="N/A"," ",IF(ISERROR(N127),G115*Inputs!$F$19,N127))</f>
        <v>29.7474994659424</v>
      </c>
      <c r="H127" s="371" t="n">
        <f aca="false">IF(A127="N/A"," ",G127*C127)</f>
        <v>35.449051409565</v>
      </c>
      <c r="I127" s="371" t="n">
        <f aca="false">IF(A127="N/A"," ",IF(ISERROR(O127),I115*Inputs!$F$19,O127))</f>
        <v>24.0499977111816</v>
      </c>
      <c r="J127" s="372" t="e">
        <f aca="false">IF(A127="N/A"," ",IF(ISERROR(P127),J115*Inputs!$F$23,P127))</f>
        <v>#N/A</v>
      </c>
      <c r="L127" s="374" t="n">
        <f aca="false">IF(A127="N/A"," ",VLOOKUP(A127,PeakPowerCurves,(IF('Pricing Inputs'!$AT$3=2,3,IF('Pricing Inputs'!$AT$3=1,2,4))),FALSE()))</f>
        <v>72.5</v>
      </c>
      <c r="M127" s="374" t="n">
        <f aca="false">IF(A127="N/A"," ",VLOOKUP(A127,SatSunPeakPwr,(IF('Pricing Inputs'!$AT$3=2,3,IF('Pricing Inputs'!$AT$3=1,2,4))),FALSE()))</f>
        <v>40.2612495422363</v>
      </c>
      <c r="N127" s="374" t="n">
        <f aca="false">IF(A127="N/A"," ",VLOOKUP(A127,SatSunPeakPwr,(IF('Pricing Inputs'!$AT$3=2,7,IF('Pricing Inputs'!$AT$3=1,6,8))),FALSE()))</f>
        <v>29.7474994659424</v>
      </c>
      <c r="O127" s="375" t="n">
        <f aca="false">IF(A127="N/A"," ",(VLOOKUP(A127,OPPowerPrices,(IF('Pricing Inputs'!$AT$3=2,7,IF('Pricing Inputs'!$AT$3=1,6,8))),FALSE())))</f>
        <v>24.0499977111816</v>
      </c>
      <c r="P127" s="376" t="e">
        <f aca="false">IF(A127="N/A"," ",(VLOOKUP(A127,GasCurves,15,FALSE())))</f>
        <v>#N/A</v>
      </c>
      <c r="AF127" s="341" t="n">
        <v>40299</v>
      </c>
      <c r="AG127" s="31" t="n">
        <v>20</v>
      </c>
      <c r="AH127" s="31" t="n">
        <v>5</v>
      </c>
      <c r="AI127" s="31" t="n">
        <v>5</v>
      </c>
      <c r="AJ127" s="31" t="n">
        <v>1</v>
      </c>
      <c r="AK127" s="31" t="n">
        <v>31</v>
      </c>
    </row>
    <row r="128" customFormat="false" ht="12.75" hidden="false" customHeight="false" outlineLevel="0" collapsed="false">
      <c r="A128" s="368" t="n">
        <f aca="false">Calculations!A95</f>
        <v>39661</v>
      </c>
      <c r="B128" s="369" t="n">
        <f aca="false">IF(A128="N/A"," ",IF(ISERROR(L128),B116*Inputs!$F$19,L128))</f>
        <v>68</v>
      </c>
      <c r="C128" s="370" t="n">
        <f aca="false">IF(A128="N/A"," ",(IF(AND(MONTH(A128)&gt;=6,MONTH(A128)&lt;=8,OR($K$37="REGION 2",$K$37="REGION 2A",$K$37="REGION 2B",$K$37="REGION 3",$K$37="REGION 3A",$K$37="REGION 3B",$K$37="REGION 4",$K$37="REGION 4B",$K$37="REGION 4C",$K$37="REGION 5",$K$37="REGION 5A")),((0.059228/(B128/100))-(0.4980013/(SQRT(B128/100)))+2.137988),HLOOKUP(MONTH(A128),ScalarTable,28))))</f>
        <v>1.1089289483683</v>
      </c>
      <c r="D128" s="371" t="n">
        <f aca="false">IF(A128="N/A"," ",C128*B128)</f>
        <v>75.4071684890446</v>
      </c>
      <c r="E128" s="369" t="n">
        <f aca="false">IF(A128="N/A"," ",IF(ISERROR(M128),E116*Inputs!$F$19,M128))</f>
        <v>42.5224990844727</v>
      </c>
      <c r="F128" s="371" t="n">
        <f aca="false">IF(A128="N/A"," ",E128*C128)</f>
        <v>47.1544301917364</v>
      </c>
      <c r="G128" s="369" t="n">
        <f aca="false">IF(A128="N/A"," ",IF(ISERROR(N128),G116*Inputs!$F$19,N128))</f>
        <v>31.2450008392334</v>
      </c>
      <c r="H128" s="371" t="n">
        <f aca="false">IF(A128="N/A"," ",G128*C128)</f>
        <v>34.6484859224178</v>
      </c>
      <c r="I128" s="371" t="n">
        <f aca="false">IF(A128="N/A"," ",IF(ISERROR(O128),I116*Inputs!$F$19,O128))</f>
        <v>24.3999980926514</v>
      </c>
      <c r="J128" s="372" t="e">
        <f aca="false">IF(A128="N/A"," ",IF(ISERROR(P128),J116*Inputs!$F$23,P128))</f>
        <v>#N/A</v>
      </c>
      <c r="L128" s="374" t="n">
        <f aca="false">IF(A128="N/A"," ",VLOOKUP(A128,PeakPowerCurves,(IF('Pricing Inputs'!$AT$3=2,3,IF('Pricing Inputs'!$AT$3=1,2,4))),FALSE()))</f>
        <v>68</v>
      </c>
      <c r="M128" s="374" t="n">
        <f aca="false">IF(A128="N/A"," ",VLOOKUP(A128,SatSunPeakPwr,(IF('Pricing Inputs'!$AT$3=2,3,IF('Pricing Inputs'!$AT$3=1,2,4))),FALSE()))</f>
        <v>42.5224990844727</v>
      </c>
      <c r="N128" s="374" t="n">
        <f aca="false">IF(A128="N/A"," ",VLOOKUP(A128,SatSunPeakPwr,(IF('Pricing Inputs'!$AT$3=2,7,IF('Pricing Inputs'!$AT$3=1,6,8))),FALSE()))</f>
        <v>31.2450008392334</v>
      </c>
      <c r="O128" s="375" t="n">
        <f aca="false">IF(A128="N/A"," ",(VLOOKUP(A128,OPPowerPrices,(IF('Pricing Inputs'!$AT$3=2,7,IF('Pricing Inputs'!$AT$3=1,6,8))),FALSE())))</f>
        <v>24.3999980926514</v>
      </c>
      <c r="P128" s="376" t="e">
        <f aca="false">IF(A128="N/A"," ",(VLOOKUP(A128,GasCurves,15,FALSE())))</f>
        <v>#N/A</v>
      </c>
      <c r="AF128" s="341" t="n">
        <v>40330</v>
      </c>
      <c r="AG128" s="31" t="n">
        <v>22</v>
      </c>
      <c r="AH128" s="31" t="n">
        <v>4</v>
      </c>
      <c r="AI128" s="31" t="n">
        <v>4</v>
      </c>
      <c r="AJ128" s="31" t="n">
        <v>0</v>
      </c>
      <c r="AK128" s="31" t="n">
        <v>30</v>
      </c>
    </row>
    <row r="129" customFormat="false" ht="12.75" hidden="false" customHeight="false" outlineLevel="0" collapsed="false">
      <c r="A129" s="368" t="n">
        <f aca="false">Calculations!A96</f>
        <v>39692</v>
      </c>
      <c r="B129" s="369" t="n">
        <f aca="false">IF(A129="N/A"," ",IF(ISERROR(L129),B117*Inputs!$F$19,L129))</f>
        <v>33.05</v>
      </c>
      <c r="C129" s="370" t="n">
        <f aca="false">IF(A129="N/A"," ",(IF(AND(MONTH(A129)&gt;=6,MONTH(A129)&lt;=8,OR($K$37="REGION 2",$K$37="REGION 2A",$K$37="REGION 2B",$K$37="REGION 3",$K$37="REGION 3A",$K$37="REGION 3B",$K$37="REGION 4",$K$37="REGION 4B",$K$37="REGION 4C",$K$37="REGION 5",$K$37="REGION 5A")),((0.059228/(B129/100))-(0.4980013/(SQRT(B129/100)))+2.137988),HLOOKUP(MONTH(A129),ScalarTable,28))))</f>
        <v>1.09653379232051</v>
      </c>
      <c r="D129" s="371" t="n">
        <f aca="false">IF(A129="N/A"," ",C129*B129)</f>
        <v>36.2404418361929</v>
      </c>
      <c r="E129" s="369" t="n">
        <f aca="false">IF(A129="N/A"," ",IF(ISERROR(M129),E117*Inputs!$F$19,M129))</f>
        <v>23.9049991607666</v>
      </c>
      <c r="F129" s="371" t="n">
        <f aca="false">IF(A129="N/A"," ",E129*C129)</f>
        <v>26.212639385174</v>
      </c>
      <c r="G129" s="369" t="n">
        <f aca="false">IF(A129="N/A"," ",IF(ISERROR(N129),G117*Inputs!$F$19,N129))</f>
        <v>24.4</v>
      </c>
      <c r="H129" s="371" t="n">
        <f aca="false">IF(A129="N/A"," ",G129*C129)</f>
        <v>26.7554245326205</v>
      </c>
      <c r="I129" s="371" t="n">
        <f aca="false">IF(A129="N/A"," ",IF(ISERROR(O129),I117*Inputs!$F$19,O129))</f>
        <v>19.9499980926514</v>
      </c>
      <c r="J129" s="372" t="e">
        <f aca="false">IF(A129="N/A"," ",IF(ISERROR(P129),J117*Inputs!$F$23,P129))</f>
        <v>#N/A</v>
      </c>
      <c r="L129" s="374" t="n">
        <f aca="false">IF(A129="N/A"," ",VLOOKUP(A129,PeakPowerCurves,(IF('Pricing Inputs'!$AT$3=2,3,IF('Pricing Inputs'!$AT$3=1,2,4))),FALSE()))</f>
        <v>33.05</v>
      </c>
      <c r="M129" s="374" t="n">
        <f aca="false">IF(A129="N/A"," ",VLOOKUP(A129,SatSunPeakPwr,(IF('Pricing Inputs'!$AT$3=2,3,IF('Pricing Inputs'!$AT$3=1,2,4))),FALSE()))</f>
        <v>23.9049991607666</v>
      </c>
      <c r="N129" s="374" t="n">
        <f aca="false">IF(A129="N/A"," ",VLOOKUP(A129,SatSunPeakPwr,(IF('Pricing Inputs'!$AT$3=2,7,IF('Pricing Inputs'!$AT$3=1,6,8))),FALSE()))</f>
        <v>24.4</v>
      </c>
      <c r="O129" s="375" t="n">
        <f aca="false">IF(A129="N/A"," ",(VLOOKUP(A129,OPPowerPrices,(IF('Pricing Inputs'!$AT$3=2,7,IF('Pricing Inputs'!$AT$3=1,6,8))),FALSE())))</f>
        <v>19.9499980926514</v>
      </c>
      <c r="P129" s="376" t="e">
        <f aca="false">IF(A129="N/A"," ",(VLOOKUP(A129,GasCurves,15,FALSE())))</f>
        <v>#N/A</v>
      </c>
      <c r="AF129" s="341" t="n">
        <v>40360</v>
      </c>
      <c r="AG129" s="31" t="n">
        <v>21</v>
      </c>
      <c r="AH129" s="31" t="n">
        <v>5</v>
      </c>
      <c r="AI129" s="31" t="n">
        <v>4</v>
      </c>
      <c r="AJ129" s="31" t="n">
        <v>1</v>
      </c>
      <c r="AK129" s="31" t="n">
        <v>31</v>
      </c>
    </row>
    <row r="130" customFormat="false" ht="12.75" hidden="false" customHeight="false" outlineLevel="0" collapsed="false">
      <c r="A130" s="368" t="n">
        <f aca="false">Calculations!A97</f>
        <v>39722</v>
      </c>
      <c r="B130" s="369" t="n">
        <f aca="false">IF(A130="N/A"," ",IF(ISERROR(L130),B118*Inputs!$F$19,L130))</f>
        <v>30.8</v>
      </c>
      <c r="C130" s="370" t="n">
        <f aca="false">IF(A130="N/A"," ",(IF(AND(MONTH(A130)&gt;=6,MONTH(A130)&lt;=8,OR($K$37="REGION 2",$K$37="REGION 2A",$K$37="REGION 2B",$K$37="REGION 3",$K$37="REGION 3A",$K$37="REGION 3B",$K$37="REGION 4",$K$37="REGION 4B",$K$37="REGION 4C",$K$37="REGION 5",$K$37="REGION 5A")),((0.059228/(B130/100))-(0.4980013/(SQRT(B130/100)))+2.137988),HLOOKUP(MONTH(A130),ScalarTable,28))))</f>
        <v>0.986925</v>
      </c>
      <c r="D130" s="371" t="n">
        <f aca="false">IF(A130="N/A"," ",C130*B130)</f>
        <v>30.39729</v>
      </c>
      <c r="E130" s="369" t="n">
        <f aca="false">IF(A130="N/A"," ",IF(ISERROR(M130),E118*Inputs!$F$19,M130))</f>
        <v>24.0005001068115</v>
      </c>
      <c r="F130" s="371" t="n">
        <f aca="false">IF(A130="N/A"," ",E130*C130)</f>
        <v>23.686693567915</v>
      </c>
      <c r="G130" s="369" t="n">
        <f aca="false">IF(A130="N/A"," ",IF(ISERROR(N130),G118*Inputs!$F$19,N130))</f>
        <v>22.0009998321533</v>
      </c>
      <c r="H130" s="371" t="n">
        <f aca="false">IF(A130="N/A"," ",G130*C130)</f>
        <v>21.7133367593479</v>
      </c>
      <c r="I130" s="371" t="n">
        <f aca="false">IF(A130="N/A"," ",IF(ISERROR(O130),I118*Inputs!$F$19,O130))</f>
        <v>19.6499988555908</v>
      </c>
      <c r="J130" s="372" t="e">
        <f aca="false">IF(A130="N/A"," ",IF(ISERROR(P130),J118*Inputs!$F$23,P130))</f>
        <v>#N/A</v>
      </c>
      <c r="L130" s="374" t="n">
        <f aca="false">IF(A130="N/A"," ",VLOOKUP(A130,PeakPowerCurves,(IF('Pricing Inputs'!$AT$3=2,3,IF('Pricing Inputs'!$AT$3=1,2,4))),FALSE()))</f>
        <v>30.8</v>
      </c>
      <c r="M130" s="374" t="n">
        <f aca="false">IF(A130="N/A"," ",VLOOKUP(A130,SatSunPeakPwr,(IF('Pricing Inputs'!$AT$3=2,3,IF('Pricing Inputs'!$AT$3=1,2,4))),FALSE()))</f>
        <v>24.0005001068115</v>
      </c>
      <c r="N130" s="374" t="n">
        <f aca="false">IF(A130="N/A"," ",VLOOKUP(A130,SatSunPeakPwr,(IF('Pricing Inputs'!$AT$3=2,7,IF('Pricing Inputs'!$AT$3=1,6,8))),FALSE()))</f>
        <v>22.0009998321533</v>
      </c>
      <c r="O130" s="375" t="n">
        <f aca="false">IF(A130="N/A"," ",(VLOOKUP(A130,OPPowerPrices,(IF('Pricing Inputs'!$AT$3=2,7,IF('Pricing Inputs'!$AT$3=1,6,8))),FALSE())))</f>
        <v>19.6499988555908</v>
      </c>
      <c r="P130" s="376" t="e">
        <f aca="false">IF(A130="N/A"," ",(VLOOKUP(A130,GasCurves,15,FALSE())))</f>
        <v>#N/A</v>
      </c>
      <c r="AF130" s="341" t="n">
        <v>40391</v>
      </c>
      <c r="AG130" s="31" t="n">
        <v>22</v>
      </c>
      <c r="AH130" s="31" t="n">
        <v>4</v>
      </c>
      <c r="AI130" s="31" t="n">
        <v>5</v>
      </c>
      <c r="AJ130" s="31" t="n">
        <v>0</v>
      </c>
      <c r="AK130" s="31" t="n">
        <v>31</v>
      </c>
    </row>
    <row r="131" customFormat="false" ht="12.75" hidden="false" customHeight="false" outlineLevel="0" collapsed="false">
      <c r="A131" s="368" t="n">
        <f aca="false">Calculations!A98</f>
        <v>39753</v>
      </c>
      <c r="B131" s="369" t="n">
        <f aca="false">IF(A131="N/A"," ",IF(ISERROR(L131),B119*Inputs!$F$19,L131))</f>
        <v>31.175</v>
      </c>
      <c r="C131" s="370" t="n">
        <f aca="false">IF(A131="N/A"," ",(IF(AND(MONTH(A131)&gt;=6,MONTH(A131)&lt;=8,OR($K$37="REGION 2",$K$37="REGION 2A",$K$37="REGION 2B",$K$37="REGION 3",$K$37="REGION 3A",$K$37="REGION 3B",$K$37="REGION 4",$K$37="REGION 4B",$K$37="REGION 4C",$K$37="REGION 5",$K$37="REGION 5A")),((0.059228/(B131/100))-(0.4980013/(SQRT(B131/100)))+2.137988),HLOOKUP(MONTH(A131),ScalarTable,28))))</f>
        <v>0.989225</v>
      </c>
      <c r="D131" s="371" t="n">
        <f aca="false">IF(A131="N/A"," ",C131*B131)</f>
        <v>30.839089375</v>
      </c>
      <c r="E131" s="369" t="n">
        <f aca="false">IF(A131="N/A"," ",IF(ISERROR(M131),E119*Inputs!$F$19,M131))</f>
        <v>25.0047515869141</v>
      </c>
      <c r="F131" s="371" t="n">
        <f aca="false">IF(A131="N/A"," ",E131*C131)</f>
        <v>24.7353253885651</v>
      </c>
      <c r="G131" s="369" t="n">
        <f aca="false">IF(A131="N/A"," ",IF(ISERROR(N131),G119*Inputs!$F$19,N131))</f>
        <v>23.0044998168945</v>
      </c>
      <c r="H131" s="371" t="n">
        <f aca="false">IF(A131="N/A"," ",G131*C131)</f>
        <v>22.7566263313675</v>
      </c>
      <c r="I131" s="371" t="n">
        <f aca="false">IF(A131="N/A"," ",IF(ISERROR(O131),I119*Inputs!$F$19,O131))</f>
        <v>19.5749980926514</v>
      </c>
      <c r="J131" s="372" t="e">
        <f aca="false">IF(A131="N/A"," ",IF(ISERROR(P131),J119*Inputs!$F$23,P131))</f>
        <v>#N/A</v>
      </c>
      <c r="L131" s="374" t="n">
        <f aca="false">IF(A131="N/A"," ",VLOOKUP(A131,PeakPowerCurves,(IF('Pricing Inputs'!$AT$3=2,3,IF('Pricing Inputs'!$AT$3=1,2,4))),FALSE()))</f>
        <v>31.175</v>
      </c>
      <c r="M131" s="374" t="n">
        <f aca="false">IF(A131="N/A"," ",VLOOKUP(A131,SatSunPeakPwr,(IF('Pricing Inputs'!$AT$3=2,3,IF('Pricing Inputs'!$AT$3=1,2,4))),FALSE()))</f>
        <v>25.0047515869141</v>
      </c>
      <c r="N131" s="374" t="n">
        <f aca="false">IF(A131="N/A"," ",VLOOKUP(A131,SatSunPeakPwr,(IF('Pricing Inputs'!$AT$3=2,7,IF('Pricing Inputs'!$AT$3=1,6,8))),FALSE()))</f>
        <v>23.0044998168945</v>
      </c>
      <c r="O131" s="375" t="n">
        <f aca="false">IF(A131="N/A"," ",(VLOOKUP(A131,OPPowerPrices,(IF('Pricing Inputs'!$AT$3=2,7,IF('Pricing Inputs'!$AT$3=1,6,8))),FALSE())))</f>
        <v>19.5749980926514</v>
      </c>
      <c r="P131" s="376" t="e">
        <f aca="false">IF(A131="N/A"," ",(VLOOKUP(A131,GasCurves,15,FALSE())))</f>
        <v>#N/A</v>
      </c>
      <c r="AF131" s="341" t="n">
        <v>40422</v>
      </c>
      <c r="AG131" s="31" t="n">
        <v>21</v>
      </c>
      <c r="AH131" s="31" t="n">
        <v>4</v>
      </c>
      <c r="AI131" s="31" t="n">
        <v>4</v>
      </c>
      <c r="AJ131" s="31" t="n">
        <v>1</v>
      </c>
      <c r="AK131" s="31" t="n">
        <v>30</v>
      </c>
    </row>
    <row r="132" customFormat="false" ht="12.75" hidden="false" customHeight="false" outlineLevel="0" collapsed="false">
      <c r="A132" s="368" t="n">
        <f aca="false">Calculations!A99</f>
        <v>39783</v>
      </c>
      <c r="B132" s="369" t="n">
        <f aca="false">IF(A132="N/A"," ",IF(ISERROR(L132),B120*Inputs!$F$19,L132))</f>
        <v>31.05</v>
      </c>
      <c r="C132" s="370" t="n">
        <f aca="false">IF(A132="N/A"," ",(IF(AND(MONTH(A132)&gt;=6,MONTH(A132)&lt;=8,OR($K$37="REGION 2",$K$37="REGION 2A",$K$37="REGION 2B",$K$37="REGION 3",$K$37="REGION 3A",$K$37="REGION 3B",$K$37="REGION 4",$K$37="REGION 4B",$K$37="REGION 4C",$K$37="REGION 5",$K$37="REGION 5A")),((0.059228/(B132/100))-(0.4980013/(SQRT(B132/100)))+2.137988),HLOOKUP(MONTH(A132),ScalarTable,28))))</f>
        <v>0.978519445147215</v>
      </c>
      <c r="D132" s="371" t="n">
        <f aca="false">IF(A132="N/A"," ",C132*B132)</f>
        <v>30.383028771821</v>
      </c>
      <c r="E132" s="369" t="n">
        <f aca="false">IF(A132="N/A"," ",IF(ISERROR(M132),E120*Inputs!$F$19,M132))</f>
        <v>26.4549983978271</v>
      </c>
      <c r="F132" s="371" t="n">
        <f aca="false">IF(A132="N/A"," ",E132*C132)</f>
        <v>25.8867303536123</v>
      </c>
      <c r="G132" s="369" t="n">
        <f aca="false">IF(A132="N/A"," ",IF(ISERROR(N132),G120*Inputs!$F$19,N132))</f>
        <v>22.9499992370605</v>
      </c>
      <c r="H132" s="371" t="n">
        <f aca="false">IF(A132="N/A"," ",G132*C132)</f>
        <v>22.4570205195775</v>
      </c>
      <c r="I132" s="371" t="n">
        <f aca="false">IF(A132="N/A"," ",IF(ISERROR(O132),I120*Inputs!$F$19,O132))</f>
        <v>20.9999992370605</v>
      </c>
      <c r="J132" s="372" t="e">
        <f aca="false">IF(A132="N/A"," ",IF(ISERROR(P132),J120*Inputs!$F$23,P132))</f>
        <v>#N/A</v>
      </c>
      <c r="L132" s="374" t="n">
        <f aca="false">IF(A132="N/A"," ",VLOOKUP(A132,PeakPowerCurves,(IF('Pricing Inputs'!$AT$3=2,3,IF('Pricing Inputs'!$AT$3=1,2,4))),FALSE()))</f>
        <v>31.05</v>
      </c>
      <c r="M132" s="374" t="n">
        <f aca="false">IF(A132="N/A"," ",VLOOKUP(A132,SatSunPeakPwr,(IF('Pricing Inputs'!$AT$3=2,3,IF('Pricing Inputs'!$AT$3=1,2,4))),FALSE()))</f>
        <v>26.4549983978271</v>
      </c>
      <c r="N132" s="374" t="n">
        <f aca="false">IF(A132="N/A"," ",VLOOKUP(A132,SatSunPeakPwr,(IF('Pricing Inputs'!$AT$3=2,7,IF('Pricing Inputs'!$AT$3=1,6,8))),FALSE()))</f>
        <v>22.9499992370605</v>
      </c>
      <c r="O132" s="375" t="n">
        <f aca="false">IF(A132="N/A"," ",(VLOOKUP(A132,OPPowerPrices,(IF('Pricing Inputs'!$AT$3=2,7,IF('Pricing Inputs'!$AT$3=1,6,8))),FALSE())))</f>
        <v>20.9999992370605</v>
      </c>
      <c r="P132" s="376" t="e">
        <f aca="false">IF(A132="N/A"," ",(VLOOKUP(A132,GasCurves,15,FALSE())))</f>
        <v>#N/A</v>
      </c>
      <c r="AF132" s="341" t="n">
        <v>40452</v>
      </c>
      <c r="AG132" s="31" t="n">
        <v>21</v>
      </c>
      <c r="AH132" s="31" t="n">
        <v>5</v>
      </c>
      <c r="AI132" s="31" t="n">
        <v>5</v>
      </c>
      <c r="AJ132" s="31" t="n">
        <v>0</v>
      </c>
      <c r="AK132" s="31" t="n">
        <v>31</v>
      </c>
    </row>
    <row r="133" customFormat="false" ht="12.75" hidden="false" customHeight="false" outlineLevel="0" collapsed="false">
      <c r="A133" s="368" t="n">
        <f aca="false">Calculations!A100</f>
        <v>39814</v>
      </c>
      <c r="B133" s="369" t="n">
        <f aca="false">IF(A133="N/A"," ",IF(ISERROR(L133),B121*Inputs!$F$19,L133))</f>
        <v>37.15</v>
      </c>
      <c r="C133" s="370" t="n">
        <f aca="false">IF(A133="N/A"," ",(IF(AND(MONTH(A133)&gt;=6,MONTH(A133)&lt;=8,OR($K$37="REGION 2",$K$37="REGION 2A",$K$37="REGION 2B",$K$37="REGION 3",$K$37="REGION 3A",$K$37="REGION 3B",$K$37="REGION 4",$K$37="REGION 4B",$K$37="REGION 4C",$K$37="REGION 5",$K$37="REGION 5A")),((0.059228/(B133/100))-(0.4980013/(SQRT(B133/100)))+2.137988),HLOOKUP(MONTH(A133),ScalarTable,28))))</f>
        <v>0.969145769131439</v>
      </c>
      <c r="D133" s="371" t="n">
        <f aca="false">IF(A133="N/A"," ",C133*B133)</f>
        <v>36.003765323233</v>
      </c>
      <c r="E133" s="369" t="n">
        <f aca="false">IF(A133="N/A"," ",IF(ISERROR(M133),E121*Inputs!$F$19,M133))</f>
        <v>29.8487483978271</v>
      </c>
      <c r="F133" s="371" t="n">
        <f aca="false">IF(A133="N/A"," ",E133*C133)</f>
        <v>28.927788223623</v>
      </c>
      <c r="G133" s="369" t="n">
        <f aca="false">IF(A133="N/A"," ",IF(ISERROR(N133),G121*Inputs!$F$19,N133))</f>
        <v>28.3525001525879</v>
      </c>
      <c r="H133" s="371" t="n">
        <f aca="false">IF(A133="N/A"," ",G133*C133)</f>
        <v>27.477705567179</v>
      </c>
      <c r="I133" s="371" t="n">
        <f aca="false">IF(A133="N/A"," ",IF(ISERROR(O133),I121*Inputs!$F$19,O133))</f>
        <v>20.9900009155273</v>
      </c>
      <c r="J133" s="372" t="e">
        <f aca="false">IF(A133="N/A"," ",IF(ISERROR(P133),J121*Inputs!$F$23,P133))</f>
        <v>#N/A</v>
      </c>
      <c r="L133" s="374" t="n">
        <f aca="false">IF(A133="N/A"," ",VLOOKUP(A133,PeakPowerCurves,(IF('Pricing Inputs'!$AT$3=2,3,IF('Pricing Inputs'!$AT$3=1,2,4))),FALSE()))</f>
        <v>37.15</v>
      </c>
      <c r="M133" s="374" t="n">
        <f aca="false">IF(A133="N/A"," ",VLOOKUP(A133,SatSunPeakPwr,(IF('Pricing Inputs'!$AT$3=2,3,IF('Pricing Inputs'!$AT$3=1,2,4))),FALSE()))</f>
        <v>29.8487483978271</v>
      </c>
      <c r="N133" s="374" t="n">
        <f aca="false">IF(A133="N/A"," ",VLOOKUP(A133,SatSunPeakPwr,(IF('Pricing Inputs'!$AT$3=2,7,IF('Pricing Inputs'!$AT$3=1,6,8))),FALSE()))</f>
        <v>28.3525001525879</v>
      </c>
      <c r="O133" s="375" t="n">
        <f aca="false">IF(A133="N/A"," ",(VLOOKUP(A133,OPPowerPrices,(IF('Pricing Inputs'!$AT$3=2,7,IF('Pricing Inputs'!$AT$3=1,6,8))),FALSE())))</f>
        <v>20.9900009155273</v>
      </c>
      <c r="P133" s="376" t="e">
        <f aca="false">IF(A133="N/A"," ",(VLOOKUP(A133,GasCurves,15,FALSE())))</f>
        <v>#N/A</v>
      </c>
      <c r="AF133" s="341" t="n">
        <v>40483</v>
      </c>
      <c r="AG133" s="31" t="n">
        <v>21</v>
      </c>
      <c r="AH133" s="31" t="n">
        <v>4</v>
      </c>
      <c r="AI133" s="31" t="n">
        <v>4</v>
      </c>
      <c r="AJ133" s="31" t="n">
        <v>1</v>
      </c>
      <c r="AK133" s="31" t="n">
        <v>30</v>
      </c>
    </row>
    <row r="134" customFormat="false" ht="12.75" hidden="false" customHeight="false" outlineLevel="0" collapsed="false">
      <c r="A134" s="368" t="n">
        <f aca="false">Calculations!A101</f>
        <v>39845</v>
      </c>
      <c r="B134" s="369" t="n">
        <f aca="false">IF(A134="N/A"," ",IF(ISERROR(L134),B122*Inputs!$F$19,L134))</f>
        <v>37.15</v>
      </c>
      <c r="C134" s="370" t="n">
        <f aca="false">IF(A134="N/A"," ",(IF(AND(MONTH(A134)&gt;=6,MONTH(A134)&lt;=8,OR($K$37="REGION 2",$K$37="REGION 2A",$K$37="REGION 2B",$K$37="REGION 3",$K$37="REGION 3A",$K$37="REGION 3B",$K$37="REGION 4",$K$37="REGION 4B",$K$37="REGION 4C",$K$37="REGION 5",$K$37="REGION 5A")),((0.059228/(B134/100))-(0.4980013/(SQRT(B134/100)))+2.137988),HLOOKUP(MONTH(A134),ScalarTable,28))))</f>
        <v>0.969145769131439</v>
      </c>
      <c r="D134" s="371" t="n">
        <f aca="false">IF(A134="N/A"," ",C134*B134)</f>
        <v>36.003765323233</v>
      </c>
      <c r="E134" s="369" t="n">
        <f aca="false">IF(A134="N/A"," ",IF(ISERROR(M134),E122*Inputs!$F$19,M134))</f>
        <v>28.8462501525879</v>
      </c>
      <c r="F134" s="371" t="n">
        <f aca="false">IF(A134="N/A"," ",E134*C134)</f>
        <v>27.9562212906877</v>
      </c>
      <c r="G134" s="369" t="n">
        <f aca="false">IF(A134="N/A"," ",IF(ISERROR(N134),G122*Inputs!$F$19,N134))</f>
        <v>26.3474994659424</v>
      </c>
      <c r="H134" s="371" t="n">
        <f aca="false">IF(A134="N/A"," ",G134*C134)</f>
        <v>25.5345676346109</v>
      </c>
      <c r="I134" s="371" t="n">
        <f aca="false">IF(A134="N/A"," ",IF(ISERROR(O134),I122*Inputs!$F$19,O134))</f>
        <v>20.7999977111816</v>
      </c>
      <c r="J134" s="372" t="e">
        <f aca="false">IF(A134="N/A"," ",IF(ISERROR(P134),J122*Inputs!$F$23,P134))</f>
        <v>#N/A</v>
      </c>
      <c r="L134" s="374" t="n">
        <f aca="false">IF(A134="N/A"," ",VLOOKUP(A134,PeakPowerCurves,(IF('Pricing Inputs'!$AT$3=2,3,IF('Pricing Inputs'!$AT$3=1,2,4))),FALSE()))</f>
        <v>37.15</v>
      </c>
      <c r="M134" s="374" t="n">
        <f aca="false">IF(A134="N/A"," ",VLOOKUP(A134,SatSunPeakPwr,(IF('Pricing Inputs'!$AT$3=2,3,IF('Pricing Inputs'!$AT$3=1,2,4))),FALSE()))</f>
        <v>28.8462501525879</v>
      </c>
      <c r="N134" s="374" t="n">
        <f aca="false">IF(A134="N/A"," ",VLOOKUP(A134,SatSunPeakPwr,(IF('Pricing Inputs'!$AT$3=2,7,IF('Pricing Inputs'!$AT$3=1,6,8))),FALSE()))</f>
        <v>26.3474994659424</v>
      </c>
      <c r="O134" s="375" t="n">
        <f aca="false">IF(A134="N/A"," ",(VLOOKUP(A134,OPPowerPrices,(IF('Pricing Inputs'!$AT$3=2,7,IF('Pricing Inputs'!$AT$3=1,6,8))),FALSE())))</f>
        <v>20.7999977111816</v>
      </c>
      <c r="P134" s="376" t="e">
        <f aca="false">IF(A134="N/A"," ",(VLOOKUP(A134,GasCurves,15,FALSE())))</f>
        <v>#N/A</v>
      </c>
      <c r="AF134" s="341" t="n">
        <v>40513</v>
      </c>
      <c r="AG134" s="31" t="n">
        <v>23</v>
      </c>
      <c r="AH134" s="31" t="n">
        <v>3</v>
      </c>
      <c r="AI134" s="31" t="n">
        <v>4</v>
      </c>
      <c r="AJ134" s="31" t="n">
        <v>1</v>
      </c>
      <c r="AK134" s="31" t="n">
        <v>31</v>
      </c>
    </row>
    <row r="135" customFormat="false" ht="12.75" hidden="false" customHeight="false" outlineLevel="0" collapsed="false">
      <c r="A135" s="368" t="n">
        <f aca="false">Calculations!A102</f>
        <v>39873</v>
      </c>
      <c r="B135" s="369" t="n">
        <f aca="false">IF(A135="N/A"," ",IF(ISERROR(L135),B123*Inputs!$F$19,L135))</f>
        <v>33.4</v>
      </c>
      <c r="C135" s="370" t="n">
        <f aca="false">IF(A135="N/A"," ",(IF(AND(MONTH(A135)&gt;=6,MONTH(A135)&lt;=8,OR($K$37="REGION 2",$K$37="REGION 2A",$K$37="REGION 2B",$K$37="REGION 3",$K$37="REGION 3A",$K$37="REGION 3B",$K$37="REGION 4",$K$37="REGION 4B",$K$37="REGION 4C",$K$37="REGION 5",$K$37="REGION 5A")),((0.059228/(B135/100))-(0.4980013/(SQRT(B135/100)))+2.137988),HLOOKUP(MONTH(A135),ScalarTable,28))))</f>
        <v>0.97165</v>
      </c>
      <c r="D135" s="371" t="n">
        <f aca="false">IF(A135="N/A"," ",C135*B135)</f>
        <v>32.45311</v>
      </c>
      <c r="E135" s="369" t="n">
        <f aca="false">IF(A135="N/A"," ",IF(ISERROR(M135),E123*Inputs!$F$19,M135))</f>
        <v>22.0347496032715</v>
      </c>
      <c r="F135" s="371" t="n">
        <f aca="false">IF(A135="N/A"," ",E135*C135)</f>
        <v>21.4100644520187</v>
      </c>
      <c r="G135" s="369" t="n">
        <f aca="false">IF(A135="N/A"," ",IF(ISERROR(N135),G123*Inputs!$F$19,N135))</f>
        <v>21.6644989013672</v>
      </c>
      <c r="H135" s="371" t="n">
        <f aca="false">IF(A135="N/A"," ",G135*C135)</f>
        <v>21.0503103575134</v>
      </c>
      <c r="I135" s="371" t="n">
        <f aca="false">IF(A135="N/A"," ",IF(ISERROR(O135),I123*Inputs!$F$19,O135))</f>
        <v>19.7999996185303</v>
      </c>
      <c r="J135" s="372" t="e">
        <f aca="false">IF(A135="N/A"," ",IF(ISERROR(P135),J123*Inputs!$F$23,P135))</f>
        <v>#N/A</v>
      </c>
      <c r="L135" s="374" t="n">
        <f aca="false">IF(A135="N/A"," ",VLOOKUP(A135,PeakPowerCurves,(IF('Pricing Inputs'!$AT$3=2,3,IF('Pricing Inputs'!$AT$3=1,2,4))),FALSE()))</f>
        <v>33.4</v>
      </c>
      <c r="M135" s="374" t="n">
        <f aca="false">IF(A135="N/A"," ",VLOOKUP(A135,SatSunPeakPwr,(IF('Pricing Inputs'!$AT$3=2,3,IF('Pricing Inputs'!$AT$3=1,2,4))),FALSE()))</f>
        <v>22.0347496032715</v>
      </c>
      <c r="N135" s="374" t="n">
        <f aca="false">IF(A135="N/A"," ",VLOOKUP(A135,SatSunPeakPwr,(IF('Pricing Inputs'!$AT$3=2,7,IF('Pricing Inputs'!$AT$3=1,6,8))),FALSE()))</f>
        <v>21.6644989013672</v>
      </c>
      <c r="O135" s="375" t="n">
        <f aca="false">IF(A135="N/A"," ",(VLOOKUP(A135,OPPowerPrices,(IF('Pricing Inputs'!$AT$3=2,7,IF('Pricing Inputs'!$AT$3=1,6,8))),FALSE())))</f>
        <v>19.7999996185303</v>
      </c>
      <c r="P135" s="376" t="e">
        <f aca="false">IF(A135="N/A"," ",(VLOOKUP(A135,GasCurves,15,FALSE())))</f>
        <v>#N/A</v>
      </c>
      <c r="AF135" s="341" t="n">
        <v>40544</v>
      </c>
      <c r="AG135" s="31" t="n">
        <v>21</v>
      </c>
      <c r="AH135" s="31" t="n">
        <v>4</v>
      </c>
      <c r="AI135" s="31" t="n">
        <v>5</v>
      </c>
      <c r="AJ135" s="31" t="n">
        <v>1</v>
      </c>
      <c r="AK135" s="31" t="n">
        <v>31</v>
      </c>
    </row>
    <row r="136" customFormat="false" ht="12.75" hidden="false" customHeight="false" outlineLevel="0" collapsed="false">
      <c r="A136" s="368" t="n">
        <f aca="false">Calculations!A103</f>
        <v>39904</v>
      </c>
      <c r="B136" s="369" t="n">
        <f aca="false">IF(A136="N/A"," ",IF(ISERROR(L136),B124*Inputs!$F$19,L136))</f>
        <v>32.15</v>
      </c>
      <c r="C136" s="370" t="n">
        <f aca="false">IF(A136="N/A"," ",(IF(AND(MONTH(A136)&gt;=6,MONTH(A136)&lt;=8,OR($K$37="REGION 2",$K$37="REGION 2A",$K$37="REGION 2B",$K$37="REGION 3",$K$37="REGION 3A",$K$37="REGION 3B",$K$37="REGION 4",$K$37="REGION 4B",$K$37="REGION 4C",$K$37="REGION 5",$K$37="REGION 5A")),((0.059228/(B136/100))-(0.4980013/(SQRT(B136/100)))+2.137988),HLOOKUP(MONTH(A136),ScalarTable,28))))</f>
        <v>0.924989009949893</v>
      </c>
      <c r="D136" s="371" t="n">
        <f aca="false">IF(A136="N/A"," ",C136*B136)</f>
        <v>29.7383966698891</v>
      </c>
      <c r="E136" s="369" t="n">
        <f aca="false">IF(A136="N/A"," ",IF(ISERROR(M136),E124*Inputs!$F$19,M136))</f>
        <v>22.7175003051758</v>
      </c>
      <c r="F136" s="371" t="n">
        <f aca="false">IF(A136="N/A"," ",E136*C136)</f>
        <v>21.0134381158209</v>
      </c>
      <c r="G136" s="369" t="n">
        <f aca="false">IF(A136="N/A"," ",IF(ISERROR(N136),G124*Inputs!$F$19,N136))</f>
        <v>21.4349990844727</v>
      </c>
      <c r="H136" s="371" t="n">
        <f aca="false">IF(A136="N/A"," ",G136*C136)</f>
        <v>19.8271385814232</v>
      </c>
      <c r="I136" s="371" t="n">
        <f aca="false">IF(A136="N/A"," ",IF(ISERROR(O136),I124*Inputs!$F$19,O136))</f>
        <v>19.7999977111816</v>
      </c>
      <c r="J136" s="372" t="e">
        <f aca="false">IF(A136="N/A"," ",IF(ISERROR(P136),J124*Inputs!$F$23,P136))</f>
        <v>#N/A</v>
      </c>
      <c r="L136" s="374" t="n">
        <f aca="false">IF(A136="N/A"," ",VLOOKUP(A136,PeakPowerCurves,(IF('Pricing Inputs'!$AT$3=2,3,IF('Pricing Inputs'!$AT$3=1,2,4))),FALSE()))</f>
        <v>32.15</v>
      </c>
      <c r="M136" s="374" t="n">
        <f aca="false">IF(A136="N/A"," ",VLOOKUP(A136,SatSunPeakPwr,(IF('Pricing Inputs'!$AT$3=2,3,IF('Pricing Inputs'!$AT$3=1,2,4))),FALSE()))</f>
        <v>22.7175003051758</v>
      </c>
      <c r="N136" s="374" t="n">
        <f aca="false">IF(A136="N/A"," ",VLOOKUP(A136,SatSunPeakPwr,(IF('Pricing Inputs'!$AT$3=2,7,IF('Pricing Inputs'!$AT$3=1,6,8))),FALSE()))</f>
        <v>21.4349990844727</v>
      </c>
      <c r="O136" s="375" t="n">
        <f aca="false">IF(A136="N/A"," ",(VLOOKUP(A136,OPPowerPrices,(IF('Pricing Inputs'!$AT$3=2,7,IF('Pricing Inputs'!$AT$3=1,6,8))),FALSE())))</f>
        <v>19.7999977111816</v>
      </c>
      <c r="P136" s="376" t="e">
        <f aca="false">IF(A136="N/A"," ",(VLOOKUP(A136,GasCurves,15,FALSE())))</f>
        <v>#N/A</v>
      </c>
      <c r="AF136" s="341" t="n">
        <v>40575</v>
      </c>
      <c r="AG136" s="31" t="n">
        <v>20</v>
      </c>
      <c r="AH136" s="31" t="n">
        <v>4</v>
      </c>
      <c r="AI136" s="31" t="n">
        <v>4</v>
      </c>
      <c r="AJ136" s="31" t="n">
        <v>0</v>
      </c>
      <c r="AK136" s="31" t="n">
        <v>28</v>
      </c>
    </row>
    <row r="137" customFormat="false" ht="12.75" hidden="false" customHeight="false" outlineLevel="0" collapsed="false">
      <c r="A137" s="368" t="n">
        <f aca="false">Calculations!A104</f>
        <v>39934</v>
      </c>
      <c r="B137" s="369" t="n">
        <f aca="false">IF(A137="N/A"," ",IF(ISERROR(L137),B125*Inputs!$F$19,L137))</f>
        <v>34.15</v>
      </c>
      <c r="C137" s="370" t="n">
        <f aca="false">IF(A137="N/A"," ",(IF(AND(MONTH(A137)&gt;=6,MONTH(A137)&lt;=8,OR($K$37="REGION 2",$K$37="REGION 2A",$K$37="REGION 2B",$K$37="REGION 3",$K$37="REGION 3A",$K$37="REGION 3B",$K$37="REGION 4",$K$37="REGION 4B",$K$37="REGION 4C",$K$37="REGION 5",$K$37="REGION 5A")),((0.059228/(B137/100))-(0.4980013/(SQRT(B137/100)))+2.137988),HLOOKUP(MONTH(A137),ScalarTable,28))))</f>
        <v>0.972355461918447</v>
      </c>
      <c r="D137" s="371" t="n">
        <f aca="false">IF(A137="N/A"," ",C137*B137)</f>
        <v>33.205939024515</v>
      </c>
      <c r="E137" s="369" t="n">
        <f aca="false">IF(A137="N/A"," ",IF(ISERROR(M137),E125*Inputs!$F$19,M137))</f>
        <v>22.8325000762939</v>
      </c>
      <c r="F137" s="371" t="n">
        <f aca="false">IF(A137="N/A"," ",E137*C137)</f>
        <v>22.2013061584378</v>
      </c>
      <c r="G137" s="369" t="n">
        <f aca="false">IF(A137="N/A"," ",IF(ISERROR(N137),G125*Inputs!$F$19,N137))</f>
        <v>21.9649997711182</v>
      </c>
      <c r="H137" s="371" t="n">
        <f aca="false">IF(A137="N/A"," ",G137*C137)</f>
        <v>21.3577874984842</v>
      </c>
      <c r="I137" s="371" t="n">
        <f aca="false">IF(A137="N/A"," ",IF(ISERROR(O137),I125*Inputs!$F$19,O137))</f>
        <v>19.7999977111816</v>
      </c>
      <c r="J137" s="372" t="e">
        <f aca="false">IF(A137="N/A"," ",IF(ISERROR(P137),J125*Inputs!$F$23,P137))</f>
        <v>#N/A</v>
      </c>
      <c r="L137" s="374" t="n">
        <f aca="false">IF(A137="N/A"," ",VLOOKUP(A137,PeakPowerCurves,(IF('Pricing Inputs'!$AT$3=2,3,IF('Pricing Inputs'!$AT$3=1,2,4))),FALSE()))</f>
        <v>34.15</v>
      </c>
      <c r="M137" s="374" t="n">
        <f aca="false">IF(A137="N/A"," ",VLOOKUP(A137,SatSunPeakPwr,(IF('Pricing Inputs'!$AT$3=2,3,IF('Pricing Inputs'!$AT$3=1,2,4))),FALSE()))</f>
        <v>22.8325000762939</v>
      </c>
      <c r="N137" s="374" t="n">
        <f aca="false">IF(A137="N/A"," ",VLOOKUP(A137,SatSunPeakPwr,(IF('Pricing Inputs'!$AT$3=2,7,IF('Pricing Inputs'!$AT$3=1,6,8))),FALSE()))</f>
        <v>21.9649997711182</v>
      </c>
      <c r="O137" s="375" t="n">
        <f aca="false">IF(A137="N/A"," ",(VLOOKUP(A137,OPPowerPrices,(IF('Pricing Inputs'!$AT$3=2,7,IF('Pricing Inputs'!$AT$3=1,6,8))),FALSE())))</f>
        <v>19.7999977111816</v>
      </c>
      <c r="P137" s="376" t="e">
        <f aca="false">IF(A137="N/A"," ",(VLOOKUP(A137,GasCurves,15,FALSE())))</f>
        <v>#N/A</v>
      </c>
      <c r="AF137" s="341" t="n">
        <v>40603</v>
      </c>
      <c r="AG137" s="31" t="n">
        <v>23</v>
      </c>
      <c r="AH137" s="31" t="n">
        <v>4</v>
      </c>
      <c r="AI137" s="31" t="n">
        <v>4</v>
      </c>
      <c r="AJ137" s="31" t="n">
        <v>0</v>
      </c>
      <c r="AK137" s="31" t="n">
        <v>31</v>
      </c>
    </row>
    <row r="138" customFormat="false" ht="12.75" hidden="false" customHeight="false" outlineLevel="0" collapsed="false">
      <c r="A138" s="368" t="n">
        <f aca="false">Calculations!A105</f>
        <v>39965</v>
      </c>
      <c r="B138" s="369" t="n">
        <f aca="false">IF(A138="N/A"," ",IF(ISERROR(L138),B126*Inputs!$F$19,L138))</f>
        <v>51.25</v>
      </c>
      <c r="C138" s="370" t="n">
        <f aca="false">IF(A138="N/A"," ",(IF(AND(MONTH(A138)&gt;=6,MONTH(A138)&lt;=8,OR($K$37="REGION 2",$K$37="REGION 2A",$K$37="REGION 2B",$K$37="REGION 3",$K$37="REGION 3A",$K$37="REGION 3B",$K$37="REGION 4",$K$37="REGION 4B",$K$37="REGION 4C",$K$37="REGION 5",$K$37="REGION 5A")),((0.059228/(B138/100))-(0.4980013/(SQRT(B138/100)))+2.137988),HLOOKUP(MONTH(A138),ScalarTable,28))))</f>
        <v>1.14029274839576</v>
      </c>
      <c r="D138" s="371" t="n">
        <f aca="false">IF(A138="N/A"," ",C138*B138)</f>
        <v>58.4400033552825</v>
      </c>
      <c r="E138" s="369" t="n">
        <f aca="false">IF(A138="N/A"," ",IF(ISERROR(M138),E126*Inputs!$F$19,M138))</f>
        <v>27.2587501525879</v>
      </c>
      <c r="F138" s="371" t="n">
        <f aca="false">IF(A138="N/A"," ",E138*C138)</f>
        <v>31.0829551293277</v>
      </c>
      <c r="G138" s="369" t="n">
        <f aca="false">IF(A138="N/A"," ",IF(ISERROR(N138),G126*Inputs!$F$19,N138))</f>
        <v>20.7424995422363</v>
      </c>
      <c r="H138" s="371" t="n">
        <f aca="false">IF(A138="N/A"," ",G138*C138)</f>
        <v>23.6525218116144</v>
      </c>
      <c r="I138" s="371" t="n">
        <f aca="false">IF(A138="N/A"," ",IF(ISERROR(O138),I126*Inputs!$F$19,O138))</f>
        <v>19.7549987792969</v>
      </c>
      <c r="J138" s="372" t="e">
        <f aca="false">IF(A138="N/A"," ",IF(ISERROR(P138),J126*Inputs!$F$23,P138))</f>
        <v>#N/A</v>
      </c>
      <c r="L138" s="374" t="n">
        <f aca="false">IF(A138="N/A"," ",VLOOKUP(A138,PeakPowerCurves,(IF('Pricing Inputs'!$AT$3=2,3,IF('Pricing Inputs'!$AT$3=1,2,4))),FALSE()))</f>
        <v>51.25</v>
      </c>
      <c r="M138" s="374" t="n">
        <f aca="false">IF(A138="N/A"," ",VLOOKUP(A138,SatSunPeakPwr,(IF('Pricing Inputs'!$AT$3=2,3,IF('Pricing Inputs'!$AT$3=1,2,4))),FALSE()))</f>
        <v>27.2587501525879</v>
      </c>
      <c r="N138" s="374" t="n">
        <f aca="false">IF(A138="N/A"," ",VLOOKUP(A138,SatSunPeakPwr,(IF('Pricing Inputs'!$AT$3=2,7,IF('Pricing Inputs'!$AT$3=1,6,8))),FALSE()))</f>
        <v>20.7424995422363</v>
      </c>
      <c r="O138" s="375" t="n">
        <f aca="false">IF(A138="N/A"," ",(VLOOKUP(A138,OPPowerPrices,(IF('Pricing Inputs'!$AT$3=2,7,IF('Pricing Inputs'!$AT$3=1,6,8))),FALSE())))</f>
        <v>19.7549987792969</v>
      </c>
      <c r="P138" s="376" t="e">
        <f aca="false">IF(A138="N/A"," ",(VLOOKUP(A138,GasCurves,15,FALSE())))</f>
        <v>#N/A</v>
      </c>
      <c r="AF138" s="341" t="n">
        <v>40634</v>
      </c>
      <c r="AG138" s="31" t="n">
        <v>21</v>
      </c>
      <c r="AH138" s="31" t="n">
        <v>5</v>
      </c>
      <c r="AI138" s="31" t="n">
        <v>4</v>
      </c>
      <c r="AJ138" s="31" t="n">
        <v>0</v>
      </c>
      <c r="AK138" s="31" t="n">
        <v>30</v>
      </c>
    </row>
    <row r="139" customFormat="false" ht="12.75" hidden="false" customHeight="false" outlineLevel="0" collapsed="false">
      <c r="A139" s="368" t="n">
        <f aca="false">Calculations!A106</f>
        <v>39995</v>
      </c>
      <c r="B139" s="369" t="n">
        <f aca="false">IF(A139="N/A"," ",IF(ISERROR(L139),B127*Inputs!$F$19,L139))</f>
        <v>74.5</v>
      </c>
      <c r="C139" s="370" t="n">
        <f aca="false">IF(A139="N/A"," ",(IF(AND(MONTH(A139)&gt;=6,MONTH(A139)&lt;=8,OR($K$37="REGION 2",$K$37="REGION 2A",$K$37="REGION 2B",$K$37="REGION 3",$K$37="REGION 3A",$K$37="REGION 3B",$K$37="REGION 4",$K$37="REGION 4B",$K$37="REGION 4C",$K$37="REGION 5",$K$37="REGION 5A")),((0.059228/(B139/100))-(0.4980013/(SQRT(B139/100)))+2.137988),HLOOKUP(MONTH(A139),ScalarTable,28))))</f>
        <v>1.19166491456367</v>
      </c>
      <c r="D139" s="371" t="n">
        <f aca="false">IF(A139="N/A"," ",C139*B139)</f>
        <v>88.7790361349933</v>
      </c>
      <c r="E139" s="369" t="n">
        <f aca="false">IF(A139="N/A"," ",IF(ISERROR(M139),E127*Inputs!$F$19,M139))</f>
        <v>40.4612495422363</v>
      </c>
      <c r="F139" s="371" t="n">
        <f aca="false">IF(A139="N/A"," ",E139*C139)</f>
        <v>48.2162514788884</v>
      </c>
      <c r="G139" s="369" t="n">
        <f aca="false">IF(A139="N/A"," ",IF(ISERROR(N139),G127*Inputs!$F$19,N139))</f>
        <v>29.9474994659424</v>
      </c>
      <c r="H139" s="371" t="n">
        <f aca="false">IF(A139="N/A"," ",G139*C139)</f>
        <v>35.6873843924777</v>
      </c>
      <c r="I139" s="371" t="n">
        <f aca="false">IF(A139="N/A"," ",IF(ISERROR(O139),I127*Inputs!$F$19,O139))</f>
        <v>24.2499977111816</v>
      </c>
      <c r="J139" s="372" t="e">
        <f aca="false">IF(A139="N/A"," ",IF(ISERROR(P139),J127*Inputs!$F$23,P139))</f>
        <v>#N/A</v>
      </c>
      <c r="L139" s="374" t="n">
        <f aca="false">IF(A139="N/A"," ",VLOOKUP(A139,PeakPowerCurves,(IF('Pricing Inputs'!$AT$3=2,3,IF('Pricing Inputs'!$AT$3=1,2,4))),FALSE()))</f>
        <v>74.5</v>
      </c>
      <c r="M139" s="374" t="n">
        <f aca="false">IF(A139="N/A"," ",VLOOKUP(A139,SatSunPeakPwr,(IF('Pricing Inputs'!$AT$3=2,3,IF('Pricing Inputs'!$AT$3=1,2,4))),FALSE()))</f>
        <v>40.4612495422363</v>
      </c>
      <c r="N139" s="374" t="n">
        <f aca="false">IF(A139="N/A"," ",VLOOKUP(A139,SatSunPeakPwr,(IF('Pricing Inputs'!$AT$3=2,7,IF('Pricing Inputs'!$AT$3=1,6,8))),FALSE()))</f>
        <v>29.9474994659424</v>
      </c>
      <c r="O139" s="375" t="n">
        <f aca="false">IF(A139="N/A"," ",(VLOOKUP(A139,OPPowerPrices,(IF('Pricing Inputs'!$AT$3=2,7,IF('Pricing Inputs'!$AT$3=1,6,8))),FALSE())))</f>
        <v>24.2499977111816</v>
      </c>
      <c r="P139" s="376" t="e">
        <f aca="false">IF(A139="N/A"," ",(VLOOKUP(A139,GasCurves,15,FALSE())))</f>
        <v>#N/A</v>
      </c>
      <c r="AF139" s="341" t="n">
        <v>40664</v>
      </c>
      <c r="AG139" s="31" t="n">
        <v>21</v>
      </c>
      <c r="AH139" s="31" t="n">
        <v>4</v>
      </c>
      <c r="AI139" s="31" t="n">
        <v>5</v>
      </c>
      <c r="AJ139" s="31" t="n">
        <v>1</v>
      </c>
      <c r="AK139" s="31" t="n">
        <v>31</v>
      </c>
    </row>
    <row r="140" customFormat="false" ht="12.75" hidden="false" customHeight="false" outlineLevel="0" collapsed="false">
      <c r="A140" s="368" t="n">
        <f aca="false">Calculations!A107</f>
        <v>40026</v>
      </c>
      <c r="B140" s="369" t="n">
        <f aca="false">IF(A140="N/A"," ",IF(ISERROR(L140),B128*Inputs!$F$19,L140))</f>
        <v>70</v>
      </c>
      <c r="C140" s="370" t="n">
        <f aca="false">IF(A140="N/A"," ",(IF(AND(MONTH(A140)&gt;=6,MONTH(A140)&lt;=8,OR($K$37="REGION 2",$K$37="REGION 2A",$K$37="REGION 2B",$K$37="REGION 3",$K$37="REGION 3A",$K$37="REGION 3B",$K$37="REGION 4",$K$37="REGION 4B",$K$37="REGION 4C",$K$37="REGION 5",$K$37="REGION 5A")),((0.059228/(B140/100))-(0.4980013/(SQRT(B140/100)))+2.137988),HLOOKUP(MONTH(A140),ScalarTable,28))))</f>
        <v>1.1089289483683</v>
      </c>
      <c r="D140" s="371" t="n">
        <f aca="false">IF(A140="N/A"," ",C140*B140)</f>
        <v>77.6250263857812</v>
      </c>
      <c r="E140" s="369" t="n">
        <f aca="false">IF(A140="N/A"," ",IF(ISERROR(M140),E128*Inputs!$F$19,M140))</f>
        <v>42.7224990844727</v>
      </c>
      <c r="F140" s="371" t="n">
        <f aca="false">IF(A140="N/A"," ",E140*C140)</f>
        <v>47.3762159814101</v>
      </c>
      <c r="G140" s="369" t="n">
        <f aca="false">IF(A140="N/A"," ",IF(ISERROR(N140),G128*Inputs!$F$19,N140))</f>
        <v>31.4450008392334</v>
      </c>
      <c r="H140" s="371" t="n">
        <f aca="false">IF(A140="N/A"," ",G140*C140)</f>
        <v>34.8702717120915</v>
      </c>
      <c r="I140" s="371" t="n">
        <f aca="false">IF(A140="N/A"," ",IF(ISERROR(O140),I128*Inputs!$F$19,O140))</f>
        <v>24.5999980926514</v>
      </c>
      <c r="J140" s="372" t="e">
        <f aca="false">IF(A140="N/A"," ",IF(ISERROR(P140),J128*Inputs!$F$23,P140))</f>
        <v>#N/A</v>
      </c>
      <c r="L140" s="374" t="n">
        <f aca="false">IF(A140="N/A"," ",VLOOKUP(A140,PeakPowerCurves,(IF('Pricing Inputs'!$AT$3=2,3,IF('Pricing Inputs'!$AT$3=1,2,4))),FALSE()))</f>
        <v>70</v>
      </c>
      <c r="M140" s="374" t="n">
        <f aca="false">IF(A140="N/A"," ",VLOOKUP(A140,SatSunPeakPwr,(IF('Pricing Inputs'!$AT$3=2,3,IF('Pricing Inputs'!$AT$3=1,2,4))),FALSE()))</f>
        <v>42.7224990844727</v>
      </c>
      <c r="N140" s="374" t="n">
        <f aca="false">IF(A140="N/A"," ",VLOOKUP(A140,SatSunPeakPwr,(IF('Pricing Inputs'!$AT$3=2,7,IF('Pricing Inputs'!$AT$3=1,6,8))),FALSE()))</f>
        <v>31.4450008392334</v>
      </c>
      <c r="O140" s="375" t="n">
        <f aca="false">IF(A140="N/A"," ",(VLOOKUP(A140,OPPowerPrices,(IF('Pricing Inputs'!$AT$3=2,7,IF('Pricing Inputs'!$AT$3=1,6,8))),FALSE())))</f>
        <v>24.5999980926514</v>
      </c>
      <c r="P140" s="376" t="e">
        <f aca="false">IF(A140="N/A"," ",(VLOOKUP(A140,GasCurves,15,FALSE())))</f>
        <v>#N/A</v>
      </c>
      <c r="AF140" s="341" t="n">
        <v>40695</v>
      </c>
      <c r="AG140" s="31" t="n">
        <v>22</v>
      </c>
      <c r="AH140" s="31" t="n">
        <v>4</v>
      </c>
      <c r="AI140" s="31" t="n">
        <v>4</v>
      </c>
      <c r="AJ140" s="31" t="n">
        <v>0</v>
      </c>
      <c r="AK140" s="31" t="n">
        <v>30</v>
      </c>
    </row>
    <row r="141" customFormat="false" ht="12.75" hidden="false" customHeight="false" outlineLevel="0" collapsed="false">
      <c r="A141" s="368" t="n">
        <f aca="false">Calculations!A108</f>
        <v>40057</v>
      </c>
      <c r="B141" s="369" t="n">
        <f aca="false">IF(A141="N/A"," ",IF(ISERROR(L141),B129*Inputs!$F$19,L141))</f>
        <v>33.15</v>
      </c>
      <c r="C141" s="370" t="n">
        <f aca="false">IF(A141="N/A"," ",(IF(AND(MONTH(A141)&gt;=6,MONTH(A141)&lt;=8,OR($K$37="REGION 2",$K$37="REGION 2A",$K$37="REGION 2B",$K$37="REGION 3",$K$37="REGION 3A",$K$37="REGION 3B",$K$37="REGION 4",$K$37="REGION 4B",$K$37="REGION 4C",$K$37="REGION 5",$K$37="REGION 5A")),((0.059228/(B141/100))-(0.4980013/(SQRT(B141/100)))+2.137988),HLOOKUP(MONTH(A141),ScalarTable,28))))</f>
        <v>1.09653379232051</v>
      </c>
      <c r="D141" s="371" t="n">
        <f aca="false">IF(A141="N/A"," ",C141*B141)</f>
        <v>36.3500952154249</v>
      </c>
      <c r="E141" s="369" t="n">
        <f aca="false">IF(A141="N/A"," ",IF(ISERROR(M141),E129*Inputs!$F$19,M141))</f>
        <v>24.1049991607666</v>
      </c>
      <c r="F141" s="371" t="n">
        <f aca="false">IF(A141="N/A"," ",E141*C141)</f>
        <v>26.4319461436381</v>
      </c>
      <c r="G141" s="369" t="n">
        <f aca="false">IF(A141="N/A"," ",IF(ISERROR(N141),G129*Inputs!$F$19,N141))</f>
        <v>24.6</v>
      </c>
      <c r="H141" s="371" t="n">
        <f aca="false">IF(A141="N/A"," ",G141*C141)</f>
        <v>26.9747312910846</v>
      </c>
      <c r="I141" s="371" t="n">
        <f aca="false">IF(A141="N/A"," ",IF(ISERROR(O141),I129*Inputs!$F$19,O141))</f>
        <v>20.1499980926514</v>
      </c>
      <c r="J141" s="372" t="e">
        <f aca="false">IF(A141="N/A"," ",IF(ISERROR(P141),J129*Inputs!$F$23,P141))</f>
        <v>#N/A</v>
      </c>
      <c r="L141" s="374" t="n">
        <f aca="false">IF(A141="N/A"," ",VLOOKUP(A141,PeakPowerCurves,(IF('Pricing Inputs'!$AT$3=2,3,IF('Pricing Inputs'!$AT$3=1,2,4))),FALSE()))</f>
        <v>33.15</v>
      </c>
      <c r="M141" s="374" t="n">
        <f aca="false">IF(A141="N/A"," ",VLOOKUP(A141,SatSunPeakPwr,(IF('Pricing Inputs'!$AT$3=2,3,IF('Pricing Inputs'!$AT$3=1,2,4))),FALSE()))</f>
        <v>24.1049991607666</v>
      </c>
      <c r="N141" s="374" t="n">
        <f aca="false">IF(A141="N/A"," ",VLOOKUP(A141,SatSunPeakPwr,(IF('Pricing Inputs'!$AT$3=2,7,IF('Pricing Inputs'!$AT$3=1,6,8))),FALSE()))</f>
        <v>24.6</v>
      </c>
      <c r="O141" s="375" t="n">
        <f aca="false">IF(A141="N/A"," ",(VLOOKUP(A141,OPPowerPrices,(IF('Pricing Inputs'!$AT$3=2,7,IF('Pricing Inputs'!$AT$3=1,6,8))),FALSE())))</f>
        <v>20.1499980926514</v>
      </c>
      <c r="P141" s="376" t="e">
        <f aca="false">IF(A141="N/A"," ",(VLOOKUP(A141,GasCurves,15,FALSE())))</f>
        <v>#N/A</v>
      </c>
      <c r="AF141" s="341" t="n">
        <v>40725</v>
      </c>
      <c r="AG141" s="31" t="n">
        <v>20</v>
      </c>
      <c r="AH141" s="31" t="n">
        <v>5</v>
      </c>
      <c r="AI141" s="31" t="n">
        <v>5</v>
      </c>
      <c r="AJ141" s="31" t="n">
        <v>1</v>
      </c>
      <c r="AK141" s="31" t="n">
        <v>31</v>
      </c>
    </row>
    <row r="142" customFormat="false" ht="12.75" hidden="false" customHeight="false" outlineLevel="0" collapsed="false">
      <c r="A142" s="368" t="n">
        <f aca="false">Calculations!A109</f>
        <v>40087</v>
      </c>
      <c r="B142" s="369" t="n">
        <f aca="false">IF(A142="N/A"," ",IF(ISERROR(L142),B130*Inputs!$F$19,L142))</f>
        <v>30.9</v>
      </c>
      <c r="C142" s="370" t="n">
        <f aca="false">IF(A142="N/A"," ",(IF(AND(MONTH(A142)&gt;=6,MONTH(A142)&lt;=8,OR($K$37="REGION 2",$K$37="REGION 2A",$K$37="REGION 2B",$K$37="REGION 3",$K$37="REGION 3A",$K$37="REGION 3B",$K$37="REGION 4",$K$37="REGION 4B",$K$37="REGION 4C",$K$37="REGION 5",$K$37="REGION 5A")),((0.059228/(B142/100))-(0.4980013/(SQRT(B142/100)))+2.137988),HLOOKUP(MONTH(A142),ScalarTable,28))))</f>
        <v>0.986925</v>
      </c>
      <c r="D142" s="371" t="n">
        <f aca="false">IF(A142="N/A"," ",C142*B142)</f>
        <v>30.4959825</v>
      </c>
      <c r="E142" s="369" t="n">
        <f aca="false">IF(A142="N/A"," ",IF(ISERROR(M142),E130*Inputs!$F$19,M142))</f>
        <v>24.2005001068115</v>
      </c>
      <c r="F142" s="371" t="n">
        <f aca="false">IF(A142="N/A"," ",E142*C142)</f>
        <v>23.884078567915</v>
      </c>
      <c r="G142" s="369" t="n">
        <f aca="false">IF(A142="N/A"," ",IF(ISERROR(N142),G130*Inputs!$F$19,N142))</f>
        <v>22.2009998321533</v>
      </c>
      <c r="H142" s="371" t="n">
        <f aca="false">IF(A142="N/A"," ",G142*C142)</f>
        <v>21.9107217593479</v>
      </c>
      <c r="I142" s="371" t="n">
        <f aca="false">IF(A142="N/A"," ",IF(ISERROR(O142),I130*Inputs!$F$19,O142))</f>
        <v>19.8499988555908</v>
      </c>
      <c r="J142" s="372" t="e">
        <f aca="false">IF(A142="N/A"," ",IF(ISERROR(P142),J130*Inputs!$F$23,P142))</f>
        <v>#N/A</v>
      </c>
      <c r="L142" s="374" t="n">
        <f aca="false">IF(A142="N/A"," ",VLOOKUP(A142,PeakPowerCurves,(IF('Pricing Inputs'!$AT$3=2,3,IF('Pricing Inputs'!$AT$3=1,2,4))),FALSE()))</f>
        <v>30.9</v>
      </c>
      <c r="M142" s="374" t="n">
        <f aca="false">IF(A142="N/A"," ",VLOOKUP(A142,SatSunPeakPwr,(IF('Pricing Inputs'!$AT$3=2,3,IF('Pricing Inputs'!$AT$3=1,2,4))),FALSE()))</f>
        <v>24.2005001068115</v>
      </c>
      <c r="N142" s="374" t="n">
        <f aca="false">IF(A142="N/A"," ",VLOOKUP(A142,SatSunPeakPwr,(IF('Pricing Inputs'!$AT$3=2,7,IF('Pricing Inputs'!$AT$3=1,6,8))),FALSE()))</f>
        <v>22.2009998321533</v>
      </c>
      <c r="O142" s="375" t="n">
        <f aca="false">IF(A142="N/A"," ",(VLOOKUP(A142,OPPowerPrices,(IF('Pricing Inputs'!$AT$3=2,7,IF('Pricing Inputs'!$AT$3=1,6,8))),FALSE())))</f>
        <v>19.8499988555908</v>
      </c>
      <c r="P142" s="376" t="e">
        <f aca="false">IF(A142="N/A"," ",(VLOOKUP(A142,GasCurves,15,FALSE())))</f>
        <v>#N/A</v>
      </c>
      <c r="AF142" s="341" t="n">
        <v>40756</v>
      </c>
      <c r="AG142" s="31" t="n">
        <v>23</v>
      </c>
      <c r="AH142" s="31" t="n">
        <v>4</v>
      </c>
      <c r="AI142" s="31" t="n">
        <v>4</v>
      </c>
      <c r="AJ142" s="31" t="n">
        <v>0</v>
      </c>
      <c r="AK142" s="31" t="n">
        <v>31</v>
      </c>
    </row>
    <row r="143" customFormat="false" ht="12.75" hidden="false" customHeight="false" outlineLevel="0" collapsed="false">
      <c r="A143" s="368" t="n">
        <f aca="false">Calculations!A110</f>
        <v>40118</v>
      </c>
      <c r="B143" s="369" t="n">
        <f aca="false">IF(A143="N/A"," ",IF(ISERROR(L143),B131*Inputs!$F$19,L143))</f>
        <v>31.275</v>
      </c>
      <c r="C143" s="370" t="n">
        <f aca="false">IF(A143="N/A"," ",(IF(AND(MONTH(A143)&gt;=6,MONTH(A143)&lt;=8,OR($K$37="REGION 2",$K$37="REGION 2A",$K$37="REGION 2B",$K$37="REGION 3",$K$37="REGION 3A",$K$37="REGION 3B",$K$37="REGION 4",$K$37="REGION 4B",$K$37="REGION 4C",$K$37="REGION 5",$K$37="REGION 5A")),((0.059228/(B143/100))-(0.4980013/(SQRT(B143/100)))+2.137988),HLOOKUP(MONTH(A143),ScalarTable,28))))</f>
        <v>0.989225</v>
      </c>
      <c r="D143" s="371" t="n">
        <f aca="false">IF(A143="N/A"," ",C143*B143)</f>
        <v>30.938011875</v>
      </c>
      <c r="E143" s="369" t="n">
        <f aca="false">IF(A143="N/A"," ",IF(ISERROR(M143),E131*Inputs!$F$19,M143))</f>
        <v>25.2047515869141</v>
      </c>
      <c r="F143" s="371" t="n">
        <f aca="false">IF(A143="N/A"," ",E143*C143)</f>
        <v>24.9331703885651</v>
      </c>
      <c r="G143" s="369" t="n">
        <f aca="false">IF(A143="N/A"," ",IF(ISERROR(N143),G131*Inputs!$F$19,N143))</f>
        <v>23.2044998168945</v>
      </c>
      <c r="H143" s="371" t="n">
        <f aca="false">IF(A143="N/A"," ",G143*C143)</f>
        <v>22.9544713313675</v>
      </c>
      <c r="I143" s="371" t="n">
        <f aca="false">IF(A143="N/A"," ",IF(ISERROR(O143),I131*Inputs!$F$19,O143))</f>
        <v>19.7749980926514</v>
      </c>
      <c r="J143" s="372" t="e">
        <f aca="false">IF(A143="N/A"," ",IF(ISERROR(P143),J131*Inputs!$F$23,P143))</f>
        <v>#N/A</v>
      </c>
      <c r="L143" s="374" t="n">
        <f aca="false">IF(A143="N/A"," ",VLOOKUP(A143,PeakPowerCurves,(IF('Pricing Inputs'!$AT$3=2,3,IF('Pricing Inputs'!$AT$3=1,2,4))),FALSE()))</f>
        <v>31.275</v>
      </c>
      <c r="M143" s="374" t="n">
        <f aca="false">IF(A143="N/A"," ",VLOOKUP(A143,SatSunPeakPwr,(IF('Pricing Inputs'!$AT$3=2,3,IF('Pricing Inputs'!$AT$3=1,2,4))),FALSE()))</f>
        <v>25.2047515869141</v>
      </c>
      <c r="N143" s="374" t="n">
        <f aca="false">IF(A143="N/A"," ",VLOOKUP(A143,SatSunPeakPwr,(IF('Pricing Inputs'!$AT$3=2,7,IF('Pricing Inputs'!$AT$3=1,6,8))),FALSE()))</f>
        <v>23.2044998168945</v>
      </c>
      <c r="O143" s="375" t="n">
        <f aca="false">IF(A143="N/A"," ",(VLOOKUP(A143,OPPowerPrices,(IF('Pricing Inputs'!$AT$3=2,7,IF('Pricing Inputs'!$AT$3=1,6,8))),FALSE())))</f>
        <v>19.7749980926514</v>
      </c>
      <c r="P143" s="376" t="e">
        <f aca="false">IF(A143="N/A"," ",(VLOOKUP(A143,GasCurves,15,FALSE())))</f>
        <v>#N/A</v>
      </c>
      <c r="AF143" s="341" t="n">
        <v>40787</v>
      </c>
      <c r="AG143" s="31" t="n">
        <v>21</v>
      </c>
      <c r="AH143" s="31" t="n">
        <v>4</v>
      </c>
      <c r="AI143" s="31" t="n">
        <v>4</v>
      </c>
      <c r="AJ143" s="31" t="n">
        <v>1</v>
      </c>
      <c r="AK143" s="31" t="n">
        <v>30</v>
      </c>
    </row>
    <row r="144" customFormat="false" ht="12.75" hidden="false" customHeight="false" outlineLevel="0" collapsed="false">
      <c r="A144" s="368" t="n">
        <f aca="false">Calculations!A111</f>
        <v>40148</v>
      </c>
      <c r="B144" s="369" t="n">
        <f aca="false">IF(A144="N/A"," ",IF(ISERROR(L144),B132*Inputs!$F$19,L144))</f>
        <v>31.15</v>
      </c>
      <c r="C144" s="370" t="n">
        <f aca="false">IF(A144="N/A"," ",(IF(AND(MONTH(A144)&gt;=6,MONTH(A144)&lt;=8,OR($K$37="REGION 2",$K$37="REGION 2A",$K$37="REGION 2B",$K$37="REGION 3",$K$37="REGION 3A",$K$37="REGION 3B",$K$37="REGION 4",$K$37="REGION 4B",$K$37="REGION 4C",$K$37="REGION 5",$K$37="REGION 5A")),((0.059228/(B144/100))-(0.4980013/(SQRT(B144/100)))+2.137988),HLOOKUP(MONTH(A144),ScalarTable,28))))</f>
        <v>0.978519445147215</v>
      </c>
      <c r="D144" s="371" t="n">
        <f aca="false">IF(A144="N/A"," ",C144*B144)</f>
        <v>30.4808807163357</v>
      </c>
      <c r="E144" s="369" t="n">
        <f aca="false">IF(A144="N/A"," ",IF(ISERROR(M144),E132*Inputs!$F$19,M144))</f>
        <v>26.6549983978271</v>
      </c>
      <c r="F144" s="371" t="n">
        <f aca="false">IF(A144="N/A"," ",E144*C144)</f>
        <v>26.0824342426417</v>
      </c>
      <c r="G144" s="369" t="n">
        <f aca="false">IF(A144="N/A"," ",IF(ISERROR(N144),G132*Inputs!$F$19,N144))</f>
        <v>23.1499992370605</v>
      </c>
      <c r="H144" s="371" t="n">
        <f aca="false">IF(A144="N/A"," ",G144*C144)</f>
        <v>22.6527244086069</v>
      </c>
      <c r="I144" s="371" t="n">
        <f aca="false">IF(A144="N/A"," ",IF(ISERROR(O144),I132*Inputs!$F$19,O144))</f>
        <v>21.1999992370605</v>
      </c>
      <c r="J144" s="372" t="e">
        <f aca="false">IF(A144="N/A"," ",IF(ISERROR(P144),J132*Inputs!$F$23,P144))</f>
        <v>#N/A</v>
      </c>
      <c r="L144" s="374" t="n">
        <f aca="false">IF(A144="N/A"," ",VLOOKUP(A144,PeakPowerCurves,(IF('Pricing Inputs'!$AT$3=2,3,IF('Pricing Inputs'!$AT$3=1,2,4))),FALSE()))</f>
        <v>31.15</v>
      </c>
      <c r="M144" s="374" t="n">
        <f aca="false">IF(A144="N/A"," ",VLOOKUP(A144,SatSunPeakPwr,(IF('Pricing Inputs'!$AT$3=2,3,IF('Pricing Inputs'!$AT$3=1,2,4))),FALSE()))</f>
        <v>26.6549983978271</v>
      </c>
      <c r="N144" s="374" t="n">
        <f aca="false">IF(A144="N/A"," ",VLOOKUP(A144,SatSunPeakPwr,(IF('Pricing Inputs'!$AT$3=2,7,IF('Pricing Inputs'!$AT$3=1,6,8))),FALSE()))</f>
        <v>23.1499992370605</v>
      </c>
      <c r="O144" s="375" t="n">
        <f aca="false">IF(A144="N/A"," ",(VLOOKUP(A144,OPPowerPrices,(IF('Pricing Inputs'!$AT$3=2,7,IF('Pricing Inputs'!$AT$3=1,6,8))),FALSE())))</f>
        <v>21.1999992370605</v>
      </c>
      <c r="P144" s="376" t="e">
        <f aca="false">IF(A144="N/A"," ",(VLOOKUP(A144,GasCurves,15,FALSE())))</f>
        <v>#N/A</v>
      </c>
      <c r="AF144" s="341" t="n">
        <v>40817</v>
      </c>
      <c r="AG144" s="31" t="n">
        <v>21</v>
      </c>
      <c r="AH144" s="31" t="n">
        <v>5</v>
      </c>
      <c r="AI144" s="31" t="n">
        <v>5</v>
      </c>
      <c r="AJ144" s="31" t="n">
        <v>0</v>
      </c>
      <c r="AK144" s="31" t="n">
        <v>31</v>
      </c>
    </row>
    <row r="145" customFormat="false" ht="12.75" hidden="false" customHeight="false" outlineLevel="0" collapsed="false">
      <c r="A145" s="368" t="n">
        <f aca="false">Calculations!A112</f>
        <v>40179</v>
      </c>
      <c r="B145" s="369" t="n">
        <f aca="false">IF(A145="N/A"," ",IF(ISERROR(L145),B133*Inputs!$F$19,L145))</f>
        <v>37.45</v>
      </c>
      <c r="C145" s="370" t="n">
        <f aca="false">IF(A145="N/A"," ",(IF(AND(MONTH(A145)&gt;=6,MONTH(A145)&lt;=8,OR($K$37="REGION 2",$K$37="REGION 2A",$K$37="REGION 2B",$K$37="REGION 3",$K$37="REGION 3A",$K$37="REGION 3B",$K$37="REGION 4",$K$37="REGION 4B",$K$37="REGION 4C",$K$37="REGION 5",$K$37="REGION 5A")),((0.059228/(B145/100))-(0.4980013/(SQRT(B145/100)))+2.137988),HLOOKUP(MONTH(A145),ScalarTable,28))))</f>
        <v>0.969145769131439</v>
      </c>
      <c r="D145" s="371" t="n">
        <f aca="false">IF(A145="N/A"," ",C145*B145)</f>
        <v>36.2945090539724</v>
      </c>
      <c r="E145" s="369" t="n">
        <f aca="false">IF(A145="N/A"," ",IF(ISERROR(M145),E133*Inputs!$F$19,M145))</f>
        <v>30.0487483978271</v>
      </c>
      <c r="F145" s="371" t="n">
        <f aca="false">IF(A145="N/A"," ",E145*C145)</f>
        <v>29.1216173774493</v>
      </c>
      <c r="G145" s="369" t="n">
        <f aca="false">IF(A145="N/A"," ",IF(ISERROR(N145),G133*Inputs!$F$19,N145))</f>
        <v>28.5525001525879</v>
      </c>
      <c r="H145" s="371" t="n">
        <f aca="false">IF(A145="N/A"," ",G145*C145)</f>
        <v>27.6715347210053</v>
      </c>
      <c r="I145" s="371" t="n">
        <f aca="false">IF(A145="N/A"," ",IF(ISERROR(O145),I133*Inputs!$F$19,O145))</f>
        <v>21.1900009155273</v>
      </c>
      <c r="J145" s="372" t="e">
        <f aca="false">IF(A145="N/A"," ",IF(ISERROR(P145),J133*Inputs!$F$23,P145))</f>
        <v>#N/A</v>
      </c>
      <c r="L145" s="374" t="n">
        <f aca="false">IF(A145="N/A"," ",VLOOKUP(A145,PeakPowerCurves,(IF('Pricing Inputs'!$AT$3=2,3,IF('Pricing Inputs'!$AT$3=1,2,4))),FALSE()))</f>
        <v>37.45</v>
      </c>
      <c r="M145" s="374" t="n">
        <f aca="false">IF(A145="N/A"," ",VLOOKUP(A145,SatSunPeakPwr,(IF('Pricing Inputs'!$AT$3=2,3,IF('Pricing Inputs'!$AT$3=1,2,4))),FALSE()))</f>
        <v>30.0487483978271</v>
      </c>
      <c r="N145" s="374" t="n">
        <f aca="false">IF(A145="N/A"," ",VLOOKUP(A145,SatSunPeakPwr,(IF('Pricing Inputs'!$AT$3=2,7,IF('Pricing Inputs'!$AT$3=1,6,8))),FALSE()))</f>
        <v>28.5525001525879</v>
      </c>
      <c r="O145" s="375" t="n">
        <f aca="false">IF(A145="N/A"," ",(VLOOKUP(A145,OPPowerPrices,(IF('Pricing Inputs'!$AT$3=2,7,IF('Pricing Inputs'!$AT$3=1,6,8))),FALSE())))</f>
        <v>21.1900009155273</v>
      </c>
      <c r="P145" s="376" t="e">
        <f aca="false">IF(A145="N/A"," ",(VLOOKUP(A145,GasCurves,15,FALSE())))</f>
        <v>#N/A</v>
      </c>
      <c r="AF145" s="341" t="n">
        <v>40848</v>
      </c>
      <c r="AG145" s="31" t="n">
        <v>21</v>
      </c>
      <c r="AH145" s="31" t="n">
        <v>4</v>
      </c>
      <c r="AI145" s="31" t="n">
        <v>4</v>
      </c>
      <c r="AJ145" s="31" t="n">
        <v>1</v>
      </c>
      <c r="AK145" s="31" t="n">
        <v>30</v>
      </c>
    </row>
    <row r="146" customFormat="false" ht="12.75" hidden="false" customHeight="false" outlineLevel="0" collapsed="false">
      <c r="A146" s="368" t="n">
        <f aca="false">Calculations!A113</f>
        <v>40210</v>
      </c>
      <c r="B146" s="369" t="n">
        <f aca="false">IF(A146="N/A"," ",IF(ISERROR(L146),B134*Inputs!$F$19,L146))</f>
        <v>37.45</v>
      </c>
      <c r="C146" s="370" t="n">
        <f aca="false">IF(A146="N/A"," ",(IF(AND(MONTH(A146)&gt;=6,MONTH(A146)&lt;=8,OR($K$37="REGION 2",$K$37="REGION 2A",$K$37="REGION 2B",$K$37="REGION 3",$K$37="REGION 3A",$K$37="REGION 3B",$K$37="REGION 4",$K$37="REGION 4B",$K$37="REGION 4C",$K$37="REGION 5",$K$37="REGION 5A")),((0.059228/(B146/100))-(0.4980013/(SQRT(B146/100)))+2.137988),HLOOKUP(MONTH(A146),ScalarTable,28))))</f>
        <v>0.969145769131439</v>
      </c>
      <c r="D146" s="371" t="n">
        <f aca="false">IF(A146="N/A"," ",C146*B146)</f>
        <v>36.2945090539724</v>
      </c>
      <c r="E146" s="369" t="n">
        <f aca="false">IF(A146="N/A"," ",IF(ISERROR(M146),E134*Inputs!$F$19,M146))</f>
        <v>29.0462501525879</v>
      </c>
      <c r="F146" s="371" t="n">
        <f aca="false">IF(A146="N/A"," ",E146*C146)</f>
        <v>28.150050444514</v>
      </c>
      <c r="G146" s="369" t="n">
        <f aca="false">IF(A146="N/A"," ",IF(ISERROR(N146),G134*Inputs!$F$19,N146))</f>
        <v>26.5474994659424</v>
      </c>
      <c r="H146" s="371" t="n">
        <f aca="false">IF(A146="N/A"," ",G146*C146)</f>
        <v>25.7283967884372</v>
      </c>
      <c r="I146" s="371" t="n">
        <f aca="false">IF(A146="N/A"," ",IF(ISERROR(O146),I134*Inputs!$F$19,O146))</f>
        <v>20.9999977111816</v>
      </c>
      <c r="J146" s="372" t="e">
        <f aca="false">IF(A146="N/A"," ",IF(ISERROR(P146),J134*Inputs!$F$23,P146))</f>
        <v>#N/A</v>
      </c>
      <c r="L146" s="374" t="n">
        <f aca="false">IF(A146="N/A"," ",VLOOKUP(A146,PeakPowerCurves,(IF('Pricing Inputs'!$AT$3=2,3,IF('Pricing Inputs'!$AT$3=1,2,4))),FALSE()))</f>
        <v>37.45</v>
      </c>
      <c r="M146" s="374" t="n">
        <f aca="false">IF(A146="N/A"," ",VLOOKUP(A146,SatSunPeakPwr,(IF('Pricing Inputs'!$AT$3=2,3,IF('Pricing Inputs'!$AT$3=1,2,4))),FALSE()))</f>
        <v>29.0462501525879</v>
      </c>
      <c r="N146" s="374" t="n">
        <f aca="false">IF(A146="N/A"," ",VLOOKUP(A146,SatSunPeakPwr,(IF('Pricing Inputs'!$AT$3=2,7,IF('Pricing Inputs'!$AT$3=1,6,8))),FALSE()))</f>
        <v>26.5474994659424</v>
      </c>
      <c r="O146" s="375" t="n">
        <f aca="false">IF(A146="N/A"," ",(VLOOKUP(A146,OPPowerPrices,(IF('Pricing Inputs'!$AT$3=2,7,IF('Pricing Inputs'!$AT$3=1,6,8))),FALSE())))</f>
        <v>20.9999977111816</v>
      </c>
      <c r="P146" s="376" t="e">
        <f aca="false">IF(A146="N/A"," ",(VLOOKUP(A146,GasCurves,15,FALSE())))</f>
        <v>#N/A</v>
      </c>
      <c r="AF146" s="341" t="n">
        <v>40878</v>
      </c>
      <c r="AG146" s="31" t="n">
        <v>21</v>
      </c>
      <c r="AH146" s="31" t="n">
        <v>5</v>
      </c>
      <c r="AI146" s="31" t="n">
        <v>4</v>
      </c>
      <c r="AJ146" s="31" t="n">
        <v>1</v>
      </c>
      <c r="AK146" s="31" t="n">
        <v>31</v>
      </c>
    </row>
    <row r="147" customFormat="false" ht="12.75" hidden="false" customHeight="false" outlineLevel="0" collapsed="false">
      <c r="A147" s="368" t="n">
        <f aca="false">Calculations!A114</f>
        <v>40238</v>
      </c>
      <c r="B147" s="369" t="n">
        <f aca="false">IF(A147="N/A"," ",IF(ISERROR(L147),B135*Inputs!$F$19,L147))</f>
        <v>33.7</v>
      </c>
      <c r="C147" s="370" t="n">
        <f aca="false">IF(A147="N/A"," ",(IF(AND(MONTH(A147)&gt;=6,MONTH(A147)&lt;=8,OR($K$37="REGION 2",$K$37="REGION 2A",$K$37="REGION 2B",$K$37="REGION 3",$K$37="REGION 3A",$K$37="REGION 3B",$K$37="REGION 4",$K$37="REGION 4B",$K$37="REGION 4C",$K$37="REGION 5",$K$37="REGION 5A")),((0.059228/(B147/100))-(0.4980013/(SQRT(B147/100)))+2.137988),HLOOKUP(MONTH(A147),ScalarTable,28))))</f>
        <v>0.97165</v>
      </c>
      <c r="D147" s="371" t="n">
        <f aca="false">IF(A147="N/A"," ",C147*B147)</f>
        <v>32.744605</v>
      </c>
      <c r="E147" s="369" t="n">
        <f aca="false">IF(A147="N/A"," ",IF(ISERROR(M147),E135*Inputs!$F$19,M147))</f>
        <v>22.2347496032715</v>
      </c>
      <c r="F147" s="371" t="n">
        <f aca="false">IF(A147="N/A"," ",E147*C147)</f>
        <v>21.6043944520187</v>
      </c>
      <c r="G147" s="369" t="n">
        <f aca="false">IF(A147="N/A"," ",IF(ISERROR(N147),G135*Inputs!$F$19,N147))</f>
        <v>21.8644989013672</v>
      </c>
      <c r="H147" s="371" t="n">
        <f aca="false">IF(A147="N/A"," ",G147*C147)</f>
        <v>21.2446403575134</v>
      </c>
      <c r="I147" s="371" t="n">
        <f aca="false">IF(A147="N/A"," ",IF(ISERROR(O147),I135*Inputs!$F$19,O147))</f>
        <v>19.9999996185303</v>
      </c>
      <c r="J147" s="372" t="e">
        <f aca="false">IF(A147="N/A"," ",IF(ISERROR(P147),J135*Inputs!$F$23,P147))</f>
        <v>#N/A</v>
      </c>
      <c r="L147" s="374" t="n">
        <f aca="false">IF(A147="N/A"," ",VLOOKUP(A147,PeakPowerCurves,(IF('Pricing Inputs'!$AT$3=2,3,IF('Pricing Inputs'!$AT$3=1,2,4))),FALSE()))</f>
        <v>33.7</v>
      </c>
      <c r="M147" s="374" t="n">
        <f aca="false">IF(A147="N/A"," ",VLOOKUP(A147,SatSunPeakPwr,(IF('Pricing Inputs'!$AT$3=2,3,IF('Pricing Inputs'!$AT$3=1,2,4))),FALSE()))</f>
        <v>22.2347496032715</v>
      </c>
      <c r="N147" s="374" t="n">
        <f aca="false">IF(A147="N/A"," ",VLOOKUP(A147,SatSunPeakPwr,(IF('Pricing Inputs'!$AT$3=2,7,IF('Pricing Inputs'!$AT$3=1,6,8))),FALSE()))</f>
        <v>21.8644989013672</v>
      </c>
      <c r="O147" s="375" t="n">
        <f aca="false">IF(A147="N/A"," ",(VLOOKUP(A147,OPPowerPrices,(IF('Pricing Inputs'!$AT$3=2,7,IF('Pricing Inputs'!$AT$3=1,6,8))),FALSE())))</f>
        <v>19.9999996185303</v>
      </c>
      <c r="P147" s="376" t="e">
        <f aca="false">IF(A147="N/A"," ",(VLOOKUP(A147,GasCurves,15,FALSE())))</f>
        <v>#N/A</v>
      </c>
      <c r="AF147" s="341" t="n">
        <v>40909</v>
      </c>
      <c r="AG147" s="31" t="n">
        <v>21</v>
      </c>
      <c r="AH147" s="31" t="n">
        <v>4</v>
      </c>
      <c r="AI147" s="31" t="n">
        <v>5</v>
      </c>
      <c r="AJ147" s="31" t="n">
        <v>1</v>
      </c>
      <c r="AK147" s="31" t="n">
        <v>31</v>
      </c>
    </row>
    <row r="148" customFormat="false" ht="12.75" hidden="false" customHeight="false" outlineLevel="0" collapsed="false">
      <c r="A148" s="368" t="n">
        <f aca="false">Calculations!A115</f>
        <v>40269</v>
      </c>
      <c r="B148" s="369" t="n">
        <f aca="false">IF(A148="N/A"," ",IF(ISERROR(L148),B136*Inputs!$F$19,L148))</f>
        <v>32.45</v>
      </c>
      <c r="C148" s="370" t="n">
        <f aca="false">IF(A148="N/A"," ",(IF(AND(MONTH(A148)&gt;=6,MONTH(A148)&lt;=8,OR($K$37="REGION 2",$K$37="REGION 2A",$K$37="REGION 2B",$K$37="REGION 3",$K$37="REGION 3A",$K$37="REGION 3B",$K$37="REGION 4",$K$37="REGION 4B",$K$37="REGION 4C",$K$37="REGION 5",$K$37="REGION 5A")),((0.059228/(B148/100))-(0.4980013/(SQRT(B148/100)))+2.137988),HLOOKUP(MONTH(A148),ScalarTable,28))))</f>
        <v>0.924989009949893</v>
      </c>
      <c r="D148" s="371" t="n">
        <f aca="false">IF(A148="N/A"," ",C148*B148)</f>
        <v>30.015893372874</v>
      </c>
      <c r="E148" s="369" t="n">
        <f aca="false">IF(A148="N/A"," ",IF(ISERROR(M148),E136*Inputs!$F$19,M148))</f>
        <v>22.9175003051758</v>
      </c>
      <c r="F148" s="371" t="n">
        <f aca="false">IF(A148="N/A"," ",E148*C148)</f>
        <v>21.1984359178109</v>
      </c>
      <c r="G148" s="369" t="n">
        <f aca="false">IF(A148="N/A"," ",IF(ISERROR(N148),G136*Inputs!$F$19,N148))</f>
        <v>21.6349990844727</v>
      </c>
      <c r="H148" s="371" t="n">
        <f aca="false">IF(A148="N/A"," ",G148*C148)</f>
        <v>20.0121363834132</v>
      </c>
      <c r="I148" s="371" t="n">
        <f aca="false">IF(A148="N/A"," ",IF(ISERROR(O148),I136*Inputs!$F$19,O148))</f>
        <v>19.9999977111816</v>
      </c>
      <c r="J148" s="372" t="e">
        <f aca="false">IF(A148="N/A"," ",IF(ISERROR(P148),J136*Inputs!$F$23,P148))</f>
        <v>#N/A</v>
      </c>
      <c r="L148" s="374" t="n">
        <f aca="false">IF(A148="N/A"," ",VLOOKUP(A148,PeakPowerCurves,(IF('Pricing Inputs'!$AT$3=2,3,IF('Pricing Inputs'!$AT$3=1,2,4))),FALSE()))</f>
        <v>32.45</v>
      </c>
      <c r="M148" s="374" t="n">
        <f aca="false">IF(A148="N/A"," ",VLOOKUP(A148,SatSunPeakPwr,(IF('Pricing Inputs'!$AT$3=2,3,IF('Pricing Inputs'!$AT$3=1,2,4))),FALSE()))</f>
        <v>22.9175003051758</v>
      </c>
      <c r="N148" s="374" t="n">
        <f aca="false">IF(A148="N/A"," ",VLOOKUP(A148,SatSunPeakPwr,(IF('Pricing Inputs'!$AT$3=2,7,IF('Pricing Inputs'!$AT$3=1,6,8))),FALSE()))</f>
        <v>21.6349990844727</v>
      </c>
      <c r="O148" s="375" t="n">
        <f aca="false">IF(A148="N/A"," ",(VLOOKUP(A148,OPPowerPrices,(IF('Pricing Inputs'!$AT$3=2,7,IF('Pricing Inputs'!$AT$3=1,6,8))),FALSE())))</f>
        <v>19.9999977111816</v>
      </c>
      <c r="P148" s="376" t="e">
        <f aca="false">IF(A148="N/A"," ",(VLOOKUP(A148,GasCurves,15,FALSE())))</f>
        <v>#N/A</v>
      </c>
      <c r="AF148" s="341" t="n">
        <v>40940</v>
      </c>
      <c r="AG148" s="31" t="n">
        <v>21</v>
      </c>
      <c r="AH148" s="31" t="n">
        <v>4</v>
      </c>
      <c r="AI148" s="31" t="n">
        <v>4</v>
      </c>
      <c r="AJ148" s="31" t="n">
        <v>0</v>
      </c>
      <c r="AK148" s="31" t="n">
        <v>29</v>
      </c>
    </row>
    <row r="149" customFormat="false" ht="12.75" hidden="false" customHeight="false" outlineLevel="0" collapsed="false">
      <c r="A149" s="368" t="n">
        <f aca="false">Calculations!A116</f>
        <v>40299</v>
      </c>
      <c r="B149" s="369" t="n">
        <f aca="false">IF(A149="N/A"," ",IF(ISERROR(L149),B137*Inputs!$F$19,L149))</f>
        <v>34.65</v>
      </c>
      <c r="C149" s="370" t="n">
        <f aca="false">IF(A149="N/A"," ",(IF(AND(MONTH(A149)&gt;=6,MONTH(A149)&lt;=8,OR($K$37="REGION 2",$K$37="REGION 2A",$K$37="REGION 2B",$K$37="REGION 3",$K$37="REGION 3A",$K$37="REGION 3B",$K$37="REGION 4",$K$37="REGION 4B",$K$37="REGION 4C",$K$37="REGION 5",$K$37="REGION 5A")),((0.059228/(B149/100))-(0.4980013/(SQRT(B149/100)))+2.137988),HLOOKUP(MONTH(A149),ScalarTable,28))))</f>
        <v>0.972355461918447</v>
      </c>
      <c r="D149" s="371" t="n">
        <f aca="false">IF(A149="N/A"," ",C149*B149)</f>
        <v>33.6921167554742</v>
      </c>
      <c r="E149" s="369" t="n">
        <f aca="false">IF(A149="N/A"," ",IF(ISERROR(M149),E137*Inputs!$F$19,M149))</f>
        <v>23.0325000762939</v>
      </c>
      <c r="F149" s="371" t="n">
        <f aca="false">IF(A149="N/A"," ",E149*C149)</f>
        <v>22.3957772508215</v>
      </c>
      <c r="G149" s="369" t="n">
        <f aca="false">IF(A149="N/A"," ",IF(ISERROR(N149),G137*Inputs!$F$19,N149))</f>
        <v>22.1649997711182</v>
      </c>
      <c r="H149" s="371" t="n">
        <f aca="false">IF(A149="N/A"," ",G149*C149)</f>
        <v>21.5522585908679</v>
      </c>
      <c r="I149" s="371" t="n">
        <f aca="false">IF(A149="N/A"," ",IF(ISERROR(O149),I137*Inputs!$F$19,O149))</f>
        <v>19.9999977111816</v>
      </c>
      <c r="J149" s="372" t="e">
        <f aca="false">IF(A149="N/A"," ",IF(ISERROR(P149),J137*Inputs!$F$23,P149))</f>
        <v>#N/A</v>
      </c>
      <c r="L149" s="374" t="n">
        <f aca="false">IF(A149="N/A"," ",VLOOKUP(A149,PeakPowerCurves,(IF('Pricing Inputs'!$AT$3=2,3,IF('Pricing Inputs'!$AT$3=1,2,4))),FALSE()))</f>
        <v>34.65</v>
      </c>
      <c r="M149" s="374" t="n">
        <f aca="false">IF(A149="N/A"," ",VLOOKUP(A149,SatSunPeakPwr,(IF('Pricing Inputs'!$AT$3=2,3,IF('Pricing Inputs'!$AT$3=1,2,4))),FALSE()))</f>
        <v>23.0325000762939</v>
      </c>
      <c r="N149" s="374" t="n">
        <f aca="false">IF(A149="N/A"," ",VLOOKUP(A149,SatSunPeakPwr,(IF('Pricing Inputs'!$AT$3=2,7,IF('Pricing Inputs'!$AT$3=1,6,8))),FALSE()))</f>
        <v>22.1649997711182</v>
      </c>
      <c r="O149" s="375" t="n">
        <f aca="false">IF(A149="N/A"," ",(VLOOKUP(A149,OPPowerPrices,(IF('Pricing Inputs'!$AT$3=2,7,IF('Pricing Inputs'!$AT$3=1,6,8))),FALSE())))</f>
        <v>19.9999977111816</v>
      </c>
      <c r="P149" s="376" t="e">
        <f aca="false">IF(A149="N/A"," ",(VLOOKUP(A149,GasCurves,15,FALSE())))</f>
        <v>#N/A</v>
      </c>
      <c r="AF149" s="341" t="n">
        <v>40969</v>
      </c>
      <c r="AG149" s="31" t="n">
        <v>22</v>
      </c>
      <c r="AH149" s="31" t="n">
        <v>5</v>
      </c>
      <c r="AI149" s="31" t="n">
        <v>4</v>
      </c>
      <c r="AJ149" s="31" t="n">
        <v>0</v>
      </c>
      <c r="AK149" s="31" t="n">
        <v>31</v>
      </c>
    </row>
    <row r="150" customFormat="false" ht="12.75" hidden="false" customHeight="false" outlineLevel="0" collapsed="false">
      <c r="A150" s="368" t="n">
        <f aca="false">Calculations!A117</f>
        <v>40330</v>
      </c>
      <c r="B150" s="369" t="n">
        <f aca="false">IF(A150="N/A"," ",IF(ISERROR(L150),B138*Inputs!$F$19,L150))</f>
        <v>52.25</v>
      </c>
      <c r="C150" s="370" t="n">
        <f aca="false">IF(A150="N/A"," ",(IF(AND(MONTH(A150)&gt;=6,MONTH(A150)&lt;=8,OR($K$37="REGION 2",$K$37="REGION 2A",$K$37="REGION 2B",$K$37="REGION 3",$K$37="REGION 3A",$K$37="REGION 3B",$K$37="REGION 4",$K$37="REGION 4B",$K$37="REGION 4C",$K$37="REGION 5",$K$37="REGION 5A")),((0.059228/(B150/100))-(0.4980013/(SQRT(B150/100)))+2.137988),HLOOKUP(MONTH(A150),ScalarTable,28))))</f>
        <v>1.14029274839576</v>
      </c>
      <c r="D150" s="371" t="n">
        <f aca="false">IF(A150="N/A"," ",C150*B150)</f>
        <v>59.5802961036782</v>
      </c>
      <c r="E150" s="369" t="n">
        <f aca="false">IF(A150="N/A"," ",IF(ISERROR(M150),E138*Inputs!$F$19,M150))</f>
        <v>27.4587501525879</v>
      </c>
      <c r="F150" s="371" t="n">
        <f aca="false">IF(A150="N/A"," ",E150*C150)</f>
        <v>31.3110136790068</v>
      </c>
      <c r="G150" s="369" t="n">
        <f aca="false">IF(A150="N/A"," ",IF(ISERROR(N150),G138*Inputs!$F$19,N150))</f>
        <v>20.9424995422363</v>
      </c>
      <c r="H150" s="371" t="n">
        <f aca="false">IF(A150="N/A"," ",G150*C150)</f>
        <v>23.8805803612935</v>
      </c>
      <c r="I150" s="371" t="n">
        <f aca="false">IF(A150="N/A"," ",IF(ISERROR(O150),I138*Inputs!$F$19,O150))</f>
        <v>19.9549987792969</v>
      </c>
      <c r="J150" s="372" t="e">
        <f aca="false">IF(A150="N/A"," ",IF(ISERROR(P150),J138*Inputs!$F$23,P150))</f>
        <v>#N/A</v>
      </c>
      <c r="L150" s="374" t="n">
        <f aca="false">IF(A150="N/A"," ",VLOOKUP(A150,PeakPowerCurves,(IF('Pricing Inputs'!$AT$3=2,3,IF('Pricing Inputs'!$AT$3=1,2,4))),FALSE()))</f>
        <v>52.25</v>
      </c>
      <c r="M150" s="374" t="n">
        <f aca="false">IF(A150="N/A"," ",VLOOKUP(A150,SatSunPeakPwr,(IF('Pricing Inputs'!$AT$3=2,3,IF('Pricing Inputs'!$AT$3=1,2,4))),FALSE()))</f>
        <v>27.4587501525879</v>
      </c>
      <c r="N150" s="374" t="n">
        <f aca="false">IF(A150="N/A"," ",VLOOKUP(A150,SatSunPeakPwr,(IF('Pricing Inputs'!$AT$3=2,7,IF('Pricing Inputs'!$AT$3=1,6,8))),FALSE()))</f>
        <v>20.9424995422363</v>
      </c>
      <c r="O150" s="375" t="n">
        <f aca="false">IF(A150="N/A"," ",(VLOOKUP(A150,OPPowerPrices,(IF('Pricing Inputs'!$AT$3=2,7,IF('Pricing Inputs'!$AT$3=1,6,8))),FALSE())))</f>
        <v>19.9549987792969</v>
      </c>
      <c r="P150" s="376" t="e">
        <f aca="false">IF(A150="N/A"," ",(VLOOKUP(A150,GasCurves,15,FALSE())))</f>
        <v>#N/A</v>
      </c>
      <c r="AF150" s="341" t="n">
        <v>41000</v>
      </c>
      <c r="AG150" s="31" t="n">
        <v>21</v>
      </c>
      <c r="AH150" s="31" t="n">
        <v>4</v>
      </c>
      <c r="AI150" s="31" t="n">
        <v>5</v>
      </c>
      <c r="AJ150" s="31" t="n">
        <v>0</v>
      </c>
      <c r="AK150" s="31" t="n">
        <v>30</v>
      </c>
    </row>
    <row r="151" customFormat="false" ht="12.75" hidden="false" customHeight="false" outlineLevel="0" collapsed="false">
      <c r="A151" s="368" t="n">
        <f aca="false">Calculations!A118</f>
        <v>40360</v>
      </c>
      <c r="B151" s="369" t="n">
        <f aca="false">IF(A151="N/A"," ",IF(ISERROR(L151),B139*Inputs!$F$19,L151))</f>
        <v>76.5</v>
      </c>
      <c r="C151" s="370" t="n">
        <f aca="false">IF(A151="N/A"," ",(IF(AND(MONTH(A151)&gt;=6,MONTH(A151)&lt;=8,OR($K$37="REGION 2",$K$37="REGION 2A",$K$37="REGION 2B",$K$37="REGION 3",$K$37="REGION 3A",$K$37="REGION 3B",$K$37="REGION 4",$K$37="REGION 4B",$K$37="REGION 4C",$K$37="REGION 5",$K$37="REGION 5A")),((0.059228/(B151/100))-(0.4980013/(SQRT(B151/100)))+2.137988),HLOOKUP(MONTH(A151),ScalarTable,28))))</f>
        <v>1.19166491456367</v>
      </c>
      <c r="D151" s="371" t="n">
        <f aca="false">IF(A151="N/A"," ",C151*B151)</f>
        <v>91.1623659641207</v>
      </c>
      <c r="E151" s="369" t="n">
        <f aca="false">IF(A151="N/A"," ",IF(ISERROR(M151),E139*Inputs!$F$19,M151))</f>
        <v>40.6612495422364</v>
      </c>
      <c r="F151" s="371" t="n">
        <f aca="false">IF(A151="N/A"," ",E151*C151)</f>
        <v>48.4545844618011</v>
      </c>
      <c r="G151" s="369" t="n">
        <f aca="false">IF(A151="N/A"," ",IF(ISERROR(N151),G139*Inputs!$F$19,N151))</f>
        <v>30.1474994659424</v>
      </c>
      <c r="H151" s="371" t="n">
        <f aca="false">IF(A151="N/A"," ",G151*C151)</f>
        <v>35.9257173753905</v>
      </c>
      <c r="I151" s="371" t="n">
        <f aca="false">IF(A151="N/A"," ",IF(ISERROR(O151),I139*Inputs!$F$19,O151))</f>
        <v>24.4499977111816</v>
      </c>
      <c r="J151" s="372" t="e">
        <f aca="false">IF(A151="N/A"," ",IF(ISERROR(P151),J139*Inputs!$F$23,P151))</f>
        <v>#N/A</v>
      </c>
      <c r="L151" s="374" t="n">
        <f aca="false">IF(A151="N/A"," ",VLOOKUP(A151,PeakPowerCurves,(IF('Pricing Inputs'!$AT$3=2,3,IF('Pricing Inputs'!$AT$3=1,2,4))),FALSE()))</f>
        <v>76.5</v>
      </c>
      <c r="M151" s="374" t="n">
        <f aca="false">IF(A151="N/A"," ",VLOOKUP(A151,SatSunPeakPwr,(IF('Pricing Inputs'!$AT$3=2,3,IF('Pricing Inputs'!$AT$3=1,2,4))),FALSE()))</f>
        <v>40.6612495422364</v>
      </c>
      <c r="N151" s="374" t="n">
        <f aca="false">IF(A151="N/A"," ",VLOOKUP(A151,SatSunPeakPwr,(IF('Pricing Inputs'!$AT$3=2,7,IF('Pricing Inputs'!$AT$3=1,6,8))),FALSE()))</f>
        <v>30.1474994659424</v>
      </c>
      <c r="O151" s="375" t="n">
        <f aca="false">IF(A151="N/A"," ",(VLOOKUP(A151,OPPowerPrices,(IF('Pricing Inputs'!$AT$3=2,7,IF('Pricing Inputs'!$AT$3=1,6,8))),FALSE())))</f>
        <v>24.4499977111816</v>
      </c>
      <c r="P151" s="376" t="e">
        <f aca="false">IF(A151="N/A"," ",(VLOOKUP(A151,GasCurves,15,FALSE())))</f>
        <v>#N/A</v>
      </c>
      <c r="AF151" s="341" t="n">
        <v>41030</v>
      </c>
      <c r="AG151" s="31" t="n">
        <v>22</v>
      </c>
      <c r="AH151" s="31" t="n">
        <v>4</v>
      </c>
      <c r="AI151" s="31" t="n">
        <v>4</v>
      </c>
      <c r="AJ151" s="31" t="n">
        <v>1</v>
      </c>
      <c r="AK151" s="31" t="n">
        <v>31</v>
      </c>
    </row>
    <row r="152" customFormat="false" ht="12.75" hidden="false" customHeight="false" outlineLevel="0" collapsed="false">
      <c r="A152" s="368" t="n">
        <f aca="false">Calculations!A119</f>
        <v>40391</v>
      </c>
      <c r="B152" s="369" t="n">
        <f aca="false">IF(A152="N/A"," ",IF(ISERROR(L152),B140*Inputs!$F$19,L152))</f>
        <v>72</v>
      </c>
      <c r="C152" s="370" t="n">
        <f aca="false">IF(A152="N/A"," ",(IF(AND(MONTH(A152)&gt;=6,MONTH(A152)&lt;=8,OR($K$37="REGION 2",$K$37="REGION 2A",$K$37="REGION 2B",$K$37="REGION 3",$K$37="REGION 3A",$K$37="REGION 3B",$K$37="REGION 4",$K$37="REGION 4B",$K$37="REGION 4C",$K$37="REGION 5",$K$37="REGION 5A")),((0.059228/(B152/100))-(0.4980013/(SQRT(B152/100)))+2.137988),HLOOKUP(MONTH(A152),ScalarTable,28))))</f>
        <v>1.1089289483683</v>
      </c>
      <c r="D152" s="371" t="n">
        <f aca="false">IF(A152="N/A"," ",C152*B152)</f>
        <v>79.8428842825178</v>
      </c>
      <c r="E152" s="369" t="n">
        <f aca="false">IF(A152="N/A"," ",IF(ISERROR(M152),E140*Inputs!$F$19,M152))</f>
        <v>42.9224990844727</v>
      </c>
      <c r="F152" s="371" t="n">
        <f aca="false">IF(A152="N/A"," ",E152*C152)</f>
        <v>47.5980017710837</v>
      </c>
      <c r="G152" s="369" t="n">
        <f aca="false">IF(A152="N/A"," ",IF(ISERROR(N152),G140*Inputs!$F$19,N152))</f>
        <v>31.6450008392334</v>
      </c>
      <c r="H152" s="371" t="n">
        <f aca="false">IF(A152="N/A"," ",G152*C152)</f>
        <v>35.0920575017652</v>
      </c>
      <c r="I152" s="371" t="n">
        <f aca="false">IF(A152="N/A"," ",IF(ISERROR(O152),I140*Inputs!$F$19,O152))</f>
        <v>24.7999980926514</v>
      </c>
      <c r="J152" s="372" t="e">
        <f aca="false">IF(A152="N/A"," ",IF(ISERROR(P152),J140*Inputs!$F$23,P152))</f>
        <v>#N/A</v>
      </c>
      <c r="L152" s="374" t="n">
        <f aca="false">IF(A152="N/A"," ",VLOOKUP(A152,PeakPowerCurves,(IF('Pricing Inputs'!$AT$3=2,3,IF('Pricing Inputs'!$AT$3=1,2,4))),FALSE()))</f>
        <v>72</v>
      </c>
      <c r="M152" s="374" t="n">
        <f aca="false">IF(A152="N/A"," ",VLOOKUP(A152,SatSunPeakPwr,(IF('Pricing Inputs'!$AT$3=2,3,IF('Pricing Inputs'!$AT$3=1,2,4))),FALSE()))</f>
        <v>42.9224990844727</v>
      </c>
      <c r="N152" s="374" t="n">
        <f aca="false">IF(A152="N/A"," ",VLOOKUP(A152,SatSunPeakPwr,(IF('Pricing Inputs'!$AT$3=2,7,IF('Pricing Inputs'!$AT$3=1,6,8))),FALSE()))</f>
        <v>31.6450008392334</v>
      </c>
      <c r="O152" s="375" t="n">
        <f aca="false">IF(A152="N/A"," ",(VLOOKUP(A152,OPPowerPrices,(IF('Pricing Inputs'!$AT$3=2,7,IF('Pricing Inputs'!$AT$3=1,6,8))),FALSE())))</f>
        <v>24.7999980926514</v>
      </c>
      <c r="P152" s="376" t="e">
        <f aca="false">IF(A152="N/A"," ",(VLOOKUP(A152,GasCurves,15,FALSE())))</f>
        <v>#N/A</v>
      </c>
      <c r="AF152" s="341" t="n">
        <v>41061</v>
      </c>
      <c r="AG152" s="31" t="n">
        <v>21</v>
      </c>
      <c r="AH152" s="31" t="n">
        <v>5</v>
      </c>
      <c r="AI152" s="31" t="n">
        <v>4</v>
      </c>
      <c r="AJ152" s="31" t="n">
        <v>0</v>
      </c>
      <c r="AK152" s="31" t="n">
        <v>30</v>
      </c>
    </row>
    <row r="153" customFormat="false" ht="12.75" hidden="false" customHeight="false" outlineLevel="0" collapsed="false">
      <c r="A153" s="368" t="n">
        <f aca="false">Calculations!A120</f>
        <v>40422</v>
      </c>
      <c r="B153" s="369" t="n">
        <f aca="false">IF(A153="N/A"," ",IF(ISERROR(L153),B141*Inputs!$F$19,L153))</f>
        <v>33.45</v>
      </c>
      <c r="C153" s="370" t="n">
        <f aca="false">IF(A153="N/A"," ",(IF(AND(MONTH(A153)&gt;=6,MONTH(A153)&lt;=8,OR($K$37="REGION 2",$K$37="REGION 2A",$K$37="REGION 2B",$K$37="REGION 3",$K$37="REGION 3A",$K$37="REGION 3B",$K$37="REGION 4",$K$37="REGION 4B",$K$37="REGION 4C",$K$37="REGION 5",$K$37="REGION 5A")),((0.059228/(B153/100))-(0.4980013/(SQRT(B153/100)))+2.137988),HLOOKUP(MONTH(A153),ScalarTable,28))))</f>
        <v>1.09653379232051</v>
      </c>
      <c r="D153" s="371" t="n">
        <f aca="false">IF(A153="N/A"," ",C153*B153)</f>
        <v>36.6790553531211</v>
      </c>
      <c r="E153" s="369" t="n">
        <f aca="false">IF(A153="N/A"," ",IF(ISERROR(M153),E141*Inputs!$F$19,M153))</f>
        <v>24.3049991607666</v>
      </c>
      <c r="F153" s="371" t="n">
        <f aca="false">IF(A153="N/A"," ",E153*C153)</f>
        <v>26.6512529021022</v>
      </c>
      <c r="G153" s="369" t="n">
        <f aca="false">IF(A153="N/A"," ",IF(ISERROR(N153),G141*Inputs!$F$19,N153))</f>
        <v>24.8</v>
      </c>
      <c r="H153" s="371" t="n">
        <f aca="false">IF(A153="N/A"," ",G153*C153)</f>
        <v>27.1940380495487</v>
      </c>
      <c r="I153" s="371" t="n">
        <f aca="false">IF(A153="N/A"," ",IF(ISERROR(O153),I141*Inputs!$F$19,O153))</f>
        <v>20.3499980926514</v>
      </c>
      <c r="J153" s="372" t="e">
        <f aca="false">IF(A153="N/A"," ",IF(ISERROR(P153),J141*Inputs!$F$23,P153))</f>
        <v>#N/A</v>
      </c>
      <c r="L153" s="374" t="n">
        <f aca="false">IF(A153="N/A"," ",VLOOKUP(A153,PeakPowerCurves,(IF('Pricing Inputs'!$AT$3=2,3,IF('Pricing Inputs'!$AT$3=1,2,4))),FALSE()))</f>
        <v>33.45</v>
      </c>
      <c r="M153" s="374" t="n">
        <f aca="false">IF(A153="N/A"," ",VLOOKUP(A153,SatSunPeakPwr,(IF('Pricing Inputs'!$AT$3=2,3,IF('Pricing Inputs'!$AT$3=1,2,4))),FALSE()))</f>
        <v>24.3049991607666</v>
      </c>
      <c r="N153" s="374" t="n">
        <f aca="false">IF(A153="N/A"," ",VLOOKUP(A153,SatSunPeakPwr,(IF('Pricing Inputs'!$AT$3=2,7,IF('Pricing Inputs'!$AT$3=1,6,8))),FALSE()))</f>
        <v>24.8</v>
      </c>
      <c r="O153" s="375" t="n">
        <f aca="false">IF(A153="N/A"," ",(VLOOKUP(A153,OPPowerPrices,(IF('Pricing Inputs'!$AT$3=2,7,IF('Pricing Inputs'!$AT$3=1,6,8))),FALSE())))</f>
        <v>20.3499980926514</v>
      </c>
      <c r="P153" s="376" t="e">
        <f aca="false">IF(A153="N/A"," ",(VLOOKUP(A153,GasCurves,15,FALSE())))</f>
        <v>#N/A</v>
      </c>
      <c r="AF153" s="341" t="n">
        <v>41091</v>
      </c>
      <c r="AG153" s="31" t="n">
        <v>21</v>
      </c>
      <c r="AH153" s="31" t="n">
        <v>4</v>
      </c>
      <c r="AI153" s="31" t="n">
        <v>5</v>
      </c>
      <c r="AJ153" s="31" t="n">
        <v>1</v>
      </c>
      <c r="AK153" s="31" t="n">
        <v>31</v>
      </c>
    </row>
    <row r="154" customFormat="false" ht="12.75" hidden="false" customHeight="false" outlineLevel="0" collapsed="false">
      <c r="A154" s="368" t="n">
        <f aca="false">Calculations!A121</f>
        <v>40452</v>
      </c>
      <c r="B154" s="369" t="n">
        <f aca="false">IF(A154="N/A"," ",IF(ISERROR(L154),B142*Inputs!$F$19,L154))</f>
        <v>31.2</v>
      </c>
      <c r="C154" s="370" t="n">
        <f aca="false">IF(A154="N/A"," ",(IF(AND(MONTH(A154)&gt;=6,MONTH(A154)&lt;=8,OR($K$37="REGION 2",$K$37="REGION 2A",$K$37="REGION 2B",$K$37="REGION 3",$K$37="REGION 3A",$K$37="REGION 3B",$K$37="REGION 4",$K$37="REGION 4B",$K$37="REGION 4C",$K$37="REGION 5",$K$37="REGION 5A")),((0.059228/(B154/100))-(0.4980013/(SQRT(B154/100)))+2.137988),HLOOKUP(MONTH(A154),ScalarTable,28))))</f>
        <v>0.986925</v>
      </c>
      <c r="D154" s="371" t="n">
        <f aca="false">IF(A154="N/A"," ",C154*B154)</f>
        <v>30.79206</v>
      </c>
      <c r="E154" s="369" t="n">
        <f aca="false">IF(A154="N/A"," ",IF(ISERROR(M154),E142*Inputs!$F$19,M154))</f>
        <v>24.4005001068115</v>
      </c>
      <c r="F154" s="371" t="n">
        <f aca="false">IF(A154="N/A"," ",E154*C154)</f>
        <v>24.081463567915</v>
      </c>
      <c r="G154" s="369" t="n">
        <f aca="false">IF(A154="N/A"," ",IF(ISERROR(N154),G142*Inputs!$F$19,N154))</f>
        <v>22.4009998321533</v>
      </c>
      <c r="H154" s="371" t="n">
        <f aca="false">IF(A154="N/A"," ",G154*C154)</f>
        <v>22.1081067593479</v>
      </c>
      <c r="I154" s="371" t="n">
        <f aca="false">IF(A154="N/A"," ",IF(ISERROR(O154),I142*Inputs!$F$19,O154))</f>
        <v>20.0499988555908</v>
      </c>
      <c r="J154" s="372" t="e">
        <f aca="false">IF(A154="N/A"," ",IF(ISERROR(P154),J142*Inputs!$F$23,P154))</f>
        <v>#N/A</v>
      </c>
      <c r="L154" s="374" t="n">
        <f aca="false">IF(A154="N/A"," ",VLOOKUP(A154,PeakPowerCurves,(IF('Pricing Inputs'!$AT$3=2,3,IF('Pricing Inputs'!$AT$3=1,2,4))),FALSE()))</f>
        <v>31.2</v>
      </c>
      <c r="M154" s="374" t="n">
        <f aca="false">IF(A154="N/A"," ",VLOOKUP(A154,SatSunPeakPwr,(IF('Pricing Inputs'!$AT$3=2,3,IF('Pricing Inputs'!$AT$3=1,2,4))),FALSE()))</f>
        <v>24.4005001068115</v>
      </c>
      <c r="N154" s="374" t="n">
        <f aca="false">IF(A154="N/A"," ",VLOOKUP(A154,SatSunPeakPwr,(IF('Pricing Inputs'!$AT$3=2,7,IF('Pricing Inputs'!$AT$3=1,6,8))),FALSE()))</f>
        <v>22.4009998321533</v>
      </c>
      <c r="O154" s="375" t="n">
        <f aca="false">IF(A154="N/A"," ",(VLOOKUP(A154,OPPowerPrices,(IF('Pricing Inputs'!$AT$3=2,7,IF('Pricing Inputs'!$AT$3=1,6,8))),FALSE())))</f>
        <v>20.0499988555908</v>
      </c>
      <c r="P154" s="376" t="e">
        <f aca="false">IF(A154="N/A"," ",(VLOOKUP(A154,GasCurves,15,FALSE())))</f>
        <v>#N/A</v>
      </c>
      <c r="AF154" s="341" t="n">
        <v>41122</v>
      </c>
      <c r="AG154" s="31" t="n">
        <v>23</v>
      </c>
      <c r="AH154" s="31" t="n">
        <v>4</v>
      </c>
      <c r="AI154" s="31" t="n">
        <v>4</v>
      </c>
      <c r="AJ154" s="31" t="n">
        <v>0</v>
      </c>
      <c r="AK154" s="31" t="n">
        <v>31</v>
      </c>
    </row>
    <row r="155" customFormat="false" ht="12.75" hidden="false" customHeight="false" outlineLevel="0" collapsed="false">
      <c r="A155" s="368" t="n">
        <f aca="false">Calculations!A122</f>
        <v>40483</v>
      </c>
      <c r="B155" s="369" t="n">
        <f aca="false">IF(A155="N/A"," ",IF(ISERROR(L155),B143*Inputs!$F$19,L155))</f>
        <v>31.575</v>
      </c>
      <c r="C155" s="370" t="n">
        <f aca="false">IF(A155="N/A"," ",(IF(AND(MONTH(A155)&gt;=6,MONTH(A155)&lt;=8,OR($K$37="REGION 2",$K$37="REGION 2A",$K$37="REGION 2B",$K$37="REGION 3",$K$37="REGION 3A",$K$37="REGION 3B",$K$37="REGION 4",$K$37="REGION 4B",$K$37="REGION 4C",$K$37="REGION 5",$K$37="REGION 5A")),((0.059228/(B155/100))-(0.4980013/(SQRT(B155/100)))+2.137988),HLOOKUP(MONTH(A155),ScalarTable,28))))</f>
        <v>0.989225</v>
      </c>
      <c r="D155" s="371" t="n">
        <f aca="false">IF(A155="N/A"," ",C155*B155)</f>
        <v>31.234779375</v>
      </c>
      <c r="E155" s="369" t="n">
        <f aca="false">IF(A155="N/A"," ",IF(ISERROR(M155),E143*Inputs!$F$19,M155))</f>
        <v>25.4047515869141</v>
      </c>
      <c r="F155" s="371" t="n">
        <f aca="false">IF(A155="N/A"," ",E155*C155)</f>
        <v>25.1310153885651</v>
      </c>
      <c r="G155" s="369" t="n">
        <f aca="false">IF(A155="N/A"," ",IF(ISERROR(N155),G143*Inputs!$F$19,N155))</f>
        <v>23.4044998168945</v>
      </c>
      <c r="H155" s="371" t="n">
        <f aca="false">IF(A155="N/A"," ",G155*C155)</f>
        <v>23.1523163313675</v>
      </c>
      <c r="I155" s="371" t="n">
        <f aca="false">IF(A155="N/A"," ",IF(ISERROR(O155),I143*Inputs!$F$19,O155))</f>
        <v>19.9749980926514</v>
      </c>
      <c r="J155" s="372" t="e">
        <f aca="false">IF(A155="N/A"," ",IF(ISERROR(P155),J143*Inputs!$F$23,P155))</f>
        <v>#N/A</v>
      </c>
      <c r="L155" s="374" t="n">
        <f aca="false">IF(A155="N/A"," ",VLOOKUP(A155,PeakPowerCurves,(IF('Pricing Inputs'!$AT$3=2,3,IF('Pricing Inputs'!$AT$3=1,2,4))),FALSE()))</f>
        <v>31.575</v>
      </c>
      <c r="M155" s="374" t="n">
        <f aca="false">IF(A155="N/A"," ",VLOOKUP(A155,SatSunPeakPwr,(IF('Pricing Inputs'!$AT$3=2,3,IF('Pricing Inputs'!$AT$3=1,2,4))),FALSE()))</f>
        <v>25.4047515869141</v>
      </c>
      <c r="N155" s="374" t="n">
        <f aca="false">IF(A155="N/A"," ",VLOOKUP(A155,SatSunPeakPwr,(IF('Pricing Inputs'!$AT$3=2,7,IF('Pricing Inputs'!$AT$3=1,6,8))),FALSE()))</f>
        <v>23.4044998168945</v>
      </c>
      <c r="O155" s="375" t="n">
        <f aca="false">IF(A155="N/A"," ",(VLOOKUP(A155,OPPowerPrices,(IF('Pricing Inputs'!$AT$3=2,7,IF('Pricing Inputs'!$AT$3=1,6,8))),FALSE())))</f>
        <v>19.9749980926514</v>
      </c>
      <c r="P155" s="376" t="e">
        <f aca="false">IF(A155="N/A"," ",(VLOOKUP(A155,GasCurves,15,FALSE())))</f>
        <v>#N/A</v>
      </c>
      <c r="AF155" s="341" t="n">
        <v>41153</v>
      </c>
      <c r="AG155" s="31" t="n">
        <v>19</v>
      </c>
      <c r="AH155" s="31" t="n">
        <v>5</v>
      </c>
      <c r="AI155" s="31" t="n">
        <v>5</v>
      </c>
      <c r="AJ155" s="31" t="n">
        <v>1</v>
      </c>
      <c r="AK155" s="31" t="n">
        <v>30</v>
      </c>
    </row>
    <row r="156" customFormat="false" ht="12.75" hidden="false" customHeight="false" outlineLevel="0" collapsed="false">
      <c r="A156" s="368" t="n">
        <f aca="false">Calculations!A123</f>
        <v>40513</v>
      </c>
      <c r="B156" s="369" t="n">
        <f aca="false">IF(A156="N/A"," ",IF(ISERROR(L156),B144*Inputs!$F$19,L156))</f>
        <v>31.45</v>
      </c>
      <c r="C156" s="370" t="n">
        <f aca="false">IF(A156="N/A"," ",(IF(AND(MONTH(A156)&gt;=6,MONTH(A156)&lt;=8,OR($K$37="REGION 2",$K$37="REGION 2A",$K$37="REGION 2B",$K$37="REGION 3",$K$37="REGION 3A",$K$37="REGION 3B",$K$37="REGION 4",$K$37="REGION 4B",$K$37="REGION 4C",$K$37="REGION 5",$K$37="REGION 5A")),((0.059228/(B156/100))-(0.4980013/(SQRT(B156/100)))+2.137988),HLOOKUP(MONTH(A156),ScalarTable,28))))</f>
        <v>0.978519445147215</v>
      </c>
      <c r="D156" s="371" t="n">
        <f aca="false">IF(A156="N/A"," ",C156*B156)</f>
        <v>30.7744365498799</v>
      </c>
      <c r="E156" s="369" t="n">
        <f aca="false">IF(A156="N/A"," ",IF(ISERROR(M156),E144*Inputs!$F$19,M156))</f>
        <v>26.8549983978271</v>
      </c>
      <c r="F156" s="371" t="n">
        <f aca="false">IF(A156="N/A"," ",E156*C156)</f>
        <v>26.2781381316712</v>
      </c>
      <c r="G156" s="369" t="n">
        <f aca="false">IF(A156="N/A"," ",IF(ISERROR(N156),G144*Inputs!$F$19,N156))</f>
        <v>23.3499992370605</v>
      </c>
      <c r="H156" s="371" t="n">
        <f aca="false">IF(A156="N/A"," ",G156*C156)</f>
        <v>22.8484282976364</v>
      </c>
      <c r="I156" s="371" t="n">
        <f aca="false">IF(A156="N/A"," ",IF(ISERROR(O156),I144*Inputs!$F$19,O156))</f>
        <v>21.3999992370605</v>
      </c>
      <c r="J156" s="372" t="e">
        <f aca="false">IF(A156="N/A"," ",IF(ISERROR(P156),J144*Inputs!$F$23,P156))</f>
        <v>#N/A</v>
      </c>
      <c r="L156" s="374" t="n">
        <f aca="false">IF(A156="N/A"," ",VLOOKUP(A156,PeakPowerCurves,(IF('Pricing Inputs'!$AT$3=2,3,IF('Pricing Inputs'!$AT$3=1,2,4))),FALSE()))</f>
        <v>31.45</v>
      </c>
      <c r="M156" s="374" t="n">
        <f aca="false">IF(A156="N/A"," ",VLOOKUP(A156,SatSunPeakPwr,(IF('Pricing Inputs'!$AT$3=2,3,IF('Pricing Inputs'!$AT$3=1,2,4))),FALSE()))</f>
        <v>26.8549983978271</v>
      </c>
      <c r="N156" s="374" t="n">
        <f aca="false">IF(A156="N/A"," ",VLOOKUP(A156,SatSunPeakPwr,(IF('Pricing Inputs'!$AT$3=2,7,IF('Pricing Inputs'!$AT$3=1,6,8))),FALSE()))</f>
        <v>23.3499992370605</v>
      </c>
      <c r="O156" s="375" t="n">
        <f aca="false">IF(A156="N/A"," ",(VLOOKUP(A156,OPPowerPrices,(IF('Pricing Inputs'!$AT$3=2,7,IF('Pricing Inputs'!$AT$3=1,6,8))),FALSE())))</f>
        <v>21.3999992370605</v>
      </c>
      <c r="P156" s="376" t="e">
        <f aca="false">IF(A156="N/A"," ",(VLOOKUP(A156,GasCurves,15,FALSE())))</f>
        <v>#N/A</v>
      </c>
      <c r="AF156" s="341" t="n">
        <v>41183</v>
      </c>
      <c r="AG156" s="31" t="n">
        <v>23</v>
      </c>
      <c r="AH156" s="31" t="n">
        <v>4</v>
      </c>
      <c r="AI156" s="31" t="n">
        <v>4</v>
      </c>
      <c r="AJ156" s="31" t="n">
        <v>0</v>
      </c>
      <c r="AK156" s="31" t="n">
        <v>31</v>
      </c>
    </row>
    <row r="157" customFormat="false" ht="12.75" hidden="false" customHeight="false" outlineLevel="0" collapsed="false">
      <c r="A157" s="368" t="str">
        <f aca="false">Calculations!A124</f>
        <v>N/A</v>
      </c>
      <c r="B157" s="369" t="str">
        <f aca="false">IF(A157="N/A"," ",IF(ISERROR(L157),B145*Inputs!$F$19,L157))</f>
        <v> </v>
      </c>
      <c r="C157" s="370" t="str">
        <f aca="false">IF(A157="N/A"," ",(IF(AND(MONTH(A157)&gt;=6,MONTH(A157)&lt;=8,OR($K$37="REGION 2",$K$37="REGION 2A",$K$37="REGION 2B",$K$37="REGION 3",$K$37="REGION 3A",$K$37="REGION 3B",$K$37="REGION 4",$K$37="REGION 4B",$K$37="REGION 4C",$K$37="REGION 5",$K$37="REGION 5A")),((0.059228/(B157/100))-(0.4980013/(SQRT(B157/100)))+2.137988),HLOOKUP(MONTH(A157),ScalarTable,28))))</f>
        <v> </v>
      </c>
      <c r="D157" s="371" t="str">
        <f aca="false">IF(A157="N/A"," ",C157*B157)</f>
        <v> </v>
      </c>
      <c r="E157" s="369" t="str">
        <f aca="false">IF(A157="N/A"," ",IF(ISERROR(M157),E145*Inputs!$F$19,M157))</f>
        <v> </v>
      </c>
      <c r="F157" s="371" t="str">
        <f aca="false">IF(A157="N/A"," ",E157*C157)</f>
        <v> </v>
      </c>
      <c r="G157" s="369" t="str">
        <f aca="false">IF(A157="N/A"," ",IF(ISERROR(N157),G145*Inputs!$F$19,N157))</f>
        <v> </v>
      </c>
      <c r="H157" s="371" t="str">
        <f aca="false">IF(A157="N/A"," ",G157*C157)</f>
        <v> </v>
      </c>
      <c r="I157" s="371" t="str">
        <f aca="false">IF(A157="N/A"," ",IF(ISERROR(O157),I145*Inputs!$F$19,O157))</f>
        <v> </v>
      </c>
      <c r="J157" s="372" t="str">
        <f aca="false">IF(A157="N/A"," ",IF(ISERROR(P157),J145*Inputs!$F$23,P157))</f>
        <v> </v>
      </c>
      <c r="L157" s="374" t="str">
        <f aca="false">IF(A157="N/A"," ",VLOOKUP(A157,PeakPowerCurves,(IF('Pricing Inputs'!$AT$3=2,3,IF('Pricing Inputs'!$AT$3=1,2,4))),FALSE()))</f>
        <v> </v>
      </c>
      <c r="M157" s="374" t="str">
        <f aca="false">IF(A157="N/A"," ",VLOOKUP(A157,SatSunPeakPwr,(IF('Pricing Inputs'!$AT$3=2,3,IF('Pricing Inputs'!$AT$3=1,2,4))),FALSE()))</f>
        <v> </v>
      </c>
      <c r="N157" s="374" t="str">
        <f aca="false">IF(A157="N/A"," ",VLOOKUP(A157,SatSunPeakPwr,(IF('Pricing Inputs'!$AT$3=2,7,IF('Pricing Inputs'!$AT$3=1,6,8))),FALSE()))</f>
        <v> </v>
      </c>
      <c r="O157" s="375" t="str">
        <f aca="false">IF(A157="N/A"," ",(VLOOKUP(A157,OPPowerPrices,(IF('Pricing Inputs'!$AT$3=2,7,IF('Pricing Inputs'!$AT$3=1,6,8))),FALSE())))</f>
        <v> </v>
      </c>
      <c r="P157" s="376" t="str">
        <f aca="false">IF(A157="N/A"," ",(VLOOKUP(A157,GasCurves,15,FALSE())))</f>
        <v> </v>
      </c>
      <c r="AF157" s="341" t="n">
        <v>41214</v>
      </c>
      <c r="AG157" s="31" t="n">
        <v>21</v>
      </c>
      <c r="AH157" s="31" t="n">
        <v>4</v>
      </c>
      <c r="AI157" s="31" t="n">
        <v>4</v>
      </c>
      <c r="AJ157" s="31" t="n">
        <v>1</v>
      </c>
      <c r="AK157" s="31" t="n">
        <v>30</v>
      </c>
    </row>
    <row r="158" customFormat="false" ht="12.75" hidden="false" customHeight="false" outlineLevel="0" collapsed="false">
      <c r="A158" s="368" t="str">
        <f aca="false">Calculations!A125</f>
        <v>N/A</v>
      </c>
      <c r="B158" s="369" t="str">
        <f aca="false">IF(A158="N/A"," ",IF(ISERROR(L158),B146*Inputs!$F$19,L158))</f>
        <v> </v>
      </c>
      <c r="C158" s="370" t="str">
        <f aca="false">IF(A158="N/A"," ",(IF(AND(MONTH(A158)&gt;=6,MONTH(A158)&lt;=8,OR($K$37="REGION 2",$K$37="REGION 2A",$K$37="REGION 2B",$K$37="REGION 3",$K$37="REGION 3A",$K$37="REGION 3B",$K$37="REGION 4",$K$37="REGION 4B",$K$37="REGION 4C",$K$37="REGION 5",$K$37="REGION 5A")),((0.059228/(B158/100))-(0.4980013/(SQRT(B158/100)))+2.137988),HLOOKUP(MONTH(A158),ScalarTable,28))))</f>
        <v> </v>
      </c>
      <c r="D158" s="371" t="str">
        <f aca="false">IF(A158="N/A"," ",C158*B158)</f>
        <v> </v>
      </c>
      <c r="E158" s="369" t="str">
        <f aca="false">IF(A158="N/A"," ",IF(ISERROR(M158),E146*Inputs!$F$19,M158))</f>
        <v> </v>
      </c>
      <c r="F158" s="371" t="str">
        <f aca="false">IF(A158="N/A"," ",E158*C158)</f>
        <v> </v>
      </c>
      <c r="G158" s="369" t="str">
        <f aca="false">IF(A158="N/A"," ",IF(ISERROR(N158),G146*Inputs!$F$19,N158))</f>
        <v> </v>
      </c>
      <c r="H158" s="371" t="str">
        <f aca="false">IF(A158="N/A"," ",G158*C158)</f>
        <v> </v>
      </c>
      <c r="I158" s="371" t="str">
        <f aca="false">IF(A158="N/A"," ",IF(ISERROR(O158),I146*Inputs!$F$19,O158))</f>
        <v> </v>
      </c>
      <c r="J158" s="372" t="str">
        <f aca="false">IF(A158="N/A"," ",IF(ISERROR(P158),J146*Inputs!$F$23,P158))</f>
        <v> </v>
      </c>
      <c r="L158" s="374" t="str">
        <f aca="false">IF(A158="N/A"," ",VLOOKUP(A158,PeakPowerCurves,(IF('Pricing Inputs'!$AT$3=2,3,IF('Pricing Inputs'!$AT$3=1,2,4))),FALSE()))</f>
        <v> </v>
      </c>
      <c r="M158" s="374" t="str">
        <f aca="false">IF(A158="N/A"," ",VLOOKUP(A158,SatSunPeakPwr,(IF('Pricing Inputs'!$AT$3=2,3,IF('Pricing Inputs'!$AT$3=1,2,4))),FALSE()))</f>
        <v> </v>
      </c>
      <c r="N158" s="374" t="str">
        <f aca="false">IF(A158="N/A"," ",VLOOKUP(A158,SatSunPeakPwr,(IF('Pricing Inputs'!$AT$3=2,7,IF('Pricing Inputs'!$AT$3=1,6,8))),FALSE()))</f>
        <v> </v>
      </c>
      <c r="O158" s="375" t="str">
        <f aca="false">IF(A158="N/A"," ",(VLOOKUP(A158,OPPowerPrices,(IF('Pricing Inputs'!$AT$3=2,7,IF('Pricing Inputs'!$AT$3=1,6,8))),FALSE())))</f>
        <v> </v>
      </c>
      <c r="P158" s="376" t="str">
        <f aca="false">IF(A158="N/A"," ",(VLOOKUP(A158,GasCurves,15,FALSE())))</f>
        <v> </v>
      </c>
      <c r="AF158" s="341" t="n">
        <v>41244</v>
      </c>
      <c r="AG158" s="31" t="n">
        <v>20</v>
      </c>
      <c r="AH158" s="31" t="n">
        <v>5</v>
      </c>
      <c r="AI158" s="31" t="n">
        <v>5</v>
      </c>
      <c r="AJ158" s="31" t="n">
        <v>1</v>
      </c>
      <c r="AK158" s="31" t="n">
        <v>31</v>
      </c>
    </row>
    <row r="159" customFormat="false" ht="12.75" hidden="false" customHeight="false" outlineLevel="0" collapsed="false">
      <c r="A159" s="368" t="str">
        <f aca="false">Calculations!A126</f>
        <v>N/A</v>
      </c>
      <c r="B159" s="369" t="str">
        <f aca="false">IF(A159="N/A"," ",IF(ISERROR(L159),B147*Inputs!$F$19,L159))</f>
        <v> </v>
      </c>
      <c r="C159" s="370" t="str">
        <f aca="false">IF(A159="N/A"," ",(IF(AND(MONTH(A159)&gt;=6,MONTH(A159)&lt;=8,OR($K$37="REGION 2",$K$37="REGION 2A",$K$37="REGION 2B",$K$37="REGION 3",$K$37="REGION 3A",$K$37="REGION 3B",$K$37="REGION 4",$K$37="REGION 4B",$K$37="REGION 4C",$K$37="REGION 5",$K$37="REGION 5A")),((0.059228/(B159/100))-(0.4980013/(SQRT(B159/100)))+2.137988),HLOOKUP(MONTH(A159),ScalarTable,28))))</f>
        <v> </v>
      </c>
      <c r="D159" s="371" t="str">
        <f aca="false">IF(A159="N/A"," ",C159*B159)</f>
        <v> </v>
      </c>
      <c r="E159" s="369" t="str">
        <f aca="false">IF(A159="N/A"," ",IF(ISERROR(M159),E147*Inputs!$F$19,M159))</f>
        <v> </v>
      </c>
      <c r="F159" s="371" t="str">
        <f aca="false">IF(A159="N/A"," ",E159*C159)</f>
        <v> </v>
      </c>
      <c r="G159" s="369" t="str">
        <f aca="false">IF(A159="N/A"," ",IF(ISERROR(N159),G147*Inputs!$F$19,N159))</f>
        <v> </v>
      </c>
      <c r="H159" s="371" t="str">
        <f aca="false">IF(A159="N/A"," ",G159*C159)</f>
        <v> </v>
      </c>
      <c r="I159" s="371" t="str">
        <f aca="false">IF(A159="N/A"," ",IF(ISERROR(O159),I147*Inputs!$F$19,O159))</f>
        <v> </v>
      </c>
      <c r="J159" s="372" t="str">
        <f aca="false">IF(A159="N/A"," ",IF(ISERROR(P159),J147*Inputs!$F$23,P159))</f>
        <v> </v>
      </c>
      <c r="L159" s="374" t="str">
        <f aca="false">IF(A159="N/A"," ",VLOOKUP(A159,PeakPowerCurves,(IF('Pricing Inputs'!$AT$3=2,3,IF('Pricing Inputs'!$AT$3=1,2,4))),FALSE()))</f>
        <v> </v>
      </c>
      <c r="M159" s="374" t="str">
        <f aca="false">IF(A159="N/A"," ",VLOOKUP(A159,SatSunPeakPwr,(IF('Pricing Inputs'!$AT$3=2,3,IF('Pricing Inputs'!$AT$3=1,2,4))),FALSE()))</f>
        <v> </v>
      </c>
      <c r="N159" s="374" t="str">
        <f aca="false">IF(A159="N/A"," ",VLOOKUP(A159,SatSunPeakPwr,(IF('Pricing Inputs'!$AT$3=2,7,IF('Pricing Inputs'!$AT$3=1,6,8))),FALSE()))</f>
        <v> </v>
      </c>
      <c r="O159" s="375" t="str">
        <f aca="false">IF(A159="N/A"," ",(VLOOKUP(A159,OPPowerPrices,(IF('Pricing Inputs'!$AT$3=2,7,IF('Pricing Inputs'!$AT$3=1,6,8))),FALSE())))</f>
        <v> </v>
      </c>
      <c r="P159" s="376" t="str">
        <f aca="false">IF(A159="N/A"," ",(VLOOKUP(A159,GasCurves,15,FALSE())))</f>
        <v> </v>
      </c>
      <c r="AF159" s="341" t="n">
        <v>41275</v>
      </c>
      <c r="AG159" s="31" t="n">
        <v>22</v>
      </c>
      <c r="AH159" s="31" t="n">
        <v>4</v>
      </c>
      <c r="AI159" s="31" t="n">
        <v>4</v>
      </c>
      <c r="AJ159" s="31" t="n">
        <v>1</v>
      </c>
      <c r="AK159" s="31" t="n">
        <v>31</v>
      </c>
    </row>
    <row r="160" customFormat="false" ht="12.75" hidden="false" customHeight="false" outlineLevel="0" collapsed="false">
      <c r="A160" s="368" t="str">
        <f aca="false">Calculations!A127</f>
        <v>N/A</v>
      </c>
      <c r="B160" s="369" t="str">
        <f aca="false">IF(A160="N/A"," ",IF(ISERROR(L160),B148*Inputs!$F$19,L160))</f>
        <v> </v>
      </c>
      <c r="C160" s="370" t="str">
        <f aca="false">IF(A160="N/A"," ",(IF(AND(MONTH(A160)&gt;=6,MONTH(A160)&lt;=8,OR($K$37="REGION 2",$K$37="REGION 2A",$K$37="REGION 2B",$K$37="REGION 3",$K$37="REGION 3A",$K$37="REGION 3B",$K$37="REGION 4",$K$37="REGION 4B",$K$37="REGION 4C",$K$37="REGION 5",$K$37="REGION 5A")),((0.059228/(B160/100))-(0.4980013/(SQRT(B160/100)))+2.137988),HLOOKUP(MONTH(A160),ScalarTable,28))))</f>
        <v> </v>
      </c>
      <c r="D160" s="371" t="str">
        <f aca="false">IF(A160="N/A"," ",C160*B160)</f>
        <v> </v>
      </c>
      <c r="E160" s="369" t="str">
        <f aca="false">IF(A160="N/A"," ",IF(ISERROR(M160),E148*Inputs!$F$19,M160))</f>
        <v> </v>
      </c>
      <c r="F160" s="371" t="str">
        <f aca="false">IF(A160="N/A"," ",E160*C160)</f>
        <v> </v>
      </c>
      <c r="G160" s="369" t="str">
        <f aca="false">IF(A160="N/A"," ",IF(ISERROR(N160),G148*Inputs!$F$19,N160))</f>
        <v> </v>
      </c>
      <c r="H160" s="371" t="str">
        <f aca="false">IF(A160="N/A"," ",G160*C160)</f>
        <v> </v>
      </c>
      <c r="I160" s="371" t="str">
        <f aca="false">IF(A160="N/A"," ",IF(ISERROR(O160),I148*Inputs!$F$19,O160))</f>
        <v> </v>
      </c>
      <c r="J160" s="372" t="str">
        <f aca="false">IF(A160="N/A"," ",IF(ISERROR(P160),J148*Inputs!$F$23,P160))</f>
        <v> </v>
      </c>
      <c r="L160" s="374" t="str">
        <f aca="false">IF(A160="N/A"," ",VLOOKUP(A160,PeakPowerCurves,(IF('Pricing Inputs'!$AT$3=2,3,IF('Pricing Inputs'!$AT$3=1,2,4))),FALSE()))</f>
        <v> </v>
      </c>
      <c r="M160" s="374" t="str">
        <f aca="false">IF(A160="N/A"," ",VLOOKUP(A160,SatSunPeakPwr,(IF('Pricing Inputs'!$AT$3=2,3,IF('Pricing Inputs'!$AT$3=1,2,4))),FALSE()))</f>
        <v> </v>
      </c>
      <c r="N160" s="374" t="str">
        <f aca="false">IF(A160="N/A"," ",VLOOKUP(A160,SatSunPeakPwr,(IF('Pricing Inputs'!$AT$3=2,7,IF('Pricing Inputs'!$AT$3=1,6,8))),FALSE()))</f>
        <v> </v>
      </c>
      <c r="O160" s="375" t="str">
        <f aca="false">IF(A160="N/A"," ",(VLOOKUP(A160,OPPowerPrices,(IF('Pricing Inputs'!$AT$3=2,7,IF('Pricing Inputs'!$AT$3=1,6,8))),FALSE())))</f>
        <v> </v>
      </c>
      <c r="P160" s="376" t="str">
        <f aca="false">IF(A160="N/A"," ",(VLOOKUP(A160,GasCurves,15,FALSE())))</f>
        <v> </v>
      </c>
      <c r="AF160" s="341" t="n">
        <v>41306</v>
      </c>
      <c r="AG160" s="31" t="n">
        <v>20</v>
      </c>
      <c r="AH160" s="31" t="n">
        <v>4</v>
      </c>
      <c r="AI160" s="31" t="n">
        <v>4</v>
      </c>
      <c r="AJ160" s="31" t="n">
        <v>0</v>
      </c>
      <c r="AK160" s="31" t="n">
        <v>28</v>
      </c>
    </row>
    <row r="161" customFormat="false" ht="12.75" hidden="false" customHeight="false" outlineLevel="0" collapsed="false">
      <c r="A161" s="368" t="str">
        <f aca="false">Calculations!A128</f>
        <v>N/A</v>
      </c>
      <c r="B161" s="369" t="str">
        <f aca="false">IF(A161="N/A"," ",IF(ISERROR(L161),B149*Inputs!$F$19,L161))</f>
        <v> </v>
      </c>
      <c r="C161" s="370" t="str">
        <f aca="false">IF(A161="N/A"," ",(IF(AND(MONTH(A161)&gt;=6,MONTH(A161)&lt;=8,OR($K$37="REGION 2",$K$37="REGION 2A",$K$37="REGION 2B",$K$37="REGION 3",$K$37="REGION 3A",$K$37="REGION 3B",$K$37="REGION 4",$K$37="REGION 4B",$K$37="REGION 4C",$K$37="REGION 5",$K$37="REGION 5A")),((0.059228/(B161/100))-(0.4980013/(SQRT(B161/100)))+2.137988),HLOOKUP(MONTH(A161),ScalarTable,28))))</f>
        <v> </v>
      </c>
      <c r="D161" s="371" t="str">
        <f aca="false">IF(A161="N/A"," ",C161*B161)</f>
        <v> </v>
      </c>
      <c r="E161" s="369" t="str">
        <f aca="false">IF(A161="N/A"," ",IF(ISERROR(M161),E149*Inputs!$F$19,M161))</f>
        <v> </v>
      </c>
      <c r="F161" s="371" t="str">
        <f aca="false">IF(A161="N/A"," ",E161*C161)</f>
        <v> </v>
      </c>
      <c r="G161" s="369" t="str">
        <f aca="false">IF(A161="N/A"," ",IF(ISERROR(N161),G149*Inputs!$F$19,N161))</f>
        <v> </v>
      </c>
      <c r="H161" s="371" t="str">
        <f aca="false">IF(A161="N/A"," ",G161*C161)</f>
        <v> </v>
      </c>
      <c r="I161" s="371" t="str">
        <f aca="false">IF(A161="N/A"," ",IF(ISERROR(O161),I149*Inputs!$F$19,O161))</f>
        <v> </v>
      </c>
      <c r="J161" s="372" t="str">
        <f aca="false">IF(A161="N/A"," ",IF(ISERROR(P161),J149*Inputs!$F$23,P161))</f>
        <v> </v>
      </c>
      <c r="L161" s="374" t="str">
        <f aca="false">IF(A161="N/A"," ",VLOOKUP(A161,PeakPowerCurves,(IF('Pricing Inputs'!$AT$3=2,3,IF('Pricing Inputs'!$AT$3=1,2,4))),FALSE()))</f>
        <v> </v>
      </c>
      <c r="M161" s="374" t="str">
        <f aca="false">IF(A161="N/A"," ",VLOOKUP(A161,SatSunPeakPwr,(IF('Pricing Inputs'!$AT$3=2,3,IF('Pricing Inputs'!$AT$3=1,2,4))),FALSE()))</f>
        <v> </v>
      </c>
      <c r="N161" s="374" t="str">
        <f aca="false">IF(A161="N/A"," ",VLOOKUP(A161,SatSunPeakPwr,(IF('Pricing Inputs'!$AT$3=2,7,IF('Pricing Inputs'!$AT$3=1,6,8))),FALSE()))</f>
        <v> </v>
      </c>
      <c r="O161" s="375" t="str">
        <f aca="false">IF(A161="N/A"," ",(VLOOKUP(A161,OPPowerPrices,(IF('Pricing Inputs'!$AT$3=2,7,IF('Pricing Inputs'!$AT$3=1,6,8))),FALSE())))</f>
        <v> </v>
      </c>
      <c r="P161" s="376" t="str">
        <f aca="false">IF(A161="N/A"," ",(VLOOKUP(A161,GasCurves,15,FALSE())))</f>
        <v> </v>
      </c>
      <c r="AF161" s="341" t="n">
        <v>41334</v>
      </c>
      <c r="AG161" s="31" t="n">
        <v>21</v>
      </c>
      <c r="AH161" s="31" t="n">
        <v>5</v>
      </c>
      <c r="AI161" s="31" t="n">
        <v>5</v>
      </c>
      <c r="AJ161" s="31" t="n">
        <v>0</v>
      </c>
      <c r="AK161" s="31" t="n">
        <v>31</v>
      </c>
    </row>
    <row r="162" customFormat="false" ht="12.75" hidden="false" customHeight="false" outlineLevel="0" collapsed="false">
      <c r="A162" s="368" t="str">
        <f aca="false">Calculations!A129</f>
        <v>N/A</v>
      </c>
      <c r="B162" s="369" t="str">
        <f aca="false">IF(A162="N/A"," ",IF(ISERROR(L162),B150*Inputs!$F$19,L162))</f>
        <v> </v>
      </c>
      <c r="C162" s="370" t="str">
        <f aca="false">IF(A162="N/A"," ",(IF(AND(MONTH(A162)&gt;=6,MONTH(A162)&lt;=8,OR($K$37="REGION 2",$K$37="REGION 2A",$K$37="REGION 2B",$K$37="REGION 3",$K$37="REGION 3A",$K$37="REGION 3B",$K$37="REGION 4",$K$37="REGION 4B",$K$37="REGION 4C",$K$37="REGION 5",$K$37="REGION 5A")),((0.059228/(B162/100))-(0.4980013/(SQRT(B162/100)))+2.137988),HLOOKUP(MONTH(A162),ScalarTable,28))))</f>
        <v> </v>
      </c>
      <c r="D162" s="371" t="str">
        <f aca="false">IF(A162="N/A"," ",C162*B162)</f>
        <v> </v>
      </c>
      <c r="E162" s="369" t="str">
        <f aca="false">IF(A162="N/A"," ",IF(ISERROR(M162),E150*Inputs!$F$19,M162))</f>
        <v> </v>
      </c>
      <c r="F162" s="371" t="str">
        <f aca="false">IF(A162="N/A"," ",E162*C162)</f>
        <v> </v>
      </c>
      <c r="G162" s="369" t="str">
        <f aca="false">IF(A162="N/A"," ",IF(ISERROR(N162),G150*Inputs!$F$19,N162))</f>
        <v> </v>
      </c>
      <c r="H162" s="371" t="str">
        <f aca="false">IF(A162="N/A"," ",G162*C162)</f>
        <v> </v>
      </c>
      <c r="I162" s="371" t="str">
        <f aca="false">IF(A162="N/A"," ",IF(ISERROR(O162),I150*Inputs!$F$19,O162))</f>
        <v> </v>
      </c>
      <c r="J162" s="372" t="str">
        <f aca="false">IF(A162="N/A"," ",IF(ISERROR(P162),J150*Inputs!$F$23,P162))</f>
        <v> </v>
      </c>
      <c r="L162" s="374" t="str">
        <f aca="false">IF(A162="N/A"," ",VLOOKUP(A162,PeakPowerCurves,(IF('Pricing Inputs'!$AT$3=2,3,IF('Pricing Inputs'!$AT$3=1,2,4))),FALSE()))</f>
        <v> </v>
      </c>
      <c r="M162" s="374" t="str">
        <f aca="false">IF(A162="N/A"," ",VLOOKUP(A162,SatSunPeakPwr,(IF('Pricing Inputs'!$AT$3=2,3,IF('Pricing Inputs'!$AT$3=1,2,4))),FALSE()))</f>
        <v> </v>
      </c>
      <c r="N162" s="374" t="str">
        <f aca="false">IF(A162="N/A"," ",VLOOKUP(A162,SatSunPeakPwr,(IF('Pricing Inputs'!$AT$3=2,7,IF('Pricing Inputs'!$AT$3=1,6,8))),FALSE()))</f>
        <v> </v>
      </c>
      <c r="O162" s="375" t="str">
        <f aca="false">IF(A162="N/A"," ",(VLOOKUP(A162,OPPowerPrices,(IF('Pricing Inputs'!$AT$3=2,7,IF('Pricing Inputs'!$AT$3=1,6,8))),FALSE())))</f>
        <v> </v>
      </c>
      <c r="P162" s="376" t="str">
        <f aca="false">IF(A162="N/A"," ",(VLOOKUP(A162,GasCurves,15,FALSE())))</f>
        <v> </v>
      </c>
      <c r="AF162" s="341" t="n">
        <v>41365</v>
      </c>
      <c r="AG162" s="31" t="n">
        <v>22</v>
      </c>
      <c r="AH162" s="31" t="n">
        <v>4</v>
      </c>
      <c r="AI162" s="31" t="n">
        <v>4</v>
      </c>
      <c r="AJ162" s="31" t="n">
        <v>0</v>
      </c>
      <c r="AK162" s="31" t="n">
        <v>30</v>
      </c>
    </row>
    <row r="163" customFormat="false" ht="12.75" hidden="false" customHeight="false" outlineLevel="0" collapsed="false">
      <c r="A163" s="368" t="str">
        <f aca="false">Calculations!A130</f>
        <v>N/A</v>
      </c>
      <c r="B163" s="369" t="str">
        <f aca="false">IF(A163="N/A"," ",IF(ISERROR(L163),B151*Inputs!$F$19,L163))</f>
        <v> </v>
      </c>
      <c r="C163" s="370" t="str">
        <f aca="false">IF(A163="N/A"," ",(IF(AND(MONTH(A163)&gt;=6,MONTH(A163)&lt;=8,OR($K$37="REGION 2",$K$37="REGION 2A",$K$37="REGION 2B",$K$37="REGION 3",$K$37="REGION 3A",$K$37="REGION 3B",$K$37="REGION 4",$K$37="REGION 4B",$K$37="REGION 4C",$K$37="REGION 5",$K$37="REGION 5A")),((0.059228/(B163/100))-(0.4980013/(SQRT(B163/100)))+2.137988),HLOOKUP(MONTH(A163),ScalarTable,28))))</f>
        <v> </v>
      </c>
      <c r="D163" s="371" t="str">
        <f aca="false">IF(A163="N/A"," ",C163*B163)</f>
        <v> </v>
      </c>
      <c r="E163" s="369" t="str">
        <f aca="false">IF(A163="N/A"," ",IF(ISERROR(M163),E151*Inputs!$F$19,M163))</f>
        <v> </v>
      </c>
      <c r="F163" s="371" t="str">
        <f aca="false">IF(A163="N/A"," ",E163*C163)</f>
        <v> </v>
      </c>
      <c r="G163" s="369" t="str">
        <f aca="false">IF(A163="N/A"," ",IF(ISERROR(N163),G151*Inputs!$F$19,N163))</f>
        <v> </v>
      </c>
      <c r="H163" s="371" t="str">
        <f aca="false">IF(A163="N/A"," ",G163*C163)</f>
        <v> </v>
      </c>
      <c r="I163" s="371" t="str">
        <f aca="false">IF(A163="N/A"," ",IF(ISERROR(O163),I151*Inputs!$F$19,O163))</f>
        <v> </v>
      </c>
      <c r="J163" s="372" t="str">
        <f aca="false">IF(A163="N/A"," ",IF(ISERROR(P163),J151*Inputs!$F$23,P163))</f>
        <v> </v>
      </c>
      <c r="L163" s="374" t="str">
        <f aca="false">IF(A163="N/A"," ",VLOOKUP(A163,PeakPowerCurves,(IF('Pricing Inputs'!$AT$3=2,3,IF('Pricing Inputs'!$AT$3=1,2,4))),FALSE()))</f>
        <v> </v>
      </c>
      <c r="M163" s="374" t="str">
        <f aca="false">IF(A163="N/A"," ",VLOOKUP(A163,SatSunPeakPwr,(IF('Pricing Inputs'!$AT$3=2,3,IF('Pricing Inputs'!$AT$3=1,2,4))),FALSE()))</f>
        <v> </v>
      </c>
      <c r="N163" s="374" t="str">
        <f aca="false">IF(A163="N/A"," ",VLOOKUP(A163,SatSunPeakPwr,(IF('Pricing Inputs'!$AT$3=2,7,IF('Pricing Inputs'!$AT$3=1,6,8))),FALSE()))</f>
        <v> </v>
      </c>
      <c r="O163" s="375" t="str">
        <f aca="false">IF(A163="N/A"," ",(VLOOKUP(A163,OPPowerPrices,(IF('Pricing Inputs'!$AT$3=2,7,IF('Pricing Inputs'!$AT$3=1,6,8))),FALSE())))</f>
        <v> </v>
      </c>
      <c r="P163" s="376" t="str">
        <f aca="false">IF(A163="N/A"," ",(VLOOKUP(A163,GasCurves,15,FALSE())))</f>
        <v> </v>
      </c>
      <c r="AF163" s="341" t="n">
        <v>41395</v>
      </c>
      <c r="AG163" s="31" t="n">
        <v>22</v>
      </c>
      <c r="AH163" s="31" t="n">
        <v>4</v>
      </c>
      <c r="AI163" s="31" t="n">
        <v>4</v>
      </c>
      <c r="AJ163" s="31" t="n">
        <v>1</v>
      </c>
      <c r="AK163" s="31" t="n">
        <v>31</v>
      </c>
    </row>
    <row r="164" customFormat="false" ht="12.75" hidden="false" customHeight="false" outlineLevel="0" collapsed="false">
      <c r="A164" s="368" t="str">
        <f aca="false">Calculations!A131</f>
        <v>N/A</v>
      </c>
      <c r="B164" s="369" t="str">
        <f aca="false">IF(A164="N/A"," ",IF(ISERROR(L164),B152*Inputs!$F$19,L164))</f>
        <v> </v>
      </c>
      <c r="C164" s="370" t="str">
        <f aca="false">IF(A164="N/A"," ",(IF(AND(MONTH(A164)&gt;=6,MONTH(A164)&lt;=8,OR($K$37="REGION 2",$K$37="REGION 2A",$K$37="REGION 2B",$K$37="REGION 3",$K$37="REGION 3A",$K$37="REGION 3B",$K$37="REGION 4",$K$37="REGION 4B",$K$37="REGION 4C",$K$37="REGION 5",$K$37="REGION 5A")),((0.059228/(B164/100))-(0.4980013/(SQRT(B164/100)))+2.137988),HLOOKUP(MONTH(A164),ScalarTable,28))))</f>
        <v> </v>
      </c>
      <c r="D164" s="371" t="str">
        <f aca="false">IF(A164="N/A"," ",C164*B164)</f>
        <v> </v>
      </c>
      <c r="E164" s="369" t="str">
        <f aca="false">IF(A164="N/A"," ",IF(ISERROR(M164),E152*Inputs!$F$19,M164))</f>
        <v> </v>
      </c>
      <c r="F164" s="371" t="str">
        <f aca="false">IF(A164="N/A"," ",E164*C164)</f>
        <v> </v>
      </c>
      <c r="G164" s="369" t="str">
        <f aca="false">IF(A164="N/A"," ",IF(ISERROR(N164),G152*Inputs!$F$19,N164))</f>
        <v> </v>
      </c>
      <c r="H164" s="371" t="str">
        <f aca="false">IF(A164="N/A"," ",G164*C164)</f>
        <v> </v>
      </c>
      <c r="I164" s="371" t="str">
        <f aca="false">IF(A164="N/A"," ",IF(ISERROR(O164),I152*Inputs!$F$19,O164))</f>
        <v> </v>
      </c>
      <c r="J164" s="372" t="str">
        <f aca="false">IF(A164="N/A"," ",IF(ISERROR(P164),J152*Inputs!$F$23,P164))</f>
        <v> </v>
      </c>
      <c r="L164" s="374" t="str">
        <f aca="false">IF(A164="N/A"," ",VLOOKUP(A164,PeakPowerCurves,(IF('Pricing Inputs'!$AT$3=2,3,IF('Pricing Inputs'!$AT$3=1,2,4))),FALSE()))</f>
        <v> </v>
      </c>
      <c r="M164" s="374" t="str">
        <f aca="false">IF(A164="N/A"," ",VLOOKUP(A164,SatSunPeakPwr,(IF('Pricing Inputs'!$AT$3=2,3,IF('Pricing Inputs'!$AT$3=1,2,4))),FALSE()))</f>
        <v> </v>
      </c>
      <c r="N164" s="374" t="str">
        <f aca="false">IF(A164="N/A"," ",VLOOKUP(A164,SatSunPeakPwr,(IF('Pricing Inputs'!$AT$3=2,7,IF('Pricing Inputs'!$AT$3=1,6,8))),FALSE()))</f>
        <v> </v>
      </c>
      <c r="O164" s="375" t="str">
        <f aca="false">IF(A164="N/A"," ",(VLOOKUP(A164,OPPowerPrices,(IF('Pricing Inputs'!$AT$3=2,7,IF('Pricing Inputs'!$AT$3=1,6,8))),FALSE())))</f>
        <v> </v>
      </c>
      <c r="P164" s="376" t="str">
        <f aca="false">IF(A164="N/A"," ",(VLOOKUP(A164,GasCurves,15,FALSE())))</f>
        <v> </v>
      </c>
      <c r="AF164" s="341" t="n">
        <v>41426</v>
      </c>
      <c r="AG164" s="31" t="n">
        <v>20</v>
      </c>
      <c r="AH164" s="31" t="n">
        <v>5</v>
      </c>
      <c r="AI164" s="31" t="n">
        <v>5</v>
      </c>
      <c r="AJ164" s="31" t="n">
        <v>0</v>
      </c>
      <c r="AK164" s="31" t="n">
        <v>30</v>
      </c>
    </row>
    <row r="165" customFormat="false" ht="12.75" hidden="false" customHeight="false" outlineLevel="0" collapsed="false">
      <c r="A165" s="368" t="str">
        <f aca="false">Calculations!A132</f>
        <v>N/A</v>
      </c>
      <c r="B165" s="369" t="str">
        <f aca="false">IF(A165="N/A"," ",IF(ISERROR(L165),B153*Inputs!$F$19,L165))</f>
        <v> </v>
      </c>
      <c r="C165" s="370" t="str">
        <f aca="false">IF(A165="N/A"," ",(IF(AND(MONTH(A165)&gt;=6,MONTH(A165)&lt;=8,OR($K$37="REGION 2",$K$37="REGION 2A",$K$37="REGION 2B",$K$37="REGION 3",$K$37="REGION 3A",$K$37="REGION 3B",$K$37="REGION 4",$K$37="REGION 4B",$K$37="REGION 4C",$K$37="REGION 5",$K$37="REGION 5A")),((0.059228/(B165/100))-(0.4980013/(SQRT(B165/100)))+2.137988),HLOOKUP(MONTH(A165),ScalarTable,28))))</f>
        <v> </v>
      </c>
      <c r="D165" s="371" t="str">
        <f aca="false">IF(A165="N/A"," ",C165*B165)</f>
        <v> </v>
      </c>
      <c r="E165" s="369" t="str">
        <f aca="false">IF(A165="N/A"," ",IF(ISERROR(M165),E153*Inputs!$F$19,M165))</f>
        <v> </v>
      </c>
      <c r="F165" s="371" t="str">
        <f aca="false">IF(A165="N/A"," ",E165*C165)</f>
        <v> </v>
      </c>
      <c r="G165" s="369" t="str">
        <f aca="false">IF(A165="N/A"," ",IF(ISERROR(N165),G153*Inputs!$F$19,N165))</f>
        <v> </v>
      </c>
      <c r="H165" s="371" t="str">
        <f aca="false">IF(A165="N/A"," ",G165*C165)</f>
        <v> </v>
      </c>
      <c r="I165" s="371" t="str">
        <f aca="false">IF(A165="N/A"," ",IF(ISERROR(O165),I153*Inputs!$F$19,O165))</f>
        <v> </v>
      </c>
      <c r="J165" s="372" t="str">
        <f aca="false">IF(A165="N/A"," ",IF(ISERROR(P165),J153*Inputs!$F$23,P165))</f>
        <v> </v>
      </c>
      <c r="L165" s="374" t="str">
        <f aca="false">IF(A165="N/A"," ",VLOOKUP(A165,PeakPowerCurves,(IF('Pricing Inputs'!$AT$3=2,3,IF('Pricing Inputs'!$AT$3=1,2,4))),FALSE()))</f>
        <v> </v>
      </c>
      <c r="M165" s="374" t="str">
        <f aca="false">IF(A165="N/A"," ",VLOOKUP(A165,SatSunPeakPwr,(IF('Pricing Inputs'!$AT$3=2,3,IF('Pricing Inputs'!$AT$3=1,2,4))),FALSE()))</f>
        <v> </v>
      </c>
      <c r="N165" s="374" t="str">
        <f aca="false">IF(A165="N/A"," ",VLOOKUP(A165,SatSunPeakPwr,(IF('Pricing Inputs'!$AT$3=2,7,IF('Pricing Inputs'!$AT$3=1,6,8))),FALSE()))</f>
        <v> </v>
      </c>
      <c r="O165" s="375" t="str">
        <f aca="false">IF(A165="N/A"," ",(VLOOKUP(A165,OPPowerPrices,(IF('Pricing Inputs'!$AT$3=2,7,IF('Pricing Inputs'!$AT$3=1,6,8))),FALSE())))</f>
        <v> </v>
      </c>
      <c r="P165" s="376" t="str">
        <f aca="false">IF(A165="N/A"," ",(VLOOKUP(A165,GasCurves,15,FALSE())))</f>
        <v> </v>
      </c>
      <c r="AF165" s="341" t="n">
        <v>41456</v>
      </c>
      <c r="AG165" s="31" t="n">
        <v>22</v>
      </c>
      <c r="AH165" s="31" t="n">
        <v>4</v>
      </c>
      <c r="AI165" s="31" t="n">
        <v>4</v>
      </c>
      <c r="AJ165" s="31" t="n">
        <v>1</v>
      </c>
      <c r="AK165" s="31" t="n">
        <v>31</v>
      </c>
    </row>
    <row r="166" customFormat="false" ht="12.75" hidden="false" customHeight="false" outlineLevel="0" collapsed="false">
      <c r="A166" s="368" t="str">
        <f aca="false">Calculations!A133</f>
        <v>N/A</v>
      </c>
      <c r="B166" s="369" t="str">
        <f aca="false">IF(A166="N/A"," ",IF(ISERROR(L166),B154*Inputs!$F$19,L166))</f>
        <v> </v>
      </c>
      <c r="C166" s="370" t="str">
        <f aca="false">IF(A166="N/A"," ",(IF(AND(MONTH(A166)&gt;=6,MONTH(A166)&lt;=8,OR($K$37="REGION 2",$K$37="REGION 2A",$K$37="REGION 2B",$K$37="REGION 3",$K$37="REGION 3A",$K$37="REGION 3B",$K$37="REGION 4",$K$37="REGION 4B",$K$37="REGION 4C",$K$37="REGION 5",$K$37="REGION 5A")),((0.059228/(B166/100))-(0.4980013/(SQRT(B166/100)))+2.137988),HLOOKUP(MONTH(A166),ScalarTable,28))))</f>
        <v> </v>
      </c>
      <c r="D166" s="371" t="str">
        <f aca="false">IF(A166="N/A"," ",C166*B166)</f>
        <v> </v>
      </c>
      <c r="E166" s="369" t="str">
        <f aca="false">IF(A166="N/A"," ",IF(ISERROR(M166),E154*Inputs!$F$19,M166))</f>
        <v> </v>
      </c>
      <c r="F166" s="371" t="str">
        <f aca="false">IF(A166="N/A"," ",E166*C166)</f>
        <v> </v>
      </c>
      <c r="G166" s="369" t="str">
        <f aca="false">IF(A166="N/A"," ",IF(ISERROR(N166),G154*Inputs!$F$19,N166))</f>
        <v> </v>
      </c>
      <c r="H166" s="371" t="str">
        <f aca="false">IF(A166="N/A"," ",G166*C166)</f>
        <v> </v>
      </c>
      <c r="I166" s="371" t="str">
        <f aca="false">IF(A166="N/A"," ",IF(ISERROR(O166),I154*Inputs!$F$19,O166))</f>
        <v> </v>
      </c>
      <c r="J166" s="372" t="str">
        <f aca="false">IF(A166="N/A"," ",IF(ISERROR(P166),J154*Inputs!$F$23,P166))</f>
        <v> </v>
      </c>
      <c r="L166" s="374" t="str">
        <f aca="false">IF(A166="N/A"," ",VLOOKUP(A166,PeakPowerCurves,(IF('Pricing Inputs'!$AT$3=2,3,IF('Pricing Inputs'!$AT$3=1,2,4))),FALSE()))</f>
        <v> </v>
      </c>
      <c r="M166" s="374" t="str">
        <f aca="false">IF(A166="N/A"," ",VLOOKUP(A166,SatSunPeakPwr,(IF('Pricing Inputs'!$AT$3=2,3,IF('Pricing Inputs'!$AT$3=1,2,4))),FALSE()))</f>
        <v> </v>
      </c>
      <c r="N166" s="374" t="str">
        <f aca="false">IF(A166="N/A"," ",VLOOKUP(A166,SatSunPeakPwr,(IF('Pricing Inputs'!$AT$3=2,7,IF('Pricing Inputs'!$AT$3=1,6,8))),FALSE()))</f>
        <v> </v>
      </c>
      <c r="O166" s="375" t="str">
        <f aca="false">IF(A166="N/A"," ",(VLOOKUP(A166,OPPowerPrices,(IF('Pricing Inputs'!$AT$3=2,7,IF('Pricing Inputs'!$AT$3=1,6,8))),FALSE())))</f>
        <v> </v>
      </c>
      <c r="P166" s="376" t="str">
        <f aca="false">IF(A166="N/A"," ",(VLOOKUP(A166,GasCurves,15,FALSE())))</f>
        <v> </v>
      </c>
      <c r="AF166" s="341" t="n">
        <v>41487</v>
      </c>
      <c r="AG166" s="31" t="n">
        <v>22</v>
      </c>
      <c r="AH166" s="31" t="n">
        <v>5</v>
      </c>
      <c r="AI166" s="31" t="n">
        <v>4</v>
      </c>
      <c r="AJ166" s="31" t="n">
        <v>0</v>
      </c>
      <c r="AK166" s="31" t="n">
        <v>31</v>
      </c>
    </row>
    <row r="167" customFormat="false" ht="12.75" hidden="false" customHeight="false" outlineLevel="0" collapsed="false">
      <c r="A167" s="368" t="str">
        <f aca="false">Calculations!A134</f>
        <v>N/A</v>
      </c>
      <c r="B167" s="369" t="str">
        <f aca="false">IF(A167="N/A"," ",IF(ISERROR(L167),B155*Inputs!$F$19,L167))</f>
        <v> </v>
      </c>
      <c r="C167" s="370" t="str">
        <f aca="false">IF(A167="N/A"," ",(IF(AND(MONTH(A167)&gt;=6,MONTH(A167)&lt;=8,OR($K$37="REGION 2",$K$37="REGION 2A",$K$37="REGION 2B",$K$37="REGION 3",$K$37="REGION 3A",$K$37="REGION 3B",$K$37="REGION 4",$K$37="REGION 4B",$K$37="REGION 4C",$K$37="REGION 5",$K$37="REGION 5A")),((0.059228/(B167/100))-(0.4980013/(SQRT(B167/100)))+2.137988),HLOOKUP(MONTH(A167),ScalarTable,28))))</f>
        <v> </v>
      </c>
      <c r="D167" s="371" t="str">
        <f aca="false">IF(A167="N/A"," ",C167*B167)</f>
        <v> </v>
      </c>
      <c r="E167" s="369" t="str">
        <f aca="false">IF(A167="N/A"," ",IF(ISERROR(M167),E155*Inputs!$F$19,M167))</f>
        <v> </v>
      </c>
      <c r="F167" s="371" t="str">
        <f aca="false">IF(A167="N/A"," ",E167*C167)</f>
        <v> </v>
      </c>
      <c r="G167" s="369" t="str">
        <f aca="false">IF(A167="N/A"," ",IF(ISERROR(N167),G155*Inputs!$F$19,N167))</f>
        <v> </v>
      </c>
      <c r="H167" s="371" t="str">
        <f aca="false">IF(A167="N/A"," ",G167*C167)</f>
        <v> </v>
      </c>
      <c r="I167" s="371" t="str">
        <f aca="false">IF(A167="N/A"," ",IF(ISERROR(O167),I155*Inputs!$F$19,O167))</f>
        <v> </v>
      </c>
      <c r="J167" s="372" t="str">
        <f aca="false">IF(A167="N/A"," ",IF(ISERROR(P167),J155*Inputs!$F$23,P167))</f>
        <v> </v>
      </c>
      <c r="L167" s="374" t="str">
        <f aca="false">IF(A167="N/A"," ",VLOOKUP(A167,PeakPowerCurves,(IF('Pricing Inputs'!$AT$3=2,3,IF('Pricing Inputs'!$AT$3=1,2,4))),FALSE()))</f>
        <v> </v>
      </c>
      <c r="M167" s="374" t="str">
        <f aca="false">IF(A167="N/A"," ",VLOOKUP(A167,SatSunPeakPwr,(IF('Pricing Inputs'!$AT$3=2,3,IF('Pricing Inputs'!$AT$3=1,2,4))),FALSE()))</f>
        <v> </v>
      </c>
      <c r="N167" s="374" t="str">
        <f aca="false">IF(A167="N/A"," ",VLOOKUP(A167,SatSunPeakPwr,(IF('Pricing Inputs'!$AT$3=2,7,IF('Pricing Inputs'!$AT$3=1,6,8))),FALSE()))</f>
        <v> </v>
      </c>
      <c r="O167" s="375" t="str">
        <f aca="false">IF(A167="N/A"," ",(VLOOKUP(A167,OPPowerPrices,(IF('Pricing Inputs'!$AT$3=2,7,IF('Pricing Inputs'!$AT$3=1,6,8))),FALSE())))</f>
        <v> </v>
      </c>
      <c r="P167" s="376" t="str">
        <f aca="false">IF(A167="N/A"," ",(VLOOKUP(A167,GasCurves,15,FALSE())))</f>
        <v> </v>
      </c>
      <c r="AF167" s="341" t="n">
        <v>41518</v>
      </c>
      <c r="AG167" s="31" t="n">
        <v>20</v>
      </c>
      <c r="AH167" s="31" t="n">
        <v>4</v>
      </c>
      <c r="AI167" s="31" t="n">
        <v>5</v>
      </c>
      <c r="AJ167" s="31" t="n">
        <v>1</v>
      </c>
      <c r="AK167" s="31" t="n">
        <v>30</v>
      </c>
    </row>
    <row r="168" customFormat="false" ht="12.75" hidden="false" customHeight="false" outlineLevel="0" collapsed="false">
      <c r="A168" s="368" t="str">
        <f aca="false">Calculations!A135</f>
        <v>N/A</v>
      </c>
      <c r="B168" s="369" t="str">
        <f aca="false">IF(A168="N/A"," ",IF(ISERROR(L168),B156*Inputs!$F$19,L168))</f>
        <v> </v>
      </c>
      <c r="C168" s="370" t="str">
        <f aca="false">IF(A168="N/A"," ",(IF(AND(MONTH(A168)&gt;=6,MONTH(A168)&lt;=8,OR($K$37="REGION 2",$K$37="REGION 2A",$K$37="REGION 2B",$K$37="REGION 3",$K$37="REGION 3A",$K$37="REGION 3B",$K$37="REGION 4",$K$37="REGION 4B",$K$37="REGION 4C",$K$37="REGION 5",$K$37="REGION 5A")),((0.059228/(B168/100))-(0.4980013/(SQRT(B168/100)))+2.137988),HLOOKUP(MONTH(A168),ScalarTable,28))))</f>
        <v> </v>
      </c>
      <c r="D168" s="371" t="str">
        <f aca="false">IF(A168="N/A"," ",C168*B168)</f>
        <v> </v>
      </c>
      <c r="E168" s="369" t="str">
        <f aca="false">IF(A168="N/A"," ",IF(ISERROR(M168),E156*Inputs!$F$19,M168))</f>
        <v> </v>
      </c>
      <c r="F168" s="371" t="str">
        <f aca="false">IF(A168="N/A"," ",E168*C168)</f>
        <v> </v>
      </c>
      <c r="G168" s="369" t="str">
        <f aca="false">IF(A168="N/A"," ",IF(ISERROR(N168),G156*Inputs!$F$19,N168))</f>
        <v> </v>
      </c>
      <c r="H168" s="371" t="str">
        <f aca="false">IF(A168="N/A"," ",G168*C168)</f>
        <v> </v>
      </c>
      <c r="I168" s="371" t="str">
        <f aca="false">IF(A168="N/A"," ",IF(ISERROR(O168),I156*Inputs!$F$19,O168))</f>
        <v> </v>
      </c>
      <c r="J168" s="372" t="str">
        <f aca="false">IF(A168="N/A"," ",IF(ISERROR(P168),J156*Inputs!$F$23,P168))</f>
        <v> </v>
      </c>
      <c r="L168" s="374" t="str">
        <f aca="false">IF(A168="N/A"," ",VLOOKUP(A168,PeakPowerCurves,(IF('Pricing Inputs'!$AT$3=2,3,IF('Pricing Inputs'!$AT$3=1,2,4))),FALSE()))</f>
        <v> </v>
      </c>
      <c r="M168" s="374" t="str">
        <f aca="false">IF(A168="N/A"," ",VLOOKUP(A168,SatSunPeakPwr,(IF('Pricing Inputs'!$AT$3=2,3,IF('Pricing Inputs'!$AT$3=1,2,4))),FALSE()))</f>
        <v> </v>
      </c>
      <c r="N168" s="374" t="str">
        <f aca="false">IF(A168="N/A"," ",VLOOKUP(A168,SatSunPeakPwr,(IF('Pricing Inputs'!$AT$3=2,7,IF('Pricing Inputs'!$AT$3=1,6,8))),FALSE()))</f>
        <v> </v>
      </c>
      <c r="O168" s="375" t="str">
        <f aca="false">IF(A168="N/A"," ",(VLOOKUP(A168,OPPowerPrices,(IF('Pricing Inputs'!$AT$3=2,7,IF('Pricing Inputs'!$AT$3=1,6,8))),FALSE())))</f>
        <v> </v>
      </c>
      <c r="P168" s="376" t="str">
        <f aca="false">IF(A168="N/A"," ",(VLOOKUP(A168,GasCurves,15,FALSE())))</f>
        <v> </v>
      </c>
      <c r="AF168" s="341" t="n">
        <v>41548</v>
      </c>
      <c r="AG168" s="31" t="n">
        <v>23</v>
      </c>
      <c r="AH168" s="31" t="n">
        <v>4</v>
      </c>
      <c r="AI168" s="31" t="n">
        <v>4</v>
      </c>
      <c r="AJ168" s="31" t="n">
        <v>0</v>
      </c>
      <c r="AK168" s="31" t="n">
        <v>31</v>
      </c>
    </row>
    <row r="169" customFormat="false" ht="12.75" hidden="false" customHeight="false" outlineLevel="0" collapsed="false">
      <c r="A169" s="368" t="str">
        <f aca="false">Calculations!A136</f>
        <v>N/A</v>
      </c>
      <c r="B169" s="369" t="str">
        <f aca="false">IF(A169="N/A"," ",IF(ISERROR(L169),B157*Inputs!$F$19,L169))</f>
        <v> </v>
      </c>
      <c r="C169" s="370" t="str">
        <f aca="false">IF(A169="N/A"," ",(IF(AND(MONTH(A169)&gt;=6,MONTH(A169)&lt;=8,OR($K$37="REGION 2",$K$37="REGION 2A",$K$37="REGION 2B",$K$37="REGION 3",$K$37="REGION 3A",$K$37="REGION 3B",$K$37="REGION 4",$K$37="REGION 4B",$K$37="REGION 4C",$K$37="REGION 5",$K$37="REGION 5A")),((0.059228/(B169/100))-(0.4980013/(SQRT(B169/100)))+2.137988),HLOOKUP(MONTH(A169),ScalarTable,28))))</f>
        <v> </v>
      </c>
      <c r="D169" s="371" t="str">
        <f aca="false">IF(A169="N/A"," ",C169*B169)</f>
        <v> </v>
      </c>
      <c r="E169" s="369" t="str">
        <f aca="false">IF(A169="N/A"," ",IF(ISERROR(M169),E157*Inputs!$F$19,M169))</f>
        <v> </v>
      </c>
      <c r="F169" s="371" t="str">
        <f aca="false">IF(A169="N/A"," ",E169*C169)</f>
        <v> </v>
      </c>
      <c r="G169" s="369" t="str">
        <f aca="false">IF(A169="N/A"," ",IF(ISERROR(N169),G157*Inputs!$F$19,N169))</f>
        <v> </v>
      </c>
      <c r="H169" s="371" t="str">
        <f aca="false">IF(A169="N/A"," ",G169*C169)</f>
        <v> </v>
      </c>
      <c r="I169" s="371" t="str">
        <f aca="false">IF(A169="N/A"," ",IF(ISERROR(O169),I157*Inputs!$F$19,O169))</f>
        <v> </v>
      </c>
      <c r="J169" s="372" t="str">
        <f aca="false">IF(A169="N/A"," ",IF(ISERROR(P169),J157*Inputs!$F$23,P169))</f>
        <v> </v>
      </c>
      <c r="L169" s="374" t="str">
        <f aca="false">IF(A169="N/A"," ",VLOOKUP(A169,PeakPowerCurves,(IF('Pricing Inputs'!$AT$3=2,3,IF('Pricing Inputs'!$AT$3=1,2,4))),FALSE()))</f>
        <v> </v>
      </c>
      <c r="M169" s="374" t="str">
        <f aca="false">IF(A169="N/A"," ",VLOOKUP(A169,SatSunPeakPwr,(IF('Pricing Inputs'!$AT$3=2,3,IF('Pricing Inputs'!$AT$3=1,2,4))),FALSE()))</f>
        <v> </v>
      </c>
      <c r="N169" s="374" t="str">
        <f aca="false">IF(A169="N/A"," ",VLOOKUP(A169,SatSunPeakPwr,(IF('Pricing Inputs'!$AT$3=2,7,IF('Pricing Inputs'!$AT$3=1,6,8))),FALSE()))</f>
        <v> </v>
      </c>
      <c r="O169" s="375" t="str">
        <f aca="false">IF(A169="N/A"," ",(VLOOKUP(A169,OPPowerPrices,(IF('Pricing Inputs'!$AT$3=2,7,IF('Pricing Inputs'!$AT$3=1,6,8))),FALSE())))</f>
        <v> </v>
      </c>
      <c r="P169" s="376" t="str">
        <f aca="false">IF(A169="N/A"," ",(VLOOKUP(A169,GasCurves,15,FALSE())))</f>
        <v> </v>
      </c>
      <c r="AF169" s="341" t="n">
        <v>41579</v>
      </c>
      <c r="AG169" s="31" t="n">
        <v>20</v>
      </c>
      <c r="AH169" s="31" t="n">
        <v>5</v>
      </c>
      <c r="AI169" s="31" t="n">
        <v>4</v>
      </c>
      <c r="AJ169" s="31" t="n">
        <v>1</v>
      </c>
      <c r="AK169" s="31" t="n">
        <v>30</v>
      </c>
    </row>
    <row r="170" customFormat="false" ht="12.75" hidden="false" customHeight="false" outlineLevel="0" collapsed="false">
      <c r="A170" s="368" t="str">
        <f aca="false">Calculations!A137</f>
        <v>N/A</v>
      </c>
      <c r="B170" s="369" t="str">
        <f aca="false">IF(A170="N/A"," ",IF(ISERROR(L170),B158*Inputs!$F$19,L170))</f>
        <v> </v>
      </c>
      <c r="C170" s="370" t="str">
        <f aca="false">IF(A170="N/A"," ",(IF(AND(MONTH(A170)&gt;=6,MONTH(A170)&lt;=8,OR($K$37="REGION 2",$K$37="REGION 2A",$K$37="REGION 2B",$K$37="REGION 3",$K$37="REGION 3A",$K$37="REGION 3B",$K$37="REGION 4",$K$37="REGION 4B",$K$37="REGION 4C",$K$37="REGION 5",$K$37="REGION 5A")),((0.059228/(B170/100))-(0.4980013/(SQRT(B170/100)))+2.137988),HLOOKUP(MONTH(A170),ScalarTable,28))))</f>
        <v> </v>
      </c>
      <c r="D170" s="371" t="str">
        <f aca="false">IF(A170="N/A"," ",C170*B170)</f>
        <v> </v>
      </c>
      <c r="E170" s="369" t="str">
        <f aca="false">IF(A170="N/A"," ",IF(ISERROR(M170),E158*Inputs!$F$19,M170))</f>
        <v> </v>
      </c>
      <c r="F170" s="371" t="str">
        <f aca="false">IF(A170="N/A"," ",E170*C170)</f>
        <v> </v>
      </c>
      <c r="G170" s="369" t="str">
        <f aca="false">IF(A170="N/A"," ",IF(ISERROR(N170),G158*Inputs!$F$19,N170))</f>
        <v> </v>
      </c>
      <c r="H170" s="371" t="str">
        <f aca="false">IF(A170="N/A"," ",G170*C170)</f>
        <v> </v>
      </c>
      <c r="I170" s="371" t="str">
        <f aca="false">IF(A170="N/A"," ",IF(ISERROR(O170),I158*Inputs!$F$19,O170))</f>
        <v> </v>
      </c>
      <c r="J170" s="372" t="str">
        <f aca="false">IF(A170="N/A"," ",IF(ISERROR(P170),J158*Inputs!$F$23,P170))</f>
        <v> </v>
      </c>
      <c r="L170" s="374" t="str">
        <f aca="false">IF(A170="N/A"," ",VLOOKUP(A170,PeakPowerCurves,(IF('Pricing Inputs'!$AT$3=2,3,IF('Pricing Inputs'!$AT$3=1,2,4))),FALSE()))</f>
        <v> </v>
      </c>
      <c r="M170" s="374" t="str">
        <f aca="false">IF(A170="N/A"," ",VLOOKUP(A170,SatSunPeakPwr,(IF('Pricing Inputs'!$AT$3=2,3,IF('Pricing Inputs'!$AT$3=1,2,4))),FALSE()))</f>
        <v> </v>
      </c>
      <c r="N170" s="374" t="str">
        <f aca="false">IF(A170="N/A"," ",VLOOKUP(A170,SatSunPeakPwr,(IF('Pricing Inputs'!$AT$3=2,7,IF('Pricing Inputs'!$AT$3=1,6,8))),FALSE()))</f>
        <v> </v>
      </c>
      <c r="O170" s="375" t="str">
        <f aca="false">IF(A170="N/A"," ",(VLOOKUP(A170,OPPowerPrices,(IF('Pricing Inputs'!$AT$3=2,7,IF('Pricing Inputs'!$AT$3=1,6,8))),FALSE())))</f>
        <v> </v>
      </c>
      <c r="P170" s="376" t="str">
        <f aca="false">IF(A170="N/A"," ",(VLOOKUP(A170,GasCurves,15,FALSE())))</f>
        <v> </v>
      </c>
      <c r="AF170" s="341" t="n">
        <v>41609</v>
      </c>
      <c r="AG170" s="31" t="n">
        <v>21</v>
      </c>
      <c r="AH170" s="31" t="n">
        <v>4</v>
      </c>
      <c r="AI170" s="31" t="n">
        <v>5</v>
      </c>
      <c r="AJ170" s="31" t="n">
        <v>1</v>
      </c>
      <c r="AK170" s="31" t="n">
        <v>31</v>
      </c>
    </row>
    <row r="171" customFormat="false" ht="12.75" hidden="false" customHeight="false" outlineLevel="0" collapsed="false">
      <c r="A171" s="368" t="str">
        <f aca="false">Calculations!A138</f>
        <v>N/A</v>
      </c>
      <c r="B171" s="369" t="str">
        <f aca="false">IF(A171="N/A"," ",IF(ISERROR(L171),B159*Inputs!$F$19,L171))</f>
        <v> </v>
      </c>
      <c r="C171" s="370" t="str">
        <f aca="false">IF(A171="N/A"," ",(IF(AND(MONTH(A171)&gt;=6,MONTH(A171)&lt;=8,OR($K$37="REGION 2",$K$37="REGION 2A",$K$37="REGION 2B",$K$37="REGION 3",$K$37="REGION 3A",$K$37="REGION 3B",$K$37="REGION 4",$K$37="REGION 4B",$K$37="REGION 4C",$K$37="REGION 5",$K$37="REGION 5A")),((0.059228/(B171/100))-(0.4980013/(SQRT(B171/100)))+2.137988),HLOOKUP(MONTH(A171),ScalarTable,28))))</f>
        <v> </v>
      </c>
      <c r="D171" s="371" t="str">
        <f aca="false">IF(A171="N/A"," ",C171*B171)</f>
        <v> </v>
      </c>
      <c r="E171" s="369" t="str">
        <f aca="false">IF(A171="N/A"," ",IF(ISERROR(M171),E159*Inputs!$F$19,M171))</f>
        <v> </v>
      </c>
      <c r="F171" s="371" t="str">
        <f aca="false">IF(A171="N/A"," ",E171*C171)</f>
        <v> </v>
      </c>
      <c r="G171" s="369" t="str">
        <f aca="false">IF(A171="N/A"," ",IF(ISERROR(N171),G159*Inputs!$F$19,N171))</f>
        <v> </v>
      </c>
      <c r="H171" s="371" t="str">
        <f aca="false">IF(A171="N/A"," ",G171*C171)</f>
        <v> </v>
      </c>
      <c r="I171" s="371" t="str">
        <f aca="false">IF(A171="N/A"," ",IF(ISERROR(O171),I159*Inputs!$F$19,O171))</f>
        <v> </v>
      </c>
      <c r="J171" s="372" t="str">
        <f aca="false">IF(A171="N/A"," ",IF(ISERROR(P171),J159*Inputs!$F$23,P171))</f>
        <v> </v>
      </c>
      <c r="L171" s="374" t="str">
        <f aca="false">IF(A171="N/A"," ",VLOOKUP(A171,PeakPowerCurves,(IF('Pricing Inputs'!$AT$3=2,3,IF('Pricing Inputs'!$AT$3=1,2,4))),FALSE()))</f>
        <v> </v>
      </c>
      <c r="M171" s="374" t="str">
        <f aca="false">IF(A171="N/A"," ",VLOOKUP(A171,SatSunPeakPwr,(IF('Pricing Inputs'!$AT$3=2,3,IF('Pricing Inputs'!$AT$3=1,2,4))),FALSE()))</f>
        <v> </v>
      </c>
      <c r="N171" s="374" t="str">
        <f aca="false">IF(A171="N/A"," ",VLOOKUP(A171,SatSunPeakPwr,(IF('Pricing Inputs'!$AT$3=2,7,IF('Pricing Inputs'!$AT$3=1,6,8))),FALSE()))</f>
        <v> </v>
      </c>
      <c r="O171" s="375" t="str">
        <f aca="false">IF(A171="N/A"," ",(VLOOKUP(A171,OPPowerPrices,(IF('Pricing Inputs'!$AT$3=2,7,IF('Pricing Inputs'!$AT$3=1,6,8))),FALSE())))</f>
        <v> </v>
      </c>
      <c r="P171" s="376" t="str">
        <f aca="false">IF(A171="N/A"," ",(VLOOKUP(A171,GasCurves,15,FALSE())))</f>
        <v> </v>
      </c>
      <c r="AF171" s="341" t="n">
        <v>41640</v>
      </c>
      <c r="AG171" s="31" t="n">
        <v>22</v>
      </c>
      <c r="AH171" s="31" t="n">
        <v>4</v>
      </c>
      <c r="AI171" s="31" t="n">
        <v>4</v>
      </c>
      <c r="AJ171" s="31" t="n">
        <v>1</v>
      </c>
      <c r="AK171" s="31" t="n">
        <v>31</v>
      </c>
    </row>
    <row r="172" customFormat="false" ht="12.75" hidden="false" customHeight="false" outlineLevel="0" collapsed="false">
      <c r="A172" s="368" t="str">
        <f aca="false">Calculations!A139</f>
        <v>N/A</v>
      </c>
      <c r="B172" s="369" t="str">
        <f aca="false">IF(A172="N/A"," ",IF(ISERROR(L172),B160*Inputs!$F$19,L172))</f>
        <v> </v>
      </c>
      <c r="C172" s="370" t="str">
        <f aca="false">IF(A172="N/A"," ",(IF(AND(MONTH(A172)&gt;=6,MONTH(A172)&lt;=8,OR($K$37="REGION 2",$K$37="REGION 2A",$K$37="REGION 2B",$K$37="REGION 3",$K$37="REGION 3A",$K$37="REGION 3B",$K$37="REGION 4",$K$37="REGION 4B",$K$37="REGION 4C",$K$37="REGION 5",$K$37="REGION 5A")),((0.059228/(B172/100))-(0.4980013/(SQRT(B172/100)))+2.137988),HLOOKUP(MONTH(A172),ScalarTable,28))))</f>
        <v> </v>
      </c>
      <c r="D172" s="371" t="str">
        <f aca="false">IF(A172="N/A"," ",C172*B172)</f>
        <v> </v>
      </c>
      <c r="E172" s="369" t="str">
        <f aca="false">IF(A172="N/A"," ",IF(ISERROR(M172),E160*Inputs!$F$19,M172))</f>
        <v> </v>
      </c>
      <c r="F172" s="371" t="str">
        <f aca="false">IF(A172="N/A"," ",E172*C172)</f>
        <v> </v>
      </c>
      <c r="G172" s="369" t="str">
        <f aca="false">IF(A172="N/A"," ",IF(ISERROR(N172),G160*Inputs!$F$19,N172))</f>
        <v> </v>
      </c>
      <c r="H172" s="371" t="str">
        <f aca="false">IF(A172="N/A"," ",G172*C172)</f>
        <v> </v>
      </c>
      <c r="I172" s="371" t="str">
        <f aca="false">IF(A172="N/A"," ",IF(ISERROR(O172),I160*Inputs!$F$19,O172))</f>
        <v> </v>
      </c>
      <c r="J172" s="372" t="str">
        <f aca="false">IF(A172="N/A"," ",IF(ISERROR(P172),J160*Inputs!$F$23,P172))</f>
        <v> </v>
      </c>
      <c r="L172" s="374" t="str">
        <f aca="false">IF(A172="N/A"," ",VLOOKUP(A172,PeakPowerCurves,(IF('Pricing Inputs'!$AT$3=2,3,IF('Pricing Inputs'!$AT$3=1,2,4))),FALSE()))</f>
        <v> </v>
      </c>
      <c r="M172" s="374" t="str">
        <f aca="false">IF(A172="N/A"," ",VLOOKUP(A172,SatSunPeakPwr,(IF('Pricing Inputs'!$AT$3=2,3,IF('Pricing Inputs'!$AT$3=1,2,4))),FALSE()))</f>
        <v> </v>
      </c>
      <c r="N172" s="374" t="str">
        <f aca="false">IF(A172="N/A"," ",VLOOKUP(A172,SatSunPeakPwr,(IF('Pricing Inputs'!$AT$3=2,7,IF('Pricing Inputs'!$AT$3=1,6,8))),FALSE()))</f>
        <v> </v>
      </c>
      <c r="O172" s="375" t="str">
        <f aca="false">IF(A172="N/A"," ",(VLOOKUP(A172,OPPowerPrices,(IF('Pricing Inputs'!$AT$3=2,7,IF('Pricing Inputs'!$AT$3=1,6,8))),FALSE())))</f>
        <v> </v>
      </c>
      <c r="P172" s="376" t="str">
        <f aca="false">IF(A172="N/A"," ",(VLOOKUP(A172,GasCurves,15,FALSE())))</f>
        <v> </v>
      </c>
      <c r="AF172" s="341" t="n">
        <v>41671</v>
      </c>
      <c r="AG172" s="31" t="n">
        <v>20</v>
      </c>
      <c r="AH172" s="31" t="n">
        <v>4</v>
      </c>
      <c r="AI172" s="31" t="n">
        <v>4</v>
      </c>
      <c r="AJ172" s="31" t="n">
        <v>0</v>
      </c>
      <c r="AK172" s="31" t="n">
        <v>28</v>
      </c>
    </row>
    <row r="173" customFormat="false" ht="12.75" hidden="false" customHeight="false" outlineLevel="0" collapsed="false">
      <c r="A173" s="368" t="str">
        <f aca="false">Calculations!A140</f>
        <v>N/A</v>
      </c>
      <c r="B173" s="369" t="str">
        <f aca="false">IF(A173="N/A"," ",IF(ISERROR(L173),B161*Inputs!$F$19,L173))</f>
        <v> </v>
      </c>
      <c r="C173" s="370" t="str">
        <f aca="false">IF(A173="N/A"," ",(IF(AND(MONTH(A173)&gt;=6,MONTH(A173)&lt;=8,OR($K$37="REGION 2",$K$37="REGION 2A",$K$37="REGION 2B",$K$37="REGION 3",$K$37="REGION 3A",$K$37="REGION 3B",$K$37="REGION 4",$K$37="REGION 4B",$K$37="REGION 4C",$K$37="REGION 5",$K$37="REGION 5A")),((0.059228/(B173/100))-(0.4980013/(SQRT(B173/100)))+2.137988),HLOOKUP(MONTH(A173),ScalarTable,28))))</f>
        <v> </v>
      </c>
      <c r="D173" s="371" t="str">
        <f aca="false">IF(A173="N/A"," ",C173*B173)</f>
        <v> </v>
      </c>
      <c r="E173" s="369" t="str">
        <f aca="false">IF(A173="N/A"," ",IF(ISERROR(M173),E161*Inputs!$F$19,M173))</f>
        <v> </v>
      </c>
      <c r="F173" s="371" t="str">
        <f aca="false">IF(A173="N/A"," ",E173*C173)</f>
        <v> </v>
      </c>
      <c r="G173" s="369" t="str">
        <f aca="false">IF(A173="N/A"," ",IF(ISERROR(N173),G161*Inputs!$F$19,N173))</f>
        <v> </v>
      </c>
      <c r="H173" s="371" t="str">
        <f aca="false">IF(A173="N/A"," ",G173*C173)</f>
        <v> </v>
      </c>
      <c r="I173" s="371" t="str">
        <f aca="false">IF(A173="N/A"," ",IF(ISERROR(O173),I161*Inputs!$F$19,O173))</f>
        <v> </v>
      </c>
      <c r="J173" s="372" t="str">
        <f aca="false">IF(A173="N/A"," ",IF(ISERROR(P173),J161*Inputs!$F$23,P173))</f>
        <v> </v>
      </c>
      <c r="L173" s="374" t="str">
        <f aca="false">IF(A173="N/A"," ",VLOOKUP(A173,PeakPowerCurves,(IF('Pricing Inputs'!$AT$3=2,3,IF('Pricing Inputs'!$AT$3=1,2,4))),FALSE()))</f>
        <v> </v>
      </c>
      <c r="M173" s="374" t="str">
        <f aca="false">IF(A173="N/A"," ",VLOOKUP(A173,SatSunPeakPwr,(IF('Pricing Inputs'!$AT$3=2,3,IF('Pricing Inputs'!$AT$3=1,2,4))),FALSE()))</f>
        <v> </v>
      </c>
      <c r="N173" s="374" t="str">
        <f aca="false">IF(A173="N/A"," ",VLOOKUP(A173,SatSunPeakPwr,(IF('Pricing Inputs'!$AT$3=2,7,IF('Pricing Inputs'!$AT$3=1,6,8))),FALSE()))</f>
        <v> </v>
      </c>
      <c r="O173" s="375" t="str">
        <f aca="false">IF(A173="N/A"," ",(VLOOKUP(A173,OPPowerPrices,(IF('Pricing Inputs'!$AT$3=2,7,IF('Pricing Inputs'!$AT$3=1,6,8))),FALSE())))</f>
        <v> </v>
      </c>
      <c r="P173" s="376" t="str">
        <f aca="false">IF(A173="N/A"," ",(VLOOKUP(A173,GasCurves,15,FALSE())))</f>
        <v> </v>
      </c>
      <c r="AF173" s="341" t="n">
        <v>41699</v>
      </c>
      <c r="AG173" s="31" t="n">
        <v>21</v>
      </c>
      <c r="AH173" s="31" t="n">
        <v>5</v>
      </c>
      <c r="AI173" s="31" t="n">
        <v>5</v>
      </c>
      <c r="AJ173" s="31" t="n">
        <v>0</v>
      </c>
      <c r="AK173" s="31" t="n">
        <v>31</v>
      </c>
    </row>
    <row r="174" customFormat="false" ht="12.75" hidden="false" customHeight="false" outlineLevel="0" collapsed="false">
      <c r="A174" s="368" t="str">
        <f aca="false">Calculations!A141</f>
        <v>N/A</v>
      </c>
      <c r="B174" s="369" t="str">
        <f aca="false">IF(A174="N/A"," ",IF(ISERROR(L174),B162*Inputs!$F$19,L174))</f>
        <v> </v>
      </c>
      <c r="C174" s="370" t="str">
        <f aca="false">IF(A174="N/A"," ",(IF(AND(MONTH(A174)&gt;=6,MONTH(A174)&lt;=8,OR($K$37="REGION 2",$K$37="REGION 2A",$K$37="REGION 2B",$K$37="REGION 3",$K$37="REGION 3A",$K$37="REGION 3B",$K$37="REGION 4",$K$37="REGION 4B",$K$37="REGION 4C",$K$37="REGION 5",$K$37="REGION 5A")),((0.059228/(B174/100))-(0.4980013/(SQRT(B174/100)))+2.137988),HLOOKUP(MONTH(A174),ScalarTable,28))))</f>
        <v> </v>
      </c>
      <c r="D174" s="371" t="str">
        <f aca="false">IF(A174="N/A"," ",C174*B174)</f>
        <v> </v>
      </c>
      <c r="E174" s="369" t="str">
        <f aca="false">IF(A174="N/A"," ",IF(ISERROR(M174),E162*Inputs!$F$19,M174))</f>
        <v> </v>
      </c>
      <c r="F174" s="371" t="str">
        <f aca="false">IF(A174="N/A"," ",E174*C174)</f>
        <v> </v>
      </c>
      <c r="G174" s="369" t="str">
        <f aca="false">IF(A174="N/A"," ",IF(ISERROR(N174),G162*Inputs!$F$19,N174))</f>
        <v> </v>
      </c>
      <c r="H174" s="371" t="str">
        <f aca="false">IF(A174="N/A"," ",G174*C174)</f>
        <v> </v>
      </c>
      <c r="I174" s="371" t="str">
        <f aca="false">IF(A174="N/A"," ",IF(ISERROR(O174),I162*Inputs!$F$19,O174))</f>
        <v> </v>
      </c>
      <c r="J174" s="372" t="str">
        <f aca="false">IF(A174="N/A"," ",IF(ISERROR(P174),J162*Inputs!$F$23,P174))</f>
        <v> </v>
      </c>
      <c r="L174" s="374" t="str">
        <f aca="false">IF(A174="N/A"," ",VLOOKUP(A174,PeakPowerCurves,(IF('Pricing Inputs'!$AT$3=2,3,IF('Pricing Inputs'!$AT$3=1,2,4))),FALSE()))</f>
        <v> </v>
      </c>
      <c r="M174" s="374" t="str">
        <f aca="false">IF(A174="N/A"," ",VLOOKUP(A174,SatSunPeakPwr,(IF('Pricing Inputs'!$AT$3=2,3,IF('Pricing Inputs'!$AT$3=1,2,4))),FALSE()))</f>
        <v> </v>
      </c>
      <c r="N174" s="374" t="str">
        <f aca="false">IF(A174="N/A"," ",VLOOKUP(A174,SatSunPeakPwr,(IF('Pricing Inputs'!$AT$3=2,7,IF('Pricing Inputs'!$AT$3=1,6,8))),FALSE()))</f>
        <v> </v>
      </c>
      <c r="O174" s="375" t="str">
        <f aca="false">IF(A174="N/A"," ",(VLOOKUP(A174,OPPowerPrices,(IF('Pricing Inputs'!$AT$3=2,7,IF('Pricing Inputs'!$AT$3=1,6,8))),FALSE())))</f>
        <v> </v>
      </c>
      <c r="P174" s="376" t="str">
        <f aca="false">IF(A174="N/A"," ",(VLOOKUP(A174,GasCurves,15,FALSE())))</f>
        <v> </v>
      </c>
      <c r="AF174" s="341" t="n">
        <v>41730</v>
      </c>
      <c r="AG174" s="31" t="n">
        <v>22</v>
      </c>
      <c r="AH174" s="31" t="n">
        <v>4</v>
      </c>
      <c r="AI174" s="31" t="n">
        <v>4</v>
      </c>
      <c r="AJ174" s="31" t="n">
        <v>0</v>
      </c>
      <c r="AK174" s="31" t="n">
        <v>30</v>
      </c>
    </row>
    <row r="175" customFormat="false" ht="12.75" hidden="false" customHeight="false" outlineLevel="0" collapsed="false">
      <c r="A175" s="368" t="str">
        <f aca="false">Calculations!A142</f>
        <v>N/A</v>
      </c>
      <c r="B175" s="369" t="str">
        <f aca="false">IF(A175="N/A"," ",IF(ISERROR(L175),B163*Inputs!$F$19,L175))</f>
        <v> </v>
      </c>
      <c r="C175" s="370" t="str">
        <f aca="false">IF(A175="N/A"," ",(IF(AND(MONTH(A175)&gt;=6,MONTH(A175)&lt;=8,OR($K$37="REGION 2",$K$37="REGION 2A",$K$37="REGION 2B",$K$37="REGION 3",$K$37="REGION 3A",$K$37="REGION 3B",$K$37="REGION 4",$K$37="REGION 4B",$K$37="REGION 4C",$K$37="REGION 5",$K$37="REGION 5A")),((0.059228/(B175/100))-(0.4980013/(SQRT(B175/100)))+2.137988),HLOOKUP(MONTH(A175),ScalarTable,28))))</f>
        <v> </v>
      </c>
      <c r="D175" s="371" t="str">
        <f aca="false">IF(A175="N/A"," ",C175*B175)</f>
        <v> </v>
      </c>
      <c r="E175" s="369" t="str">
        <f aca="false">IF(A175="N/A"," ",IF(ISERROR(M175),E163*Inputs!$F$19,M175))</f>
        <v> </v>
      </c>
      <c r="F175" s="371" t="str">
        <f aca="false">IF(A175="N/A"," ",E175*C175)</f>
        <v> </v>
      </c>
      <c r="G175" s="369" t="str">
        <f aca="false">IF(A175="N/A"," ",IF(ISERROR(N175),G163*Inputs!$F$19,N175))</f>
        <v> </v>
      </c>
      <c r="H175" s="371" t="str">
        <f aca="false">IF(A175="N/A"," ",G175*C175)</f>
        <v> </v>
      </c>
      <c r="I175" s="371" t="str">
        <f aca="false">IF(A175="N/A"," ",IF(ISERROR(O175),I163*Inputs!$F$19,O175))</f>
        <v> </v>
      </c>
      <c r="J175" s="372" t="str">
        <f aca="false">IF(A175="N/A"," ",IF(ISERROR(P175),J163*Inputs!$F$23,P175))</f>
        <v> </v>
      </c>
      <c r="L175" s="374" t="str">
        <f aca="false">IF(A175="N/A"," ",VLOOKUP(A175,PeakPowerCurves,(IF('Pricing Inputs'!$AT$3=2,3,IF('Pricing Inputs'!$AT$3=1,2,4))),FALSE()))</f>
        <v> </v>
      </c>
      <c r="M175" s="374" t="str">
        <f aca="false">IF(A175="N/A"," ",VLOOKUP(A175,SatSunPeakPwr,(IF('Pricing Inputs'!$AT$3=2,3,IF('Pricing Inputs'!$AT$3=1,2,4))),FALSE()))</f>
        <v> </v>
      </c>
      <c r="N175" s="374" t="str">
        <f aca="false">IF(A175="N/A"," ",VLOOKUP(A175,SatSunPeakPwr,(IF('Pricing Inputs'!$AT$3=2,7,IF('Pricing Inputs'!$AT$3=1,6,8))),FALSE()))</f>
        <v> </v>
      </c>
      <c r="O175" s="375" t="str">
        <f aca="false">IF(A175="N/A"," ",(VLOOKUP(A175,OPPowerPrices,(IF('Pricing Inputs'!$AT$3=2,7,IF('Pricing Inputs'!$AT$3=1,6,8))),FALSE())))</f>
        <v> </v>
      </c>
      <c r="P175" s="376" t="str">
        <f aca="false">IF(A175="N/A"," ",(VLOOKUP(A175,GasCurves,15,FALSE())))</f>
        <v> </v>
      </c>
      <c r="AF175" s="341" t="n">
        <v>41760</v>
      </c>
      <c r="AG175" s="31" t="n">
        <v>21</v>
      </c>
      <c r="AH175" s="31" t="n">
        <v>5</v>
      </c>
      <c r="AI175" s="31" t="n">
        <v>4</v>
      </c>
      <c r="AJ175" s="31" t="n">
        <v>1</v>
      </c>
      <c r="AK175" s="31" t="n">
        <v>31</v>
      </c>
    </row>
    <row r="176" customFormat="false" ht="12.75" hidden="false" customHeight="false" outlineLevel="0" collapsed="false">
      <c r="A176" s="368" t="str">
        <f aca="false">Calculations!A143</f>
        <v>N/A</v>
      </c>
      <c r="B176" s="369" t="str">
        <f aca="false">IF(A176="N/A"," ",IF(ISERROR(L176),B164*Inputs!$F$19,L176))</f>
        <v> </v>
      </c>
      <c r="C176" s="370" t="str">
        <f aca="false">IF(A176="N/A"," ",(IF(AND(MONTH(A176)&gt;=6,MONTH(A176)&lt;=8,OR($K$37="REGION 2",$K$37="REGION 2A",$K$37="REGION 2B",$K$37="REGION 3",$K$37="REGION 3A",$K$37="REGION 3B",$K$37="REGION 4",$K$37="REGION 4B",$K$37="REGION 4C",$K$37="REGION 5",$K$37="REGION 5A")),((0.059228/(B176/100))-(0.4980013/(SQRT(B176/100)))+2.137988),HLOOKUP(MONTH(A176),ScalarTable,28))))</f>
        <v> </v>
      </c>
      <c r="D176" s="371" t="str">
        <f aca="false">IF(A176="N/A"," ",C176*B176)</f>
        <v> </v>
      </c>
      <c r="E176" s="369" t="str">
        <f aca="false">IF(A176="N/A"," ",IF(ISERROR(M176),E164*Inputs!$F$19,M176))</f>
        <v> </v>
      </c>
      <c r="F176" s="371" t="str">
        <f aca="false">IF(A176="N/A"," ",E176*C176)</f>
        <v> </v>
      </c>
      <c r="G176" s="369" t="str">
        <f aca="false">IF(A176="N/A"," ",IF(ISERROR(N176),G164*Inputs!$F$19,N176))</f>
        <v> </v>
      </c>
      <c r="H176" s="371" t="str">
        <f aca="false">IF(A176="N/A"," ",G176*C176)</f>
        <v> </v>
      </c>
      <c r="I176" s="371" t="str">
        <f aca="false">IF(A176="N/A"," ",IF(ISERROR(O176),I164*Inputs!$F$19,O176))</f>
        <v> </v>
      </c>
      <c r="J176" s="372" t="str">
        <f aca="false">IF(A176="N/A"," ",IF(ISERROR(P176),J164*Inputs!$F$23,P176))</f>
        <v> </v>
      </c>
      <c r="L176" s="374" t="str">
        <f aca="false">IF(A176="N/A"," ",VLOOKUP(A176,PeakPowerCurves,(IF('Pricing Inputs'!$AT$3=2,3,IF('Pricing Inputs'!$AT$3=1,2,4))),FALSE()))</f>
        <v> </v>
      </c>
      <c r="M176" s="374" t="str">
        <f aca="false">IF(A176="N/A"," ",VLOOKUP(A176,SatSunPeakPwr,(IF('Pricing Inputs'!$AT$3=2,3,IF('Pricing Inputs'!$AT$3=1,2,4))),FALSE()))</f>
        <v> </v>
      </c>
      <c r="N176" s="374" t="str">
        <f aca="false">IF(A176="N/A"," ",VLOOKUP(A176,SatSunPeakPwr,(IF('Pricing Inputs'!$AT$3=2,7,IF('Pricing Inputs'!$AT$3=1,6,8))),FALSE()))</f>
        <v> </v>
      </c>
      <c r="O176" s="375" t="str">
        <f aca="false">IF(A176="N/A"," ",(VLOOKUP(A176,OPPowerPrices,(IF('Pricing Inputs'!$AT$3=2,7,IF('Pricing Inputs'!$AT$3=1,6,8))),FALSE())))</f>
        <v> </v>
      </c>
      <c r="P176" s="376" t="str">
        <f aca="false">IF(A176="N/A"," ",(VLOOKUP(A176,GasCurves,15,FALSE())))</f>
        <v> </v>
      </c>
      <c r="AF176" s="341" t="n">
        <v>41791</v>
      </c>
      <c r="AG176" s="31" t="n">
        <v>21</v>
      </c>
      <c r="AH176" s="31" t="n">
        <v>4</v>
      </c>
      <c r="AI176" s="31" t="n">
        <v>5</v>
      </c>
      <c r="AJ176" s="31" t="n">
        <v>0</v>
      </c>
      <c r="AK176" s="31" t="n">
        <v>30</v>
      </c>
    </row>
    <row r="177" customFormat="false" ht="12.75" hidden="false" customHeight="false" outlineLevel="0" collapsed="false">
      <c r="A177" s="368" t="str">
        <f aca="false">Calculations!A144</f>
        <v>N/A</v>
      </c>
      <c r="B177" s="369" t="str">
        <f aca="false">IF(A177="N/A"," ",IF(ISERROR(L177),B165*Inputs!$F$19,L177))</f>
        <v> </v>
      </c>
      <c r="C177" s="370" t="str">
        <f aca="false">IF(A177="N/A"," ",(IF(AND(MONTH(A177)&gt;=6,MONTH(A177)&lt;=8,OR($K$37="REGION 2",$K$37="REGION 2A",$K$37="REGION 2B",$K$37="REGION 3",$K$37="REGION 3A",$K$37="REGION 3B",$K$37="REGION 4",$K$37="REGION 4B",$K$37="REGION 4C",$K$37="REGION 5",$K$37="REGION 5A")),((0.059228/(B177/100))-(0.4980013/(SQRT(B177/100)))+2.137988),HLOOKUP(MONTH(A177),ScalarTable,28))))</f>
        <v> </v>
      </c>
      <c r="D177" s="371" t="str">
        <f aca="false">IF(A177="N/A"," ",C177*B177)</f>
        <v> </v>
      </c>
      <c r="E177" s="369" t="str">
        <f aca="false">IF(A177="N/A"," ",IF(ISERROR(M177),E165*Inputs!$F$19,M177))</f>
        <v> </v>
      </c>
      <c r="F177" s="371" t="str">
        <f aca="false">IF(A177="N/A"," ",E177*C177)</f>
        <v> </v>
      </c>
      <c r="G177" s="369" t="str">
        <f aca="false">IF(A177="N/A"," ",IF(ISERROR(N177),G165*Inputs!$F$19,N177))</f>
        <v> </v>
      </c>
      <c r="H177" s="371" t="str">
        <f aca="false">IF(A177="N/A"," ",G177*C177)</f>
        <v> </v>
      </c>
      <c r="I177" s="371" t="str">
        <f aca="false">IF(A177="N/A"," ",IF(ISERROR(O177),I165*Inputs!$F$19,O177))</f>
        <v> </v>
      </c>
      <c r="J177" s="372" t="str">
        <f aca="false">IF(A177="N/A"," ",IF(ISERROR(P177),J165*Inputs!$F$23,P177))</f>
        <v> </v>
      </c>
      <c r="L177" s="374" t="str">
        <f aca="false">IF(A177="N/A"," ",VLOOKUP(A177,PeakPowerCurves,(IF('Pricing Inputs'!$AT$3=2,3,IF('Pricing Inputs'!$AT$3=1,2,4))),FALSE()))</f>
        <v> </v>
      </c>
      <c r="M177" s="374" t="str">
        <f aca="false">IF(A177="N/A"," ",VLOOKUP(A177,SatSunPeakPwr,(IF('Pricing Inputs'!$AT$3=2,3,IF('Pricing Inputs'!$AT$3=1,2,4))),FALSE()))</f>
        <v> </v>
      </c>
      <c r="N177" s="374" t="str">
        <f aca="false">IF(A177="N/A"," ",VLOOKUP(A177,SatSunPeakPwr,(IF('Pricing Inputs'!$AT$3=2,7,IF('Pricing Inputs'!$AT$3=1,6,8))),FALSE()))</f>
        <v> </v>
      </c>
      <c r="O177" s="375" t="str">
        <f aca="false">IF(A177="N/A"," ",(VLOOKUP(A177,OPPowerPrices,(IF('Pricing Inputs'!$AT$3=2,7,IF('Pricing Inputs'!$AT$3=1,6,8))),FALSE())))</f>
        <v> </v>
      </c>
      <c r="P177" s="376" t="str">
        <f aca="false">IF(A177="N/A"," ",(VLOOKUP(A177,GasCurves,15,FALSE())))</f>
        <v> </v>
      </c>
      <c r="AF177" s="341" t="n">
        <v>41821</v>
      </c>
      <c r="AG177" s="31" t="n">
        <v>22</v>
      </c>
      <c r="AH177" s="31" t="n">
        <v>4</v>
      </c>
      <c r="AI177" s="31" t="n">
        <v>4</v>
      </c>
      <c r="AJ177" s="31" t="n">
        <v>1</v>
      </c>
      <c r="AK177" s="31" t="n">
        <v>31</v>
      </c>
    </row>
    <row r="178" customFormat="false" ht="12.75" hidden="false" customHeight="false" outlineLevel="0" collapsed="false">
      <c r="A178" s="368" t="str">
        <f aca="false">Calculations!A145</f>
        <v>N/A</v>
      </c>
      <c r="B178" s="369" t="str">
        <f aca="false">IF(A178="N/A"," ",IF(ISERROR(L178),B166*Inputs!$F$19,L178))</f>
        <v> </v>
      </c>
      <c r="C178" s="370" t="str">
        <f aca="false">IF(A178="N/A"," ",(IF(AND(MONTH(A178)&gt;=6,MONTH(A178)&lt;=8,OR($K$37="REGION 2",$K$37="REGION 2A",$K$37="REGION 2B",$K$37="REGION 3",$K$37="REGION 3A",$K$37="REGION 3B",$K$37="REGION 4",$K$37="REGION 4B",$K$37="REGION 4C",$K$37="REGION 5",$K$37="REGION 5A")),((0.059228/(B178/100))-(0.4980013/(SQRT(B178/100)))+2.137988),HLOOKUP(MONTH(A178),ScalarTable,28))))</f>
        <v> </v>
      </c>
      <c r="D178" s="371" t="str">
        <f aca="false">IF(A178="N/A"," ",C178*B178)</f>
        <v> </v>
      </c>
      <c r="E178" s="369" t="str">
        <f aca="false">IF(A178="N/A"," ",IF(ISERROR(M178),E166*Inputs!$F$19,M178))</f>
        <v> </v>
      </c>
      <c r="F178" s="371" t="str">
        <f aca="false">IF(A178="N/A"," ",E178*C178)</f>
        <v> </v>
      </c>
      <c r="G178" s="369" t="str">
        <f aca="false">IF(A178="N/A"," ",IF(ISERROR(N178),G166*Inputs!$F$19,N178))</f>
        <v> </v>
      </c>
      <c r="H178" s="371" t="str">
        <f aca="false">IF(A178="N/A"," ",G178*C178)</f>
        <v> </v>
      </c>
      <c r="I178" s="371" t="str">
        <f aca="false">IF(A178="N/A"," ",IF(ISERROR(O178),I166*Inputs!$F$19,O178))</f>
        <v> </v>
      </c>
      <c r="J178" s="372" t="str">
        <f aca="false">IF(A178="N/A"," ",IF(ISERROR(P178),J166*Inputs!$F$23,P178))</f>
        <v> </v>
      </c>
      <c r="L178" s="374" t="str">
        <f aca="false">IF(A178="N/A"," ",VLOOKUP(A178,PeakPowerCurves,(IF('Pricing Inputs'!$AT$3=2,3,IF('Pricing Inputs'!$AT$3=1,2,4))),FALSE()))</f>
        <v> </v>
      </c>
      <c r="M178" s="374" t="str">
        <f aca="false">IF(A178="N/A"," ",VLOOKUP(A178,SatSunPeakPwr,(IF('Pricing Inputs'!$AT$3=2,3,IF('Pricing Inputs'!$AT$3=1,2,4))),FALSE()))</f>
        <v> </v>
      </c>
      <c r="N178" s="374" t="str">
        <f aca="false">IF(A178="N/A"," ",VLOOKUP(A178,SatSunPeakPwr,(IF('Pricing Inputs'!$AT$3=2,7,IF('Pricing Inputs'!$AT$3=1,6,8))),FALSE()))</f>
        <v> </v>
      </c>
      <c r="O178" s="375" t="str">
        <f aca="false">IF(A178="N/A"," ",(VLOOKUP(A178,OPPowerPrices,(IF('Pricing Inputs'!$AT$3=2,7,IF('Pricing Inputs'!$AT$3=1,6,8))),FALSE())))</f>
        <v> </v>
      </c>
      <c r="P178" s="376" t="str">
        <f aca="false">IF(A178="N/A"," ",(VLOOKUP(A178,GasCurves,15,FALSE())))</f>
        <v> </v>
      </c>
      <c r="AF178" s="341" t="n">
        <v>41852</v>
      </c>
      <c r="AG178" s="31" t="n">
        <v>21</v>
      </c>
      <c r="AH178" s="31" t="n">
        <v>5</v>
      </c>
      <c r="AI178" s="31" t="n">
        <v>5</v>
      </c>
      <c r="AJ178" s="31" t="n">
        <v>0</v>
      </c>
      <c r="AK178" s="31" t="n">
        <v>31</v>
      </c>
    </row>
    <row r="179" customFormat="false" ht="12.75" hidden="false" customHeight="false" outlineLevel="0" collapsed="false">
      <c r="A179" s="368" t="str">
        <f aca="false">Calculations!A146</f>
        <v>N/A</v>
      </c>
      <c r="B179" s="369" t="str">
        <f aca="false">IF(A179="N/A"," ",IF(ISERROR(L179),B167*Inputs!$F$19,L179))</f>
        <v> </v>
      </c>
      <c r="C179" s="370" t="str">
        <f aca="false">IF(A179="N/A"," ",(IF(AND(MONTH(A179)&gt;=6,MONTH(A179)&lt;=8,OR($K$37="REGION 2",$K$37="REGION 2A",$K$37="REGION 2B",$K$37="REGION 3",$K$37="REGION 3A",$K$37="REGION 3B",$K$37="REGION 4",$K$37="REGION 4B",$K$37="REGION 4C",$K$37="REGION 5",$K$37="REGION 5A")),((0.059228/(B179/100))-(0.4980013/(SQRT(B179/100)))+2.137988),HLOOKUP(MONTH(A179),ScalarTable,28))))</f>
        <v> </v>
      </c>
      <c r="D179" s="371" t="str">
        <f aca="false">IF(A179="N/A"," ",C179*B179)</f>
        <v> </v>
      </c>
      <c r="E179" s="369" t="str">
        <f aca="false">IF(A179="N/A"," ",IF(ISERROR(M179),E167*Inputs!$F$19,M179))</f>
        <v> </v>
      </c>
      <c r="F179" s="371" t="str">
        <f aca="false">IF(A179="N/A"," ",E179*C179)</f>
        <v> </v>
      </c>
      <c r="G179" s="369" t="str">
        <f aca="false">IF(A179="N/A"," ",IF(ISERROR(N179),G167*Inputs!$F$19,N179))</f>
        <v> </v>
      </c>
      <c r="H179" s="371" t="str">
        <f aca="false">IF(A179="N/A"," ",G179*C179)</f>
        <v> </v>
      </c>
      <c r="I179" s="371" t="str">
        <f aca="false">IF(A179="N/A"," ",IF(ISERROR(O179),I167*Inputs!$F$19,O179))</f>
        <v> </v>
      </c>
      <c r="J179" s="372" t="str">
        <f aca="false">IF(A179="N/A"," ",IF(ISERROR(P179),J167*Inputs!$F$23,P179))</f>
        <v> </v>
      </c>
      <c r="L179" s="374" t="str">
        <f aca="false">IF(A179="N/A"," ",VLOOKUP(A179,PeakPowerCurves,(IF('Pricing Inputs'!$AT$3=2,3,IF('Pricing Inputs'!$AT$3=1,2,4))),FALSE()))</f>
        <v> </v>
      </c>
      <c r="M179" s="374" t="str">
        <f aca="false">IF(A179="N/A"," ",VLOOKUP(A179,SatSunPeakPwr,(IF('Pricing Inputs'!$AT$3=2,3,IF('Pricing Inputs'!$AT$3=1,2,4))),FALSE()))</f>
        <v> </v>
      </c>
      <c r="N179" s="374" t="str">
        <f aca="false">IF(A179="N/A"," ",VLOOKUP(A179,SatSunPeakPwr,(IF('Pricing Inputs'!$AT$3=2,7,IF('Pricing Inputs'!$AT$3=1,6,8))),FALSE()))</f>
        <v> </v>
      </c>
      <c r="O179" s="375" t="str">
        <f aca="false">IF(A179="N/A"," ",(VLOOKUP(A179,OPPowerPrices,(IF('Pricing Inputs'!$AT$3=2,7,IF('Pricing Inputs'!$AT$3=1,6,8))),FALSE())))</f>
        <v> </v>
      </c>
      <c r="P179" s="376" t="str">
        <f aca="false">IF(A179="N/A"," ",(VLOOKUP(A179,GasCurves,15,FALSE())))</f>
        <v> </v>
      </c>
      <c r="AF179" s="341" t="n">
        <v>41883</v>
      </c>
      <c r="AG179" s="31" t="n">
        <v>21</v>
      </c>
      <c r="AH179" s="31" t="n">
        <v>4</v>
      </c>
      <c r="AI179" s="31" t="n">
        <v>4</v>
      </c>
      <c r="AJ179" s="31" t="n">
        <v>1</v>
      </c>
      <c r="AK179" s="31" t="n">
        <v>30</v>
      </c>
    </row>
    <row r="180" customFormat="false" ht="12.75" hidden="false" customHeight="false" outlineLevel="0" collapsed="false">
      <c r="A180" s="368" t="str">
        <f aca="false">Calculations!A147</f>
        <v>N/A</v>
      </c>
      <c r="B180" s="369" t="str">
        <f aca="false">IF(A180="N/A"," ",IF(ISERROR(L180),B168*Inputs!$F$19,L180))</f>
        <v> </v>
      </c>
      <c r="C180" s="370" t="str">
        <f aca="false">IF(A180="N/A"," ",(IF(AND(MONTH(A180)&gt;=6,MONTH(A180)&lt;=8,OR($K$37="REGION 2",$K$37="REGION 2A",$K$37="REGION 2B",$K$37="REGION 3",$K$37="REGION 3A",$K$37="REGION 3B",$K$37="REGION 4",$K$37="REGION 4B",$K$37="REGION 4C",$K$37="REGION 5",$K$37="REGION 5A")),((0.059228/(B180/100))-(0.4980013/(SQRT(B180/100)))+2.137988),HLOOKUP(MONTH(A180),ScalarTable,28))))</f>
        <v> </v>
      </c>
      <c r="D180" s="371" t="str">
        <f aca="false">IF(A180="N/A"," ",C180*B180)</f>
        <v> </v>
      </c>
      <c r="E180" s="369" t="str">
        <f aca="false">IF(A180="N/A"," ",IF(ISERROR(M180),E168*Inputs!$F$19,M180))</f>
        <v> </v>
      </c>
      <c r="F180" s="371" t="str">
        <f aca="false">IF(A180="N/A"," ",E180*C180)</f>
        <v> </v>
      </c>
      <c r="G180" s="369" t="str">
        <f aca="false">IF(A180="N/A"," ",IF(ISERROR(N180),G168*Inputs!$F$19,N180))</f>
        <v> </v>
      </c>
      <c r="H180" s="371" t="str">
        <f aca="false">IF(A180="N/A"," ",G180*C180)</f>
        <v> </v>
      </c>
      <c r="I180" s="371" t="str">
        <f aca="false">IF(A180="N/A"," ",IF(ISERROR(O180),I168*Inputs!$F$19,O180))</f>
        <v> </v>
      </c>
      <c r="J180" s="372" t="str">
        <f aca="false">IF(A180="N/A"," ",IF(ISERROR(P180),J168*Inputs!$F$23,P180))</f>
        <v> </v>
      </c>
      <c r="L180" s="374" t="str">
        <f aca="false">IF(A180="N/A"," ",VLOOKUP(A180,PeakPowerCurves,(IF('Pricing Inputs'!$AT$3=2,3,IF('Pricing Inputs'!$AT$3=1,2,4))),FALSE()))</f>
        <v> </v>
      </c>
      <c r="M180" s="374" t="str">
        <f aca="false">IF(A180="N/A"," ",VLOOKUP(A180,SatSunPeakPwr,(IF('Pricing Inputs'!$AT$3=2,3,IF('Pricing Inputs'!$AT$3=1,2,4))),FALSE()))</f>
        <v> </v>
      </c>
      <c r="N180" s="374" t="str">
        <f aca="false">IF(A180="N/A"," ",VLOOKUP(A180,SatSunPeakPwr,(IF('Pricing Inputs'!$AT$3=2,7,IF('Pricing Inputs'!$AT$3=1,6,8))),FALSE()))</f>
        <v> </v>
      </c>
      <c r="O180" s="375" t="str">
        <f aca="false">IF(A180="N/A"," ",(VLOOKUP(A180,OPPowerPrices,(IF('Pricing Inputs'!$AT$3=2,7,IF('Pricing Inputs'!$AT$3=1,6,8))),FALSE())))</f>
        <v> </v>
      </c>
      <c r="P180" s="376" t="str">
        <f aca="false">IF(A180="N/A"," ",(VLOOKUP(A180,GasCurves,15,FALSE())))</f>
        <v> </v>
      </c>
      <c r="AF180" s="341" t="n">
        <v>41913</v>
      </c>
      <c r="AG180" s="31" t="n">
        <v>23</v>
      </c>
      <c r="AH180" s="31" t="n">
        <v>4</v>
      </c>
      <c r="AI180" s="31" t="n">
        <v>4</v>
      </c>
      <c r="AJ180" s="31" t="n">
        <v>0</v>
      </c>
      <c r="AK180" s="31" t="n">
        <v>31</v>
      </c>
    </row>
    <row r="181" customFormat="false" ht="12.75" hidden="false" customHeight="false" outlineLevel="0" collapsed="false">
      <c r="A181" s="368" t="str">
        <f aca="false">Calculations!A148</f>
        <v>N/A</v>
      </c>
      <c r="B181" s="369" t="str">
        <f aca="false">IF(A181="N/A"," ",IF(ISERROR(L181),B169*Inputs!$F$19,L181))</f>
        <v> </v>
      </c>
      <c r="C181" s="370" t="str">
        <f aca="false">IF(A181="N/A"," ",(IF(AND(MONTH(A181)&gt;=6,MONTH(A181)&lt;=8,OR($K$37="REGION 2",$K$37="REGION 2A",$K$37="REGION 2B",$K$37="REGION 3",$K$37="REGION 3A",$K$37="REGION 3B",$K$37="REGION 4",$K$37="REGION 4B",$K$37="REGION 4C",$K$37="REGION 5",$K$37="REGION 5A")),((0.059228/(B181/100))-(0.4980013/(SQRT(B181/100)))+2.137988),HLOOKUP(MONTH(A181),ScalarTable,28))))</f>
        <v> </v>
      </c>
      <c r="D181" s="371" t="str">
        <f aca="false">IF(A181="N/A"," ",C181*B181)</f>
        <v> </v>
      </c>
      <c r="E181" s="369" t="str">
        <f aca="false">IF(A181="N/A"," ",IF(ISERROR(M181),E169*Inputs!$F$19,M181))</f>
        <v> </v>
      </c>
      <c r="F181" s="371" t="str">
        <f aca="false">IF(A181="N/A"," ",E181*C181)</f>
        <v> </v>
      </c>
      <c r="G181" s="369" t="str">
        <f aca="false">IF(A181="N/A"," ",IF(ISERROR(N181),G169*Inputs!$F$19,N181))</f>
        <v> </v>
      </c>
      <c r="H181" s="371" t="str">
        <f aca="false">IF(A181="N/A"," ",G181*C181)</f>
        <v> </v>
      </c>
      <c r="I181" s="371" t="str">
        <f aca="false">IF(A181="N/A"," ",IF(ISERROR(O181),I169*Inputs!$F$19,O181))</f>
        <v> </v>
      </c>
      <c r="J181" s="372" t="str">
        <f aca="false">IF(A181="N/A"," ",IF(ISERROR(P181),J169*Inputs!$F$23,P181))</f>
        <v> </v>
      </c>
      <c r="L181" s="374" t="str">
        <f aca="false">IF(A181="N/A"," ",VLOOKUP(A181,PeakPowerCurves,(IF('Pricing Inputs'!$AT$3=2,3,IF('Pricing Inputs'!$AT$3=1,2,4))),FALSE()))</f>
        <v> </v>
      </c>
      <c r="M181" s="374" t="str">
        <f aca="false">IF(A181="N/A"," ",VLOOKUP(A181,SatSunPeakPwr,(IF('Pricing Inputs'!$AT$3=2,3,IF('Pricing Inputs'!$AT$3=1,2,4))),FALSE()))</f>
        <v> </v>
      </c>
      <c r="N181" s="374" t="str">
        <f aca="false">IF(A181="N/A"," ",VLOOKUP(A181,SatSunPeakPwr,(IF('Pricing Inputs'!$AT$3=2,7,IF('Pricing Inputs'!$AT$3=1,6,8))),FALSE()))</f>
        <v> </v>
      </c>
      <c r="O181" s="375" t="str">
        <f aca="false">IF(A181="N/A"," ",(VLOOKUP(A181,OPPowerPrices,(IF('Pricing Inputs'!$AT$3=2,7,IF('Pricing Inputs'!$AT$3=1,6,8))),FALSE())))</f>
        <v> </v>
      </c>
      <c r="P181" s="376" t="str">
        <f aca="false">IF(A181="N/A"," ",(VLOOKUP(A181,GasCurves,15,FALSE())))</f>
        <v> </v>
      </c>
      <c r="AF181" s="341" t="n">
        <v>41944</v>
      </c>
      <c r="AG181" s="31" t="n">
        <v>19</v>
      </c>
      <c r="AH181" s="31" t="n">
        <v>5</v>
      </c>
      <c r="AI181" s="31" t="n">
        <v>5</v>
      </c>
      <c r="AJ181" s="31" t="n">
        <v>1</v>
      </c>
      <c r="AK181" s="31" t="n">
        <v>30</v>
      </c>
    </row>
    <row r="182" customFormat="false" ht="12.75" hidden="false" customHeight="false" outlineLevel="0" collapsed="false">
      <c r="A182" s="368" t="str">
        <f aca="false">Calculations!A149</f>
        <v>N/A</v>
      </c>
      <c r="B182" s="369" t="str">
        <f aca="false">IF(A182="N/A"," ",IF(ISERROR(L182),B170*Inputs!$F$19,L182))</f>
        <v> </v>
      </c>
      <c r="C182" s="370" t="str">
        <f aca="false">IF(A182="N/A"," ",(IF(AND(MONTH(A182)&gt;=6,MONTH(A182)&lt;=8,OR($K$37="REGION 2",$K$37="REGION 2A",$K$37="REGION 2B",$K$37="REGION 3",$K$37="REGION 3A",$K$37="REGION 3B",$K$37="REGION 4",$K$37="REGION 4B",$K$37="REGION 4C",$K$37="REGION 5",$K$37="REGION 5A")),((0.059228/(B182/100))-(0.4980013/(SQRT(B182/100)))+2.137988),HLOOKUP(MONTH(A182),ScalarTable,28))))</f>
        <v> </v>
      </c>
      <c r="D182" s="371" t="str">
        <f aca="false">IF(A182="N/A"," ",C182*B182)</f>
        <v> </v>
      </c>
      <c r="E182" s="369" t="str">
        <f aca="false">IF(A182="N/A"," ",IF(ISERROR(M182),E170*Inputs!$F$19,M182))</f>
        <v> </v>
      </c>
      <c r="F182" s="371" t="str">
        <f aca="false">IF(A182="N/A"," ",E182*C182)</f>
        <v> </v>
      </c>
      <c r="G182" s="369" t="str">
        <f aca="false">IF(A182="N/A"," ",IF(ISERROR(N182),G170*Inputs!$F$19,N182))</f>
        <v> </v>
      </c>
      <c r="H182" s="371" t="str">
        <f aca="false">IF(A182="N/A"," ",G182*C182)</f>
        <v> </v>
      </c>
      <c r="I182" s="371" t="str">
        <f aca="false">IF(A182="N/A"," ",IF(ISERROR(O182),I170*Inputs!$F$19,O182))</f>
        <v> </v>
      </c>
      <c r="J182" s="372" t="str">
        <f aca="false">IF(A182="N/A"," ",IF(ISERROR(P182),J170*Inputs!$F$23,P182))</f>
        <v> </v>
      </c>
      <c r="L182" s="374" t="str">
        <f aca="false">IF(A182="N/A"," ",VLOOKUP(A182,PeakPowerCurves,(IF('Pricing Inputs'!$AT$3=2,3,IF('Pricing Inputs'!$AT$3=1,2,4))),FALSE()))</f>
        <v> </v>
      </c>
      <c r="M182" s="374" t="str">
        <f aca="false">IF(A182="N/A"," ",VLOOKUP(A182,SatSunPeakPwr,(IF('Pricing Inputs'!$AT$3=2,3,IF('Pricing Inputs'!$AT$3=1,2,4))),FALSE()))</f>
        <v> </v>
      </c>
      <c r="N182" s="374" t="str">
        <f aca="false">IF(A182="N/A"," ",VLOOKUP(A182,SatSunPeakPwr,(IF('Pricing Inputs'!$AT$3=2,7,IF('Pricing Inputs'!$AT$3=1,6,8))),FALSE()))</f>
        <v> </v>
      </c>
      <c r="O182" s="375" t="str">
        <f aca="false">IF(A182="N/A"," ",(VLOOKUP(A182,OPPowerPrices,(IF('Pricing Inputs'!$AT$3=2,7,IF('Pricing Inputs'!$AT$3=1,6,8))),FALSE())))</f>
        <v> </v>
      </c>
      <c r="P182" s="376" t="str">
        <f aca="false">IF(A182="N/A"," ",(VLOOKUP(A182,GasCurves,15,FALSE())))</f>
        <v> </v>
      </c>
      <c r="AF182" s="341" t="n">
        <v>41974</v>
      </c>
      <c r="AG182" s="31" t="n">
        <v>22</v>
      </c>
      <c r="AH182" s="31" t="n">
        <v>4</v>
      </c>
      <c r="AI182" s="31" t="n">
        <v>4</v>
      </c>
      <c r="AJ182" s="31" t="n">
        <v>1</v>
      </c>
      <c r="AK182" s="31" t="n">
        <v>31</v>
      </c>
    </row>
    <row r="183" customFormat="false" ht="12.75" hidden="false" customHeight="false" outlineLevel="0" collapsed="false">
      <c r="A183" s="368" t="str">
        <f aca="false">Calculations!A150</f>
        <v>N/A</v>
      </c>
      <c r="B183" s="369" t="str">
        <f aca="false">IF(A183="N/A"," ",IF(ISERROR(L183),B171*Inputs!$F$19,L183))</f>
        <v> </v>
      </c>
      <c r="C183" s="370" t="str">
        <f aca="false">IF(A183="N/A"," ",(IF(AND(MONTH(A183)&gt;=6,MONTH(A183)&lt;=8,OR($K$37="REGION 2",$K$37="REGION 2A",$K$37="REGION 2B",$K$37="REGION 3",$K$37="REGION 3A",$K$37="REGION 3B",$K$37="REGION 4",$K$37="REGION 4B",$K$37="REGION 4C",$K$37="REGION 5",$K$37="REGION 5A")),((0.059228/(B183/100))-(0.4980013/(SQRT(B183/100)))+2.137988),HLOOKUP(MONTH(A183),ScalarTable,28))))</f>
        <v> </v>
      </c>
      <c r="D183" s="371" t="str">
        <f aca="false">IF(A183="N/A"," ",C183*B183)</f>
        <v> </v>
      </c>
      <c r="E183" s="369" t="str">
        <f aca="false">IF(A183="N/A"," ",IF(ISERROR(M183),E171*Inputs!$F$19,M183))</f>
        <v> </v>
      </c>
      <c r="F183" s="371" t="str">
        <f aca="false">IF(A183="N/A"," ",E183*C183)</f>
        <v> </v>
      </c>
      <c r="G183" s="369" t="str">
        <f aca="false">IF(A183="N/A"," ",IF(ISERROR(N183),G171*Inputs!$F$19,N183))</f>
        <v> </v>
      </c>
      <c r="H183" s="371" t="str">
        <f aca="false">IF(A183="N/A"," ",G183*C183)</f>
        <v> </v>
      </c>
      <c r="I183" s="371" t="str">
        <f aca="false">IF(A183="N/A"," ",IF(ISERROR(O183),I171*Inputs!$F$19,O183))</f>
        <v> </v>
      </c>
      <c r="J183" s="372" t="str">
        <f aca="false">IF(A183="N/A"," ",IF(ISERROR(P183),J171*Inputs!$F$23,P183))</f>
        <v> </v>
      </c>
      <c r="L183" s="374" t="str">
        <f aca="false">IF(A183="N/A"," ",VLOOKUP(A183,PeakPowerCurves,(IF('Pricing Inputs'!$AT$3=2,3,IF('Pricing Inputs'!$AT$3=1,2,4))),FALSE()))</f>
        <v> </v>
      </c>
      <c r="M183" s="374" t="str">
        <f aca="false">IF(A183="N/A"," ",VLOOKUP(A183,SatSunPeakPwr,(IF('Pricing Inputs'!$AT$3=2,3,IF('Pricing Inputs'!$AT$3=1,2,4))),FALSE()))</f>
        <v> </v>
      </c>
      <c r="N183" s="374" t="str">
        <f aca="false">IF(A183="N/A"," ",VLOOKUP(A183,SatSunPeakPwr,(IF('Pricing Inputs'!$AT$3=2,7,IF('Pricing Inputs'!$AT$3=1,6,8))),FALSE()))</f>
        <v> </v>
      </c>
      <c r="O183" s="375" t="str">
        <f aca="false">IF(A183="N/A"," ",(VLOOKUP(A183,OPPowerPrices,(IF('Pricing Inputs'!$AT$3=2,7,IF('Pricing Inputs'!$AT$3=1,6,8))),FALSE())))</f>
        <v> </v>
      </c>
      <c r="P183" s="376" t="str">
        <f aca="false">IF(A183="N/A"," ",(VLOOKUP(A183,GasCurves,15,FALSE())))</f>
        <v> </v>
      </c>
      <c r="AF183" s="341" t="n">
        <v>42005</v>
      </c>
      <c r="AG183" s="31" t="n">
        <v>21</v>
      </c>
      <c r="AH183" s="31" t="n">
        <v>5</v>
      </c>
      <c r="AI183" s="31" t="n">
        <v>4</v>
      </c>
      <c r="AJ183" s="31" t="n">
        <v>1</v>
      </c>
      <c r="AK183" s="31" t="n">
        <v>31</v>
      </c>
    </row>
    <row r="184" customFormat="false" ht="12.75" hidden="false" customHeight="false" outlineLevel="0" collapsed="false">
      <c r="A184" s="368" t="str">
        <f aca="false">Calculations!A151</f>
        <v>N/A</v>
      </c>
      <c r="B184" s="369" t="str">
        <f aca="false">IF(A184="N/A"," ",IF(ISERROR(L184),B172*Inputs!$F$19,L184))</f>
        <v> </v>
      </c>
      <c r="C184" s="370" t="str">
        <f aca="false">IF(A184="N/A"," ",(IF(AND(MONTH(A184)&gt;=6,MONTH(A184)&lt;=8,OR($K$37="REGION 2",$K$37="REGION 2A",$K$37="REGION 2B",$K$37="REGION 3",$K$37="REGION 3A",$K$37="REGION 3B",$K$37="REGION 4",$K$37="REGION 4B",$K$37="REGION 4C",$K$37="REGION 5",$K$37="REGION 5A")),((0.059228/(B184/100))-(0.4980013/(SQRT(B184/100)))+2.137988),HLOOKUP(MONTH(A184),ScalarTable,28))))</f>
        <v> </v>
      </c>
      <c r="D184" s="371" t="str">
        <f aca="false">IF(A184="N/A"," ",C184*B184)</f>
        <v> </v>
      </c>
      <c r="E184" s="369" t="str">
        <f aca="false">IF(A184="N/A"," ",IF(ISERROR(M184),E172*Inputs!$F$19,M184))</f>
        <v> </v>
      </c>
      <c r="F184" s="371" t="str">
        <f aca="false">IF(A184="N/A"," ",E184*C184)</f>
        <v> </v>
      </c>
      <c r="G184" s="369" t="str">
        <f aca="false">IF(A184="N/A"," ",IF(ISERROR(N184),G172*Inputs!$F$19,N184))</f>
        <v> </v>
      </c>
      <c r="H184" s="371" t="str">
        <f aca="false">IF(A184="N/A"," ",G184*C184)</f>
        <v> </v>
      </c>
      <c r="I184" s="371" t="str">
        <f aca="false">IF(A184="N/A"," ",IF(ISERROR(O184),I172*Inputs!$F$19,O184))</f>
        <v> </v>
      </c>
      <c r="J184" s="372" t="str">
        <f aca="false">IF(A184="N/A"," ",IF(ISERROR(P184),J172*Inputs!$F$23,P184))</f>
        <v> </v>
      </c>
      <c r="L184" s="374" t="str">
        <f aca="false">IF(A184="N/A"," ",VLOOKUP(A184,PeakPowerCurves,(IF('Pricing Inputs'!$AT$3=2,3,IF('Pricing Inputs'!$AT$3=1,2,4))),FALSE()))</f>
        <v> </v>
      </c>
      <c r="M184" s="374" t="str">
        <f aca="false">IF(A184="N/A"," ",VLOOKUP(A184,SatSunPeakPwr,(IF('Pricing Inputs'!$AT$3=2,3,IF('Pricing Inputs'!$AT$3=1,2,4))),FALSE()))</f>
        <v> </v>
      </c>
      <c r="N184" s="374" t="str">
        <f aca="false">IF(A184="N/A"," ",VLOOKUP(A184,SatSunPeakPwr,(IF('Pricing Inputs'!$AT$3=2,7,IF('Pricing Inputs'!$AT$3=1,6,8))),FALSE()))</f>
        <v> </v>
      </c>
      <c r="O184" s="375" t="str">
        <f aca="false">IF(A184="N/A"," ",(VLOOKUP(A184,OPPowerPrices,(IF('Pricing Inputs'!$AT$3=2,7,IF('Pricing Inputs'!$AT$3=1,6,8))),FALSE())))</f>
        <v> </v>
      </c>
      <c r="P184" s="376" t="str">
        <f aca="false">IF(A184="N/A"," ",(VLOOKUP(A184,GasCurves,15,FALSE())))</f>
        <v> </v>
      </c>
      <c r="AF184" s="341" t="n">
        <v>42036</v>
      </c>
      <c r="AG184" s="31" t="n">
        <v>20</v>
      </c>
      <c r="AH184" s="31" t="n">
        <v>4</v>
      </c>
      <c r="AI184" s="31" t="n">
        <v>4</v>
      </c>
      <c r="AJ184" s="31" t="n">
        <v>0</v>
      </c>
      <c r="AK184" s="31" t="n">
        <v>28</v>
      </c>
    </row>
    <row r="185" customFormat="false" ht="12.75" hidden="false" customHeight="false" outlineLevel="0" collapsed="false">
      <c r="A185" s="368" t="str">
        <f aca="false">Calculations!A152</f>
        <v>N/A</v>
      </c>
      <c r="B185" s="369" t="str">
        <f aca="false">IF(A185="N/A"," ",IF(ISERROR(L185),B173*Inputs!$F$19,L185))</f>
        <v> </v>
      </c>
      <c r="C185" s="370" t="str">
        <f aca="false">IF(A185="N/A"," ",(IF(AND(MONTH(A185)&gt;=6,MONTH(A185)&lt;=8,OR($K$37="REGION 2",$K$37="REGION 2A",$K$37="REGION 2B",$K$37="REGION 3",$K$37="REGION 3A",$K$37="REGION 3B",$K$37="REGION 4",$K$37="REGION 4B",$K$37="REGION 4C",$K$37="REGION 5",$K$37="REGION 5A")),((0.059228/(B185/100))-(0.4980013/(SQRT(B185/100)))+2.137988),HLOOKUP(MONTH(A185),ScalarTable,28))))</f>
        <v> </v>
      </c>
      <c r="D185" s="371" t="str">
        <f aca="false">IF(A185="N/A"," ",C185*B185)</f>
        <v> </v>
      </c>
      <c r="E185" s="369" t="str">
        <f aca="false">IF(A185="N/A"," ",IF(ISERROR(M185),E173*Inputs!$F$19,M185))</f>
        <v> </v>
      </c>
      <c r="F185" s="371" t="str">
        <f aca="false">IF(A185="N/A"," ",E185*C185)</f>
        <v> </v>
      </c>
      <c r="G185" s="369" t="str">
        <f aca="false">IF(A185="N/A"," ",IF(ISERROR(N185),G173*Inputs!$F$19,N185))</f>
        <v> </v>
      </c>
      <c r="H185" s="371" t="str">
        <f aca="false">IF(A185="N/A"," ",G185*C185)</f>
        <v> </v>
      </c>
      <c r="I185" s="371" t="str">
        <f aca="false">IF(A185="N/A"," ",IF(ISERROR(O185),I173*Inputs!$F$19,O185))</f>
        <v> </v>
      </c>
      <c r="J185" s="372" t="str">
        <f aca="false">IF(A185="N/A"," ",IF(ISERROR(P185),J173*Inputs!$F$23,P185))</f>
        <v> </v>
      </c>
      <c r="L185" s="374" t="str">
        <f aca="false">IF(A185="N/A"," ",VLOOKUP(A185,PeakPowerCurves,(IF('Pricing Inputs'!$AT$3=2,3,IF('Pricing Inputs'!$AT$3=1,2,4))),FALSE()))</f>
        <v> </v>
      </c>
      <c r="M185" s="374" t="str">
        <f aca="false">IF(A185="N/A"," ",VLOOKUP(A185,SatSunPeakPwr,(IF('Pricing Inputs'!$AT$3=2,3,IF('Pricing Inputs'!$AT$3=1,2,4))),FALSE()))</f>
        <v> </v>
      </c>
      <c r="N185" s="374" t="str">
        <f aca="false">IF(A185="N/A"," ",VLOOKUP(A185,SatSunPeakPwr,(IF('Pricing Inputs'!$AT$3=2,7,IF('Pricing Inputs'!$AT$3=1,6,8))),FALSE()))</f>
        <v> </v>
      </c>
      <c r="O185" s="375" t="str">
        <f aca="false">IF(A185="N/A"," ",(VLOOKUP(A185,OPPowerPrices,(IF('Pricing Inputs'!$AT$3=2,7,IF('Pricing Inputs'!$AT$3=1,6,8))),FALSE())))</f>
        <v> </v>
      </c>
      <c r="P185" s="376" t="str">
        <f aca="false">IF(A185="N/A"," ",(VLOOKUP(A185,GasCurves,15,FALSE())))</f>
        <v> </v>
      </c>
      <c r="AF185" s="341" t="n">
        <v>42064</v>
      </c>
      <c r="AG185" s="31" t="n">
        <v>22</v>
      </c>
      <c r="AH185" s="31" t="n">
        <v>4</v>
      </c>
      <c r="AI185" s="31" t="n">
        <v>5</v>
      </c>
      <c r="AJ185" s="31" t="n">
        <v>0</v>
      </c>
      <c r="AK185" s="31" t="n">
        <v>31</v>
      </c>
    </row>
    <row r="186" customFormat="false" ht="12.75" hidden="false" customHeight="false" outlineLevel="0" collapsed="false">
      <c r="A186" s="368" t="str">
        <f aca="false">Calculations!A153</f>
        <v>N/A</v>
      </c>
      <c r="B186" s="369" t="str">
        <f aca="false">IF(A186="N/A"," ",IF(ISERROR(L186),B174*Inputs!$F$19,L186))</f>
        <v> </v>
      </c>
      <c r="C186" s="370" t="str">
        <f aca="false">IF(A186="N/A"," ",(IF(AND(MONTH(A186)&gt;=6,MONTH(A186)&lt;=8,OR($K$37="REGION 2",$K$37="REGION 2A",$K$37="REGION 2B",$K$37="REGION 3",$K$37="REGION 3A",$K$37="REGION 3B",$K$37="REGION 4",$K$37="REGION 4B",$K$37="REGION 4C",$K$37="REGION 5",$K$37="REGION 5A")),((0.059228/(B186/100))-(0.4980013/(SQRT(B186/100)))+2.137988),HLOOKUP(MONTH(A186),ScalarTable,28))))</f>
        <v> </v>
      </c>
      <c r="D186" s="371" t="str">
        <f aca="false">IF(A186="N/A"," ",C186*B186)</f>
        <v> </v>
      </c>
      <c r="E186" s="369" t="str">
        <f aca="false">IF(A186="N/A"," ",IF(ISERROR(M186),E174*Inputs!$F$19,M186))</f>
        <v> </v>
      </c>
      <c r="F186" s="371" t="str">
        <f aca="false">IF(A186="N/A"," ",E186*C186)</f>
        <v> </v>
      </c>
      <c r="G186" s="369" t="str">
        <f aca="false">IF(A186="N/A"," ",IF(ISERROR(N186),G174*Inputs!$F$19,N186))</f>
        <v> </v>
      </c>
      <c r="H186" s="371" t="str">
        <f aca="false">IF(A186="N/A"," ",G186*C186)</f>
        <v> </v>
      </c>
      <c r="I186" s="371" t="str">
        <f aca="false">IF(A186="N/A"," ",IF(ISERROR(O186),I174*Inputs!$F$19,O186))</f>
        <v> </v>
      </c>
      <c r="J186" s="372" t="str">
        <f aca="false">IF(A186="N/A"," ",IF(ISERROR(P186),J174*Inputs!$F$23,P186))</f>
        <v> </v>
      </c>
      <c r="L186" s="374" t="str">
        <f aca="false">IF(A186="N/A"," ",VLOOKUP(A186,PeakPowerCurves,(IF('Pricing Inputs'!$AT$3=2,3,IF('Pricing Inputs'!$AT$3=1,2,4))),FALSE()))</f>
        <v> </v>
      </c>
      <c r="M186" s="374" t="str">
        <f aca="false">IF(A186="N/A"," ",VLOOKUP(A186,SatSunPeakPwr,(IF('Pricing Inputs'!$AT$3=2,3,IF('Pricing Inputs'!$AT$3=1,2,4))),FALSE()))</f>
        <v> </v>
      </c>
      <c r="N186" s="374" t="str">
        <f aca="false">IF(A186="N/A"," ",VLOOKUP(A186,SatSunPeakPwr,(IF('Pricing Inputs'!$AT$3=2,7,IF('Pricing Inputs'!$AT$3=1,6,8))),FALSE()))</f>
        <v> </v>
      </c>
      <c r="O186" s="375" t="str">
        <f aca="false">IF(A186="N/A"," ",(VLOOKUP(A186,OPPowerPrices,(IF('Pricing Inputs'!$AT$3=2,7,IF('Pricing Inputs'!$AT$3=1,6,8))),FALSE())))</f>
        <v> </v>
      </c>
      <c r="P186" s="376" t="str">
        <f aca="false">IF(A186="N/A"," ",(VLOOKUP(A186,GasCurves,15,FALSE())))</f>
        <v> </v>
      </c>
      <c r="AF186" s="341" t="n">
        <v>42095</v>
      </c>
      <c r="AG186" s="31" t="n">
        <v>22</v>
      </c>
      <c r="AH186" s="31" t="n">
        <v>4</v>
      </c>
      <c r="AI186" s="31" t="n">
        <v>4</v>
      </c>
      <c r="AJ186" s="31" t="n">
        <v>0</v>
      </c>
      <c r="AK186" s="31" t="n">
        <v>30</v>
      </c>
    </row>
    <row r="187" customFormat="false" ht="12.75" hidden="false" customHeight="false" outlineLevel="0" collapsed="false">
      <c r="A187" s="368" t="str">
        <f aca="false">Calculations!A154</f>
        <v>N/A</v>
      </c>
      <c r="B187" s="369" t="str">
        <f aca="false">IF(A187="N/A"," ",IF(ISERROR(L187),B175*Inputs!$F$19,L187))</f>
        <v> </v>
      </c>
      <c r="C187" s="370" t="str">
        <f aca="false">IF(A187="N/A"," ",(IF(AND(MONTH(A187)&gt;=6,MONTH(A187)&lt;=8,OR($K$37="REGION 2",$K$37="REGION 2A",$K$37="REGION 2B",$K$37="REGION 3",$K$37="REGION 3A",$K$37="REGION 3B",$K$37="REGION 4",$K$37="REGION 4B",$K$37="REGION 4C",$K$37="REGION 5",$K$37="REGION 5A")),((0.059228/(B187/100))-(0.4980013/(SQRT(B187/100)))+2.137988),HLOOKUP(MONTH(A187),ScalarTable,28))))</f>
        <v> </v>
      </c>
      <c r="D187" s="371" t="str">
        <f aca="false">IF(A187="N/A"," ",C187*B187)</f>
        <v> </v>
      </c>
      <c r="E187" s="369" t="str">
        <f aca="false">IF(A187="N/A"," ",IF(ISERROR(M187),E175*Inputs!$F$19,M187))</f>
        <v> </v>
      </c>
      <c r="F187" s="371" t="str">
        <f aca="false">IF(A187="N/A"," ",E187*C187)</f>
        <v> </v>
      </c>
      <c r="G187" s="369" t="str">
        <f aca="false">IF(A187="N/A"," ",IF(ISERROR(N187),G175*Inputs!$F$19,N187))</f>
        <v> </v>
      </c>
      <c r="H187" s="371" t="str">
        <f aca="false">IF(A187="N/A"," ",G187*C187)</f>
        <v> </v>
      </c>
      <c r="I187" s="371" t="str">
        <f aca="false">IF(A187="N/A"," ",IF(ISERROR(O187),I175*Inputs!$F$19,O187))</f>
        <v> </v>
      </c>
      <c r="J187" s="372" t="str">
        <f aca="false">IF(A187="N/A"," ",IF(ISERROR(P187),J175*Inputs!$F$23,P187))</f>
        <v> </v>
      </c>
      <c r="L187" s="374" t="str">
        <f aca="false">IF(A187="N/A"," ",VLOOKUP(A187,PeakPowerCurves,(IF('Pricing Inputs'!$AT$3=2,3,IF('Pricing Inputs'!$AT$3=1,2,4))),FALSE()))</f>
        <v> </v>
      </c>
      <c r="M187" s="374" t="str">
        <f aca="false">IF(A187="N/A"," ",VLOOKUP(A187,SatSunPeakPwr,(IF('Pricing Inputs'!$AT$3=2,3,IF('Pricing Inputs'!$AT$3=1,2,4))),FALSE()))</f>
        <v> </v>
      </c>
      <c r="N187" s="374" t="str">
        <f aca="false">IF(A187="N/A"," ",VLOOKUP(A187,SatSunPeakPwr,(IF('Pricing Inputs'!$AT$3=2,7,IF('Pricing Inputs'!$AT$3=1,6,8))),FALSE()))</f>
        <v> </v>
      </c>
      <c r="O187" s="375" t="str">
        <f aca="false">IF(A187="N/A"," ",(VLOOKUP(A187,OPPowerPrices,(IF('Pricing Inputs'!$AT$3=2,7,IF('Pricing Inputs'!$AT$3=1,6,8))),FALSE())))</f>
        <v> </v>
      </c>
      <c r="P187" s="376" t="str">
        <f aca="false">IF(A187="N/A"," ",(VLOOKUP(A187,GasCurves,15,FALSE())))</f>
        <v> </v>
      </c>
      <c r="AF187" s="341" t="n">
        <v>42125</v>
      </c>
      <c r="AG187" s="31" t="n">
        <v>20</v>
      </c>
      <c r="AH187" s="31" t="n">
        <v>5</v>
      </c>
      <c r="AI187" s="31" t="n">
        <v>5</v>
      </c>
      <c r="AJ187" s="31" t="n">
        <v>1</v>
      </c>
      <c r="AK187" s="31" t="n">
        <v>31</v>
      </c>
    </row>
    <row r="188" customFormat="false" ht="12.75" hidden="false" customHeight="false" outlineLevel="0" collapsed="false">
      <c r="A188" s="368" t="str">
        <f aca="false">Calculations!A155</f>
        <v>N/A</v>
      </c>
      <c r="B188" s="369" t="str">
        <f aca="false">IF(A188="N/A"," ",IF(ISERROR(L188),B176*Inputs!$F$19,L188))</f>
        <v> </v>
      </c>
      <c r="C188" s="370" t="str">
        <f aca="false">IF(A188="N/A"," ",(IF(AND(MONTH(A188)&gt;=6,MONTH(A188)&lt;=8,OR($K$37="REGION 2",$K$37="REGION 2A",$K$37="REGION 2B",$K$37="REGION 3",$K$37="REGION 3A",$K$37="REGION 3B",$K$37="REGION 4",$K$37="REGION 4B",$K$37="REGION 4C",$K$37="REGION 5",$K$37="REGION 5A")),((0.059228/(B188/100))-(0.4980013/(SQRT(B188/100)))+2.137988),HLOOKUP(MONTH(A188),ScalarTable,28))))</f>
        <v> </v>
      </c>
      <c r="D188" s="371" t="str">
        <f aca="false">IF(A188="N/A"," ",C188*B188)</f>
        <v> </v>
      </c>
      <c r="E188" s="369" t="str">
        <f aca="false">IF(A188="N/A"," ",IF(ISERROR(M188),E176*Inputs!$F$19,M188))</f>
        <v> </v>
      </c>
      <c r="F188" s="371" t="str">
        <f aca="false">IF(A188="N/A"," ",E188*C188)</f>
        <v> </v>
      </c>
      <c r="G188" s="369" t="str">
        <f aca="false">IF(A188="N/A"," ",IF(ISERROR(N188),G176*Inputs!$F$19,N188))</f>
        <v> </v>
      </c>
      <c r="H188" s="371" t="str">
        <f aca="false">IF(A188="N/A"," ",G188*C188)</f>
        <v> </v>
      </c>
      <c r="I188" s="371" t="str">
        <f aca="false">IF(A188="N/A"," ",IF(ISERROR(O188),I176*Inputs!$F$19,O188))</f>
        <v> </v>
      </c>
      <c r="J188" s="372" t="str">
        <f aca="false">IF(A188="N/A"," ",IF(ISERROR(P188),J176*Inputs!$F$23,P188))</f>
        <v> </v>
      </c>
      <c r="L188" s="374" t="str">
        <f aca="false">IF(A188="N/A"," ",VLOOKUP(A188,PeakPowerCurves,(IF('Pricing Inputs'!$AT$3=2,3,IF('Pricing Inputs'!$AT$3=1,2,4))),FALSE()))</f>
        <v> </v>
      </c>
      <c r="M188" s="374" t="str">
        <f aca="false">IF(A188="N/A"," ",VLOOKUP(A188,SatSunPeakPwr,(IF('Pricing Inputs'!$AT$3=2,3,IF('Pricing Inputs'!$AT$3=1,2,4))),FALSE()))</f>
        <v> </v>
      </c>
      <c r="N188" s="374" t="str">
        <f aca="false">IF(A188="N/A"," ",VLOOKUP(A188,SatSunPeakPwr,(IF('Pricing Inputs'!$AT$3=2,7,IF('Pricing Inputs'!$AT$3=1,6,8))),FALSE()))</f>
        <v> </v>
      </c>
      <c r="O188" s="375" t="str">
        <f aca="false">IF(A188="N/A"," ",(VLOOKUP(A188,OPPowerPrices,(IF('Pricing Inputs'!$AT$3=2,7,IF('Pricing Inputs'!$AT$3=1,6,8))),FALSE())))</f>
        <v> </v>
      </c>
      <c r="P188" s="376" t="str">
        <f aca="false">IF(A188="N/A"," ",(VLOOKUP(A188,GasCurves,15,FALSE())))</f>
        <v> </v>
      </c>
      <c r="AF188" s="341" t="n">
        <v>42156</v>
      </c>
      <c r="AG188" s="31" t="n">
        <v>22</v>
      </c>
      <c r="AH188" s="31" t="n">
        <v>4</v>
      </c>
      <c r="AI188" s="31" t="n">
        <v>4</v>
      </c>
      <c r="AJ188" s="31" t="n">
        <v>0</v>
      </c>
      <c r="AK188" s="31" t="n">
        <v>30</v>
      </c>
    </row>
    <row r="189" customFormat="false" ht="12.75" hidden="false" customHeight="false" outlineLevel="0" collapsed="false">
      <c r="A189" s="368" t="str">
        <f aca="false">Calculations!A156</f>
        <v>N/A</v>
      </c>
      <c r="B189" s="369" t="str">
        <f aca="false">IF(A189="N/A"," ",IF(ISERROR(L189),B177*Inputs!$F$19,L189))</f>
        <v> </v>
      </c>
      <c r="C189" s="370" t="str">
        <f aca="false">IF(A189="N/A"," ",(IF(AND(MONTH(A189)&gt;=6,MONTH(A189)&lt;=8,OR($K$37="REGION 2",$K$37="REGION 2A",$K$37="REGION 2B",$K$37="REGION 3",$K$37="REGION 3A",$K$37="REGION 3B",$K$37="REGION 4",$K$37="REGION 4B",$K$37="REGION 4C",$K$37="REGION 5",$K$37="REGION 5A")),((0.059228/(B189/100))-(0.4980013/(SQRT(B189/100)))+2.137988),HLOOKUP(MONTH(A189),ScalarTable,28))))</f>
        <v> </v>
      </c>
      <c r="D189" s="371" t="str">
        <f aca="false">IF(A189="N/A"," ",C189*B189)</f>
        <v> </v>
      </c>
      <c r="E189" s="369" t="str">
        <f aca="false">IF(A189="N/A"," ",IF(ISERROR(M189),E177*Inputs!$F$19,M189))</f>
        <v> </v>
      </c>
      <c r="F189" s="371" t="str">
        <f aca="false">IF(A189="N/A"," ",E189*C189)</f>
        <v> </v>
      </c>
      <c r="G189" s="369" t="str">
        <f aca="false">IF(A189="N/A"," ",IF(ISERROR(N189),G177*Inputs!$F$19,N189))</f>
        <v> </v>
      </c>
      <c r="H189" s="371" t="str">
        <f aca="false">IF(A189="N/A"," ",G189*C189)</f>
        <v> </v>
      </c>
      <c r="I189" s="371" t="str">
        <f aca="false">IF(A189="N/A"," ",IF(ISERROR(O189),I177*Inputs!$F$19,O189))</f>
        <v> </v>
      </c>
      <c r="J189" s="372" t="str">
        <f aca="false">IF(A189="N/A"," ",IF(ISERROR(P189),J177*Inputs!$F$23,P189))</f>
        <v> </v>
      </c>
      <c r="L189" s="374" t="str">
        <f aca="false">IF(A189="N/A"," ",VLOOKUP(A189,PeakPowerCurves,(IF('Pricing Inputs'!$AT$3=2,3,IF('Pricing Inputs'!$AT$3=1,2,4))),FALSE()))</f>
        <v> </v>
      </c>
      <c r="M189" s="374" t="str">
        <f aca="false">IF(A189="N/A"," ",VLOOKUP(A189,SatSunPeakPwr,(IF('Pricing Inputs'!$AT$3=2,3,IF('Pricing Inputs'!$AT$3=1,2,4))),FALSE()))</f>
        <v> </v>
      </c>
      <c r="N189" s="374" t="str">
        <f aca="false">IF(A189="N/A"," ",VLOOKUP(A189,SatSunPeakPwr,(IF('Pricing Inputs'!$AT$3=2,7,IF('Pricing Inputs'!$AT$3=1,6,8))),FALSE()))</f>
        <v> </v>
      </c>
      <c r="O189" s="375" t="str">
        <f aca="false">IF(A189="N/A"," ",(VLOOKUP(A189,OPPowerPrices,(IF('Pricing Inputs'!$AT$3=2,7,IF('Pricing Inputs'!$AT$3=1,6,8))),FALSE())))</f>
        <v> </v>
      </c>
      <c r="P189" s="376" t="str">
        <f aca="false">IF(A189="N/A"," ",(VLOOKUP(A189,GasCurves,15,FALSE())))</f>
        <v> </v>
      </c>
      <c r="AF189" s="341" t="n">
        <v>42186</v>
      </c>
      <c r="AG189" s="31" t="n">
        <v>23</v>
      </c>
      <c r="AH189" s="31" t="n">
        <v>3</v>
      </c>
      <c r="AI189" s="31" t="n">
        <v>4</v>
      </c>
      <c r="AJ189" s="31" t="n">
        <v>1</v>
      </c>
      <c r="AK189" s="31" t="n">
        <v>31</v>
      </c>
    </row>
    <row r="190" customFormat="false" ht="12.75" hidden="false" customHeight="false" outlineLevel="0" collapsed="false">
      <c r="A190" s="368" t="str">
        <f aca="false">Calculations!A157</f>
        <v>N/A</v>
      </c>
      <c r="B190" s="369" t="str">
        <f aca="false">IF(A190="N/A"," ",IF(ISERROR(L190),B178*Inputs!$F$19,L190))</f>
        <v> </v>
      </c>
      <c r="C190" s="370" t="str">
        <f aca="false">IF(A190="N/A"," ",(IF(AND(MONTH(A190)&gt;=6,MONTH(A190)&lt;=8,OR($K$37="REGION 2",$K$37="REGION 2A",$K$37="REGION 2B",$K$37="REGION 3",$K$37="REGION 3A",$K$37="REGION 3B",$K$37="REGION 4",$K$37="REGION 4B",$K$37="REGION 4C",$K$37="REGION 5",$K$37="REGION 5A")),((0.059228/(B190/100))-(0.4980013/(SQRT(B190/100)))+2.137988),HLOOKUP(MONTH(A190),ScalarTable,28))))</f>
        <v> </v>
      </c>
      <c r="D190" s="371" t="str">
        <f aca="false">IF(A190="N/A"," ",C190*B190)</f>
        <v> </v>
      </c>
      <c r="E190" s="369" t="str">
        <f aca="false">IF(A190="N/A"," ",IF(ISERROR(M190),E178*Inputs!$F$19,M190))</f>
        <v> </v>
      </c>
      <c r="F190" s="371" t="str">
        <f aca="false">IF(A190="N/A"," ",E190*C190)</f>
        <v> </v>
      </c>
      <c r="G190" s="369" t="str">
        <f aca="false">IF(A190="N/A"," ",IF(ISERROR(N190),G178*Inputs!$F$19,N190))</f>
        <v> </v>
      </c>
      <c r="H190" s="371" t="str">
        <f aca="false">IF(A190="N/A"," ",G190*C190)</f>
        <v> </v>
      </c>
      <c r="I190" s="371" t="str">
        <f aca="false">IF(A190="N/A"," ",IF(ISERROR(O190),I178*Inputs!$F$19,O190))</f>
        <v> </v>
      </c>
      <c r="J190" s="372" t="str">
        <f aca="false">IF(A190="N/A"," ",IF(ISERROR(P190),J178*Inputs!$F$23,P190))</f>
        <v> </v>
      </c>
      <c r="L190" s="374" t="str">
        <f aca="false">IF(A190="N/A"," ",VLOOKUP(A190,PeakPowerCurves,(IF('Pricing Inputs'!$AT$3=2,3,IF('Pricing Inputs'!$AT$3=1,2,4))),FALSE()))</f>
        <v> </v>
      </c>
      <c r="M190" s="374" t="str">
        <f aca="false">IF(A190="N/A"," ",VLOOKUP(A190,SatSunPeakPwr,(IF('Pricing Inputs'!$AT$3=2,3,IF('Pricing Inputs'!$AT$3=1,2,4))),FALSE()))</f>
        <v> </v>
      </c>
      <c r="N190" s="374" t="str">
        <f aca="false">IF(A190="N/A"," ",VLOOKUP(A190,SatSunPeakPwr,(IF('Pricing Inputs'!$AT$3=2,7,IF('Pricing Inputs'!$AT$3=1,6,8))),FALSE()))</f>
        <v> </v>
      </c>
      <c r="O190" s="375" t="str">
        <f aca="false">IF(A190="N/A"," ",(VLOOKUP(A190,OPPowerPrices,(IF('Pricing Inputs'!$AT$3=2,7,IF('Pricing Inputs'!$AT$3=1,6,8))),FALSE())))</f>
        <v> </v>
      </c>
      <c r="P190" s="376" t="str">
        <f aca="false">IF(A190="N/A"," ",(VLOOKUP(A190,GasCurves,15,FALSE())))</f>
        <v> </v>
      </c>
      <c r="AF190" s="341" t="n">
        <v>42217</v>
      </c>
      <c r="AG190" s="31" t="n">
        <v>21</v>
      </c>
      <c r="AH190" s="31" t="n">
        <v>5</v>
      </c>
      <c r="AI190" s="31" t="n">
        <v>5</v>
      </c>
      <c r="AJ190" s="31" t="n">
        <v>0</v>
      </c>
      <c r="AK190" s="31" t="n">
        <v>31</v>
      </c>
    </row>
    <row r="191" customFormat="false" ht="12.75" hidden="false" customHeight="false" outlineLevel="0" collapsed="false">
      <c r="A191" s="368" t="str">
        <f aca="false">Calculations!A158</f>
        <v>N/A</v>
      </c>
      <c r="B191" s="369" t="str">
        <f aca="false">IF(A191="N/A"," ",IF(ISERROR(L191),B179*Inputs!$F$19,L191))</f>
        <v> </v>
      </c>
      <c r="C191" s="370" t="str">
        <f aca="false">IF(A191="N/A"," ",(IF(AND(MONTH(A191)&gt;=6,MONTH(A191)&lt;=8,OR($K$37="REGION 2",$K$37="REGION 2A",$K$37="REGION 2B",$K$37="REGION 3",$K$37="REGION 3A",$K$37="REGION 3B",$K$37="REGION 4",$K$37="REGION 4B",$K$37="REGION 4C",$K$37="REGION 5",$K$37="REGION 5A")),((0.059228/(B191/100))-(0.4980013/(SQRT(B191/100)))+2.137988),HLOOKUP(MONTH(A191),ScalarTable,28))))</f>
        <v> </v>
      </c>
      <c r="D191" s="371" t="str">
        <f aca="false">IF(A191="N/A"," ",C191*B191)</f>
        <v> </v>
      </c>
      <c r="E191" s="369" t="str">
        <f aca="false">IF(A191="N/A"," ",IF(ISERROR(M191),E179*Inputs!$F$19,M191))</f>
        <v> </v>
      </c>
      <c r="F191" s="371" t="str">
        <f aca="false">IF(A191="N/A"," ",E191*C191)</f>
        <v> </v>
      </c>
      <c r="G191" s="369" t="str">
        <f aca="false">IF(A191="N/A"," ",IF(ISERROR(N191),G179*Inputs!$F$19,N191))</f>
        <v> </v>
      </c>
      <c r="H191" s="371" t="str">
        <f aca="false">IF(A191="N/A"," ",G191*C191)</f>
        <v> </v>
      </c>
      <c r="I191" s="371" t="str">
        <f aca="false">IF(A191="N/A"," ",IF(ISERROR(O191),I179*Inputs!$F$19,O191))</f>
        <v> </v>
      </c>
      <c r="J191" s="372" t="str">
        <f aca="false">IF(A191="N/A"," ",IF(ISERROR(P191),J179*Inputs!$F$23,P191))</f>
        <v> </v>
      </c>
      <c r="L191" s="374" t="str">
        <f aca="false">IF(A191="N/A"," ",VLOOKUP(A191,PeakPowerCurves,(IF('Pricing Inputs'!$AT$3=2,3,IF('Pricing Inputs'!$AT$3=1,2,4))),FALSE()))</f>
        <v> </v>
      </c>
      <c r="M191" s="374" t="str">
        <f aca="false">IF(A191="N/A"," ",VLOOKUP(A191,SatSunPeakPwr,(IF('Pricing Inputs'!$AT$3=2,3,IF('Pricing Inputs'!$AT$3=1,2,4))),FALSE()))</f>
        <v> </v>
      </c>
      <c r="N191" s="374" t="str">
        <f aca="false">IF(A191="N/A"," ",VLOOKUP(A191,SatSunPeakPwr,(IF('Pricing Inputs'!$AT$3=2,7,IF('Pricing Inputs'!$AT$3=1,6,8))),FALSE()))</f>
        <v> </v>
      </c>
      <c r="O191" s="375" t="str">
        <f aca="false">IF(A191="N/A"," ",(VLOOKUP(A191,OPPowerPrices,(IF('Pricing Inputs'!$AT$3=2,7,IF('Pricing Inputs'!$AT$3=1,6,8))),FALSE())))</f>
        <v> </v>
      </c>
      <c r="P191" s="376" t="str">
        <f aca="false">IF(A191="N/A"," ",(VLOOKUP(A191,GasCurves,15,FALSE())))</f>
        <v> </v>
      </c>
      <c r="AF191" s="341" t="n">
        <v>42248</v>
      </c>
      <c r="AG191" s="31" t="n">
        <v>21</v>
      </c>
      <c r="AH191" s="31" t="n">
        <v>4</v>
      </c>
      <c r="AI191" s="31" t="n">
        <v>4</v>
      </c>
      <c r="AJ191" s="31" t="n">
        <v>1</v>
      </c>
      <c r="AK191" s="31" t="n">
        <v>30</v>
      </c>
    </row>
    <row r="192" customFormat="false" ht="12.75" hidden="false" customHeight="false" outlineLevel="0" collapsed="false">
      <c r="A192" s="368" t="str">
        <f aca="false">Calculations!A159</f>
        <v>N/A</v>
      </c>
      <c r="B192" s="369" t="str">
        <f aca="false">IF(A192="N/A"," ",IF(ISERROR(L192),B180*Inputs!$F$19,L192))</f>
        <v> </v>
      </c>
      <c r="C192" s="370" t="str">
        <f aca="false">IF(A192="N/A"," ",(IF(AND(MONTH(A192)&gt;=6,MONTH(A192)&lt;=8,OR($K$37="REGION 2",$K$37="REGION 2A",$K$37="REGION 2B",$K$37="REGION 3",$K$37="REGION 3A",$K$37="REGION 3B",$K$37="REGION 4",$K$37="REGION 4B",$K$37="REGION 4C",$K$37="REGION 5",$K$37="REGION 5A")),((0.059228/(B192/100))-(0.4980013/(SQRT(B192/100)))+2.137988),HLOOKUP(MONTH(A192),ScalarTable,28))))</f>
        <v> </v>
      </c>
      <c r="D192" s="371" t="str">
        <f aca="false">IF(A192="N/A"," ",C192*B192)</f>
        <v> </v>
      </c>
      <c r="E192" s="369" t="str">
        <f aca="false">IF(A192="N/A"," ",IF(ISERROR(M192),E180*Inputs!$F$19,M192))</f>
        <v> </v>
      </c>
      <c r="F192" s="371" t="str">
        <f aca="false">IF(A192="N/A"," ",E192*C192)</f>
        <v> </v>
      </c>
      <c r="G192" s="369" t="str">
        <f aca="false">IF(A192="N/A"," ",IF(ISERROR(N192),G180*Inputs!$F$19,N192))</f>
        <v> </v>
      </c>
      <c r="H192" s="371" t="str">
        <f aca="false">IF(A192="N/A"," ",G192*C192)</f>
        <v> </v>
      </c>
      <c r="I192" s="371" t="str">
        <f aca="false">IF(A192="N/A"," ",IF(ISERROR(O192),I180*Inputs!$F$19,O192))</f>
        <v> </v>
      </c>
      <c r="J192" s="372" t="str">
        <f aca="false">IF(A192="N/A"," ",IF(ISERROR(P192),J180*Inputs!$F$23,P192))</f>
        <v> </v>
      </c>
      <c r="L192" s="374" t="str">
        <f aca="false">IF(A192="N/A"," ",VLOOKUP(A192,PeakPowerCurves,(IF('Pricing Inputs'!$AT$3=2,3,IF('Pricing Inputs'!$AT$3=1,2,4))),FALSE()))</f>
        <v> </v>
      </c>
      <c r="M192" s="374" t="str">
        <f aca="false">IF(A192="N/A"," ",VLOOKUP(A192,SatSunPeakPwr,(IF('Pricing Inputs'!$AT$3=2,3,IF('Pricing Inputs'!$AT$3=1,2,4))),FALSE()))</f>
        <v> </v>
      </c>
      <c r="N192" s="374" t="str">
        <f aca="false">IF(A192="N/A"," ",VLOOKUP(A192,SatSunPeakPwr,(IF('Pricing Inputs'!$AT$3=2,7,IF('Pricing Inputs'!$AT$3=1,6,8))),FALSE()))</f>
        <v> </v>
      </c>
      <c r="O192" s="375" t="str">
        <f aca="false">IF(A192="N/A"," ",(VLOOKUP(A192,OPPowerPrices,(IF('Pricing Inputs'!$AT$3=2,7,IF('Pricing Inputs'!$AT$3=1,6,8))),FALSE())))</f>
        <v> </v>
      </c>
      <c r="P192" s="376" t="str">
        <f aca="false">IF(A192="N/A"," ",(VLOOKUP(A192,GasCurves,15,FALSE())))</f>
        <v> </v>
      </c>
      <c r="AF192" s="341" t="n">
        <v>42278</v>
      </c>
      <c r="AG192" s="31" t="n">
        <v>22</v>
      </c>
      <c r="AH192" s="31" t="n">
        <v>5</v>
      </c>
      <c r="AI192" s="31" t="n">
        <v>4</v>
      </c>
      <c r="AJ192" s="31" t="n">
        <v>0</v>
      </c>
      <c r="AK192" s="31" t="n">
        <v>31</v>
      </c>
    </row>
    <row r="193" customFormat="false" ht="12.75" hidden="false" customHeight="false" outlineLevel="0" collapsed="false">
      <c r="A193" s="368" t="str">
        <f aca="false">Calculations!A160</f>
        <v>N/A</v>
      </c>
      <c r="B193" s="369" t="str">
        <f aca="false">IF(A193="N/A"," ",IF(ISERROR(L193),B181*Inputs!$F$19,L193))</f>
        <v> </v>
      </c>
      <c r="C193" s="370" t="str">
        <f aca="false">IF(A193="N/A"," ",(IF(AND(MONTH(A193)&gt;=6,MONTH(A193)&lt;=8,OR($K$37="REGION 2",$K$37="REGION 2A",$K$37="REGION 2B",$K$37="REGION 3",$K$37="REGION 3A",$K$37="REGION 3B",$K$37="REGION 4",$K$37="REGION 4B",$K$37="REGION 4C",$K$37="REGION 5",$K$37="REGION 5A")),((0.059228/(B193/100))-(0.4980013/(SQRT(B193/100)))+2.137988),HLOOKUP(MONTH(A193),ScalarTable,28))))</f>
        <v> </v>
      </c>
      <c r="D193" s="371" t="str">
        <f aca="false">IF(A193="N/A"," ",C193*B193)</f>
        <v> </v>
      </c>
      <c r="E193" s="369" t="str">
        <f aca="false">IF(A193="N/A"," ",IF(ISERROR(M193),E181*Inputs!$F$19,M193))</f>
        <v> </v>
      </c>
      <c r="F193" s="371" t="str">
        <f aca="false">IF(A193="N/A"," ",E193*C193)</f>
        <v> </v>
      </c>
      <c r="G193" s="369" t="str">
        <f aca="false">IF(A193="N/A"," ",IF(ISERROR(N193),G181*Inputs!$F$19,N193))</f>
        <v> </v>
      </c>
      <c r="H193" s="371" t="str">
        <f aca="false">IF(A193="N/A"," ",G193*C193)</f>
        <v> </v>
      </c>
      <c r="I193" s="371" t="str">
        <f aca="false">IF(A193="N/A"," ",IF(ISERROR(O193),I181*Inputs!$F$19,O193))</f>
        <v> </v>
      </c>
      <c r="J193" s="372" t="str">
        <f aca="false">IF(A193="N/A"," ",IF(ISERROR(P193),J181*Inputs!$F$23,P193))</f>
        <v> </v>
      </c>
      <c r="L193" s="374" t="str">
        <f aca="false">IF(A193="N/A"," ",VLOOKUP(A193,PeakPowerCurves,(IF('Pricing Inputs'!$AT$3=2,3,IF('Pricing Inputs'!$AT$3=1,2,4))),FALSE()))</f>
        <v> </v>
      </c>
      <c r="M193" s="374" t="str">
        <f aca="false">IF(A193="N/A"," ",VLOOKUP(A193,SatSunPeakPwr,(IF('Pricing Inputs'!$AT$3=2,3,IF('Pricing Inputs'!$AT$3=1,2,4))),FALSE()))</f>
        <v> </v>
      </c>
      <c r="N193" s="374" t="str">
        <f aca="false">IF(A193="N/A"," ",VLOOKUP(A193,SatSunPeakPwr,(IF('Pricing Inputs'!$AT$3=2,7,IF('Pricing Inputs'!$AT$3=1,6,8))),FALSE()))</f>
        <v> </v>
      </c>
      <c r="O193" s="375" t="str">
        <f aca="false">IF(A193="N/A"," ",(VLOOKUP(A193,OPPowerPrices,(IF('Pricing Inputs'!$AT$3=2,7,IF('Pricing Inputs'!$AT$3=1,6,8))),FALSE())))</f>
        <v> </v>
      </c>
      <c r="P193" s="376" t="str">
        <f aca="false">IF(A193="N/A"," ",(VLOOKUP(A193,GasCurves,15,FALSE())))</f>
        <v> </v>
      </c>
      <c r="AF193" s="341" t="n">
        <v>42309</v>
      </c>
      <c r="AG193" s="31" t="n">
        <v>20</v>
      </c>
      <c r="AH193" s="31" t="n">
        <v>4</v>
      </c>
      <c r="AI193" s="31" t="n">
        <v>5</v>
      </c>
      <c r="AJ193" s="31" t="n">
        <v>1</v>
      </c>
      <c r="AK193" s="31" t="n">
        <v>30</v>
      </c>
    </row>
    <row r="194" customFormat="false" ht="12.75" hidden="false" customHeight="false" outlineLevel="0" collapsed="false">
      <c r="A194" s="368" t="str">
        <f aca="false">Calculations!A161</f>
        <v>N/A</v>
      </c>
      <c r="B194" s="369" t="str">
        <f aca="false">IF(A194="N/A"," ",IF(ISERROR(L194),B182*Inputs!$F$19,L194))</f>
        <v> </v>
      </c>
      <c r="C194" s="370" t="str">
        <f aca="false">IF(A194="N/A"," ",(IF(AND(MONTH(A194)&gt;=6,MONTH(A194)&lt;=8,OR($K$37="REGION 2",$K$37="REGION 2A",$K$37="REGION 2B",$K$37="REGION 3",$K$37="REGION 3A",$K$37="REGION 3B",$K$37="REGION 4",$K$37="REGION 4B",$K$37="REGION 4C",$K$37="REGION 5",$K$37="REGION 5A")),((0.059228/(B194/100))-(0.4980013/(SQRT(B194/100)))+2.137988),HLOOKUP(MONTH(A194),ScalarTable,28))))</f>
        <v> </v>
      </c>
      <c r="D194" s="371" t="str">
        <f aca="false">IF(A194="N/A"," ",C194*B194)</f>
        <v> </v>
      </c>
      <c r="E194" s="369" t="str">
        <f aca="false">IF(A194="N/A"," ",IF(ISERROR(M194),E182*Inputs!$F$19,M194))</f>
        <v> </v>
      </c>
      <c r="F194" s="371" t="str">
        <f aca="false">IF(A194="N/A"," ",E194*C194)</f>
        <v> </v>
      </c>
      <c r="G194" s="369" t="str">
        <f aca="false">IF(A194="N/A"," ",IF(ISERROR(N194),G182*Inputs!$F$19,N194))</f>
        <v> </v>
      </c>
      <c r="H194" s="371" t="str">
        <f aca="false">IF(A194="N/A"," ",G194*C194)</f>
        <v> </v>
      </c>
      <c r="I194" s="371" t="str">
        <f aca="false">IF(A194="N/A"," ",IF(ISERROR(O194),I182*Inputs!$F$19,O194))</f>
        <v> </v>
      </c>
      <c r="J194" s="372" t="str">
        <f aca="false">IF(A194="N/A"," ",IF(ISERROR(P194),J182*Inputs!$F$23,P194))</f>
        <v> </v>
      </c>
      <c r="L194" s="374" t="str">
        <f aca="false">IF(A194="N/A"," ",VLOOKUP(A194,PeakPowerCurves,(IF('Pricing Inputs'!$AT$3=2,3,IF('Pricing Inputs'!$AT$3=1,2,4))),FALSE()))</f>
        <v> </v>
      </c>
      <c r="M194" s="374" t="str">
        <f aca="false">IF(A194="N/A"," ",VLOOKUP(A194,SatSunPeakPwr,(IF('Pricing Inputs'!$AT$3=2,3,IF('Pricing Inputs'!$AT$3=1,2,4))),FALSE()))</f>
        <v> </v>
      </c>
      <c r="N194" s="374" t="str">
        <f aca="false">IF(A194="N/A"," ",VLOOKUP(A194,SatSunPeakPwr,(IF('Pricing Inputs'!$AT$3=2,7,IF('Pricing Inputs'!$AT$3=1,6,8))),FALSE()))</f>
        <v> </v>
      </c>
      <c r="O194" s="375" t="str">
        <f aca="false">IF(A194="N/A"," ",(VLOOKUP(A194,OPPowerPrices,(IF('Pricing Inputs'!$AT$3=2,7,IF('Pricing Inputs'!$AT$3=1,6,8))),FALSE())))</f>
        <v> </v>
      </c>
      <c r="P194" s="376" t="str">
        <f aca="false">IF(A194="N/A"," ",(VLOOKUP(A194,GasCurves,15,FALSE())))</f>
        <v> </v>
      </c>
      <c r="AF194" s="341" t="n">
        <v>42339</v>
      </c>
      <c r="AG194" s="31" t="n">
        <v>22</v>
      </c>
      <c r="AH194" s="31" t="n">
        <v>4</v>
      </c>
      <c r="AI194" s="31" t="n">
        <v>4</v>
      </c>
      <c r="AJ194" s="31" t="n">
        <v>1</v>
      </c>
      <c r="AK194" s="31" t="n">
        <v>31</v>
      </c>
    </row>
    <row r="195" customFormat="false" ht="12.75" hidden="false" customHeight="false" outlineLevel="0" collapsed="false">
      <c r="A195" s="368" t="str">
        <f aca="false">Calculations!A162</f>
        <v>N/A</v>
      </c>
      <c r="B195" s="369" t="str">
        <f aca="false">IF(A195="N/A"," ",IF(ISERROR(L195),B183*Inputs!$F$19,L195))</f>
        <v> </v>
      </c>
      <c r="C195" s="370" t="str">
        <f aca="false">IF(A195="N/A"," ",(IF(AND(MONTH(A195)&gt;=6,MONTH(A195)&lt;=8,OR($K$37="REGION 2",$K$37="REGION 2A",$K$37="REGION 2B",$K$37="REGION 3",$K$37="REGION 3A",$K$37="REGION 3B",$K$37="REGION 4",$K$37="REGION 4B",$K$37="REGION 4C",$K$37="REGION 5",$K$37="REGION 5A")),((0.059228/(B195/100))-(0.4980013/(SQRT(B195/100)))+2.137988),HLOOKUP(MONTH(A195),ScalarTable,28))))</f>
        <v> </v>
      </c>
      <c r="D195" s="371" t="str">
        <f aca="false">IF(A195="N/A"," ",C195*B195)</f>
        <v> </v>
      </c>
      <c r="E195" s="369" t="str">
        <f aca="false">IF(A195="N/A"," ",IF(ISERROR(M195),E183*Inputs!$F$19,M195))</f>
        <v> </v>
      </c>
      <c r="F195" s="371" t="str">
        <f aca="false">IF(A195="N/A"," ",E195*C195)</f>
        <v> </v>
      </c>
      <c r="G195" s="369" t="str">
        <f aca="false">IF(A195="N/A"," ",IF(ISERROR(N195),G183*Inputs!$F$19,N195))</f>
        <v> </v>
      </c>
      <c r="H195" s="371" t="str">
        <f aca="false">IF(A195="N/A"," ",G195*C195)</f>
        <v> </v>
      </c>
      <c r="I195" s="371" t="str">
        <f aca="false">IF(A195="N/A"," ",IF(ISERROR(O195),I183*Inputs!$F$19,O195))</f>
        <v> </v>
      </c>
      <c r="J195" s="372" t="str">
        <f aca="false">IF(A195="N/A"," ",IF(ISERROR(P195),J183*Inputs!$F$23,P195))</f>
        <v> </v>
      </c>
      <c r="L195" s="374" t="str">
        <f aca="false">IF(A195="N/A"," ",VLOOKUP(A195,PeakPowerCurves,(IF('Pricing Inputs'!$AT$3=2,3,IF('Pricing Inputs'!$AT$3=1,2,4))),FALSE()))</f>
        <v> </v>
      </c>
      <c r="M195" s="374" t="str">
        <f aca="false">IF(A195="N/A"," ",VLOOKUP(A195,SatSunPeakPwr,(IF('Pricing Inputs'!$AT$3=2,3,IF('Pricing Inputs'!$AT$3=1,2,4))),FALSE()))</f>
        <v> </v>
      </c>
      <c r="N195" s="374" t="str">
        <f aca="false">IF(A195="N/A"," ",VLOOKUP(A195,SatSunPeakPwr,(IF('Pricing Inputs'!$AT$3=2,7,IF('Pricing Inputs'!$AT$3=1,6,8))),FALSE()))</f>
        <v> </v>
      </c>
      <c r="O195" s="375" t="str">
        <f aca="false">IF(A195="N/A"," ",(VLOOKUP(A195,OPPowerPrices,(IF('Pricing Inputs'!$AT$3=2,7,IF('Pricing Inputs'!$AT$3=1,6,8))),FALSE())))</f>
        <v> </v>
      </c>
      <c r="P195" s="376" t="str">
        <f aca="false">IF(A195="N/A"," ",(VLOOKUP(A195,GasCurves,15,FALSE())))</f>
        <v> </v>
      </c>
      <c r="AF195" s="341" t="n">
        <v>42370</v>
      </c>
      <c r="AG195" s="31" t="n">
        <v>20</v>
      </c>
      <c r="AH195" s="31" t="n">
        <v>5</v>
      </c>
      <c r="AI195" s="31" t="n">
        <v>5</v>
      </c>
      <c r="AJ195" s="31" t="n">
        <v>1</v>
      </c>
      <c r="AK195" s="31" t="n">
        <v>31</v>
      </c>
    </row>
    <row r="196" customFormat="false" ht="12.75" hidden="false" customHeight="false" outlineLevel="0" collapsed="false">
      <c r="A196" s="368" t="str">
        <f aca="false">Calculations!A163</f>
        <v>N/A</v>
      </c>
      <c r="B196" s="369" t="str">
        <f aca="false">IF(A196="N/A"," ",IF(ISERROR(L196),B184*Inputs!$F$19,L196))</f>
        <v> </v>
      </c>
      <c r="C196" s="370" t="str">
        <f aca="false">IF(A196="N/A"," ",(IF(AND(MONTH(A196)&gt;=6,MONTH(A196)&lt;=8,OR($K$37="REGION 2",$K$37="REGION 2A",$K$37="REGION 2B",$K$37="REGION 3",$K$37="REGION 3A",$K$37="REGION 3B",$K$37="REGION 4",$K$37="REGION 4B",$K$37="REGION 4C",$K$37="REGION 5",$K$37="REGION 5A")),((0.059228/(B196/100))-(0.4980013/(SQRT(B196/100)))+2.137988),HLOOKUP(MONTH(A196),ScalarTable,28))))</f>
        <v> </v>
      </c>
      <c r="D196" s="371" t="str">
        <f aca="false">IF(A196="N/A"," ",C196*B196)</f>
        <v> </v>
      </c>
      <c r="E196" s="369" t="str">
        <f aca="false">IF(A196="N/A"," ",IF(ISERROR(M196),E184*Inputs!$F$19,M196))</f>
        <v> </v>
      </c>
      <c r="F196" s="371" t="str">
        <f aca="false">IF(A196="N/A"," ",E196*C196)</f>
        <v> </v>
      </c>
      <c r="G196" s="369" t="str">
        <f aca="false">IF(A196="N/A"," ",IF(ISERROR(N196),G184*Inputs!$F$19,N196))</f>
        <v> </v>
      </c>
      <c r="H196" s="371" t="str">
        <f aca="false">IF(A196="N/A"," ",G196*C196)</f>
        <v> </v>
      </c>
      <c r="I196" s="371" t="str">
        <f aca="false">IF(A196="N/A"," ",IF(ISERROR(O196),I184*Inputs!$F$19,O196))</f>
        <v> </v>
      </c>
      <c r="J196" s="372" t="str">
        <f aca="false">IF(A196="N/A"," ",IF(ISERROR(P196),J184*Inputs!$F$23,P196))</f>
        <v> </v>
      </c>
      <c r="L196" s="374" t="str">
        <f aca="false">IF(A196="N/A"," ",VLOOKUP(A196,PeakPowerCurves,(IF('Pricing Inputs'!$AT$3=2,3,IF('Pricing Inputs'!$AT$3=1,2,4))),FALSE()))</f>
        <v> </v>
      </c>
      <c r="M196" s="374" t="str">
        <f aca="false">IF(A196="N/A"," ",VLOOKUP(A196,SatSunPeakPwr,(IF('Pricing Inputs'!$AT$3=2,3,IF('Pricing Inputs'!$AT$3=1,2,4))),FALSE()))</f>
        <v> </v>
      </c>
      <c r="N196" s="374" t="str">
        <f aca="false">IF(A196="N/A"," ",VLOOKUP(A196,SatSunPeakPwr,(IF('Pricing Inputs'!$AT$3=2,7,IF('Pricing Inputs'!$AT$3=1,6,8))),FALSE()))</f>
        <v> </v>
      </c>
      <c r="O196" s="375" t="str">
        <f aca="false">IF(A196="N/A"," ",(VLOOKUP(A196,OPPowerPrices,(IF('Pricing Inputs'!$AT$3=2,7,IF('Pricing Inputs'!$AT$3=1,6,8))),FALSE())))</f>
        <v> </v>
      </c>
      <c r="P196" s="376" t="str">
        <f aca="false">IF(A196="N/A"," ",(VLOOKUP(A196,GasCurves,15,FALSE())))</f>
        <v> </v>
      </c>
      <c r="AF196" s="341" t="n">
        <v>42401</v>
      </c>
      <c r="AG196" s="31" t="n">
        <v>21</v>
      </c>
      <c r="AH196" s="31" t="n">
        <v>4</v>
      </c>
      <c r="AI196" s="31" t="n">
        <v>4</v>
      </c>
      <c r="AJ196" s="31" t="n">
        <v>0</v>
      </c>
      <c r="AK196" s="31" t="n">
        <v>29</v>
      </c>
    </row>
    <row r="197" customFormat="false" ht="12.75" hidden="false" customHeight="false" outlineLevel="0" collapsed="false">
      <c r="A197" s="368" t="str">
        <f aca="false">Calculations!A164</f>
        <v>N/A</v>
      </c>
      <c r="B197" s="369" t="str">
        <f aca="false">IF(A197="N/A"," ",IF(ISERROR(L197),B185*Inputs!$F$19,L197))</f>
        <v> </v>
      </c>
      <c r="C197" s="370" t="str">
        <f aca="false">IF(A197="N/A"," ",(IF(AND(MONTH(A197)&gt;=6,MONTH(A197)&lt;=8,OR($K$37="REGION 2",$K$37="REGION 2A",$K$37="REGION 2B",$K$37="REGION 3",$K$37="REGION 3A",$K$37="REGION 3B",$K$37="REGION 4",$K$37="REGION 4B",$K$37="REGION 4C",$K$37="REGION 5",$K$37="REGION 5A")),((0.059228/(B197/100))-(0.4980013/(SQRT(B197/100)))+2.137988),HLOOKUP(MONTH(A197),ScalarTable,28))))</f>
        <v> </v>
      </c>
      <c r="D197" s="371" t="str">
        <f aca="false">IF(A197="N/A"," ",C197*B197)</f>
        <v> </v>
      </c>
      <c r="E197" s="369" t="str">
        <f aca="false">IF(A197="N/A"," ",IF(ISERROR(M197),E185*Inputs!$F$19,M197))</f>
        <v> </v>
      </c>
      <c r="F197" s="371" t="str">
        <f aca="false">IF(A197="N/A"," ",E197*C197)</f>
        <v> </v>
      </c>
      <c r="G197" s="369" t="str">
        <f aca="false">IF(A197="N/A"," ",IF(ISERROR(N197),G185*Inputs!$F$19,N197))</f>
        <v> </v>
      </c>
      <c r="H197" s="371" t="str">
        <f aca="false">IF(A197="N/A"," ",G197*C197)</f>
        <v> </v>
      </c>
      <c r="I197" s="371" t="str">
        <f aca="false">IF(A197="N/A"," ",IF(ISERROR(O197),I185*Inputs!$F$19,O197))</f>
        <v> </v>
      </c>
      <c r="J197" s="372" t="str">
        <f aca="false">IF(A197="N/A"," ",IF(ISERROR(P197),J185*Inputs!$F$23,P197))</f>
        <v> </v>
      </c>
      <c r="L197" s="374" t="str">
        <f aca="false">IF(A197="N/A"," ",VLOOKUP(A197,PeakPowerCurves,(IF('Pricing Inputs'!$AT$3=2,3,IF('Pricing Inputs'!$AT$3=1,2,4))),FALSE()))</f>
        <v> </v>
      </c>
      <c r="M197" s="374" t="str">
        <f aca="false">IF(A197="N/A"," ",VLOOKUP(A197,SatSunPeakPwr,(IF('Pricing Inputs'!$AT$3=2,3,IF('Pricing Inputs'!$AT$3=1,2,4))),FALSE()))</f>
        <v> </v>
      </c>
      <c r="N197" s="374" t="str">
        <f aca="false">IF(A197="N/A"," ",VLOOKUP(A197,SatSunPeakPwr,(IF('Pricing Inputs'!$AT$3=2,7,IF('Pricing Inputs'!$AT$3=1,6,8))),FALSE()))</f>
        <v> </v>
      </c>
      <c r="O197" s="375" t="str">
        <f aca="false">IF(A197="N/A"," ",(VLOOKUP(A197,OPPowerPrices,(IF('Pricing Inputs'!$AT$3=2,7,IF('Pricing Inputs'!$AT$3=1,6,8))),FALSE())))</f>
        <v> </v>
      </c>
      <c r="P197" s="376" t="str">
        <f aca="false">IF(A197="N/A"," ",(VLOOKUP(A197,GasCurves,15,FALSE())))</f>
        <v> </v>
      </c>
      <c r="AF197" s="341" t="n">
        <v>42430</v>
      </c>
      <c r="AG197" s="31" t="n">
        <v>23</v>
      </c>
      <c r="AH197" s="31" t="n">
        <v>4</v>
      </c>
      <c r="AI197" s="31" t="n">
        <v>4</v>
      </c>
      <c r="AJ197" s="31" t="n">
        <v>0</v>
      </c>
      <c r="AK197" s="31" t="n">
        <v>31</v>
      </c>
    </row>
    <row r="198" customFormat="false" ht="12.75" hidden="false" customHeight="false" outlineLevel="0" collapsed="false">
      <c r="A198" s="368" t="str">
        <f aca="false">Calculations!A165</f>
        <v>N/A</v>
      </c>
      <c r="B198" s="369" t="str">
        <f aca="false">IF(A198="N/A"," ",IF(ISERROR(L198),B186*Inputs!$F$19,L198))</f>
        <v> </v>
      </c>
      <c r="C198" s="370" t="str">
        <f aca="false">IF(A198="N/A"," ",(IF(AND(MONTH(A198)&gt;=6,MONTH(A198)&lt;=8,OR($K$37="REGION 2",$K$37="REGION 2A",$K$37="REGION 2B",$K$37="REGION 3",$K$37="REGION 3A",$K$37="REGION 3B",$K$37="REGION 4",$K$37="REGION 4B",$K$37="REGION 4C",$K$37="REGION 5",$K$37="REGION 5A")),((0.059228/(B198/100))-(0.4980013/(SQRT(B198/100)))+2.137988),HLOOKUP(MONTH(A198),ScalarTable,28))))</f>
        <v> </v>
      </c>
      <c r="D198" s="371" t="str">
        <f aca="false">IF(A198="N/A"," ",C198*B198)</f>
        <v> </v>
      </c>
      <c r="E198" s="369" t="str">
        <f aca="false">IF(A198="N/A"," ",IF(ISERROR(M198),E186*Inputs!$F$19,M198))</f>
        <v> </v>
      </c>
      <c r="F198" s="371" t="str">
        <f aca="false">IF(A198="N/A"," ",E198*C198)</f>
        <v> </v>
      </c>
      <c r="G198" s="369" t="str">
        <f aca="false">IF(A198="N/A"," ",IF(ISERROR(N198),G186*Inputs!$F$19,N198))</f>
        <v> </v>
      </c>
      <c r="H198" s="371" t="str">
        <f aca="false">IF(A198="N/A"," ",G198*C198)</f>
        <v> </v>
      </c>
      <c r="I198" s="371" t="str">
        <f aca="false">IF(A198="N/A"," ",IF(ISERROR(O198),I186*Inputs!$F$19,O198))</f>
        <v> </v>
      </c>
      <c r="J198" s="372" t="str">
        <f aca="false">IF(A198="N/A"," ",IF(ISERROR(P198),J186*Inputs!$F$23,P198))</f>
        <v> </v>
      </c>
      <c r="L198" s="374" t="str">
        <f aca="false">IF(A198="N/A"," ",VLOOKUP(A198,PeakPowerCurves,(IF('Pricing Inputs'!$AT$3=2,3,IF('Pricing Inputs'!$AT$3=1,2,4))),FALSE()))</f>
        <v> </v>
      </c>
      <c r="M198" s="374" t="str">
        <f aca="false">IF(A198="N/A"," ",VLOOKUP(A198,SatSunPeakPwr,(IF('Pricing Inputs'!$AT$3=2,3,IF('Pricing Inputs'!$AT$3=1,2,4))),FALSE()))</f>
        <v> </v>
      </c>
      <c r="N198" s="374" t="str">
        <f aca="false">IF(A198="N/A"," ",VLOOKUP(A198,SatSunPeakPwr,(IF('Pricing Inputs'!$AT$3=2,7,IF('Pricing Inputs'!$AT$3=1,6,8))),FALSE()))</f>
        <v> </v>
      </c>
      <c r="O198" s="375" t="str">
        <f aca="false">IF(A198="N/A"," ",(VLOOKUP(A198,OPPowerPrices,(IF('Pricing Inputs'!$AT$3=2,7,IF('Pricing Inputs'!$AT$3=1,6,8))),FALSE())))</f>
        <v> </v>
      </c>
      <c r="P198" s="376" t="str">
        <f aca="false">IF(A198="N/A"," ",(VLOOKUP(A198,GasCurves,15,FALSE())))</f>
        <v> </v>
      </c>
      <c r="AF198" s="341" t="n">
        <v>42461</v>
      </c>
      <c r="AG198" s="31" t="n">
        <v>21</v>
      </c>
      <c r="AH198" s="31" t="n">
        <v>5</v>
      </c>
      <c r="AI198" s="31" t="n">
        <v>4</v>
      </c>
      <c r="AJ198" s="31" t="n">
        <v>0</v>
      </c>
      <c r="AK198" s="31" t="n">
        <v>30</v>
      </c>
    </row>
    <row r="199" customFormat="false" ht="12.75" hidden="false" customHeight="false" outlineLevel="0" collapsed="false">
      <c r="A199" s="368" t="str">
        <f aca="false">Calculations!A166</f>
        <v>N/A</v>
      </c>
      <c r="B199" s="369" t="str">
        <f aca="false">IF(A199="N/A"," ",IF(ISERROR(L199),B187*Inputs!$F$19,L199))</f>
        <v> </v>
      </c>
      <c r="C199" s="370" t="str">
        <f aca="false">IF(A199="N/A"," ",(IF(AND(MONTH(A199)&gt;=6,MONTH(A199)&lt;=8,OR($K$37="REGION 2",$K$37="REGION 2A",$K$37="REGION 2B",$K$37="REGION 3",$K$37="REGION 3A",$K$37="REGION 3B",$K$37="REGION 4",$K$37="REGION 4B",$K$37="REGION 4C",$K$37="REGION 5",$K$37="REGION 5A")),((0.059228/(B199/100))-(0.4980013/(SQRT(B199/100)))+2.137988),HLOOKUP(MONTH(A199),ScalarTable,28))))</f>
        <v> </v>
      </c>
      <c r="D199" s="371" t="str">
        <f aca="false">IF(A199="N/A"," ",C199*B199)</f>
        <v> </v>
      </c>
      <c r="E199" s="369" t="str">
        <f aca="false">IF(A199="N/A"," ",IF(ISERROR(M199),E187*Inputs!$F$19,M199))</f>
        <v> </v>
      </c>
      <c r="F199" s="371" t="str">
        <f aca="false">IF(A199="N/A"," ",E199*C199)</f>
        <v> </v>
      </c>
      <c r="G199" s="369" t="str">
        <f aca="false">IF(A199="N/A"," ",IF(ISERROR(N199),G187*Inputs!$F$19,N199))</f>
        <v> </v>
      </c>
      <c r="H199" s="371" t="str">
        <f aca="false">IF(A199="N/A"," ",G199*C199)</f>
        <v> </v>
      </c>
      <c r="I199" s="371" t="str">
        <f aca="false">IF(A199="N/A"," ",IF(ISERROR(O199),I187*Inputs!$F$19,O199))</f>
        <v> </v>
      </c>
      <c r="J199" s="372" t="str">
        <f aca="false">IF(A199="N/A"," ",IF(ISERROR(P199),J187*Inputs!$F$23,P199))</f>
        <v> </v>
      </c>
      <c r="L199" s="374" t="str">
        <f aca="false">IF(A199="N/A"," ",VLOOKUP(A199,PeakPowerCurves,(IF('Pricing Inputs'!$AT$3=2,3,IF('Pricing Inputs'!$AT$3=1,2,4))),FALSE()))</f>
        <v> </v>
      </c>
      <c r="M199" s="374" t="str">
        <f aca="false">IF(A199="N/A"," ",VLOOKUP(A199,SatSunPeakPwr,(IF('Pricing Inputs'!$AT$3=2,3,IF('Pricing Inputs'!$AT$3=1,2,4))),FALSE()))</f>
        <v> </v>
      </c>
      <c r="N199" s="374" t="str">
        <f aca="false">IF(A199="N/A"," ",VLOOKUP(A199,SatSunPeakPwr,(IF('Pricing Inputs'!$AT$3=2,7,IF('Pricing Inputs'!$AT$3=1,6,8))),FALSE()))</f>
        <v> </v>
      </c>
      <c r="O199" s="375" t="str">
        <f aca="false">IF(A199="N/A"," ",(VLOOKUP(A199,OPPowerPrices,(IF('Pricing Inputs'!$AT$3=2,7,IF('Pricing Inputs'!$AT$3=1,6,8))),FALSE())))</f>
        <v> </v>
      </c>
      <c r="P199" s="376" t="str">
        <f aca="false">IF(A199="N/A"," ",(VLOOKUP(A199,GasCurves,15,FALSE())))</f>
        <v> </v>
      </c>
      <c r="AF199" s="341" t="n">
        <v>42491</v>
      </c>
      <c r="AG199" s="31" t="n">
        <v>21</v>
      </c>
      <c r="AH199" s="31" t="n">
        <v>4</v>
      </c>
      <c r="AI199" s="31" t="n">
        <v>5</v>
      </c>
      <c r="AJ199" s="31" t="n">
        <v>1</v>
      </c>
      <c r="AK199" s="31" t="n">
        <v>31</v>
      </c>
    </row>
    <row r="200" customFormat="false" ht="12.75" hidden="false" customHeight="false" outlineLevel="0" collapsed="false">
      <c r="A200" s="368" t="str">
        <f aca="false">Calculations!A167</f>
        <v>N/A</v>
      </c>
      <c r="B200" s="369" t="str">
        <f aca="false">IF(A200="N/A"," ",IF(ISERROR(L200),B188*Inputs!$F$19,L200))</f>
        <v> </v>
      </c>
      <c r="C200" s="370" t="str">
        <f aca="false">IF(A200="N/A"," ",(IF(AND(MONTH(A200)&gt;=6,MONTH(A200)&lt;=8,OR($K$37="REGION 2",$K$37="REGION 2A",$K$37="REGION 2B",$K$37="REGION 3",$K$37="REGION 3A",$K$37="REGION 3B",$K$37="REGION 4",$K$37="REGION 4B",$K$37="REGION 4C",$K$37="REGION 5",$K$37="REGION 5A")),((0.059228/(B200/100))-(0.4980013/(SQRT(B200/100)))+2.137988),HLOOKUP(MONTH(A200),ScalarTable,28))))</f>
        <v> </v>
      </c>
      <c r="D200" s="371" t="str">
        <f aca="false">IF(A200="N/A"," ",C200*B200)</f>
        <v> </v>
      </c>
      <c r="E200" s="369" t="str">
        <f aca="false">IF(A200="N/A"," ",IF(ISERROR(M200),E188*Inputs!$F$19,M200))</f>
        <v> </v>
      </c>
      <c r="F200" s="371" t="str">
        <f aca="false">IF(A200="N/A"," ",E200*C200)</f>
        <v> </v>
      </c>
      <c r="G200" s="369" t="str">
        <f aca="false">IF(A200="N/A"," ",IF(ISERROR(N200),G188*Inputs!$F$19,N200))</f>
        <v> </v>
      </c>
      <c r="H200" s="371" t="str">
        <f aca="false">IF(A200="N/A"," ",G200*C200)</f>
        <v> </v>
      </c>
      <c r="I200" s="371" t="str">
        <f aca="false">IF(A200="N/A"," ",IF(ISERROR(O200),I188*Inputs!$F$19,O200))</f>
        <v> </v>
      </c>
      <c r="J200" s="372" t="str">
        <f aca="false">IF(A200="N/A"," ",IF(ISERROR(P200),J188*Inputs!$F$23,P200))</f>
        <v> </v>
      </c>
      <c r="L200" s="374" t="str">
        <f aca="false">IF(A200="N/A"," ",VLOOKUP(A200,PeakPowerCurves,(IF('Pricing Inputs'!$AT$3=2,3,IF('Pricing Inputs'!$AT$3=1,2,4))),FALSE()))</f>
        <v> </v>
      </c>
      <c r="M200" s="374" t="str">
        <f aca="false">IF(A200="N/A"," ",VLOOKUP(A200,SatSunPeakPwr,(IF('Pricing Inputs'!$AT$3=2,3,IF('Pricing Inputs'!$AT$3=1,2,4))),FALSE()))</f>
        <v> </v>
      </c>
      <c r="N200" s="374" t="str">
        <f aca="false">IF(A200="N/A"," ",VLOOKUP(A200,SatSunPeakPwr,(IF('Pricing Inputs'!$AT$3=2,7,IF('Pricing Inputs'!$AT$3=1,6,8))),FALSE()))</f>
        <v> </v>
      </c>
      <c r="O200" s="375" t="str">
        <f aca="false">IF(A200="N/A"," ",(VLOOKUP(A200,OPPowerPrices,(IF('Pricing Inputs'!$AT$3=2,7,IF('Pricing Inputs'!$AT$3=1,6,8))),FALSE())))</f>
        <v> </v>
      </c>
      <c r="P200" s="376" t="str">
        <f aca="false">IF(A200="N/A"," ",(VLOOKUP(A200,GasCurves,15,FALSE())))</f>
        <v> </v>
      </c>
      <c r="AF200" s="341" t="n">
        <v>42522</v>
      </c>
      <c r="AG200" s="31" t="n">
        <v>22</v>
      </c>
      <c r="AH200" s="31" t="n">
        <v>4</v>
      </c>
      <c r="AI200" s="31" t="n">
        <v>4</v>
      </c>
      <c r="AJ200" s="31" t="n">
        <v>0</v>
      </c>
      <c r="AK200" s="31" t="n">
        <v>30</v>
      </c>
    </row>
    <row r="201" customFormat="false" ht="12.75" hidden="false" customHeight="false" outlineLevel="0" collapsed="false">
      <c r="A201" s="368" t="str">
        <f aca="false">Calculations!A168</f>
        <v>N/A</v>
      </c>
      <c r="B201" s="369" t="str">
        <f aca="false">IF(A201="N/A"," ",IF(ISERROR(L201),B189*Inputs!$F$19,L201))</f>
        <v> </v>
      </c>
      <c r="C201" s="370" t="str">
        <f aca="false">IF(A201="N/A"," ",(IF(AND(MONTH(A201)&gt;=6,MONTH(A201)&lt;=8,OR($K$37="REGION 2",$K$37="REGION 2A",$K$37="REGION 2B",$K$37="REGION 3",$K$37="REGION 3A",$K$37="REGION 3B",$K$37="REGION 4",$K$37="REGION 4B",$K$37="REGION 4C",$K$37="REGION 5",$K$37="REGION 5A")),((0.059228/(B201/100))-(0.4980013/(SQRT(B201/100)))+2.137988),HLOOKUP(MONTH(A201),ScalarTable,28))))</f>
        <v> </v>
      </c>
      <c r="D201" s="371" t="str">
        <f aca="false">IF(A201="N/A"," ",C201*B201)</f>
        <v> </v>
      </c>
      <c r="E201" s="369" t="str">
        <f aca="false">IF(A201="N/A"," ",IF(ISERROR(M201),E189*Inputs!$F$19,M201))</f>
        <v> </v>
      </c>
      <c r="F201" s="371" t="str">
        <f aca="false">IF(A201="N/A"," ",E201*C201)</f>
        <v> </v>
      </c>
      <c r="G201" s="369" t="str">
        <f aca="false">IF(A201="N/A"," ",IF(ISERROR(N201),G189*Inputs!$F$19,N201))</f>
        <v> </v>
      </c>
      <c r="H201" s="371" t="str">
        <f aca="false">IF(A201="N/A"," ",G201*C201)</f>
        <v> </v>
      </c>
      <c r="I201" s="371" t="str">
        <f aca="false">IF(A201="N/A"," ",IF(ISERROR(O201),I189*Inputs!$F$19,O201))</f>
        <v> </v>
      </c>
      <c r="J201" s="372" t="str">
        <f aca="false">IF(A201="N/A"," ",IF(ISERROR(P201),J189*Inputs!$F$23,P201))</f>
        <v> </v>
      </c>
      <c r="L201" s="374" t="str">
        <f aca="false">IF(A201="N/A"," ",VLOOKUP(A201,PeakPowerCurves,(IF('Pricing Inputs'!$AT$3=2,3,IF('Pricing Inputs'!$AT$3=1,2,4))),FALSE()))</f>
        <v> </v>
      </c>
      <c r="M201" s="374" t="str">
        <f aca="false">IF(A201="N/A"," ",VLOOKUP(A201,SatSunPeakPwr,(IF('Pricing Inputs'!$AT$3=2,3,IF('Pricing Inputs'!$AT$3=1,2,4))),FALSE()))</f>
        <v> </v>
      </c>
      <c r="N201" s="374" t="str">
        <f aca="false">IF(A201="N/A"," ",VLOOKUP(A201,SatSunPeakPwr,(IF('Pricing Inputs'!$AT$3=2,7,IF('Pricing Inputs'!$AT$3=1,6,8))),FALSE()))</f>
        <v> </v>
      </c>
      <c r="O201" s="375" t="str">
        <f aca="false">IF(A201="N/A"," ",(VLOOKUP(A201,OPPowerPrices,(IF('Pricing Inputs'!$AT$3=2,7,IF('Pricing Inputs'!$AT$3=1,6,8))),FALSE())))</f>
        <v> </v>
      </c>
      <c r="P201" s="376" t="str">
        <f aca="false">IF(A201="N/A"," ",(VLOOKUP(A201,GasCurves,15,FALSE())))</f>
        <v> </v>
      </c>
      <c r="AF201" s="341" t="n">
        <v>42552</v>
      </c>
      <c r="AG201" s="31" t="n">
        <v>20</v>
      </c>
      <c r="AH201" s="31" t="n">
        <v>5</v>
      </c>
      <c r="AI201" s="31" t="n">
        <v>5</v>
      </c>
      <c r="AJ201" s="31" t="n">
        <v>1</v>
      </c>
      <c r="AK201" s="31" t="n">
        <v>31</v>
      </c>
    </row>
    <row r="202" customFormat="false" ht="12.75" hidden="false" customHeight="false" outlineLevel="0" collapsed="false">
      <c r="A202" s="368" t="str">
        <f aca="false">Calculations!A169</f>
        <v>N/A</v>
      </c>
      <c r="B202" s="369" t="str">
        <f aca="false">IF(A202="N/A"," ",IF(ISERROR(L202),B190*Inputs!$F$19,L202))</f>
        <v> </v>
      </c>
      <c r="C202" s="370" t="str">
        <f aca="false">IF(A202="N/A"," ",(IF(AND(MONTH(A202)&gt;=6,MONTH(A202)&lt;=8,OR($K$37="REGION 2",$K$37="REGION 2A",$K$37="REGION 2B",$K$37="REGION 3",$K$37="REGION 3A",$K$37="REGION 3B",$K$37="REGION 4",$K$37="REGION 4B",$K$37="REGION 4C",$K$37="REGION 5",$K$37="REGION 5A")),((0.059228/(B202/100))-(0.4980013/(SQRT(B202/100)))+2.137988),HLOOKUP(MONTH(A202),ScalarTable,28))))</f>
        <v> </v>
      </c>
      <c r="D202" s="371" t="str">
        <f aca="false">IF(A202="N/A"," ",C202*B202)</f>
        <v> </v>
      </c>
      <c r="E202" s="369" t="str">
        <f aca="false">IF(A202="N/A"," ",IF(ISERROR(M202),E190*Inputs!$F$19,M202))</f>
        <v> </v>
      </c>
      <c r="F202" s="371" t="str">
        <f aca="false">IF(A202="N/A"," ",E202*C202)</f>
        <v> </v>
      </c>
      <c r="G202" s="369" t="str">
        <f aca="false">IF(A202="N/A"," ",IF(ISERROR(N202),G190*Inputs!$F$19,N202))</f>
        <v> </v>
      </c>
      <c r="H202" s="371" t="str">
        <f aca="false">IF(A202="N/A"," ",G202*C202)</f>
        <v> </v>
      </c>
      <c r="I202" s="371" t="str">
        <f aca="false">IF(A202="N/A"," ",IF(ISERROR(O202),I190*Inputs!$F$19,O202))</f>
        <v> </v>
      </c>
      <c r="J202" s="372" t="str">
        <f aca="false">IF(A202="N/A"," ",IF(ISERROR(P202),J190*Inputs!$F$23,P202))</f>
        <v> </v>
      </c>
      <c r="L202" s="374" t="str">
        <f aca="false">IF(A202="N/A"," ",VLOOKUP(A202,PeakPowerCurves,(IF('Pricing Inputs'!$AT$3=2,3,IF('Pricing Inputs'!$AT$3=1,2,4))),FALSE()))</f>
        <v> </v>
      </c>
      <c r="M202" s="374" t="str">
        <f aca="false">IF(A202="N/A"," ",VLOOKUP(A202,SatSunPeakPwr,(IF('Pricing Inputs'!$AT$3=2,3,IF('Pricing Inputs'!$AT$3=1,2,4))),FALSE()))</f>
        <v> </v>
      </c>
      <c r="N202" s="374" t="str">
        <f aca="false">IF(A202="N/A"," ",VLOOKUP(A202,SatSunPeakPwr,(IF('Pricing Inputs'!$AT$3=2,7,IF('Pricing Inputs'!$AT$3=1,6,8))),FALSE()))</f>
        <v> </v>
      </c>
      <c r="O202" s="375" t="str">
        <f aca="false">IF(A202="N/A"," ",(VLOOKUP(A202,OPPowerPrices,(IF('Pricing Inputs'!$AT$3=2,7,IF('Pricing Inputs'!$AT$3=1,6,8))),FALSE())))</f>
        <v> </v>
      </c>
      <c r="P202" s="376" t="str">
        <f aca="false">IF(A202="N/A"," ",(VLOOKUP(A202,GasCurves,15,FALSE())))</f>
        <v> </v>
      </c>
      <c r="AF202" s="341" t="n">
        <v>42583</v>
      </c>
      <c r="AG202" s="31" t="n">
        <v>23</v>
      </c>
      <c r="AH202" s="31" t="n">
        <v>4</v>
      </c>
      <c r="AI202" s="31" t="n">
        <v>4</v>
      </c>
      <c r="AJ202" s="31" t="n">
        <v>0</v>
      </c>
      <c r="AK202" s="31" t="n">
        <v>31</v>
      </c>
    </row>
    <row r="203" customFormat="false" ht="12.75" hidden="false" customHeight="false" outlineLevel="0" collapsed="false">
      <c r="A203" s="368" t="str">
        <f aca="false">Calculations!A170</f>
        <v>N/A</v>
      </c>
      <c r="B203" s="369" t="str">
        <f aca="false">IF(A203="N/A"," ",IF(ISERROR(L203),B191*Inputs!$F$19,L203))</f>
        <v> </v>
      </c>
      <c r="C203" s="370" t="str">
        <f aca="false">IF(A203="N/A"," ",(IF(AND(MONTH(A203)&gt;=6,MONTH(A203)&lt;=8,OR($K$37="REGION 2",$K$37="REGION 2A",$K$37="REGION 2B",$K$37="REGION 3",$K$37="REGION 3A",$K$37="REGION 3B",$K$37="REGION 4",$K$37="REGION 4B",$K$37="REGION 4C",$K$37="REGION 5",$K$37="REGION 5A")),((0.059228/(B203/100))-(0.4980013/(SQRT(B203/100)))+2.137988),HLOOKUP(MONTH(A203),ScalarTable,28))))</f>
        <v> </v>
      </c>
      <c r="D203" s="371" t="str">
        <f aca="false">IF(A203="N/A"," ",C203*B203)</f>
        <v> </v>
      </c>
      <c r="E203" s="369" t="str">
        <f aca="false">IF(A203="N/A"," ",IF(ISERROR(M203),E191*Inputs!$F$19,M203))</f>
        <v> </v>
      </c>
      <c r="F203" s="371" t="str">
        <f aca="false">IF(A203="N/A"," ",E203*C203)</f>
        <v> </v>
      </c>
      <c r="G203" s="369" t="str">
        <f aca="false">IF(A203="N/A"," ",IF(ISERROR(N203),G191*Inputs!$F$19,N203))</f>
        <v> </v>
      </c>
      <c r="H203" s="371" t="str">
        <f aca="false">IF(A203="N/A"," ",G203*C203)</f>
        <v> </v>
      </c>
      <c r="I203" s="371" t="str">
        <f aca="false">IF(A203="N/A"," ",IF(ISERROR(O203),I191*Inputs!$F$19,O203))</f>
        <v> </v>
      </c>
      <c r="J203" s="372" t="str">
        <f aca="false">IF(A203="N/A"," ",IF(ISERROR(P203),J191*Inputs!$F$23,P203))</f>
        <v> </v>
      </c>
      <c r="L203" s="374" t="str">
        <f aca="false">IF(A203="N/A"," ",VLOOKUP(A203,PeakPowerCurves,(IF('Pricing Inputs'!$AT$3=2,3,IF('Pricing Inputs'!$AT$3=1,2,4))),FALSE()))</f>
        <v> </v>
      </c>
      <c r="M203" s="374" t="str">
        <f aca="false">IF(A203="N/A"," ",VLOOKUP(A203,SatSunPeakPwr,(IF('Pricing Inputs'!$AT$3=2,3,IF('Pricing Inputs'!$AT$3=1,2,4))),FALSE()))</f>
        <v> </v>
      </c>
      <c r="N203" s="374" t="str">
        <f aca="false">IF(A203="N/A"," ",VLOOKUP(A203,SatSunPeakPwr,(IF('Pricing Inputs'!$AT$3=2,7,IF('Pricing Inputs'!$AT$3=1,6,8))),FALSE()))</f>
        <v> </v>
      </c>
      <c r="O203" s="375" t="str">
        <f aca="false">IF(A203="N/A"," ",(VLOOKUP(A203,OPPowerPrices,(IF('Pricing Inputs'!$AT$3=2,7,IF('Pricing Inputs'!$AT$3=1,6,8))),FALSE())))</f>
        <v> </v>
      </c>
      <c r="P203" s="376" t="str">
        <f aca="false">IF(A203="N/A"," ",(VLOOKUP(A203,GasCurves,15,FALSE())))</f>
        <v> </v>
      </c>
      <c r="AF203" s="341" t="n">
        <v>42614</v>
      </c>
      <c r="AG203" s="31" t="n">
        <v>21</v>
      </c>
      <c r="AH203" s="31" t="n">
        <v>4</v>
      </c>
      <c r="AI203" s="31" t="n">
        <v>4</v>
      </c>
      <c r="AJ203" s="31" t="n">
        <v>1</v>
      </c>
      <c r="AK203" s="31" t="n">
        <v>30</v>
      </c>
    </row>
    <row r="204" customFormat="false" ht="12.75" hidden="false" customHeight="false" outlineLevel="0" collapsed="false">
      <c r="A204" s="368" t="str">
        <f aca="false">Calculations!A171</f>
        <v>N/A</v>
      </c>
      <c r="B204" s="369" t="str">
        <f aca="false">IF(A204="N/A"," ",IF(ISERROR(L204),B192*Inputs!$F$19,L204))</f>
        <v> </v>
      </c>
      <c r="C204" s="370" t="str">
        <f aca="false">IF(A204="N/A"," ",(IF(AND(MONTH(A204)&gt;=6,MONTH(A204)&lt;=8,OR($K$37="REGION 2",$K$37="REGION 2A",$K$37="REGION 2B",$K$37="REGION 3",$K$37="REGION 3A",$K$37="REGION 3B",$K$37="REGION 4",$K$37="REGION 4B",$K$37="REGION 4C",$K$37="REGION 5",$K$37="REGION 5A")),((0.059228/(B204/100))-(0.4980013/(SQRT(B204/100)))+2.137988),HLOOKUP(MONTH(A204),ScalarTable,28))))</f>
        <v> </v>
      </c>
      <c r="D204" s="371" t="str">
        <f aca="false">IF(A204="N/A"," ",C204*B204)</f>
        <v> </v>
      </c>
      <c r="E204" s="369" t="str">
        <f aca="false">IF(A204="N/A"," ",IF(ISERROR(M204),E192*Inputs!$F$19,M204))</f>
        <v> </v>
      </c>
      <c r="F204" s="371" t="str">
        <f aca="false">IF(A204="N/A"," ",E204*C204)</f>
        <v> </v>
      </c>
      <c r="G204" s="369" t="str">
        <f aca="false">IF(A204="N/A"," ",IF(ISERROR(N204),G192*Inputs!$F$19,N204))</f>
        <v> </v>
      </c>
      <c r="H204" s="371" t="str">
        <f aca="false">IF(A204="N/A"," ",G204*C204)</f>
        <v> </v>
      </c>
      <c r="I204" s="371" t="str">
        <f aca="false">IF(A204="N/A"," ",IF(ISERROR(O204),I192*Inputs!$F$19,O204))</f>
        <v> </v>
      </c>
      <c r="J204" s="372" t="str">
        <f aca="false">IF(A204="N/A"," ",IF(ISERROR(P204),J192*Inputs!$F$23,P204))</f>
        <v> </v>
      </c>
      <c r="L204" s="374" t="str">
        <f aca="false">IF(A204="N/A"," ",VLOOKUP(A204,PeakPowerCurves,(IF('Pricing Inputs'!$AT$3=2,3,IF('Pricing Inputs'!$AT$3=1,2,4))),FALSE()))</f>
        <v> </v>
      </c>
      <c r="M204" s="374" t="str">
        <f aca="false">IF(A204="N/A"," ",VLOOKUP(A204,SatSunPeakPwr,(IF('Pricing Inputs'!$AT$3=2,3,IF('Pricing Inputs'!$AT$3=1,2,4))),FALSE()))</f>
        <v> </v>
      </c>
      <c r="N204" s="374" t="str">
        <f aca="false">IF(A204="N/A"," ",VLOOKUP(A204,SatSunPeakPwr,(IF('Pricing Inputs'!$AT$3=2,7,IF('Pricing Inputs'!$AT$3=1,6,8))),FALSE()))</f>
        <v> </v>
      </c>
      <c r="O204" s="375" t="str">
        <f aca="false">IF(A204="N/A"," ",(VLOOKUP(A204,OPPowerPrices,(IF('Pricing Inputs'!$AT$3=2,7,IF('Pricing Inputs'!$AT$3=1,6,8))),FALSE())))</f>
        <v> </v>
      </c>
      <c r="P204" s="376" t="str">
        <f aca="false">IF(A204="N/A"," ",(VLOOKUP(A204,GasCurves,15,FALSE())))</f>
        <v> </v>
      </c>
      <c r="AF204" s="341" t="n">
        <v>42644</v>
      </c>
      <c r="AG204" s="31" t="n">
        <v>21</v>
      </c>
      <c r="AH204" s="31" t="n">
        <v>5</v>
      </c>
      <c r="AI204" s="31" t="n">
        <v>5</v>
      </c>
      <c r="AJ204" s="31" t="n">
        <v>0</v>
      </c>
      <c r="AK204" s="31" t="n">
        <v>31</v>
      </c>
    </row>
    <row r="205" customFormat="false" ht="12.75" hidden="false" customHeight="false" outlineLevel="0" collapsed="false">
      <c r="A205" s="368" t="str">
        <f aca="false">Calculations!A172</f>
        <v>N/A</v>
      </c>
      <c r="B205" s="369" t="str">
        <f aca="false">IF(A205="N/A"," ",IF(ISERROR(L205),B193*Inputs!$F$19,L205))</f>
        <v> </v>
      </c>
      <c r="C205" s="370" t="str">
        <f aca="false">IF(A205="N/A"," ",(IF(AND(MONTH(A205)&gt;=6,MONTH(A205)&lt;=8,OR($K$37="REGION 2",$K$37="REGION 2A",$K$37="REGION 2B",$K$37="REGION 3",$K$37="REGION 3A",$K$37="REGION 3B",$K$37="REGION 4",$K$37="REGION 4B",$K$37="REGION 4C",$K$37="REGION 5",$K$37="REGION 5A")),((0.059228/(B205/100))-(0.4980013/(SQRT(B205/100)))+2.137988),HLOOKUP(MONTH(A205),ScalarTable,28))))</f>
        <v> </v>
      </c>
      <c r="D205" s="371" t="str">
        <f aca="false">IF(A205="N/A"," ",C205*B205)</f>
        <v> </v>
      </c>
      <c r="E205" s="369" t="str">
        <f aca="false">IF(A205="N/A"," ",IF(ISERROR(M205),E193*Inputs!$F$19,M205))</f>
        <v> </v>
      </c>
      <c r="F205" s="371" t="str">
        <f aca="false">IF(A205="N/A"," ",E205*C205)</f>
        <v> </v>
      </c>
      <c r="G205" s="369" t="str">
        <f aca="false">IF(A205="N/A"," ",IF(ISERROR(N205),G193*Inputs!$F$19,N205))</f>
        <v> </v>
      </c>
      <c r="H205" s="371" t="str">
        <f aca="false">IF(A205="N/A"," ",G205*C205)</f>
        <v> </v>
      </c>
      <c r="I205" s="371" t="str">
        <f aca="false">IF(A205="N/A"," ",IF(ISERROR(O205),I193*Inputs!$F$19,O205))</f>
        <v> </v>
      </c>
      <c r="J205" s="372" t="str">
        <f aca="false">IF(A205="N/A"," ",IF(ISERROR(P205),J193*Inputs!$F$23,P205))</f>
        <v> </v>
      </c>
      <c r="L205" s="374" t="str">
        <f aca="false">IF(A205="N/A"," ",VLOOKUP(A205,PeakPowerCurves,(IF('Pricing Inputs'!$AT$3=2,3,IF('Pricing Inputs'!$AT$3=1,2,4))),FALSE()))</f>
        <v> </v>
      </c>
      <c r="M205" s="374" t="str">
        <f aca="false">IF(A205="N/A"," ",VLOOKUP(A205,SatSunPeakPwr,(IF('Pricing Inputs'!$AT$3=2,3,IF('Pricing Inputs'!$AT$3=1,2,4))),FALSE()))</f>
        <v> </v>
      </c>
      <c r="N205" s="374" t="str">
        <f aca="false">IF(A205="N/A"," ",VLOOKUP(A205,SatSunPeakPwr,(IF('Pricing Inputs'!$AT$3=2,7,IF('Pricing Inputs'!$AT$3=1,6,8))),FALSE()))</f>
        <v> </v>
      </c>
      <c r="O205" s="375" t="str">
        <f aca="false">IF(A205="N/A"," ",(VLOOKUP(A205,OPPowerPrices,(IF('Pricing Inputs'!$AT$3=2,7,IF('Pricing Inputs'!$AT$3=1,6,8))),FALSE())))</f>
        <v> </v>
      </c>
      <c r="P205" s="376" t="str">
        <f aca="false">IF(A205="N/A"," ",(VLOOKUP(A205,GasCurves,15,FALSE())))</f>
        <v> </v>
      </c>
      <c r="AF205" s="341" t="n">
        <v>42675</v>
      </c>
      <c r="AG205" s="31" t="n">
        <v>21</v>
      </c>
      <c r="AH205" s="31" t="n">
        <v>4</v>
      </c>
      <c r="AI205" s="31" t="n">
        <v>4</v>
      </c>
      <c r="AJ205" s="31" t="n">
        <v>1</v>
      </c>
      <c r="AK205" s="31" t="n">
        <v>30</v>
      </c>
    </row>
    <row r="206" customFormat="false" ht="12.75" hidden="false" customHeight="false" outlineLevel="0" collapsed="false">
      <c r="A206" s="368" t="str">
        <f aca="false">Calculations!A173</f>
        <v>N/A</v>
      </c>
      <c r="B206" s="369" t="str">
        <f aca="false">IF(A206="N/A"," ",IF(ISERROR(L206),B194*Inputs!$F$19,L206))</f>
        <v> </v>
      </c>
      <c r="C206" s="370" t="str">
        <f aca="false">IF(A206="N/A"," ",(IF(AND(MONTH(A206)&gt;=6,MONTH(A206)&lt;=8,OR($K$37="REGION 2",$K$37="REGION 2A",$K$37="REGION 2B",$K$37="REGION 3",$K$37="REGION 3A",$K$37="REGION 3B",$K$37="REGION 4",$K$37="REGION 4B",$K$37="REGION 4C",$K$37="REGION 5",$K$37="REGION 5A")),((0.059228/(B206/100))-(0.4980013/(SQRT(B206/100)))+2.137988),HLOOKUP(MONTH(A206),ScalarTable,28))))</f>
        <v> </v>
      </c>
      <c r="D206" s="371" t="str">
        <f aca="false">IF(A206="N/A"," ",C206*B206)</f>
        <v> </v>
      </c>
      <c r="E206" s="369" t="str">
        <f aca="false">IF(A206="N/A"," ",IF(ISERROR(M206),E194*Inputs!$F$19,M206))</f>
        <v> </v>
      </c>
      <c r="F206" s="371" t="str">
        <f aca="false">IF(A206="N/A"," ",E206*C206)</f>
        <v> </v>
      </c>
      <c r="G206" s="369" t="str">
        <f aca="false">IF(A206="N/A"," ",IF(ISERROR(N206),G194*Inputs!$F$19,N206))</f>
        <v> </v>
      </c>
      <c r="H206" s="371" t="str">
        <f aca="false">IF(A206="N/A"," ",G206*C206)</f>
        <v> </v>
      </c>
      <c r="I206" s="371" t="str">
        <f aca="false">IF(A206="N/A"," ",IF(ISERROR(O206),I194*Inputs!$F$19,O206))</f>
        <v> </v>
      </c>
      <c r="J206" s="372" t="str">
        <f aca="false">IF(A206="N/A"," ",IF(ISERROR(P206),J194*Inputs!$F$23,P206))</f>
        <v> </v>
      </c>
      <c r="L206" s="374" t="str">
        <f aca="false">IF(A206="N/A"," ",VLOOKUP(A206,PeakPowerCurves,(IF('Pricing Inputs'!$AT$3=2,3,IF('Pricing Inputs'!$AT$3=1,2,4))),FALSE()))</f>
        <v> </v>
      </c>
      <c r="M206" s="374" t="str">
        <f aca="false">IF(A206="N/A"," ",VLOOKUP(A206,SatSunPeakPwr,(IF('Pricing Inputs'!$AT$3=2,3,IF('Pricing Inputs'!$AT$3=1,2,4))),FALSE()))</f>
        <v> </v>
      </c>
      <c r="N206" s="374" t="str">
        <f aca="false">IF(A206="N/A"," ",VLOOKUP(A206,SatSunPeakPwr,(IF('Pricing Inputs'!$AT$3=2,7,IF('Pricing Inputs'!$AT$3=1,6,8))),FALSE()))</f>
        <v> </v>
      </c>
      <c r="O206" s="375" t="str">
        <f aca="false">IF(A206="N/A"," ",(VLOOKUP(A206,OPPowerPrices,(IF('Pricing Inputs'!$AT$3=2,7,IF('Pricing Inputs'!$AT$3=1,6,8))),FALSE())))</f>
        <v> </v>
      </c>
      <c r="P206" s="376" t="str">
        <f aca="false">IF(A206="N/A"," ",(VLOOKUP(A206,GasCurves,15,FALSE())))</f>
        <v> </v>
      </c>
      <c r="AF206" s="341" t="n">
        <v>42705</v>
      </c>
      <c r="AG206" s="31" t="n">
        <v>21</v>
      </c>
      <c r="AH206" s="31" t="n">
        <v>5</v>
      </c>
      <c r="AI206" s="31" t="n">
        <v>4</v>
      </c>
      <c r="AJ206" s="31" t="n">
        <v>1</v>
      </c>
      <c r="AK206" s="31" t="n">
        <v>31</v>
      </c>
    </row>
    <row r="207" customFormat="false" ht="12.75" hidden="false" customHeight="false" outlineLevel="0" collapsed="false">
      <c r="A207" s="368" t="str">
        <f aca="false">Calculations!A174</f>
        <v>N/A</v>
      </c>
      <c r="B207" s="369" t="str">
        <f aca="false">IF(A207="N/A"," ",IF(ISERROR(L207),B195*Inputs!$F$19,L207))</f>
        <v> </v>
      </c>
      <c r="C207" s="370" t="str">
        <f aca="false">IF(A207="N/A"," ",(IF(AND(MONTH(A207)&gt;=6,MONTH(A207)&lt;=8,OR($K$37="REGION 2",$K$37="REGION 2A",$K$37="REGION 2B",$K$37="REGION 3",$K$37="REGION 3A",$K$37="REGION 3B",$K$37="REGION 4",$K$37="REGION 4B",$K$37="REGION 4C",$K$37="REGION 5",$K$37="REGION 5A")),((0.059228/(B207/100))-(0.4980013/(SQRT(B207/100)))+2.137988),HLOOKUP(MONTH(A207),ScalarTable,28))))</f>
        <v> </v>
      </c>
      <c r="D207" s="371" t="str">
        <f aca="false">IF(A207="N/A"," ",C207*B207)</f>
        <v> </v>
      </c>
      <c r="E207" s="369" t="str">
        <f aca="false">IF(A207="N/A"," ",IF(ISERROR(M207),E195*Inputs!$F$19,M207))</f>
        <v> </v>
      </c>
      <c r="F207" s="371" t="str">
        <f aca="false">IF(A207="N/A"," ",E207*C207)</f>
        <v> </v>
      </c>
      <c r="G207" s="369" t="str">
        <f aca="false">IF(A207="N/A"," ",IF(ISERROR(N207),G195*Inputs!$F$19,N207))</f>
        <v> </v>
      </c>
      <c r="H207" s="371" t="str">
        <f aca="false">IF(A207="N/A"," ",G207*C207)</f>
        <v> </v>
      </c>
      <c r="I207" s="371" t="str">
        <f aca="false">IF(A207="N/A"," ",IF(ISERROR(O207),I195*Inputs!$F$19,O207))</f>
        <v> </v>
      </c>
      <c r="J207" s="372" t="str">
        <f aca="false">IF(A207="N/A"," ",IF(ISERROR(P207),J195*Inputs!$F$23,P207))</f>
        <v> </v>
      </c>
      <c r="L207" s="374" t="str">
        <f aca="false">IF(A207="N/A"," ",VLOOKUP(A207,PeakPowerCurves,(IF('Pricing Inputs'!$AT$3=2,3,IF('Pricing Inputs'!$AT$3=1,2,4))),FALSE()))</f>
        <v> </v>
      </c>
      <c r="M207" s="374" t="str">
        <f aca="false">IF(A207="N/A"," ",VLOOKUP(A207,SatSunPeakPwr,(IF('Pricing Inputs'!$AT$3=2,3,IF('Pricing Inputs'!$AT$3=1,2,4))),FALSE()))</f>
        <v> </v>
      </c>
      <c r="N207" s="374" t="str">
        <f aca="false">IF(A207="N/A"," ",VLOOKUP(A207,SatSunPeakPwr,(IF('Pricing Inputs'!$AT$3=2,7,IF('Pricing Inputs'!$AT$3=1,6,8))),FALSE()))</f>
        <v> </v>
      </c>
      <c r="O207" s="375" t="str">
        <f aca="false">IF(A207="N/A"," ",(VLOOKUP(A207,OPPowerPrices,(IF('Pricing Inputs'!$AT$3=2,7,IF('Pricing Inputs'!$AT$3=1,6,8))),FALSE())))</f>
        <v> </v>
      </c>
      <c r="P207" s="376" t="str">
        <f aca="false">IF(A207="N/A"," ",(VLOOKUP(A207,GasCurves,15,FALSE())))</f>
        <v> </v>
      </c>
      <c r="AF207" s="341" t="n">
        <v>42736</v>
      </c>
      <c r="AG207" s="31" t="n">
        <v>21</v>
      </c>
      <c r="AH207" s="31" t="n">
        <v>4</v>
      </c>
      <c r="AI207" s="31" t="n">
        <v>5</v>
      </c>
      <c r="AJ207" s="31" t="n">
        <v>1</v>
      </c>
      <c r="AK207" s="31" t="n">
        <v>31</v>
      </c>
    </row>
    <row r="208" customFormat="false" ht="12.75" hidden="false" customHeight="false" outlineLevel="0" collapsed="false">
      <c r="A208" s="368" t="str">
        <f aca="false">Calculations!A175</f>
        <v>N/A</v>
      </c>
      <c r="B208" s="369" t="str">
        <f aca="false">IF(A208="N/A"," ",IF(ISERROR(L208),B196*Inputs!$F$19,L208))</f>
        <v> </v>
      </c>
      <c r="C208" s="370" t="str">
        <f aca="false">IF(A208="N/A"," ",(IF(AND(MONTH(A208)&gt;=6,MONTH(A208)&lt;=8,OR($K$37="REGION 2",$K$37="REGION 2A",$K$37="REGION 2B",$K$37="REGION 3",$K$37="REGION 3A",$K$37="REGION 3B",$K$37="REGION 4",$K$37="REGION 4B",$K$37="REGION 4C",$K$37="REGION 5",$K$37="REGION 5A")),((0.059228/(B208/100))-(0.4980013/(SQRT(B208/100)))+2.137988),HLOOKUP(MONTH(A208),ScalarTable,28))))</f>
        <v> </v>
      </c>
      <c r="D208" s="371" t="str">
        <f aca="false">IF(A208="N/A"," ",C208*B208)</f>
        <v> </v>
      </c>
      <c r="E208" s="369" t="str">
        <f aca="false">IF(A208="N/A"," ",IF(ISERROR(M208),E196*Inputs!$F$19,M208))</f>
        <v> </v>
      </c>
      <c r="F208" s="371" t="str">
        <f aca="false">IF(A208="N/A"," ",E208*C208)</f>
        <v> </v>
      </c>
      <c r="G208" s="369" t="str">
        <f aca="false">IF(A208="N/A"," ",IF(ISERROR(N208),G196*Inputs!$F$19,N208))</f>
        <v> </v>
      </c>
      <c r="H208" s="371" t="str">
        <f aca="false">IF(A208="N/A"," ",G208*C208)</f>
        <v> </v>
      </c>
      <c r="I208" s="371" t="str">
        <f aca="false">IF(A208="N/A"," ",IF(ISERROR(O208),I196*Inputs!$F$19,O208))</f>
        <v> </v>
      </c>
      <c r="J208" s="372" t="str">
        <f aca="false">IF(A208="N/A"," ",IF(ISERROR(P208),J196*Inputs!$F$23,P208))</f>
        <v> </v>
      </c>
      <c r="L208" s="374" t="str">
        <f aca="false">IF(A208="N/A"," ",VLOOKUP(A208,PeakPowerCurves,(IF('Pricing Inputs'!$AT$3=2,3,IF('Pricing Inputs'!$AT$3=1,2,4))),FALSE()))</f>
        <v> </v>
      </c>
      <c r="M208" s="374" t="str">
        <f aca="false">IF(A208="N/A"," ",VLOOKUP(A208,SatSunPeakPwr,(IF('Pricing Inputs'!$AT$3=2,3,IF('Pricing Inputs'!$AT$3=1,2,4))),FALSE()))</f>
        <v> </v>
      </c>
      <c r="N208" s="374" t="str">
        <f aca="false">IF(A208="N/A"," ",VLOOKUP(A208,SatSunPeakPwr,(IF('Pricing Inputs'!$AT$3=2,7,IF('Pricing Inputs'!$AT$3=1,6,8))),FALSE()))</f>
        <v> </v>
      </c>
      <c r="O208" s="375" t="str">
        <f aca="false">IF(A208="N/A"," ",(VLOOKUP(A208,OPPowerPrices,(IF('Pricing Inputs'!$AT$3=2,7,IF('Pricing Inputs'!$AT$3=1,6,8))),FALSE())))</f>
        <v> </v>
      </c>
      <c r="P208" s="376" t="str">
        <f aca="false">IF(A208="N/A"," ",(VLOOKUP(A208,GasCurves,15,FALSE())))</f>
        <v> </v>
      </c>
      <c r="AF208" s="341" t="n">
        <v>42767</v>
      </c>
      <c r="AG208" s="31" t="n">
        <v>20</v>
      </c>
      <c r="AH208" s="31" t="n">
        <v>4</v>
      </c>
      <c r="AI208" s="31" t="n">
        <v>4</v>
      </c>
      <c r="AJ208" s="31" t="n">
        <v>0</v>
      </c>
      <c r="AK208" s="31" t="n">
        <v>28</v>
      </c>
    </row>
    <row r="209" customFormat="false" ht="12.75" hidden="false" customHeight="false" outlineLevel="0" collapsed="false">
      <c r="A209" s="368" t="str">
        <f aca="false">Calculations!A176</f>
        <v>N/A</v>
      </c>
      <c r="B209" s="369" t="str">
        <f aca="false">IF(A209="N/A"," ",IF(ISERROR(L209),B197*Inputs!$F$19,L209))</f>
        <v> </v>
      </c>
      <c r="C209" s="370" t="str">
        <f aca="false">IF(A209="N/A"," ",(IF(AND(MONTH(A209)&gt;=6,MONTH(A209)&lt;=8,OR($K$37="REGION 2",$K$37="REGION 2A",$K$37="REGION 2B",$K$37="REGION 3",$K$37="REGION 3A",$K$37="REGION 3B",$K$37="REGION 4",$K$37="REGION 4B",$K$37="REGION 4C",$K$37="REGION 5",$K$37="REGION 5A")),((0.059228/(B209/100))-(0.4980013/(SQRT(B209/100)))+2.137988),HLOOKUP(MONTH(A209),ScalarTable,28))))</f>
        <v> </v>
      </c>
      <c r="D209" s="371" t="str">
        <f aca="false">IF(A209="N/A"," ",C209*B209)</f>
        <v> </v>
      </c>
      <c r="E209" s="369" t="str">
        <f aca="false">IF(A209="N/A"," ",IF(ISERROR(M209),E197*Inputs!$F$19,M209))</f>
        <v> </v>
      </c>
      <c r="F209" s="371" t="str">
        <f aca="false">IF(A209="N/A"," ",E209*C209)</f>
        <v> </v>
      </c>
      <c r="G209" s="369" t="str">
        <f aca="false">IF(A209="N/A"," ",IF(ISERROR(N209),G197*Inputs!$F$19,N209))</f>
        <v> </v>
      </c>
      <c r="H209" s="371" t="str">
        <f aca="false">IF(A209="N/A"," ",G209*C209)</f>
        <v> </v>
      </c>
      <c r="I209" s="371" t="str">
        <f aca="false">IF(A209="N/A"," ",IF(ISERROR(O209),I197*Inputs!$F$19,O209))</f>
        <v> </v>
      </c>
      <c r="J209" s="372" t="str">
        <f aca="false">IF(A209="N/A"," ",IF(ISERROR(P209),J197*Inputs!$F$23,P209))</f>
        <v> </v>
      </c>
      <c r="L209" s="374" t="str">
        <f aca="false">IF(A209="N/A"," ",VLOOKUP(A209,PeakPowerCurves,(IF('Pricing Inputs'!$AT$3=2,3,IF('Pricing Inputs'!$AT$3=1,2,4))),FALSE()))</f>
        <v> </v>
      </c>
      <c r="M209" s="374" t="str">
        <f aca="false">IF(A209="N/A"," ",VLOOKUP(A209,SatSunPeakPwr,(IF('Pricing Inputs'!$AT$3=2,3,IF('Pricing Inputs'!$AT$3=1,2,4))),FALSE()))</f>
        <v> </v>
      </c>
      <c r="N209" s="374" t="str">
        <f aca="false">IF(A209="N/A"," ",VLOOKUP(A209,SatSunPeakPwr,(IF('Pricing Inputs'!$AT$3=2,7,IF('Pricing Inputs'!$AT$3=1,6,8))),FALSE()))</f>
        <v> </v>
      </c>
      <c r="O209" s="375" t="str">
        <f aca="false">IF(A209="N/A"," ",(VLOOKUP(A209,OPPowerPrices,(IF('Pricing Inputs'!$AT$3=2,7,IF('Pricing Inputs'!$AT$3=1,6,8))),FALSE())))</f>
        <v> </v>
      </c>
      <c r="P209" s="376" t="str">
        <f aca="false">IF(A209="N/A"," ",(VLOOKUP(A209,GasCurves,15,FALSE())))</f>
        <v> </v>
      </c>
      <c r="AF209" s="341" t="n">
        <v>42795</v>
      </c>
      <c r="AG209" s="31" t="n">
        <v>23</v>
      </c>
      <c r="AH209" s="31" t="n">
        <v>4</v>
      </c>
      <c r="AI209" s="31" t="n">
        <v>4</v>
      </c>
      <c r="AJ209" s="31" t="n">
        <v>0</v>
      </c>
      <c r="AK209" s="31" t="n">
        <v>31</v>
      </c>
    </row>
    <row r="210" customFormat="false" ht="12.75" hidden="false" customHeight="false" outlineLevel="0" collapsed="false">
      <c r="A210" s="368" t="str">
        <f aca="false">Calculations!A177</f>
        <v>N/A</v>
      </c>
      <c r="B210" s="369" t="str">
        <f aca="false">IF(A210="N/A"," ",IF(ISERROR(L210),B198*Inputs!$F$19,L210))</f>
        <v> </v>
      </c>
      <c r="C210" s="370" t="str">
        <f aca="false">IF(A210="N/A"," ",(IF(AND(MONTH(A210)&gt;=6,MONTH(A210)&lt;=8,OR($K$37="REGION 2",$K$37="REGION 2A",$K$37="REGION 2B",$K$37="REGION 3",$K$37="REGION 3A",$K$37="REGION 3B",$K$37="REGION 4",$K$37="REGION 4B",$K$37="REGION 4C",$K$37="REGION 5",$K$37="REGION 5A")),((0.059228/(B210/100))-(0.4980013/(SQRT(B210/100)))+2.137988),HLOOKUP(MONTH(A210),ScalarTable,28))))</f>
        <v> </v>
      </c>
      <c r="D210" s="371" t="str">
        <f aca="false">IF(A210="N/A"," ",C210*B210)</f>
        <v> </v>
      </c>
      <c r="E210" s="369" t="str">
        <f aca="false">IF(A210="N/A"," ",IF(ISERROR(M210),E198*Inputs!$F$19,M210))</f>
        <v> </v>
      </c>
      <c r="F210" s="371" t="str">
        <f aca="false">IF(A210="N/A"," ",E210*C210)</f>
        <v> </v>
      </c>
      <c r="G210" s="369" t="str">
        <f aca="false">IF(A210="N/A"," ",IF(ISERROR(N210),G198*Inputs!$F$19,N210))</f>
        <v> </v>
      </c>
      <c r="H210" s="371" t="str">
        <f aca="false">IF(A210="N/A"," ",G210*C210)</f>
        <v> </v>
      </c>
      <c r="I210" s="371" t="str">
        <f aca="false">IF(A210="N/A"," ",IF(ISERROR(O210),I198*Inputs!$F$19,O210))</f>
        <v> </v>
      </c>
      <c r="J210" s="372" t="str">
        <f aca="false">IF(A210="N/A"," ",IF(ISERROR(P210),J198*Inputs!$F$23,P210))</f>
        <v> </v>
      </c>
      <c r="L210" s="374" t="str">
        <f aca="false">IF(A210="N/A"," ",VLOOKUP(A210,PeakPowerCurves,(IF('Pricing Inputs'!$AT$3=2,3,IF('Pricing Inputs'!$AT$3=1,2,4))),FALSE()))</f>
        <v> </v>
      </c>
      <c r="M210" s="374" t="str">
        <f aca="false">IF(A210="N/A"," ",VLOOKUP(A210,SatSunPeakPwr,(IF('Pricing Inputs'!$AT$3=2,3,IF('Pricing Inputs'!$AT$3=1,2,4))),FALSE()))</f>
        <v> </v>
      </c>
      <c r="N210" s="374" t="str">
        <f aca="false">IF(A210="N/A"," ",VLOOKUP(A210,SatSunPeakPwr,(IF('Pricing Inputs'!$AT$3=2,7,IF('Pricing Inputs'!$AT$3=1,6,8))),FALSE()))</f>
        <v> </v>
      </c>
      <c r="O210" s="375" t="str">
        <f aca="false">IF(A210="N/A"," ",(VLOOKUP(A210,OPPowerPrices,(IF('Pricing Inputs'!$AT$3=2,7,IF('Pricing Inputs'!$AT$3=1,6,8))),FALSE())))</f>
        <v> </v>
      </c>
      <c r="P210" s="376" t="str">
        <f aca="false">IF(A210="N/A"," ",(VLOOKUP(A210,GasCurves,15,FALSE())))</f>
        <v> </v>
      </c>
      <c r="AF210" s="341" t="n">
        <v>42826</v>
      </c>
      <c r="AG210" s="31" t="n">
        <v>20</v>
      </c>
      <c r="AH210" s="31" t="n">
        <v>5</v>
      </c>
      <c r="AI210" s="31" t="n">
        <v>5</v>
      </c>
      <c r="AJ210" s="31" t="n">
        <v>0</v>
      </c>
      <c r="AK210" s="31" t="n">
        <v>30</v>
      </c>
    </row>
    <row r="211" customFormat="false" ht="12.75" hidden="false" customHeight="false" outlineLevel="0" collapsed="false">
      <c r="A211" s="368" t="str">
        <f aca="false">Calculations!A178</f>
        <v>N/A</v>
      </c>
      <c r="B211" s="369" t="str">
        <f aca="false">IF(A211="N/A"," ",IF(ISERROR(L211),B199*Inputs!$F$19,L211))</f>
        <v> </v>
      </c>
      <c r="C211" s="370" t="str">
        <f aca="false">IF(A211="N/A"," ",(IF(AND(MONTH(A211)&gt;=6,MONTH(A211)&lt;=8,OR($K$37="REGION 2",$K$37="REGION 2A",$K$37="REGION 2B",$K$37="REGION 3",$K$37="REGION 3A",$K$37="REGION 3B",$K$37="REGION 4",$K$37="REGION 4B",$K$37="REGION 4C",$K$37="REGION 5",$K$37="REGION 5A")),((0.059228/(B211/100))-(0.4980013/(SQRT(B211/100)))+2.137988),HLOOKUP(MONTH(A211),ScalarTable,28))))</f>
        <v> </v>
      </c>
      <c r="D211" s="371" t="str">
        <f aca="false">IF(A211="N/A"," ",C211*B211)</f>
        <v> </v>
      </c>
      <c r="E211" s="369" t="str">
        <f aca="false">IF(A211="N/A"," ",IF(ISERROR(M211),E199*Inputs!$F$19,M211))</f>
        <v> </v>
      </c>
      <c r="F211" s="371" t="str">
        <f aca="false">IF(A211="N/A"," ",E211*C211)</f>
        <v> </v>
      </c>
      <c r="G211" s="369" t="str">
        <f aca="false">IF(A211="N/A"," ",IF(ISERROR(N211),G199*Inputs!$F$19,N211))</f>
        <v> </v>
      </c>
      <c r="H211" s="371" t="str">
        <f aca="false">IF(A211="N/A"," ",G211*C211)</f>
        <v> </v>
      </c>
      <c r="I211" s="371" t="str">
        <f aca="false">IF(A211="N/A"," ",IF(ISERROR(O211),I199*Inputs!$F$19,O211))</f>
        <v> </v>
      </c>
      <c r="J211" s="372" t="str">
        <f aca="false">IF(A211="N/A"," ",IF(ISERROR(P211),J199*Inputs!$F$23,P211))</f>
        <v> </v>
      </c>
      <c r="L211" s="374" t="str">
        <f aca="false">IF(A211="N/A"," ",VLOOKUP(A211,PeakPowerCurves,(IF('Pricing Inputs'!$AT$3=2,3,IF('Pricing Inputs'!$AT$3=1,2,4))),FALSE()))</f>
        <v> </v>
      </c>
      <c r="M211" s="374" t="str">
        <f aca="false">IF(A211="N/A"," ",VLOOKUP(A211,SatSunPeakPwr,(IF('Pricing Inputs'!$AT$3=2,3,IF('Pricing Inputs'!$AT$3=1,2,4))),FALSE()))</f>
        <v> </v>
      </c>
      <c r="N211" s="374" t="str">
        <f aca="false">IF(A211="N/A"," ",VLOOKUP(A211,SatSunPeakPwr,(IF('Pricing Inputs'!$AT$3=2,7,IF('Pricing Inputs'!$AT$3=1,6,8))),FALSE()))</f>
        <v> </v>
      </c>
      <c r="O211" s="375" t="str">
        <f aca="false">IF(A211="N/A"," ",(VLOOKUP(A211,OPPowerPrices,(IF('Pricing Inputs'!$AT$3=2,7,IF('Pricing Inputs'!$AT$3=1,6,8))),FALSE())))</f>
        <v> </v>
      </c>
      <c r="P211" s="376" t="str">
        <f aca="false">IF(A211="N/A"," ",(VLOOKUP(A211,GasCurves,15,FALSE())))</f>
        <v> </v>
      </c>
      <c r="AF211" s="341" t="n">
        <v>42856</v>
      </c>
      <c r="AG211" s="31" t="n">
        <v>22</v>
      </c>
      <c r="AH211" s="31" t="n">
        <v>4</v>
      </c>
      <c r="AI211" s="31" t="n">
        <v>4</v>
      </c>
      <c r="AJ211" s="31" t="n">
        <v>1</v>
      </c>
      <c r="AK211" s="31" t="n">
        <v>31</v>
      </c>
    </row>
    <row r="212" customFormat="false" ht="12.75" hidden="false" customHeight="false" outlineLevel="0" collapsed="false">
      <c r="A212" s="368" t="str">
        <f aca="false">Calculations!A179</f>
        <v>N/A</v>
      </c>
      <c r="B212" s="369" t="str">
        <f aca="false">IF(A212="N/A"," ",IF(ISERROR(L212),B200*Inputs!$F$19,L212))</f>
        <v> </v>
      </c>
      <c r="C212" s="370" t="str">
        <f aca="false">IF(A212="N/A"," ",(IF(AND(MONTH(A212)&gt;=6,MONTH(A212)&lt;=8,OR($K$37="REGION 2",$K$37="REGION 2A",$K$37="REGION 2B",$K$37="REGION 3",$K$37="REGION 3A",$K$37="REGION 3B",$K$37="REGION 4",$K$37="REGION 4B",$K$37="REGION 4C",$K$37="REGION 5",$K$37="REGION 5A")),((0.059228/(B212/100))-(0.4980013/(SQRT(B212/100)))+2.137988),HLOOKUP(MONTH(A212),ScalarTable,28))))</f>
        <v> </v>
      </c>
      <c r="D212" s="371" t="str">
        <f aca="false">IF(A212="N/A"," ",C212*B212)</f>
        <v> </v>
      </c>
      <c r="E212" s="369" t="str">
        <f aca="false">IF(A212="N/A"," ",IF(ISERROR(M212),E200*Inputs!$F$19,M212))</f>
        <v> </v>
      </c>
      <c r="F212" s="371" t="str">
        <f aca="false">IF(A212="N/A"," ",E212*C212)</f>
        <v> </v>
      </c>
      <c r="G212" s="369" t="str">
        <f aca="false">IF(A212="N/A"," ",IF(ISERROR(N212),G200*Inputs!$F$19,N212))</f>
        <v> </v>
      </c>
      <c r="H212" s="371" t="str">
        <f aca="false">IF(A212="N/A"," ",G212*C212)</f>
        <v> </v>
      </c>
      <c r="I212" s="371" t="str">
        <f aca="false">IF(A212="N/A"," ",IF(ISERROR(O212),I200*Inputs!$F$19,O212))</f>
        <v> </v>
      </c>
      <c r="J212" s="372" t="str">
        <f aca="false">IF(A212="N/A"," ",IF(ISERROR(P212),J200*Inputs!$F$23,P212))</f>
        <v> </v>
      </c>
      <c r="L212" s="374" t="str">
        <f aca="false">IF(A212="N/A"," ",VLOOKUP(A212,PeakPowerCurves,(IF('Pricing Inputs'!$AT$3=2,3,IF('Pricing Inputs'!$AT$3=1,2,4))),FALSE()))</f>
        <v> </v>
      </c>
      <c r="M212" s="374" t="str">
        <f aca="false">IF(A212="N/A"," ",VLOOKUP(A212,SatSunPeakPwr,(IF('Pricing Inputs'!$AT$3=2,3,IF('Pricing Inputs'!$AT$3=1,2,4))),FALSE()))</f>
        <v> </v>
      </c>
      <c r="N212" s="374" t="str">
        <f aca="false">IF(A212="N/A"," ",VLOOKUP(A212,SatSunPeakPwr,(IF('Pricing Inputs'!$AT$3=2,7,IF('Pricing Inputs'!$AT$3=1,6,8))),FALSE()))</f>
        <v> </v>
      </c>
      <c r="O212" s="375" t="str">
        <f aca="false">IF(A212="N/A"," ",(VLOOKUP(A212,OPPowerPrices,(IF('Pricing Inputs'!$AT$3=2,7,IF('Pricing Inputs'!$AT$3=1,6,8))),FALSE())))</f>
        <v> </v>
      </c>
      <c r="P212" s="376" t="str">
        <f aca="false">IF(A212="N/A"," ",(VLOOKUP(A212,GasCurves,15,FALSE())))</f>
        <v> </v>
      </c>
      <c r="AF212" s="341" t="n">
        <v>42887</v>
      </c>
      <c r="AG212" s="31" t="n">
        <v>22</v>
      </c>
      <c r="AH212" s="31" t="n">
        <v>4</v>
      </c>
      <c r="AI212" s="31" t="n">
        <v>4</v>
      </c>
      <c r="AJ212" s="31" t="n">
        <v>0</v>
      </c>
      <c r="AK212" s="31" t="n">
        <v>30</v>
      </c>
    </row>
    <row r="213" customFormat="false" ht="12.75" hidden="false" customHeight="false" outlineLevel="0" collapsed="false">
      <c r="A213" s="368" t="str">
        <f aca="false">Calculations!A180</f>
        <v>N/A</v>
      </c>
      <c r="B213" s="369" t="str">
        <f aca="false">IF(A213="N/A"," ",IF(ISERROR(L213),B201*Inputs!$F$19,L213))</f>
        <v> </v>
      </c>
      <c r="C213" s="370" t="str">
        <f aca="false">IF(A213="N/A"," ",(IF(AND(MONTH(A213)&gt;=6,MONTH(A213)&lt;=8,OR($K$37="REGION 2",$K$37="REGION 2A",$K$37="REGION 2B",$K$37="REGION 3",$K$37="REGION 3A",$K$37="REGION 3B",$K$37="REGION 4",$K$37="REGION 4B",$K$37="REGION 4C",$K$37="REGION 5",$K$37="REGION 5A")),((0.059228/(B213/100))-(0.4980013/(SQRT(B213/100)))+2.137988),HLOOKUP(MONTH(A213),ScalarTable,28))))</f>
        <v> </v>
      </c>
      <c r="D213" s="371" t="str">
        <f aca="false">IF(A213="N/A"," ",C213*B213)</f>
        <v> </v>
      </c>
      <c r="E213" s="369" t="str">
        <f aca="false">IF(A213="N/A"," ",IF(ISERROR(M213),E201*Inputs!$F$19,M213))</f>
        <v> </v>
      </c>
      <c r="F213" s="371" t="str">
        <f aca="false">IF(A213="N/A"," ",E213*C213)</f>
        <v> </v>
      </c>
      <c r="G213" s="369" t="str">
        <f aca="false">IF(A213="N/A"," ",IF(ISERROR(N213),G201*Inputs!$F$19,N213))</f>
        <v> </v>
      </c>
      <c r="H213" s="371" t="str">
        <f aca="false">IF(A213="N/A"," ",G213*C213)</f>
        <v> </v>
      </c>
      <c r="I213" s="371" t="str">
        <f aca="false">IF(A213="N/A"," ",IF(ISERROR(O213),I201*Inputs!$F$19,O213))</f>
        <v> </v>
      </c>
      <c r="J213" s="372" t="str">
        <f aca="false">IF(A213="N/A"," ",IF(ISERROR(P213),J201*Inputs!$F$23,P213))</f>
        <v> </v>
      </c>
      <c r="L213" s="374" t="str">
        <f aca="false">IF(A213="N/A"," ",VLOOKUP(A213,PeakPowerCurves,(IF('Pricing Inputs'!$AT$3=2,3,IF('Pricing Inputs'!$AT$3=1,2,4))),FALSE()))</f>
        <v> </v>
      </c>
      <c r="M213" s="374" t="str">
        <f aca="false">IF(A213="N/A"," ",VLOOKUP(A213,SatSunPeakPwr,(IF('Pricing Inputs'!$AT$3=2,3,IF('Pricing Inputs'!$AT$3=1,2,4))),FALSE()))</f>
        <v> </v>
      </c>
      <c r="N213" s="374" t="str">
        <f aca="false">IF(A213="N/A"," ",VLOOKUP(A213,SatSunPeakPwr,(IF('Pricing Inputs'!$AT$3=2,7,IF('Pricing Inputs'!$AT$3=1,6,8))),FALSE()))</f>
        <v> </v>
      </c>
      <c r="O213" s="375" t="str">
        <f aca="false">IF(A213="N/A"," ",(VLOOKUP(A213,OPPowerPrices,(IF('Pricing Inputs'!$AT$3=2,7,IF('Pricing Inputs'!$AT$3=1,6,8))),FALSE())))</f>
        <v> </v>
      </c>
      <c r="P213" s="376" t="str">
        <f aca="false">IF(A213="N/A"," ",(VLOOKUP(A213,GasCurves,15,FALSE())))</f>
        <v> </v>
      </c>
      <c r="AF213" s="341" t="n">
        <v>42917</v>
      </c>
      <c r="AG213" s="31" t="n">
        <v>20</v>
      </c>
      <c r="AH213" s="31" t="n">
        <v>5</v>
      </c>
      <c r="AI213" s="31" t="n">
        <v>5</v>
      </c>
      <c r="AJ213" s="31" t="n">
        <v>1</v>
      </c>
      <c r="AK213" s="31" t="n">
        <v>31</v>
      </c>
    </row>
    <row r="214" customFormat="false" ht="12.75" hidden="false" customHeight="false" outlineLevel="0" collapsed="false">
      <c r="A214" s="368" t="str">
        <f aca="false">Calculations!A181</f>
        <v>N/A</v>
      </c>
      <c r="B214" s="369" t="str">
        <f aca="false">IF(A214="N/A"," ",IF(ISERROR(L214),B202*Inputs!$F$19,L214))</f>
        <v> </v>
      </c>
      <c r="C214" s="370" t="str">
        <f aca="false">IF(A214="N/A"," ",(IF(AND(MONTH(A214)&gt;=6,MONTH(A214)&lt;=8,OR($K$37="REGION 2",$K$37="REGION 2A",$K$37="REGION 2B",$K$37="REGION 3",$K$37="REGION 3A",$K$37="REGION 3B",$K$37="REGION 4",$K$37="REGION 4B",$K$37="REGION 4C",$K$37="REGION 5",$K$37="REGION 5A")),((0.059228/(B214/100))-(0.4980013/(SQRT(B214/100)))+2.137988),HLOOKUP(MONTH(A214),ScalarTable,28))))</f>
        <v> </v>
      </c>
      <c r="D214" s="371" t="str">
        <f aca="false">IF(A214="N/A"," ",C214*B214)</f>
        <v> </v>
      </c>
      <c r="E214" s="369" t="str">
        <f aca="false">IF(A214="N/A"," ",IF(ISERROR(M214),E202*Inputs!$F$19,M214))</f>
        <v> </v>
      </c>
      <c r="F214" s="371" t="str">
        <f aca="false">IF(A214="N/A"," ",E214*C214)</f>
        <v> </v>
      </c>
      <c r="G214" s="369" t="str">
        <f aca="false">IF(A214="N/A"," ",IF(ISERROR(N214),G202*Inputs!$F$19,N214))</f>
        <v> </v>
      </c>
      <c r="H214" s="371" t="str">
        <f aca="false">IF(A214="N/A"," ",G214*C214)</f>
        <v> </v>
      </c>
      <c r="I214" s="371" t="str">
        <f aca="false">IF(A214="N/A"," ",IF(ISERROR(O214),I202*Inputs!$F$19,O214))</f>
        <v> </v>
      </c>
      <c r="J214" s="372" t="str">
        <f aca="false">IF(A214="N/A"," ",IF(ISERROR(P214),J202*Inputs!$F$23,P214))</f>
        <v> </v>
      </c>
      <c r="L214" s="374" t="str">
        <f aca="false">IF(A214="N/A"," ",VLOOKUP(A214,PeakPowerCurves,(IF('Pricing Inputs'!$AT$3=2,3,IF('Pricing Inputs'!$AT$3=1,2,4))),FALSE()))</f>
        <v> </v>
      </c>
      <c r="M214" s="374" t="str">
        <f aca="false">IF(A214="N/A"," ",VLOOKUP(A214,SatSunPeakPwr,(IF('Pricing Inputs'!$AT$3=2,3,IF('Pricing Inputs'!$AT$3=1,2,4))),FALSE()))</f>
        <v> </v>
      </c>
      <c r="N214" s="374" t="str">
        <f aca="false">IF(A214="N/A"," ",VLOOKUP(A214,SatSunPeakPwr,(IF('Pricing Inputs'!$AT$3=2,7,IF('Pricing Inputs'!$AT$3=1,6,8))),FALSE()))</f>
        <v> </v>
      </c>
      <c r="O214" s="375" t="str">
        <f aca="false">IF(A214="N/A"," ",(VLOOKUP(A214,OPPowerPrices,(IF('Pricing Inputs'!$AT$3=2,7,IF('Pricing Inputs'!$AT$3=1,6,8))),FALSE())))</f>
        <v> </v>
      </c>
      <c r="P214" s="376" t="str">
        <f aca="false">IF(A214="N/A"," ",(VLOOKUP(A214,GasCurves,15,FALSE())))</f>
        <v> </v>
      </c>
      <c r="AF214" s="341" t="n">
        <v>42948</v>
      </c>
      <c r="AG214" s="31" t="n">
        <v>23</v>
      </c>
      <c r="AH214" s="31" t="n">
        <v>4</v>
      </c>
      <c r="AI214" s="31" t="n">
        <v>4</v>
      </c>
      <c r="AJ214" s="31" t="n">
        <v>0</v>
      </c>
      <c r="AK214" s="31" t="n">
        <v>31</v>
      </c>
    </row>
    <row r="215" customFormat="false" ht="12.75" hidden="false" customHeight="false" outlineLevel="0" collapsed="false">
      <c r="A215" s="368" t="str">
        <f aca="false">Calculations!A182</f>
        <v>N/A</v>
      </c>
      <c r="B215" s="369" t="str">
        <f aca="false">IF(A215="N/A"," ",IF(ISERROR(L215),B203*Inputs!$F$19,L215))</f>
        <v> </v>
      </c>
      <c r="C215" s="370" t="str">
        <f aca="false">IF(A215="N/A"," ",(IF(AND(MONTH(A215)&gt;=6,MONTH(A215)&lt;=8,OR($K$37="REGION 2",$K$37="REGION 2A",$K$37="REGION 2B",$K$37="REGION 3",$K$37="REGION 3A",$K$37="REGION 3B",$K$37="REGION 4",$K$37="REGION 4B",$K$37="REGION 4C",$K$37="REGION 5",$K$37="REGION 5A")),((0.059228/(B215/100))-(0.4980013/(SQRT(B215/100)))+2.137988),HLOOKUP(MONTH(A215),ScalarTable,28))))</f>
        <v> </v>
      </c>
      <c r="D215" s="371" t="str">
        <f aca="false">IF(A215="N/A"," ",C215*B215)</f>
        <v> </v>
      </c>
      <c r="E215" s="369" t="str">
        <f aca="false">IF(A215="N/A"," ",IF(ISERROR(M215),E203*Inputs!$F$19,M215))</f>
        <v> </v>
      </c>
      <c r="F215" s="371" t="str">
        <f aca="false">IF(A215="N/A"," ",E215*C215)</f>
        <v> </v>
      </c>
      <c r="G215" s="369" t="str">
        <f aca="false">IF(A215="N/A"," ",IF(ISERROR(N215),G203*Inputs!$F$19,N215))</f>
        <v> </v>
      </c>
      <c r="H215" s="371" t="str">
        <f aca="false">IF(A215="N/A"," ",G215*C215)</f>
        <v> </v>
      </c>
      <c r="I215" s="371" t="str">
        <f aca="false">IF(A215="N/A"," ",IF(ISERROR(O215),I203*Inputs!$F$19,O215))</f>
        <v> </v>
      </c>
      <c r="J215" s="372" t="str">
        <f aca="false">IF(A215="N/A"," ",IF(ISERROR(P215),J203*Inputs!$F$23,P215))</f>
        <v> </v>
      </c>
      <c r="L215" s="374" t="str">
        <f aca="false">IF(A215="N/A"," ",VLOOKUP(A215,PeakPowerCurves,(IF('Pricing Inputs'!$AT$3=2,3,IF('Pricing Inputs'!$AT$3=1,2,4))),FALSE()))</f>
        <v> </v>
      </c>
      <c r="M215" s="374" t="str">
        <f aca="false">IF(A215="N/A"," ",VLOOKUP(A215,SatSunPeakPwr,(IF('Pricing Inputs'!$AT$3=2,3,IF('Pricing Inputs'!$AT$3=1,2,4))),FALSE()))</f>
        <v> </v>
      </c>
      <c r="N215" s="374" t="str">
        <f aca="false">IF(A215="N/A"," ",VLOOKUP(A215,SatSunPeakPwr,(IF('Pricing Inputs'!$AT$3=2,7,IF('Pricing Inputs'!$AT$3=1,6,8))),FALSE()))</f>
        <v> </v>
      </c>
      <c r="O215" s="375" t="str">
        <f aca="false">IF(A215="N/A"," ",(VLOOKUP(A215,OPPowerPrices,(IF('Pricing Inputs'!$AT$3=2,7,IF('Pricing Inputs'!$AT$3=1,6,8))),FALSE())))</f>
        <v> </v>
      </c>
      <c r="P215" s="376" t="str">
        <f aca="false">IF(A215="N/A"," ",(VLOOKUP(A215,GasCurves,15,FALSE())))</f>
        <v> </v>
      </c>
      <c r="AF215" s="341" t="n">
        <v>42979</v>
      </c>
      <c r="AG215" s="31" t="n">
        <v>20</v>
      </c>
      <c r="AH215" s="31" t="n">
        <v>5</v>
      </c>
      <c r="AI215" s="31" t="n">
        <v>4</v>
      </c>
      <c r="AJ215" s="31" t="n">
        <v>1</v>
      </c>
      <c r="AK215" s="31" t="n">
        <v>30</v>
      </c>
    </row>
    <row r="216" customFormat="false" ht="12.75" hidden="false" customHeight="false" outlineLevel="0" collapsed="false">
      <c r="A216" s="368" t="str">
        <f aca="false">Calculations!A183</f>
        <v>N/A</v>
      </c>
      <c r="B216" s="369" t="str">
        <f aca="false">IF(A216="N/A"," ",IF(ISERROR(L216),B204*Inputs!$F$19,L216))</f>
        <v> </v>
      </c>
      <c r="C216" s="370" t="str">
        <f aca="false">IF(A216="N/A"," ",(IF(AND(MONTH(A216)&gt;=6,MONTH(A216)&lt;=8,OR($K$37="REGION 2",$K$37="REGION 2A",$K$37="REGION 2B",$K$37="REGION 3",$K$37="REGION 3A",$K$37="REGION 3B",$K$37="REGION 4",$K$37="REGION 4B",$K$37="REGION 4C",$K$37="REGION 5",$K$37="REGION 5A")),((0.059228/(B216/100))-(0.4980013/(SQRT(B216/100)))+2.137988),HLOOKUP(MONTH(A216),ScalarTable,28))))</f>
        <v> </v>
      </c>
      <c r="D216" s="371" t="str">
        <f aca="false">IF(A216="N/A"," ",C216*B216)</f>
        <v> </v>
      </c>
      <c r="E216" s="369" t="str">
        <f aca="false">IF(A216="N/A"," ",IF(ISERROR(M216),E204*Inputs!$F$19,M216))</f>
        <v> </v>
      </c>
      <c r="F216" s="371" t="str">
        <f aca="false">IF(A216="N/A"," ",E216*C216)</f>
        <v> </v>
      </c>
      <c r="G216" s="369" t="str">
        <f aca="false">IF(A216="N/A"," ",IF(ISERROR(N216),G204*Inputs!$F$19,N216))</f>
        <v> </v>
      </c>
      <c r="H216" s="371" t="str">
        <f aca="false">IF(A216="N/A"," ",G216*C216)</f>
        <v> </v>
      </c>
      <c r="I216" s="371" t="str">
        <f aca="false">IF(A216="N/A"," ",IF(ISERROR(O216),I204*Inputs!$F$19,O216))</f>
        <v> </v>
      </c>
      <c r="J216" s="372" t="str">
        <f aca="false">IF(A216="N/A"," ",IF(ISERROR(P216),J204*Inputs!$F$23,P216))</f>
        <v> </v>
      </c>
      <c r="L216" s="374" t="str">
        <f aca="false">IF(A216="N/A"," ",VLOOKUP(A216,PeakPowerCurves,(IF('Pricing Inputs'!$AT$3=2,3,IF('Pricing Inputs'!$AT$3=1,2,4))),FALSE()))</f>
        <v> </v>
      </c>
      <c r="M216" s="374" t="str">
        <f aca="false">IF(A216="N/A"," ",VLOOKUP(A216,SatSunPeakPwr,(IF('Pricing Inputs'!$AT$3=2,3,IF('Pricing Inputs'!$AT$3=1,2,4))),FALSE()))</f>
        <v> </v>
      </c>
      <c r="N216" s="374" t="str">
        <f aca="false">IF(A216="N/A"," ",VLOOKUP(A216,SatSunPeakPwr,(IF('Pricing Inputs'!$AT$3=2,7,IF('Pricing Inputs'!$AT$3=1,6,8))),FALSE()))</f>
        <v> </v>
      </c>
      <c r="O216" s="375" t="str">
        <f aca="false">IF(A216="N/A"," ",(VLOOKUP(A216,OPPowerPrices,(IF('Pricing Inputs'!$AT$3=2,7,IF('Pricing Inputs'!$AT$3=1,6,8))),FALSE())))</f>
        <v> </v>
      </c>
      <c r="P216" s="376" t="str">
        <f aca="false">IF(A216="N/A"," ",(VLOOKUP(A216,GasCurves,15,FALSE())))</f>
        <v> </v>
      </c>
      <c r="AF216" s="341" t="n">
        <v>43009</v>
      </c>
      <c r="AG216" s="31" t="n">
        <v>22</v>
      </c>
      <c r="AH216" s="31" t="n">
        <v>4</v>
      </c>
      <c r="AI216" s="31" t="n">
        <v>5</v>
      </c>
      <c r="AJ216" s="31" t="n">
        <v>0</v>
      </c>
      <c r="AK216" s="31" t="n">
        <v>31</v>
      </c>
    </row>
    <row r="217" customFormat="false" ht="12.75" hidden="false" customHeight="false" outlineLevel="0" collapsed="false">
      <c r="A217" s="368" t="str">
        <f aca="false">Calculations!A184</f>
        <v>N/A</v>
      </c>
      <c r="B217" s="369" t="str">
        <f aca="false">IF(A217="N/A"," ",IF(ISERROR(L217),B205*Inputs!$F$19,L217))</f>
        <v> </v>
      </c>
      <c r="C217" s="370" t="str">
        <f aca="false">IF(A217="N/A"," ",(IF(AND(MONTH(A217)&gt;=6,MONTH(A217)&lt;=8,OR($K$37="REGION 2",$K$37="REGION 2A",$K$37="REGION 2B",$K$37="REGION 3",$K$37="REGION 3A",$K$37="REGION 3B",$K$37="REGION 4",$K$37="REGION 4B",$K$37="REGION 4C",$K$37="REGION 5",$K$37="REGION 5A")),((0.059228/(B217/100))-(0.4980013/(SQRT(B217/100)))+2.137988),HLOOKUP(MONTH(A217),ScalarTable,28))))</f>
        <v> </v>
      </c>
      <c r="D217" s="371" t="str">
        <f aca="false">IF(A217="N/A"," ",C217*B217)</f>
        <v> </v>
      </c>
      <c r="E217" s="369" t="str">
        <f aca="false">IF(A217="N/A"," ",IF(ISERROR(M217),E205*Inputs!$F$19,M217))</f>
        <v> </v>
      </c>
      <c r="F217" s="371" t="str">
        <f aca="false">IF(A217="N/A"," ",E217*C217)</f>
        <v> </v>
      </c>
      <c r="G217" s="369" t="str">
        <f aca="false">IF(A217="N/A"," ",IF(ISERROR(N217),G205*Inputs!$F$19,N217))</f>
        <v> </v>
      </c>
      <c r="H217" s="371" t="str">
        <f aca="false">IF(A217="N/A"," ",G217*C217)</f>
        <v> </v>
      </c>
      <c r="I217" s="371" t="str">
        <f aca="false">IF(A217="N/A"," ",IF(ISERROR(O217),I205*Inputs!$F$19,O217))</f>
        <v> </v>
      </c>
      <c r="J217" s="372" t="str">
        <f aca="false">IF(A217="N/A"," ",IF(ISERROR(P217),J205*Inputs!$F$23,P217))</f>
        <v> </v>
      </c>
      <c r="L217" s="374" t="str">
        <f aca="false">IF(A217="N/A"," ",VLOOKUP(A217,PeakPowerCurves,(IF('Pricing Inputs'!$AT$3=2,3,IF('Pricing Inputs'!$AT$3=1,2,4))),FALSE()))</f>
        <v> </v>
      </c>
      <c r="M217" s="374" t="str">
        <f aca="false">IF(A217="N/A"," ",VLOOKUP(A217,SatSunPeakPwr,(IF('Pricing Inputs'!$AT$3=2,3,IF('Pricing Inputs'!$AT$3=1,2,4))),FALSE()))</f>
        <v> </v>
      </c>
      <c r="N217" s="374" t="str">
        <f aca="false">IF(A217="N/A"," ",VLOOKUP(A217,SatSunPeakPwr,(IF('Pricing Inputs'!$AT$3=2,7,IF('Pricing Inputs'!$AT$3=1,6,8))),FALSE()))</f>
        <v> </v>
      </c>
      <c r="O217" s="375" t="str">
        <f aca="false">IF(A217="N/A"," ",(VLOOKUP(A217,OPPowerPrices,(IF('Pricing Inputs'!$AT$3=2,7,IF('Pricing Inputs'!$AT$3=1,6,8))),FALSE())))</f>
        <v> </v>
      </c>
      <c r="P217" s="376" t="str">
        <f aca="false">IF(A217="N/A"," ",(VLOOKUP(A217,GasCurves,15,FALSE())))</f>
        <v> </v>
      </c>
      <c r="AF217" s="341" t="n">
        <v>43040</v>
      </c>
      <c r="AG217" s="31" t="n">
        <v>21</v>
      </c>
      <c r="AH217" s="31" t="n">
        <v>4</v>
      </c>
      <c r="AI217" s="31" t="n">
        <v>4</v>
      </c>
      <c r="AJ217" s="31" t="n">
        <v>1</v>
      </c>
      <c r="AK217" s="31" t="n">
        <v>30</v>
      </c>
    </row>
    <row r="218" customFormat="false" ht="12.75" hidden="false" customHeight="false" outlineLevel="0" collapsed="false">
      <c r="A218" s="368" t="str">
        <f aca="false">Calculations!A185</f>
        <v>N/A</v>
      </c>
      <c r="B218" s="369" t="str">
        <f aca="false">IF(A218="N/A"," ",IF(ISERROR(L218),B206*Inputs!$F$19,L218))</f>
        <v> </v>
      </c>
      <c r="C218" s="370" t="str">
        <f aca="false">IF(A218="N/A"," ",(IF(AND(MONTH(A218)&gt;=6,MONTH(A218)&lt;=8,OR($K$37="REGION 2",$K$37="REGION 2A",$K$37="REGION 2B",$K$37="REGION 3",$K$37="REGION 3A",$K$37="REGION 3B",$K$37="REGION 4",$K$37="REGION 4B",$K$37="REGION 4C",$K$37="REGION 5",$K$37="REGION 5A")),((0.059228/(B218/100))-(0.4980013/(SQRT(B218/100)))+2.137988),HLOOKUP(MONTH(A218),ScalarTable,28))))</f>
        <v> </v>
      </c>
      <c r="D218" s="371" t="str">
        <f aca="false">IF(A218="N/A"," ",C218*B218)</f>
        <v> </v>
      </c>
      <c r="E218" s="369" t="str">
        <f aca="false">IF(A218="N/A"," ",IF(ISERROR(M218),E206*Inputs!$F$19,M218))</f>
        <v> </v>
      </c>
      <c r="F218" s="371" t="str">
        <f aca="false">IF(A218="N/A"," ",E218*C218)</f>
        <v> </v>
      </c>
      <c r="G218" s="369" t="str">
        <f aca="false">IF(A218="N/A"," ",IF(ISERROR(N218),G206*Inputs!$F$19,N218))</f>
        <v> </v>
      </c>
      <c r="H218" s="371" t="str">
        <f aca="false">IF(A218="N/A"," ",G218*C218)</f>
        <v> </v>
      </c>
      <c r="I218" s="371" t="str">
        <f aca="false">IF(A218="N/A"," ",IF(ISERROR(O218),I206*Inputs!$F$19,O218))</f>
        <v> </v>
      </c>
      <c r="J218" s="372" t="str">
        <f aca="false">IF(A218="N/A"," ",IF(ISERROR(P218),J206*Inputs!$F$23,P218))</f>
        <v> </v>
      </c>
      <c r="L218" s="374" t="str">
        <f aca="false">IF(A218="N/A"," ",VLOOKUP(A218,PeakPowerCurves,(IF('Pricing Inputs'!$AT$3=2,3,IF('Pricing Inputs'!$AT$3=1,2,4))),FALSE()))</f>
        <v> </v>
      </c>
      <c r="M218" s="374" t="str">
        <f aca="false">IF(A218="N/A"," ",VLOOKUP(A218,SatSunPeakPwr,(IF('Pricing Inputs'!$AT$3=2,3,IF('Pricing Inputs'!$AT$3=1,2,4))),FALSE()))</f>
        <v> </v>
      </c>
      <c r="N218" s="374" t="str">
        <f aca="false">IF(A218="N/A"," ",VLOOKUP(A218,SatSunPeakPwr,(IF('Pricing Inputs'!$AT$3=2,7,IF('Pricing Inputs'!$AT$3=1,6,8))),FALSE()))</f>
        <v> </v>
      </c>
      <c r="O218" s="375" t="str">
        <f aca="false">IF(A218="N/A"," ",(VLOOKUP(A218,OPPowerPrices,(IF('Pricing Inputs'!$AT$3=2,7,IF('Pricing Inputs'!$AT$3=1,6,8))),FALSE())))</f>
        <v> </v>
      </c>
      <c r="P218" s="376" t="str">
        <f aca="false">IF(A218="N/A"," ",(VLOOKUP(A218,GasCurves,15,FALSE())))</f>
        <v> </v>
      </c>
      <c r="AF218" s="341" t="n">
        <v>43070</v>
      </c>
      <c r="AG218" s="31" t="n">
        <v>20</v>
      </c>
      <c r="AH218" s="31" t="n">
        <v>5</v>
      </c>
      <c r="AI218" s="31" t="n">
        <v>5</v>
      </c>
      <c r="AJ218" s="31" t="n">
        <v>1</v>
      </c>
      <c r="AK218" s="31" t="n">
        <v>31</v>
      </c>
    </row>
    <row r="219" customFormat="false" ht="12.75" hidden="false" customHeight="false" outlineLevel="0" collapsed="false">
      <c r="A219" s="368" t="str">
        <f aca="false">Calculations!A186</f>
        <v>N/A</v>
      </c>
      <c r="B219" s="369" t="str">
        <f aca="false">IF(A219="N/A"," ",IF(ISERROR(L219),B207*Inputs!$F$19,L219))</f>
        <v> </v>
      </c>
      <c r="C219" s="370" t="str">
        <f aca="false">IF(A219="N/A"," ",(IF(AND(MONTH(A219)&gt;=6,MONTH(A219)&lt;=8,OR($K$37="REGION 2",$K$37="REGION 2A",$K$37="REGION 2B",$K$37="REGION 3",$K$37="REGION 3A",$K$37="REGION 3B",$K$37="REGION 4",$K$37="REGION 4B",$K$37="REGION 4C",$K$37="REGION 5",$K$37="REGION 5A")),((0.059228/(B219/100))-(0.4980013/(SQRT(B219/100)))+2.137988),HLOOKUP(MONTH(A219),ScalarTable,28))))</f>
        <v> </v>
      </c>
      <c r="D219" s="371" t="str">
        <f aca="false">IF(A219="N/A"," ",C219*B219)</f>
        <v> </v>
      </c>
      <c r="E219" s="369" t="str">
        <f aca="false">IF(A219="N/A"," ",IF(ISERROR(M219),E207*Inputs!$F$19,M219))</f>
        <v> </v>
      </c>
      <c r="F219" s="371" t="str">
        <f aca="false">IF(A219="N/A"," ",E219*C219)</f>
        <v> </v>
      </c>
      <c r="G219" s="369" t="str">
        <f aca="false">IF(A219="N/A"," ",IF(ISERROR(N219),G207*Inputs!$F$19,N219))</f>
        <v> </v>
      </c>
      <c r="H219" s="371" t="str">
        <f aca="false">IF(A219="N/A"," ",G219*C219)</f>
        <v> </v>
      </c>
      <c r="I219" s="371" t="str">
        <f aca="false">IF(A219="N/A"," ",IF(ISERROR(O219),I207*Inputs!$F$19,O219))</f>
        <v> </v>
      </c>
      <c r="J219" s="372" t="str">
        <f aca="false">IF(A219="N/A"," ",IF(ISERROR(P219),J207*Inputs!$F$23,P219))</f>
        <v> </v>
      </c>
      <c r="L219" s="374" t="str">
        <f aca="false">IF(A219="N/A"," ",VLOOKUP(A219,PeakPowerCurves,(IF('Pricing Inputs'!$AT$3=2,3,IF('Pricing Inputs'!$AT$3=1,2,4))),FALSE()))</f>
        <v> </v>
      </c>
      <c r="M219" s="374" t="str">
        <f aca="false">IF(A219="N/A"," ",VLOOKUP(A219,SatSunPeakPwr,(IF('Pricing Inputs'!$AT$3=2,3,IF('Pricing Inputs'!$AT$3=1,2,4))),FALSE()))</f>
        <v> </v>
      </c>
      <c r="N219" s="374" t="str">
        <f aca="false">IF(A219="N/A"," ",VLOOKUP(A219,SatSunPeakPwr,(IF('Pricing Inputs'!$AT$3=2,7,IF('Pricing Inputs'!$AT$3=1,6,8))),FALSE()))</f>
        <v> </v>
      </c>
      <c r="O219" s="375" t="str">
        <f aca="false">IF(A219="N/A"," ",(VLOOKUP(A219,OPPowerPrices,(IF('Pricing Inputs'!$AT$3=2,7,IF('Pricing Inputs'!$AT$3=1,6,8))),FALSE())))</f>
        <v> </v>
      </c>
      <c r="P219" s="376" t="str">
        <f aca="false">IF(A219="N/A"," ",(VLOOKUP(A219,GasCurves,15,FALSE())))</f>
        <v> </v>
      </c>
      <c r="AF219" s="341" t="n">
        <v>43101</v>
      </c>
      <c r="AG219" s="31" t="n">
        <v>22</v>
      </c>
      <c r="AH219" s="31" t="n">
        <v>4</v>
      </c>
      <c r="AI219" s="31" t="n">
        <v>4</v>
      </c>
      <c r="AJ219" s="31" t="n">
        <v>1</v>
      </c>
      <c r="AK219" s="31" t="n">
        <v>31</v>
      </c>
    </row>
    <row r="220" customFormat="false" ht="12.75" hidden="false" customHeight="false" outlineLevel="0" collapsed="false">
      <c r="A220" s="368" t="str">
        <f aca="false">Calculations!A187</f>
        <v>N/A</v>
      </c>
      <c r="B220" s="369" t="str">
        <f aca="false">IF(A220="N/A"," ",IF(ISERROR(L220),B208*Inputs!$F$19,L220))</f>
        <v> </v>
      </c>
      <c r="C220" s="370" t="str">
        <f aca="false">IF(A220="N/A"," ",(IF(AND(MONTH(A220)&gt;=6,MONTH(A220)&lt;=8,OR($K$37="REGION 2",$K$37="REGION 2A",$K$37="REGION 2B",$K$37="REGION 3",$K$37="REGION 3A",$K$37="REGION 3B",$K$37="REGION 4",$K$37="REGION 4B",$K$37="REGION 4C",$K$37="REGION 5",$K$37="REGION 5A")),((0.059228/(B220/100))-(0.4980013/(SQRT(B220/100)))+2.137988),HLOOKUP(MONTH(A220),ScalarTable,28))))</f>
        <v> </v>
      </c>
      <c r="D220" s="371" t="str">
        <f aca="false">IF(A220="N/A"," ",C220*B220)</f>
        <v> </v>
      </c>
      <c r="E220" s="369" t="str">
        <f aca="false">IF(A220="N/A"," ",IF(ISERROR(M220),E208*Inputs!$F$19,M220))</f>
        <v> </v>
      </c>
      <c r="F220" s="371" t="str">
        <f aca="false">IF(A220="N/A"," ",E220*C220)</f>
        <v> </v>
      </c>
      <c r="G220" s="369" t="str">
        <f aca="false">IF(A220="N/A"," ",IF(ISERROR(N220),G208*Inputs!$F$19,N220))</f>
        <v> </v>
      </c>
      <c r="H220" s="371" t="str">
        <f aca="false">IF(A220="N/A"," ",G220*C220)</f>
        <v> </v>
      </c>
      <c r="I220" s="371" t="str">
        <f aca="false">IF(A220="N/A"," ",IF(ISERROR(O220),I208*Inputs!$F$19,O220))</f>
        <v> </v>
      </c>
      <c r="J220" s="372" t="str">
        <f aca="false">IF(A220="N/A"," ",IF(ISERROR(P220),J208*Inputs!$F$23,P220))</f>
        <v> </v>
      </c>
      <c r="L220" s="374" t="str">
        <f aca="false">IF(A220="N/A"," ",VLOOKUP(A220,PeakPowerCurves,(IF('Pricing Inputs'!$AT$3=2,3,IF('Pricing Inputs'!$AT$3=1,2,4))),FALSE()))</f>
        <v> </v>
      </c>
      <c r="M220" s="374" t="str">
        <f aca="false">IF(A220="N/A"," ",VLOOKUP(A220,SatSunPeakPwr,(IF('Pricing Inputs'!$AT$3=2,3,IF('Pricing Inputs'!$AT$3=1,2,4))),FALSE()))</f>
        <v> </v>
      </c>
      <c r="N220" s="374" t="str">
        <f aca="false">IF(A220="N/A"," ",VLOOKUP(A220,SatSunPeakPwr,(IF('Pricing Inputs'!$AT$3=2,7,IF('Pricing Inputs'!$AT$3=1,6,8))),FALSE()))</f>
        <v> </v>
      </c>
      <c r="O220" s="375" t="str">
        <f aca="false">IF(A220="N/A"," ",(VLOOKUP(A220,OPPowerPrices,(IF('Pricing Inputs'!$AT$3=2,7,IF('Pricing Inputs'!$AT$3=1,6,8))),FALSE())))</f>
        <v> </v>
      </c>
      <c r="P220" s="376" t="str">
        <f aca="false">IF(A220="N/A"," ",(VLOOKUP(A220,GasCurves,15,FALSE())))</f>
        <v> </v>
      </c>
      <c r="AF220" s="341" t="n">
        <v>43132</v>
      </c>
      <c r="AG220" s="31" t="n">
        <v>20</v>
      </c>
      <c r="AH220" s="31" t="n">
        <v>4</v>
      </c>
      <c r="AI220" s="31" t="n">
        <v>4</v>
      </c>
      <c r="AJ220" s="31" t="n">
        <v>0</v>
      </c>
      <c r="AK220" s="31" t="n">
        <v>28</v>
      </c>
    </row>
    <row r="221" customFormat="false" ht="12.75" hidden="false" customHeight="false" outlineLevel="0" collapsed="false">
      <c r="A221" s="368" t="str">
        <f aca="false">Calculations!A188</f>
        <v>N/A</v>
      </c>
      <c r="B221" s="369" t="str">
        <f aca="false">IF(A221="N/A"," ",IF(ISERROR(L221),B209*Inputs!$F$19,L221))</f>
        <v> </v>
      </c>
      <c r="C221" s="370" t="str">
        <f aca="false">IF(A221="N/A"," ",(IF(AND(MONTH(A221)&gt;=6,MONTH(A221)&lt;=8,OR($K$37="REGION 2",$K$37="REGION 2A",$K$37="REGION 2B",$K$37="REGION 3",$K$37="REGION 3A",$K$37="REGION 3B",$K$37="REGION 4",$K$37="REGION 4B",$K$37="REGION 4C",$K$37="REGION 5",$K$37="REGION 5A")),((0.059228/(B221/100))-(0.4980013/(SQRT(B221/100)))+2.137988),HLOOKUP(MONTH(A221),ScalarTable,28))))</f>
        <v> </v>
      </c>
      <c r="D221" s="371" t="str">
        <f aca="false">IF(A221="N/A"," ",C221*B221)</f>
        <v> </v>
      </c>
      <c r="E221" s="369" t="str">
        <f aca="false">IF(A221="N/A"," ",IF(ISERROR(M221),E209*Inputs!$F$19,M221))</f>
        <v> </v>
      </c>
      <c r="F221" s="371" t="str">
        <f aca="false">IF(A221="N/A"," ",E221*C221)</f>
        <v> </v>
      </c>
      <c r="G221" s="369" t="str">
        <f aca="false">IF(A221="N/A"," ",IF(ISERROR(N221),G209*Inputs!$F$19,N221))</f>
        <v> </v>
      </c>
      <c r="H221" s="371" t="str">
        <f aca="false">IF(A221="N/A"," ",G221*C221)</f>
        <v> </v>
      </c>
      <c r="I221" s="371" t="str">
        <f aca="false">IF(A221="N/A"," ",IF(ISERROR(O221),I209*Inputs!$F$19,O221))</f>
        <v> </v>
      </c>
      <c r="J221" s="372" t="str">
        <f aca="false">IF(A221="N/A"," ",IF(ISERROR(P221),J209*Inputs!$F$23,P221))</f>
        <v> </v>
      </c>
      <c r="L221" s="374" t="str">
        <f aca="false">IF(A221="N/A"," ",VLOOKUP(A221,PeakPowerCurves,(IF('Pricing Inputs'!$AT$3=2,3,IF('Pricing Inputs'!$AT$3=1,2,4))),FALSE()))</f>
        <v> </v>
      </c>
      <c r="M221" s="374" t="str">
        <f aca="false">IF(A221="N/A"," ",VLOOKUP(A221,SatSunPeakPwr,(IF('Pricing Inputs'!$AT$3=2,3,IF('Pricing Inputs'!$AT$3=1,2,4))),FALSE()))</f>
        <v> </v>
      </c>
      <c r="N221" s="374" t="str">
        <f aca="false">IF(A221="N/A"," ",VLOOKUP(A221,SatSunPeakPwr,(IF('Pricing Inputs'!$AT$3=2,7,IF('Pricing Inputs'!$AT$3=1,6,8))),FALSE()))</f>
        <v> </v>
      </c>
      <c r="O221" s="375" t="str">
        <f aca="false">IF(A221="N/A"," ",(VLOOKUP(A221,OPPowerPrices,(IF('Pricing Inputs'!$AT$3=2,7,IF('Pricing Inputs'!$AT$3=1,6,8))),FALSE())))</f>
        <v> </v>
      </c>
      <c r="P221" s="376" t="str">
        <f aca="false">IF(A221="N/A"," ",(VLOOKUP(A221,GasCurves,15,FALSE())))</f>
        <v> </v>
      </c>
      <c r="AF221" s="341" t="n">
        <v>43160</v>
      </c>
      <c r="AG221" s="31" t="n">
        <v>22</v>
      </c>
      <c r="AH221" s="31" t="n">
        <v>5</v>
      </c>
      <c r="AI221" s="31" t="n">
        <v>4</v>
      </c>
      <c r="AJ221" s="31" t="n">
        <v>0</v>
      </c>
      <c r="AK221" s="31" t="n">
        <v>31</v>
      </c>
    </row>
    <row r="222" customFormat="false" ht="12.75" hidden="false" customHeight="false" outlineLevel="0" collapsed="false">
      <c r="A222" s="368" t="str">
        <f aca="false">Calculations!A189</f>
        <v>N/A</v>
      </c>
      <c r="B222" s="369" t="str">
        <f aca="false">IF(A222="N/A"," ",IF(ISERROR(L222),B210*Inputs!$F$19,L222))</f>
        <v> </v>
      </c>
      <c r="C222" s="370" t="str">
        <f aca="false">IF(A222="N/A"," ",(IF(AND(MONTH(A222)&gt;=6,MONTH(A222)&lt;=8,OR($K$37="REGION 2",$K$37="REGION 2A",$K$37="REGION 2B",$K$37="REGION 3",$K$37="REGION 3A",$K$37="REGION 3B",$K$37="REGION 4",$K$37="REGION 4B",$K$37="REGION 4C",$K$37="REGION 5",$K$37="REGION 5A")),((0.059228/(B222/100))-(0.4980013/(SQRT(B222/100)))+2.137988),HLOOKUP(MONTH(A222),ScalarTable,28))))</f>
        <v> </v>
      </c>
      <c r="D222" s="371" t="str">
        <f aca="false">IF(A222="N/A"," ",C222*B222)</f>
        <v> </v>
      </c>
      <c r="E222" s="369" t="str">
        <f aca="false">IF(A222="N/A"," ",IF(ISERROR(M222),E210*Inputs!$F$19,M222))</f>
        <v> </v>
      </c>
      <c r="F222" s="371" t="str">
        <f aca="false">IF(A222="N/A"," ",E222*C222)</f>
        <v> </v>
      </c>
      <c r="G222" s="369" t="str">
        <f aca="false">IF(A222="N/A"," ",IF(ISERROR(N222),G210*Inputs!$F$19,N222))</f>
        <v> </v>
      </c>
      <c r="H222" s="371" t="str">
        <f aca="false">IF(A222="N/A"," ",G222*C222)</f>
        <v> </v>
      </c>
      <c r="I222" s="371" t="str">
        <f aca="false">IF(A222="N/A"," ",IF(ISERROR(O222),I210*Inputs!$F$19,O222))</f>
        <v> </v>
      </c>
      <c r="J222" s="372" t="str">
        <f aca="false">IF(A222="N/A"," ",IF(ISERROR(P222),J210*Inputs!$F$23,P222))</f>
        <v> </v>
      </c>
      <c r="L222" s="374" t="str">
        <f aca="false">IF(A222="N/A"," ",VLOOKUP(A222,PeakPowerCurves,(IF('Pricing Inputs'!$AT$3=2,3,IF('Pricing Inputs'!$AT$3=1,2,4))),FALSE()))</f>
        <v> </v>
      </c>
      <c r="M222" s="374" t="str">
        <f aca="false">IF(A222="N/A"," ",VLOOKUP(A222,SatSunPeakPwr,(IF('Pricing Inputs'!$AT$3=2,3,IF('Pricing Inputs'!$AT$3=1,2,4))),FALSE()))</f>
        <v> </v>
      </c>
      <c r="N222" s="374" t="str">
        <f aca="false">IF(A222="N/A"," ",VLOOKUP(A222,SatSunPeakPwr,(IF('Pricing Inputs'!$AT$3=2,7,IF('Pricing Inputs'!$AT$3=1,6,8))),FALSE()))</f>
        <v> </v>
      </c>
      <c r="O222" s="375" t="str">
        <f aca="false">IF(A222="N/A"," ",(VLOOKUP(A222,OPPowerPrices,(IF('Pricing Inputs'!$AT$3=2,7,IF('Pricing Inputs'!$AT$3=1,6,8))),FALSE())))</f>
        <v> </v>
      </c>
      <c r="P222" s="376" t="str">
        <f aca="false">IF(A222="N/A"," ",(VLOOKUP(A222,GasCurves,15,FALSE())))</f>
        <v> </v>
      </c>
      <c r="AF222" s="341" t="n">
        <v>43191</v>
      </c>
      <c r="AG222" s="31" t="n">
        <v>21</v>
      </c>
      <c r="AH222" s="31" t="n">
        <v>4</v>
      </c>
      <c r="AI222" s="31" t="n">
        <v>5</v>
      </c>
      <c r="AJ222" s="31" t="n">
        <v>0</v>
      </c>
      <c r="AK222" s="31" t="n">
        <v>30</v>
      </c>
    </row>
    <row r="223" customFormat="false" ht="12.75" hidden="false" customHeight="false" outlineLevel="0" collapsed="false">
      <c r="A223" s="368" t="str">
        <f aca="false">Calculations!A190</f>
        <v>N/A</v>
      </c>
      <c r="B223" s="369" t="str">
        <f aca="false">IF(A223="N/A"," ",IF(ISERROR(L223),B211*Inputs!$F$19,L223))</f>
        <v> </v>
      </c>
      <c r="C223" s="370" t="str">
        <f aca="false">IF(A223="N/A"," ",(IF(AND(MONTH(A223)&gt;=6,MONTH(A223)&lt;=8,OR($K$37="REGION 2",$K$37="REGION 2A",$K$37="REGION 2B",$K$37="REGION 3",$K$37="REGION 3A",$K$37="REGION 3B",$K$37="REGION 4",$K$37="REGION 4B",$K$37="REGION 4C",$K$37="REGION 5",$K$37="REGION 5A")),((0.059228/(B223/100))-(0.4980013/(SQRT(B223/100)))+2.137988),HLOOKUP(MONTH(A223),ScalarTable,28))))</f>
        <v> </v>
      </c>
      <c r="D223" s="371" t="str">
        <f aca="false">IF(A223="N/A"," ",C223*B223)</f>
        <v> </v>
      </c>
      <c r="E223" s="369" t="str">
        <f aca="false">IF(A223="N/A"," ",IF(ISERROR(M223),E211*Inputs!$F$19,M223))</f>
        <v> </v>
      </c>
      <c r="F223" s="371" t="str">
        <f aca="false">IF(A223="N/A"," ",E223*C223)</f>
        <v> </v>
      </c>
      <c r="G223" s="369" t="str">
        <f aca="false">IF(A223="N/A"," ",IF(ISERROR(N223),G211*Inputs!$F$19,N223))</f>
        <v> </v>
      </c>
      <c r="H223" s="371" t="str">
        <f aca="false">IF(A223="N/A"," ",G223*C223)</f>
        <v> </v>
      </c>
      <c r="I223" s="371" t="str">
        <f aca="false">IF(A223="N/A"," ",IF(ISERROR(O223),I211*Inputs!$F$19,O223))</f>
        <v> </v>
      </c>
      <c r="J223" s="372" t="str">
        <f aca="false">IF(A223="N/A"," ",IF(ISERROR(P223),J211*Inputs!$F$23,P223))</f>
        <v> </v>
      </c>
      <c r="L223" s="374" t="str">
        <f aca="false">IF(A223="N/A"," ",VLOOKUP(A223,PeakPowerCurves,(IF('Pricing Inputs'!$AT$3=2,3,IF('Pricing Inputs'!$AT$3=1,2,4))),FALSE()))</f>
        <v> </v>
      </c>
      <c r="M223" s="374" t="str">
        <f aca="false">IF(A223="N/A"," ",VLOOKUP(A223,SatSunPeakPwr,(IF('Pricing Inputs'!$AT$3=2,3,IF('Pricing Inputs'!$AT$3=1,2,4))),FALSE()))</f>
        <v> </v>
      </c>
      <c r="N223" s="374" t="str">
        <f aca="false">IF(A223="N/A"," ",VLOOKUP(A223,SatSunPeakPwr,(IF('Pricing Inputs'!$AT$3=2,7,IF('Pricing Inputs'!$AT$3=1,6,8))),FALSE()))</f>
        <v> </v>
      </c>
      <c r="O223" s="375" t="str">
        <f aca="false">IF(A223="N/A"," ",(VLOOKUP(A223,OPPowerPrices,(IF('Pricing Inputs'!$AT$3=2,7,IF('Pricing Inputs'!$AT$3=1,6,8))),FALSE())))</f>
        <v> </v>
      </c>
      <c r="P223" s="376" t="str">
        <f aca="false">IF(A223="N/A"," ",(VLOOKUP(A223,GasCurves,15,FALSE())))</f>
        <v> </v>
      </c>
      <c r="AF223" s="341" t="n">
        <v>43221</v>
      </c>
      <c r="AG223" s="31" t="n">
        <v>22</v>
      </c>
      <c r="AH223" s="31" t="n">
        <v>4</v>
      </c>
      <c r="AI223" s="31" t="n">
        <v>4</v>
      </c>
      <c r="AJ223" s="31" t="n">
        <v>1</v>
      </c>
      <c r="AK223" s="31" t="n">
        <v>31</v>
      </c>
    </row>
    <row r="224" customFormat="false" ht="12.75" hidden="false" customHeight="false" outlineLevel="0" collapsed="false">
      <c r="A224" s="368" t="str">
        <f aca="false">Calculations!A191</f>
        <v>N/A</v>
      </c>
      <c r="B224" s="369" t="str">
        <f aca="false">IF(A224="N/A"," ",IF(ISERROR(L224),B212*Inputs!$F$19,L224))</f>
        <v> </v>
      </c>
      <c r="C224" s="370" t="str">
        <f aca="false">IF(A224="N/A"," ",(IF(AND(MONTH(A224)&gt;=6,MONTH(A224)&lt;=8,OR($K$37="REGION 2",$K$37="REGION 2A",$K$37="REGION 2B",$K$37="REGION 3",$K$37="REGION 3A",$K$37="REGION 3B",$K$37="REGION 4",$K$37="REGION 4B",$K$37="REGION 4C",$K$37="REGION 5",$K$37="REGION 5A")),((0.059228/(B224/100))-(0.4980013/(SQRT(B224/100)))+2.137988),HLOOKUP(MONTH(A224),ScalarTable,28))))</f>
        <v> </v>
      </c>
      <c r="D224" s="371" t="str">
        <f aca="false">IF(A224="N/A"," ",C224*B224)</f>
        <v> </v>
      </c>
      <c r="E224" s="369" t="str">
        <f aca="false">IF(A224="N/A"," ",IF(ISERROR(M224),E212*Inputs!$F$19,M224))</f>
        <v> </v>
      </c>
      <c r="F224" s="371" t="str">
        <f aca="false">IF(A224="N/A"," ",E224*C224)</f>
        <v> </v>
      </c>
      <c r="G224" s="369" t="str">
        <f aca="false">IF(A224="N/A"," ",IF(ISERROR(N224),G212*Inputs!$F$19,N224))</f>
        <v> </v>
      </c>
      <c r="H224" s="371" t="str">
        <f aca="false">IF(A224="N/A"," ",G224*C224)</f>
        <v> </v>
      </c>
      <c r="I224" s="371" t="str">
        <f aca="false">IF(A224="N/A"," ",IF(ISERROR(O224),I212*Inputs!$F$19,O224))</f>
        <v> </v>
      </c>
      <c r="J224" s="372" t="str">
        <f aca="false">IF(A224="N/A"," ",IF(ISERROR(P224),J212*Inputs!$F$23,P224))</f>
        <v> </v>
      </c>
      <c r="L224" s="374" t="str">
        <f aca="false">IF(A224="N/A"," ",VLOOKUP(A224,PeakPowerCurves,(IF('Pricing Inputs'!$AT$3=2,3,IF('Pricing Inputs'!$AT$3=1,2,4))),FALSE()))</f>
        <v> </v>
      </c>
      <c r="M224" s="374" t="str">
        <f aca="false">IF(A224="N/A"," ",VLOOKUP(A224,SatSunPeakPwr,(IF('Pricing Inputs'!$AT$3=2,3,IF('Pricing Inputs'!$AT$3=1,2,4))),FALSE()))</f>
        <v> </v>
      </c>
      <c r="N224" s="374" t="str">
        <f aca="false">IF(A224="N/A"," ",VLOOKUP(A224,SatSunPeakPwr,(IF('Pricing Inputs'!$AT$3=2,7,IF('Pricing Inputs'!$AT$3=1,6,8))),FALSE()))</f>
        <v> </v>
      </c>
      <c r="O224" s="375" t="str">
        <f aca="false">IF(A224="N/A"," ",(VLOOKUP(A224,OPPowerPrices,(IF('Pricing Inputs'!$AT$3=2,7,IF('Pricing Inputs'!$AT$3=1,6,8))),FALSE())))</f>
        <v> </v>
      </c>
      <c r="P224" s="376" t="str">
        <f aca="false">IF(A224="N/A"," ",(VLOOKUP(A224,GasCurves,15,FALSE())))</f>
        <v> </v>
      </c>
      <c r="AF224" s="341" t="n">
        <v>43252</v>
      </c>
      <c r="AG224" s="31" t="n">
        <v>21</v>
      </c>
      <c r="AH224" s="31" t="n">
        <v>5</v>
      </c>
      <c r="AI224" s="31" t="n">
        <v>4</v>
      </c>
      <c r="AJ224" s="31" t="n">
        <v>0</v>
      </c>
      <c r="AK224" s="31" t="n">
        <v>30</v>
      </c>
    </row>
    <row r="225" customFormat="false" ht="12.75" hidden="false" customHeight="false" outlineLevel="0" collapsed="false">
      <c r="A225" s="368" t="str">
        <f aca="false">Calculations!A192</f>
        <v>N/A</v>
      </c>
      <c r="B225" s="369" t="str">
        <f aca="false">IF(A225="N/A"," ",IF(ISERROR(L225),B213*Inputs!$F$19,L225))</f>
        <v> </v>
      </c>
      <c r="C225" s="370" t="str">
        <f aca="false">IF(A225="N/A"," ",(IF(AND(MONTH(A225)&gt;=6,MONTH(A225)&lt;=8,OR($K$37="REGION 2",$K$37="REGION 2A",$K$37="REGION 2B",$K$37="REGION 3",$K$37="REGION 3A",$K$37="REGION 3B",$K$37="REGION 4",$K$37="REGION 4B",$K$37="REGION 4C",$K$37="REGION 5",$K$37="REGION 5A")),((0.059228/(B225/100))-(0.4980013/(SQRT(B225/100)))+2.137988),HLOOKUP(MONTH(A225),ScalarTable,28))))</f>
        <v> </v>
      </c>
      <c r="D225" s="371" t="str">
        <f aca="false">IF(A225="N/A"," ",C225*B225)</f>
        <v> </v>
      </c>
      <c r="E225" s="369" t="str">
        <f aca="false">IF(A225="N/A"," ",IF(ISERROR(M225),E213*Inputs!$F$19,M225))</f>
        <v> </v>
      </c>
      <c r="F225" s="371" t="str">
        <f aca="false">IF(A225="N/A"," ",E225*C225)</f>
        <v> </v>
      </c>
      <c r="G225" s="369" t="str">
        <f aca="false">IF(A225="N/A"," ",IF(ISERROR(N225),G213*Inputs!$F$19,N225))</f>
        <v> </v>
      </c>
      <c r="H225" s="371" t="str">
        <f aca="false">IF(A225="N/A"," ",G225*C225)</f>
        <v> </v>
      </c>
      <c r="I225" s="371" t="str">
        <f aca="false">IF(A225="N/A"," ",IF(ISERROR(O225),I213*Inputs!$F$19,O225))</f>
        <v> </v>
      </c>
      <c r="J225" s="372" t="str">
        <f aca="false">IF(A225="N/A"," ",IF(ISERROR(P225),J213*Inputs!$F$23,P225))</f>
        <v> </v>
      </c>
      <c r="L225" s="374" t="str">
        <f aca="false">IF(A225="N/A"," ",VLOOKUP(A225,PeakPowerCurves,(IF('Pricing Inputs'!$AT$3=2,3,IF('Pricing Inputs'!$AT$3=1,2,4))),FALSE()))</f>
        <v> </v>
      </c>
      <c r="M225" s="374" t="str">
        <f aca="false">IF(A225="N/A"," ",VLOOKUP(A225,SatSunPeakPwr,(IF('Pricing Inputs'!$AT$3=2,3,IF('Pricing Inputs'!$AT$3=1,2,4))),FALSE()))</f>
        <v> </v>
      </c>
      <c r="N225" s="374" t="str">
        <f aca="false">IF(A225="N/A"," ",VLOOKUP(A225,SatSunPeakPwr,(IF('Pricing Inputs'!$AT$3=2,7,IF('Pricing Inputs'!$AT$3=1,6,8))),FALSE()))</f>
        <v> </v>
      </c>
      <c r="O225" s="375" t="str">
        <f aca="false">IF(A225="N/A"," ",(VLOOKUP(A225,OPPowerPrices,(IF('Pricing Inputs'!$AT$3=2,7,IF('Pricing Inputs'!$AT$3=1,6,8))),FALSE())))</f>
        <v> </v>
      </c>
      <c r="P225" s="376" t="str">
        <f aca="false">IF(A225="N/A"," ",(VLOOKUP(A225,GasCurves,15,FALSE())))</f>
        <v> </v>
      </c>
      <c r="AF225" s="341" t="n">
        <v>43282</v>
      </c>
      <c r="AG225" s="31" t="n">
        <v>21</v>
      </c>
      <c r="AH225" s="31" t="n">
        <v>4</v>
      </c>
      <c r="AI225" s="31" t="n">
        <v>5</v>
      </c>
      <c r="AJ225" s="31" t="n">
        <v>1</v>
      </c>
      <c r="AK225" s="31" t="n">
        <v>31</v>
      </c>
    </row>
    <row r="226" customFormat="false" ht="12.75" hidden="false" customHeight="false" outlineLevel="0" collapsed="false">
      <c r="A226" s="368" t="str">
        <f aca="false">Calculations!A193</f>
        <v>N/A</v>
      </c>
      <c r="B226" s="369" t="str">
        <f aca="false">IF(A226="N/A"," ",IF(ISERROR(L226),B214*Inputs!$F$19,L226))</f>
        <v> </v>
      </c>
      <c r="C226" s="370" t="str">
        <f aca="false">IF(A226="N/A"," ",(IF(AND(MONTH(A226)&gt;=6,MONTH(A226)&lt;=8,OR($K$37="REGION 2",$K$37="REGION 2A",$K$37="REGION 2B",$K$37="REGION 3",$K$37="REGION 3A",$K$37="REGION 3B",$K$37="REGION 4",$K$37="REGION 4B",$K$37="REGION 4C",$K$37="REGION 5",$K$37="REGION 5A")),((0.059228/(B226/100))-(0.4980013/(SQRT(B226/100)))+2.137988),HLOOKUP(MONTH(A226),ScalarTable,28))))</f>
        <v> </v>
      </c>
      <c r="D226" s="371" t="str">
        <f aca="false">IF(A226="N/A"," ",C226*B226)</f>
        <v> </v>
      </c>
      <c r="E226" s="369" t="str">
        <f aca="false">IF(A226="N/A"," ",IF(ISERROR(M226),E214*Inputs!$F$19,M226))</f>
        <v> </v>
      </c>
      <c r="F226" s="371" t="str">
        <f aca="false">IF(A226="N/A"," ",E226*C226)</f>
        <v> </v>
      </c>
      <c r="G226" s="369" t="str">
        <f aca="false">IF(A226="N/A"," ",IF(ISERROR(N226),G214*Inputs!$F$19,N226))</f>
        <v> </v>
      </c>
      <c r="H226" s="371" t="str">
        <f aca="false">IF(A226="N/A"," ",G226*C226)</f>
        <v> </v>
      </c>
      <c r="I226" s="371" t="str">
        <f aca="false">IF(A226="N/A"," ",IF(ISERROR(O226),I214*Inputs!$F$19,O226))</f>
        <v> </v>
      </c>
      <c r="J226" s="372" t="str">
        <f aca="false">IF(A226="N/A"," ",IF(ISERROR(P226),J214*Inputs!$F$23,P226))</f>
        <v> </v>
      </c>
      <c r="L226" s="374" t="str">
        <f aca="false">IF(A226="N/A"," ",VLOOKUP(A226,PeakPowerCurves,(IF('Pricing Inputs'!$AT$3=2,3,IF('Pricing Inputs'!$AT$3=1,2,4))),FALSE()))</f>
        <v> </v>
      </c>
      <c r="M226" s="374" t="str">
        <f aca="false">IF(A226="N/A"," ",VLOOKUP(A226,SatSunPeakPwr,(IF('Pricing Inputs'!$AT$3=2,3,IF('Pricing Inputs'!$AT$3=1,2,4))),FALSE()))</f>
        <v> </v>
      </c>
      <c r="N226" s="374" t="str">
        <f aca="false">IF(A226="N/A"," ",VLOOKUP(A226,SatSunPeakPwr,(IF('Pricing Inputs'!$AT$3=2,7,IF('Pricing Inputs'!$AT$3=1,6,8))),FALSE()))</f>
        <v> </v>
      </c>
      <c r="O226" s="375" t="str">
        <f aca="false">IF(A226="N/A"," ",(VLOOKUP(A226,OPPowerPrices,(IF('Pricing Inputs'!$AT$3=2,7,IF('Pricing Inputs'!$AT$3=1,6,8))),FALSE())))</f>
        <v> </v>
      </c>
      <c r="P226" s="376" t="str">
        <f aca="false">IF(A226="N/A"," ",(VLOOKUP(A226,GasCurves,15,FALSE())))</f>
        <v> </v>
      </c>
      <c r="AF226" s="341" t="n">
        <v>43313</v>
      </c>
      <c r="AG226" s="31" t="n">
        <v>23</v>
      </c>
      <c r="AH226" s="31" t="n">
        <v>4</v>
      </c>
      <c r="AI226" s="31" t="n">
        <v>4</v>
      </c>
      <c r="AJ226" s="31" t="n">
        <v>0</v>
      </c>
      <c r="AK226" s="31" t="n">
        <v>31</v>
      </c>
    </row>
    <row r="227" customFormat="false" ht="12.75" hidden="false" customHeight="false" outlineLevel="0" collapsed="false">
      <c r="A227" s="368" t="str">
        <f aca="false">Calculations!A194</f>
        <v>N/A</v>
      </c>
      <c r="B227" s="369" t="str">
        <f aca="false">IF(A227="N/A"," ",IF(ISERROR(L227),B215*Inputs!$F$19,L227))</f>
        <v> </v>
      </c>
      <c r="C227" s="370" t="str">
        <f aca="false">IF(A227="N/A"," ",(IF(AND(MONTH(A227)&gt;=6,MONTH(A227)&lt;=8,OR($K$37="REGION 2",$K$37="REGION 2A",$K$37="REGION 2B",$K$37="REGION 3",$K$37="REGION 3A",$K$37="REGION 3B",$K$37="REGION 4",$K$37="REGION 4B",$K$37="REGION 4C",$K$37="REGION 5",$K$37="REGION 5A")),((0.059228/(B227/100))-(0.4980013/(SQRT(B227/100)))+2.137988),HLOOKUP(MONTH(A227),ScalarTable,28))))</f>
        <v> </v>
      </c>
      <c r="D227" s="371" t="str">
        <f aca="false">IF(A227="N/A"," ",C227*B227)</f>
        <v> </v>
      </c>
      <c r="E227" s="369" t="str">
        <f aca="false">IF(A227="N/A"," ",IF(ISERROR(M227),E215*Inputs!$F$19,M227))</f>
        <v> </v>
      </c>
      <c r="F227" s="371" t="str">
        <f aca="false">IF(A227="N/A"," ",E227*C227)</f>
        <v> </v>
      </c>
      <c r="G227" s="369" t="str">
        <f aca="false">IF(A227="N/A"," ",IF(ISERROR(N227),G215*Inputs!$F$19,N227))</f>
        <v> </v>
      </c>
      <c r="H227" s="371" t="str">
        <f aca="false">IF(A227="N/A"," ",G227*C227)</f>
        <v> </v>
      </c>
      <c r="I227" s="371" t="str">
        <f aca="false">IF(A227="N/A"," ",IF(ISERROR(O227),I215*Inputs!$F$19,O227))</f>
        <v> </v>
      </c>
      <c r="J227" s="372" t="str">
        <f aca="false">IF(A227="N/A"," ",IF(ISERROR(P227),J215*Inputs!$F$23,P227))</f>
        <v> </v>
      </c>
      <c r="L227" s="374" t="str">
        <f aca="false">IF(A227="N/A"," ",VLOOKUP(A227,PeakPowerCurves,(IF('Pricing Inputs'!$AT$3=2,3,IF('Pricing Inputs'!$AT$3=1,2,4))),FALSE()))</f>
        <v> </v>
      </c>
      <c r="M227" s="374" t="str">
        <f aca="false">IF(A227="N/A"," ",VLOOKUP(A227,SatSunPeakPwr,(IF('Pricing Inputs'!$AT$3=2,3,IF('Pricing Inputs'!$AT$3=1,2,4))),FALSE()))</f>
        <v> </v>
      </c>
      <c r="N227" s="374" t="str">
        <f aca="false">IF(A227="N/A"," ",VLOOKUP(A227,SatSunPeakPwr,(IF('Pricing Inputs'!$AT$3=2,7,IF('Pricing Inputs'!$AT$3=1,6,8))),FALSE()))</f>
        <v> </v>
      </c>
      <c r="O227" s="375" t="str">
        <f aca="false">IF(A227="N/A"," ",(VLOOKUP(A227,OPPowerPrices,(IF('Pricing Inputs'!$AT$3=2,7,IF('Pricing Inputs'!$AT$3=1,6,8))),FALSE())))</f>
        <v> </v>
      </c>
      <c r="P227" s="376" t="str">
        <f aca="false">IF(A227="N/A"," ",(VLOOKUP(A227,GasCurves,15,FALSE())))</f>
        <v> </v>
      </c>
      <c r="AF227" s="341" t="n">
        <v>43344</v>
      </c>
      <c r="AG227" s="31" t="n">
        <v>19</v>
      </c>
      <c r="AH227" s="31" t="n">
        <v>5</v>
      </c>
      <c r="AI227" s="31" t="n">
        <v>5</v>
      </c>
      <c r="AJ227" s="31" t="n">
        <v>1</v>
      </c>
      <c r="AK227" s="31" t="n">
        <v>30</v>
      </c>
    </row>
    <row r="228" customFormat="false" ht="12.75" hidden="false" customHeight="false" outlineLevel="0" collapsed="false">
      <c r="A228" s="368" t="str">
        <f aca="false">Calculations!A195</f>
        <v>N/A</v>
      </c>
      <c r="B228" s="369" t="str">
        <f aca="false">IF(A228="N/A"," ",IF(ISERROR(L228),B216*Inputs!$F$19,L228))</f>
        <v> </v>
      </c>
      <c r="C228" s="370" t="str">
        <f aca="false">IF(A228="N/A"," ",(IF(AND(MONTH(A228)&gt;=6,MONTH(A228)&lt;=8,OR($K$37="REGION 2",$K$37="REGION 2A",$K$37="REGION 2B",$K$37="REGION 3",$K$37="REGION 3A",$K$37="REGION 3B",$K$37="REGION 4",$K$37="REGION 4B",$K$37="REGION 4C",$K$37="REGION 5",$K$37="REGION 5A")),((0.059228/(B228/100))-(0.4980013/(SQRT(B228/100)))+2.137988),HLOOKUP(MONTH(A228),ScalarTable,28))))</f>
        <v> </v>
      </c>
      <c r="D228" s="371" t="str">
        <f aca="false">IF(A228="N/A"," ",C228*B228)</f>
        <v> </v>
      </c>
      <c r="E228" s="369" t="str">
        <f aca="false">IF(A228="N/A"," ",IF(ISERROR(M228),E216*Inputs!$F$19,M228))</f>
        <v> </v>
      </c>
      <c r="F228" s="371" t="str">
        <f aca="false">IF(A228="N/A"," ",E228*C228)</f>
        <v> </v>
      </c>
      <c r="G228" s="369" t="str">
        <f aca="false">IF(A228="N/A"," ",IF(ISERROR(N228),G216*Inputs!$F$19,N228))</f>
        <v> </v>
      </c>
      <c r="H228" s="371" t="str">
        <f aca="false">IF(A228="N/A"," ",G228*C228)</f>
        <v> </v>
      </c>
      <c r="I228" s="371" t="str">
        <f aca="false">IF(A228="N/A"," ",IF(ISERROR(O228),I216*Inputs!$F$19,O228))</f>
        <v> </v>
      </c>
      <c r="J228" s="372" t="str">
        <f aca="false">IF(A228="N/A"," ",IF(ISERROR(P228),J216*Inputs!$F$23,P228))</f>
        <v> </v>
      </c>
      <c r="L228" s="374" t="str">
        <f aca="false">IF(A228="N/A"," ",VLOOKUP(A228,PeakPowerCurves,(IF('Pricing Inputs'!$AT$3=2,3,IF('Pricing Inputs'!$AT$3=1,2,4))),FALSE()))</f>
        <v> </v>
      </c>
      <c r="M228" s="374" t="str">
        <f aca="false">IF(A228="N/A"," ",VLOOKUP(A228,SatSunPeakPwr,(IF('Pricing Inputs'!$AT$3=2,3,IF('Pricing Inputs'!$AT$3=1,2,4))),FALSE()))</f>
        <v> </v>
      </c>
      <c r="N228" s="374" t="str">
        <f aca="false">IF(A228="N/A"," ",VLOOKUP(A228,SatSunPeakPwr,(IF('Pricing Inputs'!$AT$3=2,7,IF('Pricing Inputs'!$AT$3=1,6,8))),FALSE()))</f>
        <v> </v>
      </c>
      <c r="O228" s="375" t="str">
        <f aca="false">IF(A228="N/A"," ",(VLOOKUP(A228,OPPowerPrices,(IF('Pricing Inputs'!$AT$3=2,7,IF('Pricing Inputs'!$AT$3=1,6,8))),FALSE())))</f>
        <v> </v>
      </c>
      <c r="P228" s="376" t="str">
        <f aca="false">IF(A228="N/A"," ",(VLOOKUP(A228,GasCurves,15,FALSE())))</f>
        <v> </v>
      </c>
      <c r="AF228" s="341" t="n">
        <v>43374</v>
      </c>
      <c r="AG228" s="31" t="n">
        <v>23</v>
      </c>
      <c r="AH228" s="31" t="n">
        <v>4</v>
      </c>
      <c r="AI228" s="31" t="n">
        <v>4</v>
      </c>
      <c r="AJ228" s="31" t="n">
        <v>0</v>
      </c>
      <c r="AK228" s="31" t="n">
        <v>31</v>
      </c>
    </row>
    <row r="229" customFormat="false" ht="12.75" hidden="false" customHeight="false" outlineLevel="0" collapsed="false">
      <c r="A229" s="368" t="str">
        <f aca="false">Calculations!A196</f>
        <v>N/A</v>
      </c>
      <c r="B229" s="369" t="str">
        <f aca="false">IF(A229="N/A"," ",IF(ISERROR(L229),B217*Inputs!$F$19,L229))</f>
        <v> </v>
      </c>
      <c r="C229" s="370" t="str">
        <f aca="false">IF(A229="N/A"," ",(IF(AND(MONTH(A229)&gt;=6,MONTH(A229)&lt;=8,OR($K$37="REGION 2",$K$37="REGION 2A",$K$37="REGION 2B",$K$37="REGION 3",$K$37="REGION 3A",$K$37="REGION 3B",$K$37="REGION 4",$K$37="REGION 4B",$K$37="REGION 4C",$K$37="REGION 5",$K$37="REGION 5A")),((0.059228/(B229/100))-(0.4980013/(SQRT(B229/100)))+2.137988),HLOOKUP(MONTH(A229),ScalarTable,28))))</f>
        <v> </v>
      </c>
      <c r="D229" s="371" t="str">
        <f aca="false">IF(A229="N/A"," ",C229*B229)</f>
        <v> </v>
      </c>
      <c r="E229" s="369" t="str">
        <f aca="false">IF(A229="N/A"," ",IF(ISERROR(M229),E217*Inputs!$F$19,M229))</f>
        <v> </v>
      </c>
      <c r="F229" s="371" t="str">
        <f aca="false">IF(A229="N/A"," ",E229*C229)</f>
        <v> </v>
      </c>
      <c r="G229" s="369" t="str">
        <f aca="false">IF(A229="N/A"," ",IF(ISERROR(N229),G217*Inputs!$F$19,N229))</f>
        <v> </v>
      </c>
      <c r="H229" s="371" t="str">
        <f aca="false">IF(A229="N/A"," ",G229*C229)</f>
        <v> </v>
      </c>
      <c r="I229" s="371" t="str">
        <f aca="false">IF(A229="N/A"," ",IF(ISERROR(O229),I217*Inputs!$F$19,O229))</f>
        <v> </v>
      </c>
      <c r="J229" s="372" t="str">
        <f aca="false">IF(A229="N/A"," ",IF(ISERROR(P229),J217*Inputs!$F$23,P229))</f>
        <v> </v>
      </c>
      <c r="L229" s="374" t="str">
        <f aca="false">IF(A229="N/A"," ",VLOOKUP(A229,PeakPowerCurves,(IF('Pricing Inputs'!$AT$3=2,3,IF('Pricing Inputs'!$AT$3=1,2,4))),FALSE()))</f>
        <v> </v>
      </c>
      <c r="M229" s="374" t="str">
        <f aca="false">IF(A229="N/A"," ",VLOOKUP(A229,SatSunPeakPwr,(IF('Pricing Inputs'!$AT$3=2,3,IF('Pricing Inputs'!$AT$3=1,2,4))),FALSE()))</f>
        <v> </v>
      </c>
      <c r="N229" s="374" t="str">
        <f aca="false">IF(A229="N/A"," ",VLOOKUP(A229,SatSunPeakPwr,(IF('Pricing Inputs'!$AT$3=2,7,IF('Pricing Inputs'!$AT$3=1,6,8))),FALSE()))</f>
        <v> </v>
      </c>
      <c r="O229" s="375" t="str">
        <f aca="false">IF(A229="N/A"," ",(VLOOKUP(A229,OPPowerPrices,(IF('Pricing Inputs'!$AT$3=2,7,IF('Pricing Inputs'!$AT$3=1,6,8))),FALSE())))</f>
        <v> </v>
      </c>
      <c r="P229" s="376" t="str">
        <f aca="false">IF(A229="N/A"," ",(VLOOKUP(A229,GasCurves,15,FALSE())))</f>
        <v> </v>
      </c>
      <c r="AF229" s="341" t="n">
        <v>43405</v>
      </c>
      <c r="AG229" s="31" t="n">
        <v>21</v>
      </c>
      <c r="AH229" s="31" t="n">
        <v>4</v>
      </c>
      <c r="AI229" s="31" t="n">
        <v>4</v>
      </c>
      <c r="AJ229" s="31" t="n">
        <v>1</v>
      </c>
      <c r="AK229" s="31" t="n">
        <v>30</v>
      </c>
    </row>
    <row r="230" customFormat="false" ht="12.75" hidden="false" customHeight="false" outlineLevel="0" collapsed="false">
      <c r="A230" s="368" t="str">
        <f aca="false">Calculations!A197</f>
        <v>N/A</v>
      </c>
      <c r="B230" s="369" t="str">
        <f aca="false">IF(A230="N/A"," ",IF(ISERROR(L230),B218*Inputs!$F$19,L230))</f>
        <v> </v>
      </c>
      <c r="C230" s="370" t="str">
        <f aca="false">IF(A230="N/A"," ",(IF(AND(MONTH(A230)&gt;=6,MONTH(A230)&lt;=8,OR($K$37="REGION 2",$K$37="REGION 2A",$K$37="REGION 2B",$K$37="REGION 3",$K$37="REGION 3A",$K$37="REGION 3B",$K$37="REGION 4",$K$37="REGION 4B",$K$37="REGION 4C",$K$37="REGION 5",$K$37="REGION 5A")),((0.059228/(B230/100))-(0.4980013/(SQRT(B230/100)))+2.137988),HLOOKUP(MONTH(A230),ScalarTable,28))))</f>
        <v> </v>
      </c>
      <c r="D230" s="371" t="str">
        <f aca="false">IF(A230="N/A"," ",C230*B230)</f>
        <v> </v>
      </c>
      <c r="E230" s="369" t="str">
        <f aca="false">IF(A230="N/A"," ",IF(ISERROR(M230),E218*Inputs!$F$19,M230))</f>
        <v> </v>
      </c>
      <c r="F230" s="371" t="str">
        <f aca="false">IF(A230="N/A"," ",E230*C230)</f>
        <v> </v>
      </c>
      <c r="G230" s="369" t="str">
        <f aca="false">IF(A230="N/A"," ",IF(ISERROR(N230),G218*Inputs!$F$19,N230))</f>
        <v> </v>
      </c>
      <c r="H230" s="371" t="str">
        <f aca="false">IF(A230="N/A"," ",G230*C230)</f>
        <v> </v>
      </c>
      <c r="I230" s="371" t="str">
        <f aca="false">IF(A230="N/A"," ",IF(ISERROR(O230),I218*Inputs!$F$19,O230))</f>
        <v> </v>
      </c>
      <c r="J230" s="372" t="str">
        <f aca="false">IF(A230="N/A"," ",IF(ISERROR(P230),J218*Inputs!$F$23,P230))</f>
        <v> </v>
      </c>
      <c r="L230" s="374" t="str">
        <f aca="false">IF(A230="N/A"," ",VLOOKUP(A230,PeakPowerCurves,(IF('Pricing Inputs'!$AT$3=2,3,IF('Pricing Inputs'!$AT$3=1,2,4))),FALSE()))</f>
        <v> </v>
      </c>
      <c r="M230" s="374" t="str">
        <f aca="false">IF(A230="N/A"," ",VLOOKUP(A230,SatSunPeakPwr,(IF('Pricing Inputs'!$AT$3=2,3,IF('Pricing Inputs'!$AT$3=1,2,4))),FALSE()))</f>
        <v> </v>
      </c>
      <c r="N230" s="374" t="str">
        <f aca="false">IF(A230="N/A"," ",VLOOKUP(A230,SatSunPeakPwr,(IF('Pricing Inputs'!$AT$3=2,7,IF('Pricing Inputs'!$AT$3=1,6,8))),FALSE()))</f>
        <v> </v>
      </c>
      <c r="O230" s="375" t="str">
        <f aca="false">IF(A230="N/A"," ",(VLOOKUP(A230,OPPowerPrices,(IF('Pricing Inputs'!$AT$3=2,7,IF('Pricing Inputs'!$AT$3=1,6,8))),FALSE())))</f>
        <v> </v>
      </c>
      <c r="P230" s="376" t="str">
        <f aca="false">IF(A230="N/A"," ",(VLOOKUP(A230,GasCurves,15,FALSE())))</f>
        <v> </v>
      </c>
      <c r="AF230" s="341" t="n">
        <v>43435</v>
      </c>
      <c r="AG230" s="31" t="n">
        <v>20</v>
      </c>
      <c r="AH230" s="31" t="n">
        <v>5</v>
      </c>
      <c r="AI230" s="31" t="n">
        <v>5</v>
      </c>
      <c r="AJ230" s="31" t="n">
        <v>1</v>
      </c>
      <c r="AK230" s="31" t="n">
        <v>31</v>
      </c>
    </row>
    <row r="231" customFormat="false" ht="12.75" hidden="false" customHeight="false" outlineLevel="0" collapsed="false">
      <c r="A231" s="368" t="str">
        <f aca="false">Calculations!A198</f>
        <v>N/A</v>
      </c>
      <c r="B231" s="369" t="str">
        <f aca="false">IF(A231="N/A"," ",IF(ISERROR(L231),B219*Inputs!$F$19,L231))</f>
        <v> </v>
      </c>
      <c r="C231" s="370" t="str">
        <f aca="false">IF(A231="N/A"," ",(IF(AND(MONTH(A231)&gt;=6,MONTH(A231)&lt;=8,OR($K$37="REGION 2",$K$37="REGION 2A",$K$37="REGION 2B",$K$37="REGION 3",$K$37="REGION 3A",$K$37="REGION 3B",$K$37="REGION 4",$K$37="REGION 4B",$K$37="REGION 4C",$K$37="REGION 5",$K$37="REGION 5A")),((0.059228/(B231/100))-(0.4980013/(SQRT(B231/100)))+2.137988),HLOOKUP(MONTH(A231),ScalarTable,28))))</f>
        <v> </v>
      </c>
      <c r="D231" s="371" t="str">
        <f aca="false">IF(A231="N/A"," ",C231*B231)</f>
        <v> </v>
      </c>
      <c r="E231" s="369" t="str">
        <f aca="false">IF(A231="N/A"," ",IF(ISERROR(M231),E219*Inputs!$F$19,M231))</f>
        <v> </v>
      </c>
      <c r="F231" s="371" t="str">
        <f aca="false">IF(A231="N/A"," ",E231*C231)</f>
        <v> </v>
      </c>
      <c r="G231" s="369" t="str">
        <f aca="false">IF(A231="N/A"," ",IF(ISERROR(N231),G219*Inputs!$F$19,N231))</f>
        <v> </v>
      </c>
      <c r="H231" s="371" t="str">
        <f aca="false">IF(A231="N/A"," ",G231*C231)</f>
        <v> </v>
      </c>
      <c r="I231" s="371" t="str">
        <f aca="false">IF(A231="N/A"," ",IF(ISERROR(O231),I219*Inputs!$F$19,O231))</f>
        <v> </v>
      </c>
      <c r="J231" s="372" t="str">
        <f aca="false">IF(A231="N/A"," ",IF(ISERROR(P231),J219*Inputs!$F$23,P231))</f>
        <v> </v>
      </c>
      <c r="L231" s="374" t="str">
        <f aca="false">IF(A231="N/A"," ",VLOOKUP(A231,PeakPowerCurves,(IF('Pricing Inputs'!$AT$3=2,3,IF('Pricing Inputs'!$AT$3=1,2,4))),FALSE()))</f>
        <v> </v>
      </c>
      <c r="M231" s="374" t="str">
        <f aca="false">IF(A231="N/A"," ",VLOOKUP(A231,SatSunPeakPwr,(IF('Pricing Inputs'!$AT$3=2,3,IF('Pricing Inputs'!$AT$3=1,2,4))),FALSE()))</f>
        <v> </v>
      </c>
      <c r="N231" s="374" t="str">
        <f aca="false">IF(A231="N/A"," ",VLOOKUP(A231,SatSunPeakPwr,(IF('Pricing Inputs'!$AT$3=2,7,IF('Pricing Inputs'!$AT$3=1,6,8))),FALSE()))</f>
        <v> </v>
      </c>
      <c r="O231" s="375" t="str">
        <f aca="false">IF(A231="N/A"," ",(VLOOKUP(A231,OPPowerPrices,(IF('Pricing Inputs'!$AT$3=2,7,IF('Pricing Inputs'!$AT$3=1,6,8))),FALSE())))</f>
        <v> </v>
      </c>
      <c r="P231" s="376" t="str">
        <f aca="false">IF(A231="N/A"," ",(VLOOKUP(A231,GasCurves,15,FALSE())))</f>
        <v> </v>
      </c>
      <c r="AF231" s="341" t="n">
        <v>43466</v>
      </c>
      <c r="AG231" s="31" t="n">
        <v>22</v>
      </c>
      <c r="AH231" s="31" t="n">
        <v>4</v>
      </c>
      <c r="AI231" s="31" t="n">
        <v>4</v>
      </c>
      <c r="AJ231" s="31" t="n">
        <v>1</v>
      </c>
      <c r="AK231" s="31" t="n">
        <v>31</v>
      </c>
    </row>
    <row r="232" customFormat="false" ht="12.75" hidden="false" customHeight="false" outlineLevel="0" collapsed="false">
      <c r="A232" s="368" t="str">
        <f aca="false">Calculations!A199</f>
        <v>N/A</v>
      </c>
      <c r="B232" s="369" t="str">
        <f aca="false">IF(A232="N/A"," ",IF(ISERROR(L232),B220*Inputs!$F$19,L232))</f>
        <v> </v>
      </c>
      <c r="C232" s="370" t="str">
        <f aca="false">IF(A232="N/A"," ",(IF(AND(MONTH(A232)&gt;=6,MONTH(A232)&lt;=8,OR($K$37="REGION 2",$K$37="REGION 2A",$K$37="REGION 2B",$K$37="REGION 3",$K$37="REGION 3A",$K$37="REGION 3B",$K$37="REGION 4",$K$37="REGION 4B",$K$37="REGION 4C",$K$37="REGION 5",$K$37="REGION 5A")),((0.059228/(B232/100))-(0.4980013/(SQRT(B232/100)))+2.137988),HLOOKUP(MONTH(A232),ScalarTable,28))))</f>
        <v> </v>
      </c>
      <c r="D232" s="371" t="str">
        <f aca="false">IF(A232="N/A"," ",C232*B232)</f>
        <v> </v>
      </c>
      <c r="E232" s="369" t="str">
        <f aca="false">IF(A232="N/A"," ",IF(ISERROR(M232),E220*Inputs!$F$19,M232))</f>
        <v> </v>
      </c>
      <c r="F232" s="371" t="str">
        <f aca="false">IF(A232="N/A"," ",E232*C232)</f>
        <v> </v>
      </c>
      <c r="G232" s="369" t="str">
        <f aca="false">IF(A232="N/A"," ",IF(ISERROR(N232),G220*Inputs!$F$19,N232))</f>
        <v> </v>
      </c>
      <c r="H232" s="371" t="str">
        <f aca="false">IF(A232="N/A"," ",G232*C232)</f>
        <v> </v>
      </c>
      <c r="I232" s="371" t="str">
        <f aca="false">IF(A232="N/A"," ",IF(ISERROR(O232),I220*Inputs!$F$19,O232))</f>
        <v> </v>
      </c>
      <c r="J232" s="372" t="str">
        <f aca="false">IF(A232="N/A"," ",IF(ISERROR(P232),J220*Inputs!$F$23,P232))</f>
        <v> </v>
      </c>
      <c r="L232" s="374" t="str">
        <f aca="false">IF(A232="N/A"," ",VLOOKUP(A232,PeakPowerCurves,(IF('Pricing Inputs'!$AT$3=2,3,IF('Pricing Inputs'!$AT$3=1,2,4))),FALSE()))</f>
        <v> </v>
      </c>
      <c r="M232" s="374" t="str">
        <f aca="false">IF(A232="N/A"," ",VLOOKUP(A232,SatSunPeakPwr,(IF('Pricing Inputs'!$AT$3=2,3,IF('Pricing Inputs'!$AT$3=1,2,4))),FALSE()))</f>
        <v> </v>
      </c>
      <c r="N232" s="374" t="str">
        <f aca="false">IF(A232="N/A"," ",VLOOKUP(A232,SatSunPeakPwr,(IF('Pricing Inputs'!$AT$3=2,7,IF('Pricing Inputs'!$AT$3=1,6,8))),FALSE()))</f>
        <v> </v>
      </c>
      <c r="O232" s="375" t="str">
        <f aca="false">IF(A232="N/A"," ",(VLOOKUP(A232,OPPowerPrices,(IF('Pricing Inputs'!$AT$3=2,7,IF('Pricing Inputs'!$AT$3=1,6,8))),FALSE())))</f>
        <v> </v>
      </c>
      <c r="P232" s="376" t="str">
        <f aca="false">IF(A232="N/A"," ",(VLOOKUP(A232,GasCurves,15,FALSE())))</f>
        <v> </v>
      </c>
      <c r="AF232" s="341" t="n">
        <v>43497</v>
      </c>
      <c r="AG232" s="31" t="n">
        <v>20</v>
      </c>
      <c r="AH232" s="31" t="n">
        <v>4</v>
      </c>
      <c r="AI232" s="31" t="n">
        <v>4</v>
      </c>
      <c r="AJ232" s="31" t="n">
        <v>0</v>
      </c>
      <c r="AK232" s="31" t="n">
        <v>28</v>
      </c>
    </row>
    <row r="233" customFormat="false" ht="12.75" hidden="false" customHeight="false" outlineLevel="0" collapsed="false">
      <c r="A233" s="368" t="str">
        <f aca="false">Calculations!A200</f>
        <v>N/A</v>
      </c>
      <c r="B233" s="369" t="str">
        <f aca="false">IF(A233="N/A"," ",IF(ISERROR(L233),B221*Inputs!$F$19,L233))</f>
        <v> </v>
      </c>
      <c r="C233" s="370" t="str">
        <f aca="false">IF(A233="N/A"," ",(IF(AND(MONTH(A233)&gt;=6,MONTH(A233)&lt;=8,OR($K$37="REGION 2",$K$37="REGION 2A",$K$37="REGION 2B",$K$37="REGION 3",$K$37="REGION 3A",$K$37="REGION 3B",$K$37="REGION 4",$K$37="REGION 4B",$K$37="REGION 4C",$K$37="REGION 5",$K$37="REGION 5A")),((0.059228/(B233/100))-(0.4980013/(SQRT(B233/100)))+2.137988),HLOOKUP(MONTH(A233),ScalarTable,28))))</f>
        <v> </v>
      </c>
      <c r="D233" s="371" t="str">
        <f aca="false">IF(A233="N/A"," ",C233*B233)</f>
        <v> </v>
      </c>
      <c r="E233" s="369" t="str">
        <f aca="false">IF(A233="N/A"," ",IF(ISERROR(M233),E221*Inputs!$F$19,M233))</f>
        <v> </v>
      </c>
      <c r="F233" s="371" t="str">
        <f aca="false">IF(A233="N/A"," ",E233*C233)</f>
        <v> </v>
      </c>
      <c r="G233" s="369" t="str">
        <f aca="false">IF(A233="N/A"," ",IF(ISERROR(N233),G221*Inputs!$F$19,N233))</f>
        <v> </v>
      </c>
      <c r="H233" s="371" t="str">
        <f aca="false">IF(A233="N/A"," ",G233*C233)</f>
        <v> </v>
      </c>
      <c r="I233" s="371" t="str">
        <f aca="false">IF(A233="N/A"," ",IF(ISERROR(O233),I221*Inputs!$F$19,O233))</f>
        <v> </v>
      </c>
      <c r="J233" s="372" t="str">
        <f aca="false">IF(A233="N/A"," ",IF(ISERROR(P233),J221*Inputs!$F$23,P233))</f>
        <v> </v>
      </c>
      <c r="L233" s="374" t="str">
        <f aca="false">IF(A233="N/A"," ",VLOOKUP(A233,PeakPowerCurves,(IF('Pricing Inputs'!$AT$3=2,3,IF('Pricing Inputs'!$AT$3=1,2,4))),FALSE()))</f>
        <v> </v>
      </c>
      <c r="M233" s="374" t="str">
        <f aca="false">IF(A233="N/A"," ",VLOOKUP(A233,SatSunPeakPwr,(IF('Pricing Inputs'!$AT$3=2,3,IF('Pricing Inputs'!$AT$3=1,2,4))),FALSE()))</f>
        <v> </v>
      </c>
      <c r="N233" s="374" t="str">
        <f aca="false">IF(A233="N/A"," ",VLOOKUP(A233,SatSunPeakPwr,(IF('Pricing Inputs'!$AT$3=2,7,IF('Pricing Inputs'!$AT$3=1,6,8))),FALSE()))</f>
        <v> </v>
      </c>
      <c r="O233" s="375" t="str">
        <f aca="false">IF(A233="N/A"," ",(VLOOKUP(A233,OPPowerPrices,(IF('Pricing Inputs'!$AT$3=2,7,IF('Pricing Inputs'!$AT$3=1,6,8))),FALSE())))</f>
        <v> </v>
      </c>
      <c r="P233" s="376" t="str">
        <f aca="false">IF(A233="N/A"," ",(VLOOKUP(A233,GasCurves,15,FALSE())))</f>
        <v> </v>
      </c>
      <c r="AF233" s="341" t="n">
        <v>43525</v>
      </c>
      <c r="AG233" s="31" t="n">
        <v>21</v>
      </c>
      <c r="AH233" s="31" t="n">
        <v>5</v>
      </c>
      <c r="AI233" s="31" t="n">
        <v>5</v>
      </c>
      <c r="AJ233" s="31" t="n">
        <v>0</v>
      </c>
      <c r="AK233" s="31" t="n">
        <v>31</v>
      </c>
    </row>
    <row r="234" customFormat="false" ht="12.75" hidden="false" customHeight="false" outlineLevel="0" collapsed="false">
      <c r="A234" s="368" t="str">
        <f aca="false">Calculations!A201</f>
        <v>N/A</v>
      </c>
      <c r="B234" s="369" t="str">
        <f aca="false">IF(A234="N/A"," ",IF(ISERROR(L234),B222*Inputs!$F$19,L234))</f>
        <v> </v>
      </c>
      <c r="C234" s="370" t="str">
        <f aca="false">IF(A234="N/A"," ",(IF(AND(MONTH(A234)&gt;=6,MONTH(A234)&lt;=8,OR($K$37="REGION 2",$K$37="REGION 2A",$K$37="REGION 2B",$K$37="REGION 3",$K$37="REGION 3A",$K$37="REGION 3B",$K$37="REGION 4",$K$37="REGION 4B",$K$37="REGION 4C",$K$37="REGION 5",$K$37="REGION 5A")),((0.059228/(B234/100))-(0.4980013/(SQRT(B234/100)))+2.137988),HLOOKUP(MONTH(A234),ScalarTable,28))))</f>
        <v> </v>
      </c>
      <c r="D234" s="371" t="str">
        <f aca="false">IF(A234="N/A"," ",C234*B234)</f>
        <v> </v>
      </c>
      <c r="E234" s="369" t="str">
        <f aca="false">IF(A234="N/A"," ",IF(ISERROR(M234),E222*Inputs!$F$19,M234))</f>
        <v> </v>
      </c>
      <c r="F234" s="371" t="str">
        <f aca="false">IF(A234="N/A"," ",E234*C234)</f>
        <v> </v>
      </c>
      <c r="G234" s="369" t="str">
        <f aca="false">IF(A234="N/A"," ",IF(ISERROR(N234),G222*Inputs!$F$19,N234))</f>
        <v> </v>
      </c>
      <c r="H234" s="371" t="str">
        <f aca="false">IF(A234="N/A"," ",G234*C234)</f>
        <v> </v>
      </c>
      <c r="I234" s="371" t="str">
        <f aca="false">IF(A234="N/A"," ",IF(ISERROR(O234),I222*Inputs!$F$19,O234))</f>
        <v> </v>
      </c>
      <c r="J234" s="372" t="str">
        <f aca="false">IF(A234="N/A"," ",IF(ISERROR(P234),J222*Inputs!$F$23,P234))</f>
        <v> </v>
      </c>
      <c r="L234" s="374" t="str">
        <f aca="false">IF(A234="N/A"," ",VLOOKUP(A234,PeakPowerCurves,(IF('Pricing Inputs'!$AT$3=2,3,IF('Pricing Inputs'!$AT$3=1,2,4))),FALSE()))</f>
        <v> </v>
      </c>
      <c r="M234" s="374" t="str">
        <f aca="false">IF(A234="N/A"," ",VLOOKUP(A234,SatSunPeakPwr,(IF('Pricing Inputs'!$AT$3=2,3,IF('Pricing Inputs'!$AT$3=1,2,4))),FALSE()))</f>
        <v> </v>
      </c>
      <c r="N234" s="374" t="str">
        <f aca="false">IF(A234="N/A"," ",VLOOKUP(A234,SatSunPeakPwr,(IF('Pricing Inputs'!$AT$3=2,7,IF('Pricing Inputs'!$AT$3=1,6,8))),FALSE()))</f>
        <v> </v>
      </c>
      <c r="O234" s="375" t="str">
        <f aca="false">IF(A234="N/A"," ",(VLOOKUP(A234,OPPowerPrices,(IF('Pricing Inputs'!$AT$3=2,7,IF('Pricing Inputs'!$AT$3=1,6,8))),FALSE())))</f>
        <v> </v>
      </c>
      <c r="P234" s="376" t="str">
        <f aca="false">IF(A234="N/A"," ",(VLOOKUP(A234,GasCurves,15,FALSE())))</f>
        <v> </v>
      </c>
      <c r="AF234" s="341" t="n">
        <v>43556</v>
      </c>
      <c r="AG234" s="31" t="n">
        <v>22</v>
      </c>
      <c r="AH234" s="31" t="n">
        <v>4</v>
      </c>
      <c r="AI234" s="31" t="n">
        <v>4</v>
      </c>
      <c r="AJ234" s="31" t="n">
        <v>0</v>
      </c>
      <c r="AK234" s="31" t="n">
        <v>30</v>
      </c>
    </row>
    <row r="235" customFormat="false" ht="12.75" hidden="false" customHeight="false" outlineLevel="0" collapsed="false">
      <c r="A235" s="368" t="str">
        <f aca="false">Calculations!A202</f>
        <v>N/A</v>
      </c>
      <c r="B235" s="369" t="str">
        <f aca="false">IF(A235="N/A"," ",IF(ISERROR(L235),B223*Inputs!$F$19,L235))</f>
        <v> </v>
      </c>
      <c r="C235" s="370" t="str">
        <f aca="false">IF(A235="N/A"," ",(IF(AND(MONTH(A235)&gt;=6,MONTH(A235)&lt;=8,OR($K$37="REGION 2",$K$37="REGION 2A",$K$37="REGION 2B",$K$37="REGION 3",$K$37="REGION 3A",$K$37="REGION 3B",$K$37="REGION 4",$K$37="REGION 4B",$K$37="REGION 4C",$K$37="REGION 5",$K$37="REGION 5A")),((0.059228/(B235/100))-(0.4980013/(SQRT(B235/100)))+2.137988),HLOOKUP(MONTH(A235),ScalarTable,28))))</f>
        <v> </v>
      </c>
      <c r="D235" s="371" t="str">
        <f aca="false">IF(A235="N/A"," ",C235*B235)</f>
        <v> </v>
      </c>
      <c r="E235" s="369" t="str">
        <f aca="false">IF(A235="N/A"," ",IF(ISERROR(M235),E223*Inputs!$F$19,M235))</f>
        <v> </v>
      </c>
      <c r="F235" s="371" t="str">
        <f aca="false">IF(A235="N/A"," ",E235*C235)</f>
        <v> </v>
      </c>
      <c r="G235" s="369" t="str">
        <f aca="false">IF(A235="N/A"," ",IF(ISERROR(N235),G223*Inputs!$F$19,N235))</f>
        <v> </v>
      </c>
      <c r="H235" s="371" t="str">
        <f aca="false">IF(A235="N/A"," ",G235*C235)</f>
        <v> </v>
      </c>
      <c r="I235" s="371" t="str">
        <f aca="false">IF(A235="N/A"," ",IF(ISERROR(O235),I223*Inputs!$F$19,O235))</f>
        <v> </v>
      </c>
      <c r="J235" s="372" t="str">
        <f aca="false">IF(A235="N/A"," ",IF(ISERROR(P235),J223*Inputs!$F$23,P235))</f>
        <v> </v>
      </c>
      <c r="L235" s="374" t="str">
        <f aca="false">IF(A235="N/A"," ",VLOOKUP(A235,PeakPowerCurves,(IF('Pricing Inputs'!$AT$3=2,3,IF('Pricing Inputs'!$AT$3=1,2,4))),FALSE()))</f>
        <v> </v>
      </c>
      <c r="M235" s="374" t="str">
        <f aca="false">IF(A235="N/A"," ",VLOOKUP(A235,SatSunPeakPwr,(IF('Pricing Inputs'!$AT$3=2,3,IF('Pricing Inputs'!$AT$3=1,2,4))),FALSE()))</f>
        <v> </v>
      </c>
      <c r="N235" s="374" t="str">
        <f aca="false">IF(A235="N/A"," ",VLOOKUP(A235,SatSunPeakPwr,(IF('Pricing Inputs'!$AT$3=2,7,IF('Pricing Inputs'!$AT$3=1,6,8))),FALSE()))</f>
        <v> </v>
      </c>
      <c r="O235" s="375" t="str">
        <f aca="false">IF(A235="N/A"," ",(VLOOKUP(A235,OPPowerPrices,(IF('Pricing Inputs'!$AT$3=2,7,IF('Pricing Inputs'!$AT$3=1,6,8))),FALSE())))</f>
        <v> </v>
      </c>
      <c r="P235" s="376" t="str">
        <f aca="false">IF(A235="N/A"," ",(VLOOKUP(A235,GasCurves,15,FALSE())))</f>
        <v> </v>
      </c>
      <c r="AF235" s="341" t="n">
        <v>43586</v>
      </c>
      <c r="AG235" s="31" t="n">
        <v>22</v>
      </c>
      <c r="AH235" s="31" t="n">
        <v>4</v>
      </c>
      <c r="AI235" s="31" t="n">
        <v>4</v>
      </c>
      <c r="AJ235" s="31" t="n">
        <v>1</v>
      </c>
      <c r="AK235" s="31" t="n">
        <v>31</v>
      </c>
    </row>
    <row r="236" customFormat="false" ht="12.75" hidden="false" customHeight="false" outlineLevel="0" collapsed="false">
      <c r="A236" s="368" t="str">
        <f aca="false">Calculations!A203</f>
        <v>N/A</v>
      </c>
      <c r="B236" s="369" t="str">
        <f aca="false">IF(A236="N/A"," ",IF(ISERROR(L236),B224*Inputs!$F$19,L236))</f>
        <v> </v>
      </c>
      <c r="C236" s="370" t="str">
        <f aca="false">IF(A236="N/A"," ",(IF(AND(MONTH(A236)&gt;=6,MONTH(A236)&lt;=8,OR($K$37="REGION 2",$K$37="REGION 2A",$K$37="REGION 2B",$K$37="REGION 3",$K$37="REGION 3A",$K$37="REGION 3B",$K$37="REGION 4",$K$37="REGION 4B",$K$37="REGION 4C",$K$37="REGION 5",$K$37="REGION 5A")),((0.059228/(B236/100))-(0.4980013/(SQRT(B236/100)))+2.137988),HLOOKUP(MONTH(A236),ScalarTable,28))))</f>
        <v> </v>
      </c>
      <c r="D236" s="371" t="str">
        <f aca="false">IF(A236="N/A"," ",C236*B236)</f>
        <v> </v>
      </c>
      <c r="E236" s="369" t="str">
        <f aca="false">IF(A236="N/A"," ",IF(ISERROR(M236),E224*Inputs!$F$19,M236))</f>
        <v> </v>
      </c>
      <c r="F236" s="371" t="str">
        <f aca="false">IF(A236="N/A"," ",E236*C236)</f>
        <v> </v>
      </c>
      <c r="G236" s="369" t="str">
        <f aca="false">IF(A236="N/A"," ",IF(ISERROR(N236),G224*Inputs!$F$19,N236))</f>
        <v> </v>
      </c>
      <c r="H236" s="371" t="str">
        <f aca="false">IF(A236="N/A"," ",G236*C236)</f>
        <v> </v>
      </c>
      <c r="I236" s="371" t="str">
        <f aca="false">IF(A236="N/A"," ",IF(ISERROR(O236),I224*Inputs!$F$19,O236))</f>
        <v> </v>
      </c>
      <c r="J236" s="372" t="str">
        <f aca="false">IF(A236="N/A"," ",IF(ISERROR(P236),J224*Inputs!$F$23,P236))</f>
        <v> </v>
      </c>
      <c r="L236" s="374" t="str">
        <f aca="false">IF(A236="N/A"," ",VLOOKUP(A236,PeakPowerCurves,(IF('Pricing Inputs'!$AT$3=2,3,IF('Pricing Inputs'!$AT$3=1,2,4))),FALSE()))</f>
        <v> </v>
      </c>
      <c r="M236" s="374" t="str">
        <f aca="false">IF(A236="N/A"," ",VLOOKUP(A236,SatSunPeakPwr,(IF('Pricing Inputs'!$AT$3=2,3,IF('Pricing Inputs'!$AT$3=1,2,4))),FALSE()))</f>
        <v> </v>
      </c>
      <c r="N236" s="374" t="str">
        <f aca="false">IF(A236="N/A"," ",VLOOKUP(A236,SatSunPeakPwr,(IF('Pricing Inputs'!$AT$3=2,7,IF('Pricing Inputs'!$AT$3=1,6,8))),FALSE()))</f>
        <v> </v>
      </c>
      <c r="O236" s="375" t="str">
        <f aca="false">IF(A236="N/A"," ",(VLOOKUP(A236,OPPowerPrices,(IF('Pricing Inputs'!$AT$3=2,7,IF('Pricing Inputs'!$AT$3=1,6,8))),FALSE())))</f>
        <v> </v>
      </c>
      <c r="P236" s="376" t="str">
        <f aca="false">IF(A236="N/A"," ",(VLOOKUP(A236,GasCurves,15,FALSE())))</f>
        <v> </v>
      </c>
      <c r="AF236" s="341" t="n">
        <v>43617</v>
      </c>
      <c r="AG236" s="31" t="n">
        <v>20</v>
      </c>
      <c r="AH236" s="31" t="n">
        <v>5</v>
      </c>
      <c r="AI236" s="31" t="n">
        <v>5</v>
      </c>
      <c r="AJ236" s="31" t="n">
        <v>0</v>
      </c>
      <c r="AK236" s="31" t="n">
        <v>30</v>
      </c>
    </row>
    <row r="237" customFormat="false" ht="12.75" hidden="false" customHeight="false" outlineLevel="0" collapsed="false">
      <c r="A237" s="368" t="str">
        <f aca="false">Calculations!A204</f>
        <v>N/A</v>
      </c>
      <c r="B237" s="369" t="str">
        <f aca="false">IF(A237="N/A"," ",IF(ISERROR(L237),B225*Inputs!$F$19,L237))</f>
        <v> </v>
      </c>
      <c r="C237" s="370" t="str">
        <f aca="false">IF(A237="N/A"," ",(IF(AND(MONTH(A237)&gt;=6,MONTH(A237)&lt;=8,OR($K$37="REGION 2",$K$37="REGION 2A",$K$37="REGION 2B",$K$37="REGION 3",$K$37="REGION 3A",$K$37="REGION 3B",$K$37="REGION 4",$K$37="REGION 4B",$K$37="REGION 4C",$K$37="REGION 5",$K$37="REGION 5A")),((0.059228/(B237/100))-(0.4980013/(SQRT(B237/100)))+2.137988),HLOOKUP(MONTH(A237),ScalarTable,28))))</f>
        <v> </v>
      </c>
      <c r="D237" s="371" t="str">
        <f aca="false">IF(A237="N/A"," ",C237*B237)</f>
        <v> </v>
      </c>
      <c r="E237" s="369" t="str">
        <f aca="false">IF(A237="N/A"," ",IF(ISERROR(M237),E225*Inputs!$F$19,M237))</f>
        <v> </v>
      </c>
      <c r="F237" s="371" t="str">
        <f aca="false">IF(A237="N/A"," ",E237*C237)</f>
        <v> </v>
      </c>
      <c r="G237" s="369" t="str">
        <f aca="false">IF(A237="N/A"," ",IF(ISERROR(N237),G225*Inputs!$F$19,N237))</f>
        <v> </v>
      </c>
      <c r="H237" s="371" t="str">
        <f aca="false">IF(A237="N/A"," ",G237*C237)</f>
        <v> </v>
      </c>
      <c r="I237" s="371" t="str">
        <f aca="false">IF(A237="N/A"," ",IF(ISERROR(O237),I225*Inputs!$F$19,O237))</f>
        <v> </v>
      </c>
      <c r="J237" s="372" t="str">
        <f aca="false">IF(A237="N/A"," ",IF(ISERROR(P237),J225*Inputs!$F$23,P237))</f>
        <v> </v>
      </c>
      <c r="L237" s="374" t="str">
        <f aca="false">IF(A237="N/A"," ",VLOOKUP(A237,PeakPowerCurves,(IF('Pricing Inputs'!$AT$3=2,3,IF('Pricing Inputs'!$AT$3=1,2,4))),FALSE()))</f>
        <v> </v>
      </c>
      <c r="M237" s="374" t="str">
        <f aca="false">IF(A237="N/A"," ",VLOOKUP(A237,SatSunPeakPwr,(IF('Pricing Inputs'!$AT$3=2,3,IF('Pricing Inputs'!$AT$3=1,2,4))),FALSE()))</f>
        <v> </v>
      </c>
      <c r="N237" s="374" t="str">
        <f aca="false">IF(A237="N/A"," ",VLOOKUP(A237,SatSunPeakPwr,(IF('Pricing Inputs'!$AT$3=2,7,IF('Pricing Inputs'!$AT$3=1,6,8))),FALSE()))</f>
        <v> </v>
      </c>
      <c r="O237" s="375" t="str">
        <f aca="false">IF(A237="N/A"," ",(VLOOKUP(A237,OPPowerPrices,(IF('Pricing Inputs'!$AT$3=2,7,IF('Pricing Inputs'!$AT$3=1,6,8))),FALSE())))</f>
        <v> </v>
      </c>
      <c r="P237" s="376" t="str">
        <f aca="false">IF(A237="N/A"," ",(VLOOKUP(A237,GasCurves,15,FALSE())))</f>
        <v> </v>
      </c>
      <c r="AF237" s="341" t="n">
        <v>43647</v>
      </c>
      <c r="AG237" s="31" t="n">
        <v>22</v>
      </c>
      <c r="AH237" s="31" t="n">
        <v>4</v>
      </c>
      <c r="AI237" s="31" t="n">
        <v>4</v>
      </c>
      <c r="AJ237" s="31" t="n">
        <v>1</v>
      </c>
      <c r="AK237" s="31" t="n">
        <v>31</v>
      </c>
    </row>
    <row r="238" customFormat="false" ht="12.75" hidden="false" customHeight="false" outlineLevel="0" collapsed="false">
      <c r="A238" s="368" t="str">
        <f aca="false">Calculations!A205</f>
        <v>N/A</v>
      </c>
      <c r="B238" s="369" t="str">
        <f aca="false">IF(A238="N/A"," ",IF(ISERROR(L238),B226*Inputs!$F$19,L238))</f>
        <v> </v>
      </c>
      <c r="C238" s="370" t="str">
        <f aca="false">IF(A238="N/A"," ",(IF(AND(MONTH(A238)&gt;=6,MONTH(A238)&lt;=8,OR($K$37="REGION 2",$K$37="REGION 2A",$K$37="REGION 2B",$K$37="REGION 3",$K$37="REGION 3A",$K$37="REGION 3B",$K$37="REGION 4",$K$37="REGION 4B",$K$37="REGION 4C",$K$37="REGION 5",$K$37="REGION 5A")),((0.059228/(B238/100))-(0.4980013/(SQRT(B238/100)))+2.137988),HLOOKUP(MONTH(A238),ScalarTable,28))))</f>
        <v> </v>
      </c>
      <c r="D238" s="371" t="str">
        <f aca="false">IF(A238="N/A"," ",C238*B238)</f>
        <v> </v>
      </c>
      <c r="E238" s="369" t="str">
        <f aca="false">IF(A238="N/A"," ",IF(ISERROR(M238),E226*Inputs!$F$19,M238))</f>
        <v> </v>
      </c>
      <c r="F238" s="371" t="str">
        <f aca="false">IF(A238="N/A"," ",E238*C238)</f>
        <v> </v>
      </c>
      <c r="G238" s="369" t="str">
        <f aca="false">IF(A238="N/A"," ",IF(ISERROR(N238),G226*Inputs!$F$19,N238))</f>
        <v> </v>
      </c>
      <c r="H238" s="371" t="str">
        <f aca="false">IF(A238="N/A"," ",G238*C238)</f>
        <v> </v>
      </c>
      <c r="I238" s="371" t="str">
        <f aca="false">IF(A238="N/A"," ",IF(ISERROR(O238),I226*Inputs!$F$19,O238))</f>
        <v> </v>
      </c>
      <c r="J238" s="372" t="str">
        <f aca="false">IF(A238="N/A"," ",IF(ISERROR(P238),J226*Inputs!$F$23,P238))</f>
        <v> </v>
      </c>
      <c r="L238" s="374" t="str">
        <f aca="false">IF(A238="N/A"," ",VLOOKUP(A238,PeakPowerCurves,(IF('Pricing Inputs'!$AT$3=2,3,IF('Pricing Inputs'!$AT$3=1,2,4))),FALSE()))</f>
        <v> </v>
      </c>
      <c r="M238" s="374" t="str">
        <f aca="false">IF(A238="N/A"," ",VLOOKUP(A238,SatSunPeakPwr,(IF('Pricing Inputs'!$AT$3=2,3,IF('Pricing Inputs'!$AT$3=1,2,4))),FALSE()))</f>
        <v> </v>
      </c>
      <c r="N238" s="374" t="str">
        <f aca="false">IF(A238="N/A"," ",VLOOKUP(A238,SatSunPeakPwr,(IF('Pricing Inputs'!$AT$3=2,7,IF('Pricing Inputs'!$AT$3=1,6,8))),FALSE()))</f>
        <v> </v>
      </c>
      <c r="O238" s="375" t="str">
        <f aca="false">IF(A238="N/A"," ",(VLOOKUP(A238,OPPowerPrices,(IF('Pricing Inputs'!$AT$3=2,7,IF('Pricing Inputs'!$AT$3=1,6,8))),FALSE())))</f>
        <v> </v>
      </c>
      <c r="P238" s="376" t="str">
        <f aca="false">IF(A238="N/A"," ",(VLOOKUP(A238,GasCurves,15,FALSE())))</f>
        <v> </v>
      </c>
      <c r="AF238" s="341" t="n">
        <v>43678</v>
      </c>
      <c r="AG238" s="31" t="n">
        <v>22</v>
      </c>
      <c r="AH238" s="31" t="n">
        <v>5</v>
      </c>
      <c r="AI238" s="31" t="n">
        <v>4</v>
      </c>
      <c r="AJ238" s="31" t="n">
        <v>0</v>
      </c>
      <c r="AK238" s="31" t="n">
        <v>31</v>
      </c>
    </row>
    <row r="239" customFormat="false" ht="12.75" hidden="false" customHeight="false" outlineLevel="0" collapsed="false">
      <c r="A239" s="368" t="str">
        <f aca="false">Calculations!A206</f>
        <v>N/A</v>
      </c>
      <c r="B239" s="369" t="str">
        <f aca="false">IF(A239="N/A"," ",IF(ISERROR(L239),B227*Inputs!$F$19,L239))</f>
        <v> </v>
      </c>
      <c r="C239" s="370" t="str">
        <f aca="false">IF(A239="N/A"," ",(IF(AND(MONTH(A239)&gt;=6,MONTH(A239)&lt;=8,OR($K$37="REGION 2",$K$37="REGION 2A",$K$37="REGION 2B",$K$37="REGION 3",$K$37="REGION 3A",$K$37="REGION 3B",$K$37="REGION 4",$K$37="REGION 4B",$K$37="REGION 4C",$K$37="REGION 5",$K$37="REGION 5A")),((0.059228/(B239/100))-(0.4980013/(SQRT(B239/100)))+2.137988),HLOOKUP(MONTH(A239),ScalarTable,28))))</f>
        <v> </v>
      </c>
      <c r="D239" s="371" t="str">
        <f aca="false">IF(A239="N/A"," ",C239*B239)</f>
        <v> </v>
      </c>
      <c r="E239" s="369" t="str">
        <f aca="false">IF(A239="N/A"," ",IF(ISERROR(M239),E227*Inputs!$F$19,M239))</f>
        <v> </v>
      </c>
      <c r="F239" s="371" t="str">
        <f aca="false">IF(A239="N/A"," ",E239*C239)</f>
        <v> </v>
      </c>
      <c r="G239" s="369" t="str">
        <f aca="false">IF(A239="N/A"," ",IF(ISERROR(N239),G227*Inputs!$F$19,N239))</f>
        <v> </v>
      </c>
      <c r="H239" s="371" t="str">
        <f aca="false">IF(A239="N/A"," ",G239*C239)</f>
        <v> </v>
      </c>
      <c r="I239" s="371" t="str">
        <f aca="false">IF(A239="N/A"," ",IF(ISERROR(O239),I227*Inputs!$F$19,O239))</f>
        <v> </v>
      </c>
      <c r="J239" s="372" t="str">
        <f aca="false">IF(A239="N/A"," ",IF(ISERROR(P239),J227*Inputs!$F$23,P239))</f>
        <v> </v>
      </c>
      <c r="L239" s="374" t="str">
        <f aca="false">IF(A239="N/A"," ",VLOOKUP(A239,PeakPowerCurves,(IF('Pricing Inputs'!$AT$3=2,3,IF('Pricing Inputs'!$AT$3=1,2,4))),FALSE()))</f>
        <v> </v>
      </c>
      <c r="M239" s="374" t="str">
        <f aca="false">IF(A239="N/A"," ",VLOOKUP(A239,SatSunPeakPwr,(IF('Pricing Inputs'!$AT$3=2,3,IF('Pricing Inputs'!$AT$3=1,2,4))),FALSE()))</f>
        <v> </v>
      </c>
      <c r="N239" s="374" t="str">
        <f aca="false">IF(A239="N/A"," ",VLOOKUP(A239,SatSunPeakPwr,(IF('Pricing Inputs'!$AT$3=2,7,IF('Pricing Inputs'!$AT$3=1,6,8))),FALSE()))</f>
        <v> </v>
      </c>
      <c r="O239" s="375" t="str">
        <f aca="false">IF(A239="N/A"," ",(VLOOKUP(A239,OPPowerPrices,(IF('Pricing Inputs'!$AT$3=2,7,IF('Pricing Inputs'!$AT$3=1,6,8))),FALSE())))</f>
        <v> </v>
      </c>
      <c r="P239" s="376" t="str">
        <f aca="false">IF(A239="N/A"," ",(VLOOKUP(A239,GasCurves,15,FALSE())))</f>
        <v> </v>
      </c>
      <c r="AF239" s="341" t="n">
        <v>43709</v>
      </c>
      <c r="AG239" s="31" t="n">
        <v>20</v>
      </c>
      <c r="AH239" s="31" t="n">
        <v>4</v>
      </c>
      <c r="AI239" s="31" t="n">
        <v>5</v>
      </c>
      <c r="AJ239" s="31" t="n">
        <v>1</v>
      </c>
      <c r="AK239" s="31" t="n">
        <v>30</v>
      </c>
    </row>
    <row r="240" customFormat="false" ht="12.75" hidden="false" customHeight="false" outlineLevel="0" collapsed="false">
      <c r="A240" s="368" t="str">
        <f aca="false">Calculations!A207</f>
        <v>N/A</v>
      </c>
      <c r="B240" s="369" t="str">
        <f aca="false">IF(A240="N/A"," ",IF(ISERROR(L240),B228*Inputs!$F$19,L240))</f>
        <v> </v>
      </c>
      <c r="C240" s="370" t="str">
        <f aca="false">IF(A240="N/A"," ",(IF(AND(MONTH(A240)&gt;=6,MONTH(A240)&lt;=8,OR($K$37="REGION 2",$K$37="REGION 2A",$K$37="REGION 2B",$K$37="REGION 3",$K$37="REGION 3A",$K$37="REGION 3B",$K$37="REGION 4",$K$37="REGION 4B",$K$37="REGION 4C",$K$37="REGION 5",$K$37="REGION 5A")),((0.059228/(B240/100))-(0.4980013/(SQRT(B240/100)))+2.137988),HLOOKUP(MONTH(A240),ScalarTable,28))))</f>
        <v> </v>
      </c>
      <c r="D240" s="371" t="str">
        <f aca="false">IF(A240="N/A"," ",C240*B240)</f>
        <v> </v>
      </c>
      <c r="E240" s="369" t="str">
        <f aca="false">IF(A240="N/A"," ",IF(ISERROR(M240),E228*Inputs!$F$19,M240))</f>
        <v> </v>
      </c>
      <c r="F240" s="371" t="str">
        <f aca="false">IF(A240="N/A"," ",E240*C240)</f>
        <v> </v>
      </c>
      <c r="G240" s="369" t="str">
        <f aca="false">IF(A240="N/A"," ",IF(ISERROR(N240),G228*Inputs!$F$19,N240))</f>
        <v> </v>
      </c>
      <c r="H240" s="371" t="str">
        <f aca="false">IF(A240="N/A"," ",G240*C240)</f>
        <v> </v>
      </c>
      <c r="I240" s="371" t="str">
        <f aca="false">IF(A240="N/A"," ",IF(ISERROR(O240),I228*Inputs!$F$19,O240))</f>
        <v> </v>
      </c>
      <c r="J240" s="372" t="str">
        <f aca="false">IF(A240="N/A"," ",IF(ISERROR(P240),J228*Inputs!$F$23,P240))</f>
        <v> </v>
      </c>
      <c r="L240" s="374" t="str">
        <f aca="false">IF(A240="N/A"," ",VLOOKUP(A240,PeakPowerCurves,(IF('Pricing Inputs'!$AT$3=2,3,IF('Pricing Inputs'!$AT$3=1,2,4))),FALSE()))</f>
        <v> </v>
      </c>
      <c r="M240" s="374" t="str">
        <f aca="false">IF(A240="N/A"," ",VLOOKUP(A240,SatSunPeakPwr,(IF('Pricing Inputs'!$AT$3=2,3,IF('Pricing Inputs'!$AT$3=1,2,4))),FALSE()))</f>
        <v> </v>
      </c>
      <c r="N240" s="374" t="str">
        <f aca="false">IF(A240="N/A"," ",VLOOKUP(A240,SatSunPeakPwr,(IF('Pricing Inputs'!$AT$3=2,7,IF('Pricing Inputs'!$AT$3=1,6,8))),FALSE()))</f>
        <v> </v>
      </c>
      <c r="O240" s="375" t="str">
        <f aca="false">IF(A240="N/A"," ",(VLOOKUP(A240,OPPowerPrices,(IF('Pricing Inputs'!$AT$3=2,7,IF('Pricing Inputs'!$AT$3=1,6,8))),FALSE())))</f>
        <v> </v>
      </c>
      <c r="P240" s="376" t="str">
        <f aca="false">IF(A240="N/A"," ",(VLOOKUP(A240,GasCurves,15,FALSE())))</f>
        <v> </v>
      </c>
      <c r="AF240" s="341" t="n">
        <v>43739</v>
      </c>
      <c r="AG240" s="31" t="n">
        <v>23</v>
      </c>
      <c r="AH240" s="31" t="n">
        <v>4</v>
      </c>
      <c r="AI240" s="31" t="n">
        <v>4</v>
      </c>
      <c r="AJ240" s="31" t="n">
        <v>0</v>
      </c>
      <c r="AK240" s="31" t="n">
        <v>31</v>
      </c>
    </row>
    <row r="241" customFormat="false" ht="12.75" hidden="false" customHeight="false" outlineLevel="0" collapsed="false">
      <c r="A241" s="368" t="str">
        <f aca="false">Calculations!A208</f>
        <v>N/A</v>
      </c>
      <c r="B241" s="369" t="str">
        <f aca="false">IF(A241="N/A"," ",IF(ISERROR(L241),B229*Inputs!$F$19,L241))</f>
        <v> </v>
      </c>
      <c r="C241" s="370" t="str">
        <f aca="false">IF(A241="N/A"," ",(IF(AND(MONTH(A241)&gt;=6,MONTH(A241)&lt;=8,OR($K$37="REGION 2",$K$37="REGION 2A",$K$37="REGION 2B",$K$37="REGION 3",$K$37="REGION 3A",$K$37="REGION 3B",$K$37="REGION 4",$K$37="REGION 4B",$K$37="REGION 4C",$K$37="REGION 5",$K$37="REGION 5A")),((0.059228/(B241/100))-(0.4980013/(SQRT(B241/100)))+2.137988),HLOOKUP(MONTH(A241),ScalarTable,28))))</f>
        <v> </v>
      </c>
      <c r="D241" s="371" t="str">
        <f aca="false">IF(A241="N/A"," ",C241*B241)</f>
        <v> </v>
      </c>
      <c r="E241" s="369" t="str">
        <f aca="false">IF(A241="N/A"," ",IF(ISERROR(M241),E229*Inputs!$F$19,M241))</f>
        <v> </v>
      </c>
      <c r="F241" s="371" t="str">
        <f aca="false">IF(A241="N/A"," ",E241*C241)</f>
        <v> </v>
      </c>
      <c r="G241" s="369" t="str">
        <f aca="false">IF(A241="N/A"," ",IF(ISERROR(N241),G229*Inputs!$F$19,N241))</f>
        <v> </v>
      </c>
      <c r="H241" s="371" t="str">
        <f aca="false">IF(A241="N/A"," ",G241*C241)</f>
        <v> </v>
      </c>
      <c r="I241" s="371" t="str">
        <f aca="false">IF(A241="N/A"," ",IF(ISERROR(O241),I229*Inputs!$F$19,O241))</f>
        <v> </v>
      </c>
      <c r="J241" s="372" t="str">
        <f aca="false">IF(A241="N/A"," ",IF(ISERROR(P241),J229*Inputs!$F$23,P241))</f>
        <v> </v>
      </c>
      <c r="L241" s="374" t="str">
        <f aca="false">IF(A241="N/A"," ",VLOOKUP(A241,PeakPowerCurves,(IF('Pricing Inputs'!$AT$3=2,3,IF('Pricing Inputs'!$AT$3=1,2,4))),FALSE()))</f>
        <v> </v>
      </c>
      <c r="M241" s="374" t="str">
        <f aca="false">IF(A241="N/A"," ",VLOOKUP(A241,SatSunPeakPwr,(IF('Pricing Inputs'!$AT$3=2,3,IF('Pricing Inputs'!$AT$3=1,2,4))),FALSE()))</f>
        <v> </v>
      </c>
      <c r="N241" s="374" t="str">
        <f aca="false">IF(A241="N/A"," ",VLOOKUP(A241,SatSunPeakPwr,(IF('Pricing Inputs'!$AT$3=2,7,IF('Pricing Inputs'!$AT$3=1,6,8))),FALSE()))</f>
        <v> </v>
      </c>
      <c r="O241" s="375" t="str">
        <f aca="false">IF(A241="N/A"," ",(VLOOKUP(A241,OPPowerPrices,(IF('Pricing Inputs'!$AT$3=2,7,IF('Pricing Inputs'!$AT$3=1,6,8))),FALSE())))</f>
        <v> </v>
      </c>
      <c r="P241" s="376" t="str">
        <f aca="false">IF(A241="N/A"," ",(VLOOKUP(A241,GasCurves,15,FALSE())))</f>
        <v> </v>
      </c>
      <c r="AF241" s="341" t="n">
        <v>43770</v>
      </c>
      <c r="AG241" s="31" t="n">
        <v>20</v>
      </c>
      <c r="AH241" s="31" t="n">
        <v>5</v>
      </c>
      <c r="AI241" s="31" t="n">
        <v>4</v>
      </c>
      <c r="AJ241" s="31" t="n">
        <v>1</v>
      </c>
      <c r="AK241" s="31" t="n">
        <v>30</v>
      </c>
    </row>
    <row r="242" customFormat="false" ht="12.75" hidden="false" customHeight="false" outlineLevel="0" collapsed="false">
      <c r="A242" s="368" t="str">
        <f aca="false">Calculations!A209</f>
        <v>N/A</v>
      </c>
      <c r="B242" s="369" t="str">
        <f aca="false">IF(A242="N/A"," ",IF(ISERROR(L242),B230*Inputs!$F$19,L242))</f>
        <v> </v>
      </c>
      <c r="C242" s="370" t="str">
        <f aca="false">IF(A242="N/A"," ",(IF(AND(MONTH(A242)&gt;=6,MONTH(A242)&lt;=8,OR($K$37="REGION 2",$K$37="REGION 2A",$K$37="REGION 2B",$K$37="REGION 3",$K$37="REGION 3A",$K$37="REGION 3B",$K$37="REGION 4",$K$37="REGION 4B",$K$37="REGION 4C",$K$37="REGION 5",$K$37="REGION 5A")),((0.059228/(B242/100))-(0.4980013/(SQRT(B242/100)))+2.137988),HLOOKUP(MONTH(A242),ScalarTable,28))))</f>
        <v> </v>
      </c>
      <c r="D242" s="371" t="str">
        <f aca="false">IF(A242="N/A"," ",C242*B242)</f>
        <v> </v>
      </c>
      <c r="E242" s="369" t="str">
        <f aca="false">IF(A242="N/A"," ",IF(ISERROR(M242),E230*Inputs!$F$19,M242))</f>
        <v> </v>
      </c>
      <c r="F242" s="371" t="str">
        <f aca="false">IF(A242="N/A"," ",E242*C242)</f>
        <v> </v>
      </c>
      <c r="G242" s="369" t="str">
        <f aca="false">IF(A242="N/A"," ",IF(ISERROR(N242),G230*Inputs!$F$19,N242))</f>
        <v> </v>
      </c>
      <c r="H242" s="371" t="str">
        <f aca="false">IF(A242="N/A"," ",G242*C242)</f>
        <v> </v>
      </c>
      <c r="I242" s="371" t="str">
        <f aca="false">IF(A242="N/A"," ",IF(ISERROR(O242),I230*Inputs!$F$19,O242))</f>
        <v> </v>
      </c>
      <c r="J242" s="372" t="str">
        <f aca="false">IF(A242="N/A"," ",IF(ISERROR(P242),J230*Inputs!$F$23,P242))</f>
        <v> </v>
      </c>
      <c r="L242" s="374" t="str">
        <f aca="false">IF(A242="N/A"," ",VLOOKUP(A242,PeakPowerCurves,(IF('Pricing Inputs'!$AT$3=2,3,IF('Pricing Inputs'!$AT$3=1,2,4))),FALSE()))</f>
        <v> </v>
      </c>
      <c r="M242" s="374" t="str">
        <f aca="false">IF(A242="N/A"," ",VLOOKUP(A242,SatSunPeakPwr,(IF('Pricing Inputs'!$AT$3=2,3,IF('Pricing Inputs'!$AT$3=1,2,4))),FALSE()))</f>
        <v> </v>
      </c>
      <c r="N242" s="374" t="str">
        <f aca="false">IF(A242="N/A"," ",VLOOKUP(A242,SatSunPeakPwr,(IF('Pricing Inputs'!$AT$3=2,7,IF('Pricing Inputs'!$AT$3=1,6,8))),FALSE()))</f>
        <v> </v>
      </c>
      <c r="O242" s="375" t="str">
        <f aca="false">IF(A242="N/A"," ",(VLOOKUP(A242,OPPowerPrices,(IF('Pricing Inputs'!$AT$3=2,7,IF('Pricing Inputs'!$AT$3=1,6,8))),FALSE())))</f>
        <v> </v>
      </c>
      <c r="P242" s="376" t="str">
        <f aca="false">IF(A242="N/A"," ",(VLOOKUP(A242,GasCurves,15,FALSE())))</f>
        <v> </v>
      </c>
      <c r="AF242" s="341" t="n">
        <v>43800</v>
      </c>
      <c r="AG242" s="31" t="n">
        <v>21</v>
      </c>
      <c r="AH242" s="31" t="n">
        <v>4</v>
      </c>
      <c r="AI242" s="31" t="n">
        <v>5</v>
      </c>
      <c r="AJ242" s="31" t="n">
        <v>1</v>
      </c>
      <c r="AK242" s="31" t="n">
        <v>31</v>
      </c>
    </row>
    <row r="243" customFormat="false" ht="12.75" hidden="false" customHeight="false" outlineLevel="0" collapsed="false">
      <c r="A243" s="368" t="str">
        <f aca="false">Calculations!A210</f>
        <v>N/A</v>
      </c>
      <c r="B243" s="369" t="str">
        <f aca="false">IF(A243="N/A"," ",IF(ISERROR(L243),B231*Inputs!$F$19,L243))</f>
        <v> </v>
      </c>
      <c r="C243" s="370" t="str">
        <f aca="false">IF(A243="N/A"," ",(IF(AND(MONTH(A243)&gt;=6,MONTH(A243)&lt;=8,OR($K$37="REGION 2",$K$37="REGION 2A",$K$37="REGION 2B",$K$37="REGION 3",$K$37="REGION 3A",$K$37="REGION 3B",$K$37="REGION 4",$K$37="REGION 4B",$K$37="REGION 4C",$K$37="REGION 5",$K$37="REGION 5A")),((0.059228/(B243/100))-(0.4980013/(SQRT(B243/100)))+2.137988),HLOOKUP(MONTH(A243),ScalarTable,28))))</f>
        <v> </v>
      </c>
      <c r="D243" s="371" t="str">
        <f aca="false">IF(A243="N/A"," ",C243*B243)</f>
        <v> </v>
      </c>
      <c r="E243" s="369" t="str">
        <f aca="false">IF(A243="N/A"," ",IF(ISERROR(M243),E231*Inputs!$F$19,M243))</f>
        <v> </v>
      </c>
      <c r="F243" s="371" t="str">
        <f aca="false">IF(A243="N/A"," ",E243*C243)</f>
        <v> </v>
      </c>
      <c r="G243" s="369" t="str">
        <f aca="false">IF(A243="N/A"," ",IF(ISERROR(N243),G231*Inputs!$F$19,N243))</f>
        <v> </v>
      </c>
      <c r="H243" s="371" t="str">
        <f aca="false">IF(A243="N/A"," ",G243*C243)</f>
        <v> </v>
      </c>
      <c r="I243" s="371" t="str">
        <f aca="false">IF(A243="N/A"," ",IF(ISERROR(O243),I231*Inputs!$F$19,O243))</f>
        <v> </v>
      </c>
      <c r="J243" s="372" t="str">
        <f aca="false">IF(A243="N/A"," ",IF(ISERROR(P243),J231*Inputs!$F$23,P243))</f>
        <v> </v>
      </c>
      <c r="L243" s="374" t="str">
        <f aca="false">IF(A243="N/A"," ",VLOOKUP(A243,PeakPowerCurves,(IF('Pricing Inputs'!$AT$3=2,3,IF('Pricing Inputs'!$AT$3=1,2,4))),FALSE()))</f>
        <v> </v>
      </c>
      <c r="M243" s="374" t="str">
        <f aca="false">IF(A243="N/A"," ",VLOOKUP(A243,SatSunPeakPwr,(IF('Pricing Inputs'!$AT$3=2,3,IF('Pricing Inputs'!$AT$3=1,2,4))),FALSE()))</f>
        <v> </v>
      </c>
      <c r="N243" s="374" t="str">
        <f aca="false">IF(A243="N/A"," ",VLOOKUP(A243,SatSunPeakPwr,(IF('Pricing Inputs'!$AT$3=2,7,IF('Pricing Inputs'!$AT$3=1,6,8))),FALSE()))</f>
        <v> </v>
      </c>
      <c r="O243" s="375" t="str">
        <f aca="false">IF(A243="N/A"," ",(VLOOKUP(A243,OPPowerPrices,(IF('Pricing Inputs'!$AT$3=2,7,IF('Pricing Inputs'!$AT$3=1,6,8))),FALSE())))</f>
        <v> </v>
      </c>
      <c r="P243" s="376" t="str">
        <f aca="false">IF(A243="N/A"," ",(VLOOKUP(A243,GasCurves,15,FALSE())))</f>
        <v> </v>
      </c>
      <c r="AF243" s="341" t="n">
        <v>43831</v>
      </c>
      <c r="AG243" s="31" t="n">
        <v>22</v>
      </c>
      <c r="AH243" s="31" t="n">
        <v>4</v>
      </c>
      <c r="AI243" s="31" t="n">
        <v>4</v>
      </c>
      <c r="AJ243" s="31" t="n">
        <v>1</v>
      </c>
      <c r="AK243" s="31" t="n">
        <v>31</v>
      </c>
    </row>
    <row r="244" customFormat="false" ht="12.75" hidden="false" customHeight="false" outlineLevel="0" collapsed="false">
      <c r="A244" s="368" t="str">
        <f aca="false">Calculations!A211</f>
        <v>N/A</v>
      </c>
      <c r="B244" s="369" t="str">
        <f aca="false">IF(A244="N/A"," ",IF(ISERROR(L244),B232*Inputs!$F$19,L244))</f>
        <v> </v>
      </c>
      <c r="C244" s="370" t="str">
        <f aca="false">IF(A244="N/A"," ",(IF(AND(MONTH(A244)&gt;=6,MONTH(A244)&lt;=8,OR($K$37="REGION 2",$K$37="REGION 2A",$K$37="REGION 2B",$K$37="REGION 3",$K$37="REGION 3A",$K$37="REGION 3B",$K$37="REGION 4",$K$37="REGION 4B",$K$37="REGION 4C",$K$37="REGION 5",$K$37="REGION 5A")),((0.059228/(B244/100))-(0.4980013/(SQRT(B244/100)))+2.137988),HLOOKUP(MONTH(A244),ScalarTable,28))))</f>
        <v> </v>
      </c>
      <c r="D244" s="371" t="str">
        <f aca="false">IF(A244="N/A"," ",C244*B244)</f>
        <v> </v>
      </c>
      <c r="E244" s="369" t="str">
        <f aca="false">IF(A244="N/A"," ",IF(ISERROR(M244),E232*Inputs!$F$19,M244))</f>
        <v> </v>
      </c>
      <c r="F244" s="371" t="str">
        <f aca="false">IF(A244="N/A"," ",E244*C244)</f>
        <v> </v>
      </c>
      <c r="G244" s="369" t="str">
        <f aca="false">IF(A244="N/A"," ",IF(ISERROR(N244),G232*Inputs!$F$19,N244))</f>
        <v> </v>
      </c>
      <c r="H244" s="371" t="str">
        <f aca="false">IF(A244="N/A"," ",G244*C244)</f>
        <v> </v>
      </c>
      <c r="I244" s="371" t="str">
        <f aca="false">IF(A244="N/A"," ",IF(ISERROR(O244),I232*Inputs!$F$19,O244))</f>
        <v> </v>
      </c>
      <c r="J244" s="372" t="str">
        <f aca="false">IF(A244="N/A"," ",IF(ISERROR(P244),J232*Inputs!$F$23,P244))</f>
        <v> </v>
      </c>
      <c r="L244" s="374" t="str">
        <f aca="false">IF(A244="N/A"," ",VLOOKUP(A244,PeakPowerCurves,(IF('Pricing Inputs'!$AT$3=2,3,IF('Pricing Inputs'!$AT$3=1,2,4))),FALSE()))</f>
        <v> </v>
      </c>
      <c r="M244" s="374" t="str">
        <f aca="false">IF(A244="N/A"," ",VLOOKUP(A244,SatSunPeakPwr,(IF('Pricing Inputs'!$AT$3=2,3,IF('Pricing Inputs'!$AT$3=1,2,4))),FALSE()))</f>
        <v> </v>
      </c>
      <c r="N244" s="374" t="str">
        <f aca="false">IF(A244="N/A"," ",VLOOKUP(A244,SatSunPeakPwr,(IF('Pricing Inputs'!$AT$3=2,7,IF('Pricing Inputs'!$AT$3=1,6,8))),FALSE()))</f>
        <v> </v>
      </c>
      <c r="O244" s="375" t="str">
        <f aca="false">IF(A244="N/A"," ",(VLOOKUP(A244,OPPowerPrices,(IF('Pricing Inputs'!$AT$3=2,7,IF('Pricing Inputs'!$AT$3=1,6,8))),FALSE())))</f>
        <v> </v>
      </c>
      <c r="P244" s="376" t="str">
        <f aca="false">IF(A244="N/A"," ",(VLOOKUP(A244,GasCurves,15,FALSE())))</f>
        <v> </v>
      </c>
      <c r="AF244" s="341" t="n">
        <v>43862</v>
      </c>
      <c r="AG244" s="31" t="n">
        <v>20</v>
      </c>
      <c r="AH244" s="31" t="n">
        <v>5</v>
      </c>
      <c r="AI244" s="31" t="n">
        <v>4</v>
      </c>
      <c r="AJ244" s="31" t="n">
        <v>0</v>
      </c>
      <c r="AK244" s="31" t="n">
        <v>29</v>
      </c>
    </row>
    <row r="245" customFormat="false" ht="12.75" hidden="false" customHeight="false" outlineLevel="0" collapsed="false">
      <c r="A245" s="368" t="str">
        <f aca="false">Calculations!A212</f>
        <v>N/A</v>
      </c>
      <c r="B245" s="369" t="str">
        <f aca="false">IF(A245="N/A"," ",IF(ISERROR(L245),B233*Inputs!$F$19,L245))</f>
        <v> </v>
      </c>
      <c r="C245" s="370" t="str">
        <f aca="false">IF(A245="N/A"," ",(IF(AND(MONTH(A245)&gt;=6,MONTH(A245)&lt;=8,OR($K$37="REGION 2",$K$37="REGION 2A",$K$37="REGION 2B",$K$37="REGION 3",$K$37="REGION 3A",$K$37="REGION 3B",$K$37="REGION 4",$K$37="REGION 4B",$K$37="REGION 4C",$K$37="REGION 5",$K$37="REGION 5A")),((0.059228/(B245/100))-(0.4980013/(SQRT(B245/100)))+2.137988),HLOOKUP(MONTH(A245),ScalarTable,28))))</f>
        <v> </v>
      </c>
      <c r="D245" s="371" t="str">
        <f aca="false">IF(A245="N/A"," ",C245*B245)</f>
        <v> </v>
      </c>
      <c r="E245" s="369" t="str">
        <f aca="false">IF(A245="N/A"," ",IF(ISERROR(M245),E233*Inputs!$F$19,M245))</f>
        <v> </v>
      </c>
      <c r="F245" s="371" t="str">
        <f aca="false">IF(A245="N/A"," ",E245*C245)</f>
        <v> </v>
      </c>
      <c r="G245" s="369" t="str">
        <f aca="false">IF(A245="N/A"," ",IF(ISERROR(N245),G233*Inputs!$F$19,N245))</f>
        <v> </v>
      </c>
      <c r="H245" s="371" t="str">
        <f aca="false">IF(A245="N/A"," ",G245*C245)</f>
        <v> </v>
      </c>
      <c r="I245" s="371" t="str">
        <f aca="false">IF(A245="N/A"," ",IF(ISERROR(O245),I233*Inputs!$F$19,O245))</f>
        <v> </v>
      </c>
      <c r="J245" s="372" t="str">
        <f aca="false">IF(A245="N/A"," ",IF(ISERROR(P245),J233*Inputs!$F$23,P245))</f>
        <v> </v>
      </c>
      <c r="L245" s="374" t="str">
        <f aca="false">IF(A245="N/A"," ",VLOOKUP(A245,PeakPowerCurves,(IF('Pricing Inputs'!$AT$3=2,3,IF('Pricing Inputs'!$AT$3=1,2,4))),FALSE()))</f>
        <v> </v>
      </c>
      <c r="M245" s="374" t="str">
        <f aca="false">IF(A245="N/A"," ",VLOOKUP(A245,SatSunPeakPwr,(IF('Pricing Inputs'!$AT$3=2,3,IF('Pricing Inputs'!$AT$3=1,2,4))),FALSE()))</f>
        <v> </v>
      </c>
      <c r="N245" s="374" t="str">
        <f aca="false">IF(A245="N/A"," ",VLOOKUP(A245,SatSunPeakPwr,(IF('Pricing Inputs'!$AT$3=2,7,IF('Pricing Inputs'!$AT$3=1,6,8))),FALSE()))</f>
        <v> </v>
      </c>
      <c r="O245" s="375" t="str">
        <f aca="false">IF(A245="N/A"," ",(VLOOKUP(A245,OPPowerPrices,(IF('Pricing Inputs'!$AT$3=2,7,IF('Pricing Inputs'!$AT$3=1,6,8))),FALSE())))</f>
        <v> </v>
      </c>
      <c r="P245" s="376" t="str">
        <f aca="false">IF(A245="N/A"," ",(VLOOKUP(A245,GasCurves,15,FALSE())))</f>
        <v> </v>
      </c>
      <c r="AF245" s="341" t="n">
        <v>43891</v>
      </c>
      <c r="AG245" s="31" t="n">
        <v>22</v>
      </c>
      <c r="AH245" s="31" t="n">
        <v>4</v>
      </c>
      <c r="AI245" s="31" t="n">
        <v>5</v>
      </c>
      <c r="AJ245" s="31" t="n">
        <v>0</v>
      </c>
      <c r="AK245" s="31" t="n">
        <v>31</v>
      </c>
    </row>
    <row r="246" customFormat="false" ht="12.75" hidden="false" customHeight="false" outlineLevel="0" collapsed="false">
      <c r="A246" s="368" t="str">
        <f aca="false">Calculations!A213</f>
        <v>N/A</v>
      </c>
      <c r="B246" s="369" t="str">
        <f aca="false">IF(A246="N/A"," ",IF(ISERROR(L246),B234*Inputs!$F$19,L246))</f>
        <v> </v>
      </c>
      <c r="C246" s="370" t="str">
        <f aca="false">IF(A246="N/A"," ",(IF(AND(MONTH(A246)&gt;=6,MONTH(A246)&lt;=8,OR($K$37="REGION 2",$K$37="REGION 2A",$K$37="REGION 2B",$K$37="REGION 3",$K$37="REGION 3A",$K$37="REGION 3B",$K$37="REGION 4",$K$37="REGION 4B",$K$37="REGION 4C",$K$37="REGION 5",$K$37="REGION 5A")),((0.059228/(B246/100))-(0.4980013/(SQRT(B246/100)))+2.137988),HLOOKUP(MONTH(A246),ScalarTable,28))))</f>
        <v> </v>
      </c>
      <c r="D246" s="371" t="str">
        <f aca="false">IF(A246="N/A"," ",C246*B246)</f>
        <v> </v>
      </c>
      <c r="E246" s="369" t="str">
        <f aca="false">IF(A246="N/A"," ",IF(ISERROR(M246),E234*Inputs!$F$19,M246))</f>
        <v> </v>
      </c>
      <c r="F246" s="371" t="str">
        <f aca="false">IF(A246="N/A"," ",E246*C246)</f>
        <v> </v>
      </c>
      <c r="G246" s="369" t="str">
        <f aca="false">IF(A246="N/A"," ",IF(ISERROR(N246),G234*Inputs!$F$19,N246))</f>
        <v> </v>
      </c>
      <c r="H246" s="371" t="str">
        <f aca="false">IF(A246="N/A"," ",G246*C246)</f>
        <v> </v>
      </c>
      <c r="I246" s="371" t="str">
        <f aca="false">IF(A246="N/A"," ",IF(ISERROR(O246),I234*Inputs!$F$19,O246))</f>
        <v> </v>
      </c>
      <c r="J246" s="372" t="str">
        <f aca="false">IF(A246="N/A"," ",IF(ISERROR(P246),J234*Inputs!$F$23,P246))</f>
        <v> </v>
      </c>
      <c r="L246" s="374" t="str">
        <f aca="false">IF(A246="N/A"," ",VLOOKUP(A246,PeakPowerCurves,(IF('Pricing Inputs'!$AT$3=2,3,IF('Pricing Inputs'!$AT$3=1,2,4))),FALSE()))</f>
        <v> </v>
      </c>
      <c r="M246" s="374" t="str">
        <f aca="false">IF(A246="N/A"," ",VLOOKUP(A246,SatSunPeakPwr,(IF('Pricing Inputs'!$AT$3=2,3,IF('Pricing Inputs'!$AT$3=1,2,4))),FALSE()))</f>
        <v> </v>
      </c>
      <c r="N246" s="374" t="str">
        <f aca="false">IF(A246="N/A"," ",VLOOKUP(A246,SatSunPeakPwr,(IF('Pricing Inputs'!$AT$3=2,7,IF('Pricing Inputs'!$AT$3=1,6,8))),FALSE()))</f>
        <v> </v>
      </c>
      <c r="O246" s="375" t="str">
        <f aca="false">IF(A246="N/A"," ",(VLOOKUP(A246,OPPowerPrices,(IF('Pricing Inputs'!$AT$3=2,7,IF('Pricing Inputs'!$AT$3=1,6,8))),FALSE())))</f>
        <v> </v>
      </c>
      <c r="P246" s="376" t="str">
        <f aca="false">IF(A246="N/A"," ",(VLOOKUP(A246,GasCurves,15,FALSE())))</f>
        <v> </v>
      </c>
      <c r="AF246" s="341" t="n">
        <v>43922</v>
      </c>
      <c r="AG246" s="31" t="n">
        <v>22</v>
      </c>
      <c r="AH246" s="31" t="n">
        <v>4</v>
      </c>
      <c r="AI246" s="31" t="n">
        <v>4</v>
      </c>
      <c r="AJ246" s="31" t="n">
        <v>0</v>
      </c>
      <c r="AK246" s="31" t="n">
        <v>30</v>
      </c>
    </row>
    <row r="247" customFormat="false" ht="12.75" hidden="false" customHeight="false" outlineLevel="0" collapsed="false">
      <c r="A247" s="368" t="str">
        <f aca="false">Calculations!A214</f>
        <v>N/A</v>
      </c>
      <c r="B247" s="369" t="str">
        <f aca="false">IF(A247="N/A"," ",IF(ISERROR(L247),B235*Inputs!$F$19,L247))</f>
        <v> </v>
      </c>
      <c r="C247" s="370" t="str">
        <f aca="false">IF(A247="N/A"," ",(IF(AND(MONTH(A247)&gt;=6,MONTH(A247)&lt;=8,OR($K$37="REGION 2",$K$37="REGION 2A",$K$37="REGION 2B",$K$37="REGION 3",$K$37="REGION 3A",$K$37="REGION 3B",$K$37="REGION 4",$K$37="REGION 4B",$K$37="REGION 4C",$K$37="REGION 5",$K$37="REGION 5A")),((0.059228/(B247/100))-(0.4980013/(SQRT(B247/100)))+2.137988),HLOOKUP(MONTH(A247),ScalarTable,28))))</f>
        <v> </v>
      </c>
      <c r="D247" s="371" t="str">
        <f aca="false">IF(A247="N/A"," ",C247*B247)</f>
        <v> </v>
      </c>
      <c r="E247" s="369" t="str">
        <f aca="false">IF(A247="N/A"," ",IF(ISERROR(M247),E235*Inputs!$F$19,M247))</f>
        <v> </v>
      </c>
      <c r="F247" s="371" t="str">
        <f aca="false">IF(A247="N/A"," ",E247*C247)</f>
        <v> </v>
      </c>
      <c r="G247" s="369" t="str">
        <f aca="false">IF(A247="N/A"," ",IF(ISERROR(N247),G235*Inputs!$F$19,N247))</f>
        <v> </v>
      </c>
      <c r="H247" s="371" t="str">
        <f aca="false">IF(A247="N/A"," ",G247*C247)</f>
        <v> </v>
      </c>
      <c r="I247" s="371" t="str">
        <f aca="false">IF(A247="N/A"," ",IF(ISERROR(O247),I235*Inputs!$F$19,O247))</f>
        <v> </v>
      </c>
      <c r="J247" s="372" t="str">
        <f aca="false">IF(A247="N/A"," ",IF(ISERROR(P247),J235*Inputs!$F$23,P247))</f>
        <v> </v>
      </c>
      <c r="L247" s="374" t="str">
        <f aca="false">IF(A247="N/A"," ",VLOOKUP(A247,PeakPowerCurves,(IF('Pricing Inputs'!$AT$3=2,3,IF('Pricing Inputs'!$AT$3=1,2,4))),FALSE()))</f>
        <v> </v>
      </c>
      <c r="M247" s="374" t="str">
        <f aca="false">IF(A247="N/A"," ",VLOOKUP(A247,SatSunPeakPwr,(IF('Pricing Inputs'!$AT$3=2,3,IF('Pricing Inputs'!$AT$3=1,2,4))),FALSE()))</f>
        <v> </v>
      </c>
      <c r="N247" s="374" t="str">
        <f aca="false">IF(A247="N/A"," ",VLOOKUP(A247,SatSunPeakPwr,(IF('Pricing Inputs'!$AT$3=2,7,IF('Pricing Inputs'!$AT$3=1,6,8))),FALSE()))</f>
        <v> </v>
      </c>
      <c r="O247" s="375" t="str">
        <f aca="false">IF(A247="N/A"," ",(VLOOKUP(A247,OPPowerPrices,(IF('Pricing Inputs'!$AT$3=2,7,IF('Pricing Inputs'!$AT$3=1,6,8))),FALSE())))</f>
        <v> </v>
      </c>
      <c r="P247" s="376" t="str">
        <f aca="false">IF(A247="N/A"," ",(VLOOKUP(A247,GasCurves,15,FALSE())))</f>
        <v> </v>
      </c>
      <c r="AF247" s="341" t="n">
        <v>43952</v>
      </c>
      <c r="AG247" s="31" t="n">
        <v>20</v>
      </c>
      <c r="AH247" s="31" t="n">
        <v>5</v>
      </c>
      <c r="AI247" s="31" t="n">
        <v>5</v>
      </c>
      <c r="AJ247" s="31" t="n">
        <v>1</v>
      </c>
      <c r="AK247" s="31" t="n">
        <v>31</v>
      </c>
    </row>
    <row r="248" customFormat="false" ht="12.75" hidden="false" customHeight="false" outlineLevel="0" collapsed="false">
      <c r="A248" s="368" t="str">
        <f aca="false">Calculations!A215</f>
        <v>N/A</v>
      </c>
      <c r="B248" s="369" t="str">
        <f aca="false">IF(A248="N/A"," ",IF(ISERROR(L248),B236*Inputs!$F$19,L248))</f>
        <v> </v>
      </c>
      <c r="C248" s="370" t="str">
        <f aca="false">IF(A248="N/A"," ",(IF(AND(MONTH(A248)&gt;=6,MONTH(A248)&lt;=8,OR($K$37="REGION 2",$K$37="REGION 2A",$K$37="REGION 2B",$K$37="REGION 3",$K$37="REGION 3A",$K$37="REGION 3B",$K$37="REGION 4",$K$37="REGION 4B",$K$37="REGION 4C",$K$37="REGION 5",$K$37="REGION 5A")),((0.059228/(B248/100))-(0.4980013/(SQRT(B248/100)))+2.137988),HLOOKUP(MONTH(A248),ScalarTable,28))))</f>
        <v> </v>
      </c>
      <c r="D248" s="371" t="str">
        <f aca="false">IF(A248="N/A"," ",C248*B248)</f>
        <v> </v>
      </c>
      <c r="E248" s="369" t="str">
        <f aca="false">IF(A248="N/A"," ",IF(ISERROR(M248),E236*Inputs!$F$19,M248))</f>
        <v> </v>
      </c>
      <c r="F248" s="371" t="str">
        <f aca="false">IF(A248="N/A"," ",E248*C248)</f>
        <v> </v>
      </c>
      <c r="G248" s="369" t="str">
        <f aca="false">IF(A248="N/A"," ",IF(ISERROR(N248),G236*Inputs!$F$19,N248))</f>
        <v> </v>
      </c>
      <c r="H248" s="371" t="str">
        <f aca="false">IF(A248="N/A"," ",G248*C248)</f>
        <v> </v>
      </c>
      <c r="I248" s="371" t="str">
        <f aca="false">IF(A248="N/A"," ",IF(ISERROR(O248),I236*Inputs!$F$19,O248))</f>
        <v> </v>
      </c>
      <c r="J248" s="372" t="str">
        <f aca="false">IF(A248="N/A"," ",IF(ISERROR(P248),J236*Inputs!$F$23,P248))</f>
        <v> </v>
      </c>
      <c r="L248" s="374" t="str">
        <f aca="false">IF(A248="N/A"," ",VLOOKUP(A248,PeakPowerCurves,(IF('Pricing Inputs'!$AT$3=2,3,IF('Pricing Inputs'!$AT$3=1,2,4))),FALSE()))</f>
        <v> </v>
      </c>
      <c r="M248" s="374" t="str">
        <f aca="false">IF(A248="N/A"," ",VLOOKUP(A248,SatSunPeakPwr,(IF('Pricing Inputs'!$AT$3=2,3,IF('Pricing Inputs'!$AT$3=1,2,4))),FALSE()))</f>
        <v> </v>
      </c>
      <c r="N248" s="374" t="str">
        <f aca="false">IF(A248="N/A"," ",VLOOKUP(A248,SatSunPeakPwr,(IF('Pricing Inputs'!$AT$3=2,7,IF('Pricing Inputs'!$AT$3=1,6,8))),FALSE()))</f>
        <v> </v>
      </c>
      <c r="O248" s="375" t="str">
        <f aca="false">IF(A248="N/A"," ",(VLOOKUP(A248,OPPowerPrices,(IF('Pricing Inputs'!$AT$3=2,7,IF('Pricing Inputs'!$AT$3=1,6,8))),FALSE())))</f>
        <v> </v>
      </c>
      <c r="P248" s="376" t="str">
        <f aca="false">IF(A248="N/A"," ",(VLOOKUP(A248,GasCurves,15,FALSE())))</f>
        <v> </v>
      </c>
      <c r="AF248" s="341" t="n">
        <v>43983</v>
      </c>
      <c r="AG248" s="31" t="n">
        <v>22</v>
      </c>
      <c r="AH248" s="31" t="n">
        <v>4</v>
      </c>
      <c r="AI248" s="31" t="n">
        <v>4</v>
      </c>
      <c r="AJ248" s="31" t="n">
        <v>0</v>
      </c>
      <c r="AK248" s="31" t="n">
        <v>30</v>
      </c>
    </row>
    <row r="249" customFormat="false" ht="12.75" hidden="false" customHeight="false" outlineLevel="0" collapsed="false">
      <c r="A249" s="368" t="str">
        <f aca="false">Calculations!A216</f>
        <v>N/A</v>
      </c>
      <c r="B249" s="369" t="str">
        <f aca="false">IF(A249="N/A"," ",IF(ISERROR(L249),B237*Inputs!$F$19,L249))</f>
        <v> </v>
      </c>
      <c r="C249" s="370" t="str">
        <f aca="false">IF(A249="N/A"," ",(IF(AND(MONTH(A249)&gt;=6,MONTH(A249)&lt;=8,OR($K$37="REGION 2",$K$37="REGION 2A",$K$37="REGION 2B",$K$37="REGION 3",$K$37="REGION 3A",$K$37="REGION 3B",$K$37="REGION 4",$K$37="REGION 4B",$K$37="REGION 4C",$K$37="REGION 5",$K$37="REGION 5A")),((0.059228/(B249/100))-(0.4980013/(SQRT(B249/100)))+2.137988),HLOOKUP(MONTH(A249),ScalarTable,28))))</f>
        <v> </v>
      </c>
      <c r="D249" s="371" t="str">
        <f aca="false">IF(A249="N/A"," ",C249*B249)</f>
        <v> </v>
      </c>
      <c r="E249" s="369" t="str">
        <f aca="false">IF(A249="N/A"," ",IF(ISERROR(M249),E237*Inputs!$F$19,M249))</f>
        <v> </v>
      </c>
      <c r="F249" s="371" t="str">
        <f aca="false">IF(A249="N/A"," ",E249*C249)</f>
        <v> </v>
      </c>
      <c r="G249" s="369" t="str">
        <f aca="false">IF(A249="N/A"," ",IF(ISERROR(N249),G237*Inputs!$F$19,N249))</f>
        <v> </v>
      </c>
      <c r="H249" s="371" t="str">
        <f aca="false">IF(A249="N/A"," ",G249*C249)</f>
        <v> </v>
      </c>
      <c r="I249" s="371" t="str">
        <f aca="false">IF(A249="N/A"," ",IF(ISERROR(O249),I237*Inputs!$F$19,O249))</f>
        <v> </v>
      </c>
      <c r="J249" s="372" t="str">
        <f aca="false">IF(A249="N/A"," ",IF(ISERROR(P249),J237*Inputs!$F$23,P249))</f>
        <v> </v>
      </c>
      <c r="L249" s="374" t="str">
        <f aca="false">IF(A249="N/A"," ",VLOOKUP(A249,PeakPowerCurves,(IF('Pricing Inputs'!$AT$3=2,3,IF('Pricing Inputs'!$AT$3=1,2,4))),FALSE()))</f>
        <v> </v>
      </c>
      <c r="M249" s="374" t="str">
        <f aca="false">IF(A249="N/A"," ",VLOOKUP(A249,SatSunPeakPwr,(IF('Pricing Inputs'!$AT$3=2,3,IF('Pricing Inputs'!$AT$3=1,2,4))),FALSE()))</f>
        <v> </v>
      </c>
      <c r="N249" s="374" t="str">
        <f aca="false">IF(A249="N/A"," ",VLOOKUP(A249,SatSunPeakPwr,(IF('Pricing Inputs'!$AT$3=2,7,IF('Pricing Inputs'!$AT$3=1,6,8))),FALSE()))</f>
        <v> </v>
      </c>
      <c r="O249" s="375" t="str">
        <f aca="false">IF(A249="N/A"," ",(VLOOKUP(A249,OPPowerPrices,(IF('Pricing Inputs'!$AT$3=2,7,IF('Pricing Inputs'!$AT$3=1,6,8))),FALSE())))</f>
        <v> </v>
      </c>
      <c r="P249" s="376" t="str">
        <f aca="false">IF(A249="N/A"," ",(VLOOKUP(A249,GasCurves,15,FALSE())))</f>
        <v> </v>
      </c>
      <c r="AF249" s="341" t="n">
        <v>44013</v>
      </c>
      <c r="AG249" s="31" t="n">
        <v>23</v>
      </c>
      <c r="AH249" s="31" t="n">
        <v>3</v>
      </c>
      <c r="AI249" s="31" t="n">
        <v>4</v>
      </c>
      <c r="AJ249" s="31" t="n">
        <v>1</v>
      </c>
      <c r="AK249" s="31" t="n">
        <v>31</v>
      </c>
    </row>
    <row r="250" customFormat="false" ht="12.75" hidden="false" customHeight="false" outlineLevel="0" collapsed="false">
      <c r="A250" s="368" t="str">
        <f aca="false">Calculations!A217</f>
        <v>N/A</v>
      </c>
      <c r="B250" s="369" t="str">
        <f aca="false">IF(A250="N/A"," ",IF(ISERROR(L250),B238*Inputs!$F$19,L250))</f>
        <v> </v>
      </c>
      <c r="C250" s="370" t="str">
        <f aca="false">IF(A250="N/A"," ",(IF(AND(MONTH(A250)&gt;=6,MONTH(A250)&lt;=8,OR($K$37="REGION 2",$K$37="REGION 2A",$K$37="REGION 2B",$K$37="REGION 3",$K$37="REGION 3A",$K$37="REGION 3B",$K$37="REGION 4",$K$37="REGION 4B",$K$37="REGION 4C",$K$37="REGION 5",$K$37="REGION 5A")),((0.059228/(B250/100))-(0.4980013/(SQRT(B250/100)))+2.137988),HLOOKUP(MONTH(A250),ScalarTable,28))))</f>
        <v> </v>
      </c>
      <c r="D250" s="371" t="str">
        <f aca="false">IF(A250="N/A"," ",C250*B250)</f>
        <v> </v>
      </c>
      <c r="E250" s="369" t="str">
        <f aca="false">IF(A250="N/A"," ",IF(ISERROR(M250),E238*Inputs!$F$19,M250))</f>
        <v> </v>
      </c>
      <c r="F250" s="371" t="str">
        <f aca="false">IF(A250="N/A"," ",E250*C250)</f>
        <v> </v>
      </c>
      <c r="G250" s="369" t="str">
        <f aca="false">IF(A250="N/A"," ",IF(ISERROR(N250),G238*Inputs!$F$19,N250))</f>
        <v> </v>
      </c>
      <c r="H250" s="371" t="str">
        <f aca="false">IF(A250="N/A"," ",G250*C250)</f>
        <v> </v>
      </c>
      <c r="I250" s="371" t="str">
        <f aca="false">IF(A250="N/A"," ",IF(ISERROR(O250),I238*Inputs!$F$19,O250))</f>
        <v> </v>
      </c>
      <c r="J250" s="372" t="str">
        <f aca="false">IF(A250="N/A"," ",IF(ISERROR(P250),J238*Inputs!$F$23,P250))</f>
        <v> </v>
      </c>
      <c r="L250" s="374" t="str">
        <f aca="false">IF(A250="N/A"," ",VLOOKUP(A250,PeakPowerCurves,(IF('Pricing Inputs'!$AT$3=2,3,IF('Pricing Inputs'!$AT$3=1,2,4))),FALSE()))</f>
        <v> </v>
      </c>
      <c r="M250" s="374" t="str">
        <f aca="false">IF(A250="N/A"," ",VLOOKUP(A250,SatSunPeakPwr,(IF('Pricing Inputs'!$AT$3=2,3,IF('Pricing Inputs'!$AT$3=1,2,4))),FALSE()))</f>
        <v> </v>
      </c>
      <c r="N250" s="374" t="str">
        <f aca="false">IF(A250="N/A"," ",VLOOKUP(A250,SatSunPeakPwr,(IF('Pricing Inputs'!$AT$3=2,7,IF('Pricing Inputs'!$AT$3=1,6,8))),FALSE()))</f>
        <v> </v>
      </c>
      <c r="O250" s="375" t="str">
        <f aca="false">IF(A250="N/A"," ",(VLOOKUP(A250,OPPowerPrices,(IF('Pricing Inputs'!$AT$3=2,7,IF('Pricing Inputs'!$AT$3=1,6,8))),FALSE())))</f>
        <v> </v>
      </c>
      <c r="P250" s="376" t="str">
        <f aca="false">IF(A250="N/A"," ",(VLOOKUP(A250,GasCurves,15,FALSE())))</f>
        <v> </v>
      </c>
      <c r="AF250" s="341" t="n">
        <v>44044</v>
      </c>
      <c r="AG250" s="31" t="n">
        <v>21</v>
      </c>
      <c r="AH250" s="31" t="n">
        <v>5</v>
      </c>
      <c r="AI250" s="31" t="n">
        <v>5</v>
      </c>
      <c r="AJ250" s="31" t="n">
        <v>0</v>
      </c>
      <c r="AK250" s="31" t="n">
        <v>31</v>
      </c>
    </row>
    <row r="251" customFormat="false" ht="12.75" hidden="false" customHeight="false" outlineLevel="0" collapsed="false">
      <c r="A251" s="368" t="str">
        <f aca="false">Calculations!A218</f>
        <v>N/A</v>
      </c>
      <c r="B251" s="369" t="str">
        <f aca="false">IF(A251="N/A"," ",IF(ISERROR(L251),B239*Inputs!$F$19,L251))</f>
        <v> </v>
      </c>
      <c r="C251" s="370" t="str">
        <f aca="false">IF(A251="N/A"," ",(IF(AND(MONTH(A251)&gt;=6,MONTH(A251)&lt;=8,OR($K$37="REGION 2",$K$37="REGION 2A",$K$37="REGION 2B",$K$37="REGION 3",$K$37="REGION 3A",$K$37="REGION 3B",$K$37="REGION 4",$K$37="REGION 4B",$K$37="REGION 4C",$K$37="REGION 5",$K$37="REGION 5A")),((0.059228/(B251/100))-(0.4980013/(SQRT(B251/100)))+2.137988),HLOOKUP(MONTH(A251),ScalarTable,28))))</f>
        <v> </v>
      </c>
      <c r="D251" s="371" t="str">
        <f aca="false">IF(A251="N/A"," ",C251*B251)</f>
        <v> </v>
      </c>
      <c r="E251" s="369" t="str">
        <f aca="false">IF(A251="N/A"," ",IF(ISERROR(M251),E239*Inputs!$F$19,M251))</f>
        <v> </v>
      </c>
      <c r="F251" s="371" t="str">
        <f aca="false">IF(A251="N/A"," ",E251*C251)</f>
        <v> </v>
      </c>
      <c r="G251" s="369" t="str">
        <f aca="false">IF(A251="N/A"," ",IF(ISERROR(N251),G239*Inputs!$F$19,N251))</f>
        <v> </v>
      </c>
      <c r="H251" s="371" t="str">
        <f aca="false">IF(A251="N/A"," ",G251*C251)</f>
        <v> </v>
      </c>
      <c r="I251" s="371" t="str">
        <f aca="false">IF(A251="N/A"," ",IF(ISERROR(O251),I239*Inputs!$F$19,O251))</f>
        <v> </v>
      </c>
      <c r="J251" s="372" t="str">
        <f aca="false">IF(A251="N/A"," ",IF(ISERROR(P251),J239*Inputs!$F$23,P251))</f>
        <v> </v>
      </c>
      <c r="L251" s="374" t="str">
        <f aca="false">IF(A251="N/A"," ",VLOOKUP(A251,PeakPowerCurves,(IF('Pricing Inputs'!$AT$3=2,3,IF('Pricing Inputs'!$AT$3=1,2,4))),FALSE()))</f>
        <v> </v>
      </c>
      <c r="M251" s="374" t="str">
        <f aca="false">IF(A251="N/A"," ",VLOOKUP(A251,SatSunPeakPwr,(IF('Pricing Inputs'!$AT$3=2,3,IF('Pricing Inputs'!$AT$3=1,2,4))),FALSE()))</f>
        <v> </v>
      </c>
      <c r="N251" s="374" t="str">
        <f aca="false">IF(A251="N/A"," ",VLOOKUP(A251,SatSunPeakPwr,(IF('Pricing Inputs'!$AT$3=2,7,IF('Pricing Inputs'!$AT$3=1,6,8))),FALSE()))</f>
        <v> </v>
      </c>
      <c r="O251" s="375" t="str">
        <f aca="false">IF(A251="N/A"," ",(VLOOKUP(A251,OPPowerPrices,(IF('Pricing Inputs'!$AT$3=2,7,IF('Pricing Inputs'!$AT$3=1,6,8))),FALSE())))</f>
        <v> </v>
      </c>
      <c r="P251" s="376" t="str">
        <f aca="false">IF(A251="N/A"," ",(VLOOKUP(A251,GasCurves,15,FALSE())))</f>
        <v> </v>
      </c>
      <c r="AF251" s="341" t="n">
        <v>44075</v>
      </c>
      <c r="AG251" s="31" t="n">
        <v>21</v>
      </c>
      <c r="AH251" s="31" t="n">
        <v>4</v>
      </c>
      <c r="AI251" s="31" t="n">
        <v>4</v>
      </c>
      <c r="AJ251" s="31" t="n">
        <v>1</v>
      </c>
      <c r="AK251" s="31" t="n">
        <v>30</v>
      </c>
    </row>
    <row r="252" customFormat="false" ht="12.75" hidden="false" customHeight="false" outlineLevel="0" collapsed="false">
      <c r="A252" s="368" t="str">
        <f aca="false">Calculations!A219</f>
        <v>N/A</v>
      </c>
      <c r="B252" s="369" t="str">
        <f aca="false">IF(A252="N/A"," ",IF(ISERROR(L252),B240*Inputs!$F$19,L252))</f>
        <v> </v>
      </c>
      <c r="C252" s="370" t="str">
        <f aca="false">IF(A252="N/A"," ",(IF(AND(MONTH(A252)&gt;=6,MONTH(A252)&lt;=8,OR($K$37="REGION 2",$K$37="REGION 2A",$K$37="REGION 2B",$K$37="REGION 3",$K$37="REGION 3A",$K$37="REGION 3B",$K$37="REGION 4",$K$37="REGION 4B",$K$37="REGION 4C",$K$37="REGION 5",$K$37="REGION 5A")),((0.059228/(B252/100))-(0.4980013/(SQRT(B252/100)))+2.137988),HLOOKUP(MONTH(A252),ScalarTable,28))))</f>
        <v> </v>
      </c>
      <c r="D252" s="371" t="str">
        <f aca="false">IF(A252="N/A"," ",C252*B252)</f>
        <v> </v>
      </c>
      <c r="E252" s="369" t="str">
        <f aca="false">IF(A252="N/A"," ",IF(ISERROR(M252),E240*Inputs!$F$19,M252))</f>
        <v> </v>
      </c>
      <c r="F252" s="371" t="str">
        <f aca="false">IF(A252="N/A"," ",E252*C252)</f>
        <v> </v>
      </c>
      <c r="G252" s="369" t="str">
        <f aca="false">IF(A252="N/A"," ",IF(ISERROR(N252),G240*Inputs!$F$19,N252))</f>
        <v> </v>
      </c>
      <c r="H252" s="371" t="str">
        <f aca="false">IF(A252="N/A"," ",G252*C252)</f>
        <v> </v>
      </c>
      <c r="I252" s="371" t="str">
        <f aca="false">IF(A252="N/A"," ",IF(ISERROR(O252),I240*Inputs!$F$19,O252))</f>
        <v> </v>
      </c>
      <c r="J252" s="372" t="str">
        <f aca="false">IF(A252="N/A"," ",IF(ISERROR(P252),J240*Inputs!$F$23,P252))</f>
        <v> </v>
      </c>
      <c r="L252" s="374" t="str">
        <f aca="false">IF(A252="N/A"," ",VLOOKUP(A252,PeakPowerCurves,(IF('Pricing Inputs'!$AT$3=2,3,IF('Pricing Inputs'!$AT$3=1,2,4))),FALSE()))</f>
        <v> </v>
      </c>
      <c r="M252" s="374" t="str">
        <f aca="false">IF(A252="N/A"," ",VLOOKUP(A252,SatSunPeakPwr,(IF('Pricing Inputs'!$AT$3=2,3,IF('Pricing Inputs'!$AT$3=1,2,4))),FALSE()))</f>
        <v> </v>
      </c>
      <c r="N252" s="374" t="str">
        <f aca="false">IF(A252="N/A"," ",VLOOKUP(A252,SatSunPeakPwr,(IF('Pricing Inputs'!$AT$3=2,7,IF('Pricing Inputs'!$AT$3=1,6,8))),FALSE()))</f>
        <v> </v>
      </c>
      <c r="O252" s="375" t="str">
        <f aca="false">IF(A252="N/A"," ",(VLOOKUP(A252,OPPowerPrices,(IF('Pricing Inputs'!$AT$3=2,7,IF('Pricing Inputs'!$AT$3=1,6,8))),FALSE())))</f>
        <v> </v>
      </c>
      <c r="P252" s="376" t="str">
        <f aca="false">IF(A252="N/A"," ",(VLOOKUP(A252,GasCurves,15,FALSE())))</f>
        <v> </v>
      </c>
      <c r="AF252" s="341" t="n">
        <v>44105</v>
      </c>
      <c r="AG252" s="31" t="n">
        <v>22</v>
      </c>
      <c r="AH252" s="31" t="n">
        <v>5</v>
      </c>
      <c r="AI252" s="31" t="n">
        <v>4</v>
      </c>
      <c r="AJ252" s="31" t="n">
        <v>0</v>
      </c>
      <c r="AK252" s="31" t="n">
        <v>31</v>
      </c>
    </row>
    <row r="253" customFormat="false" ht="12.75" hidden="false" customHeight="false" outlineLevel="0" collapsed="false">
      <c r="A253" s="368" t="str">
        <f aca="false">Calculations!A220</f>
        <v>N/A</v>
      </c>
      <c r="B253" s="369" t="str">
        <f aca="false">IF(A253="N/A"," ",IF(ISERROR(L253),B241*Inputs!$F$19,L253))</f>
        <v> </v>
      </c>
      <c r="C253" s="370" t="str">
        <f aca="false">IF(A253="N/A"," ",(IF(AND(MONTH(A253)&gt;=6,MONTH(A253)&lt;=8,OR($K$37="REGION 2",$K$37="REGION 2A",$K$37="REGION 2B",$K$37="REGION 3",$K$37="REGION 3A",$K$37="REGION 3B",$K$37="REGION 4",$K$37="REGION 4B",$K$37="REGION 4C",$K$37="REGION 5",$K$37="REGION 5A")),((0.059228/(B253/100))-(0.4980013/(SQRT(B253/100)))+2.137988),HLOOKUP(MONTH(A253),ScalarTable,28))))</f>
        <v> </v>
      </c>
      <c r="D253" s="371" t="str">
        <f aca="false">IF(A253="N/A"," ",C253*B253)</f>
        <v> </v>
      </c>
      <c r="E253" s="369" t="str">
        <f aca="false">IF(A253="N/A"," ",IF(ISERROR(M253),E241*Inputs!$F$19,M253))</f>
        <v> </v>
      </c>
      <c r="F253" s="371" t="str">
        <f aca="false">IF(A253="N/A"," ",E253*C253)</f>
        <v> </v>
      </c>
      <c r="G253" s="369" t="str">
        <f aca="false">IF(A253="N/A"," ",IF(ISERROR(N253),G241*Inputs!$F$19,N253))</f>
        <v> </v>
      </c>
      <c r="H253" s="371" t="str">
        <f aca="false">IF(A253="N/A"," ",G253*C253)</f>
        <v> </v>
      </c>
      <c r="I253" s="371" t="str">
        <f aca="false">IF(A253="N/A"," ",IF(ISERROR(O253),I241*Inputs!$F$19,O253))</f>
        <v> </v>
      </c>
      <c r="J253" s="372" t="str">
        <f aca="false">IF(A253="N/A"," ",IF(ISERROR(P253),J241*Inputs!$F$23,P253))</f>
        <v> </v>
      </c>
      <c r="L253" s="374" t="str">
        <f aca="false">IF(A253="N/A"," ",VLOOKUP(A253,PeakPowerCurves,(IF('Pricing Inputs'!$AT$3=2,3,IF('Pricing Inputs'!$AT$3=1,2,4))),FALSE()))</f>
        <v> </v>
      </c>
      <c r="M253" s="374" t="str">
        <f aca="false">IF(A253="N/A"," ",VLOOKUP(A253,SatSunPeakPwr,(IF('Pricing Inputs'!$AT$3=2,3,IF('Pricing Inputs'!$AT$3=1,2,4))),FALSE()))</f>
        <v> </v>
      </c>
      <c r="N253" s="374" t="str">
        <f aca="false">IF(A253="N/A"," ",VLOOKUP(A253,SatSunPeakPwr,(IF('Pricing Inputs'!$AT$3=2,7,IF('Pricing Inputs'!$AT$3=1,6,8))),FALSE()))</f>
        <v> </v>
      </c>
      <c r="O253" s="375" t="str">
        <f aca="false">IF(A253="N/A"," ",(VLOOKUP(A253,OPPowerPrices,(IF('Pricing Inputs'!$AT$3=2,7,IF('Pricing Inputs'!$AT$3=1,6,8))),FALSE())))</f>
        <v> </v>
      </c>
      <c r="P253" s="376" t="str">
        <f aca="false">IF(A253="N/A"," ",(VLOOKUP(A253,GasCurves,15,FALSE())))</f>
        <v> </v>
      </c>
      <c r="AF253" s="341" t="n">
        <v>44136</v>
      </c>
      <c r="AG253" s="31" t="n">
        <v>20</v>
      </c>
      <c r="AH253" s="31" t="n">
        <v>4</v>
      </c>
      <c r="AI253" s="31" t="n">
        <v>5</v>
      </c>
      <c r="AJ253" s="31" t="n">
        <v>1</v>
      </c>
      <c r="AK253" s="31" t="n">
        <v>30</v>
      </c>
    </row>
    <row r="254" customFormat="false" ht="12.75" hidden="false" customHeight="false" outlineLevel="0" collapsed="false">
      <c r="A254" s="368" t="str">
        <f aca="false">Calculations!A221</f>
        <v>N/A</v>
      </c>
      <c r="B254" s="369" t="str">
        <f aca="false">IF(A254="N/A"," ",IF(ISERROR(L254),B242*Inputs!$F$19,L254))</f>
        <v> </v>
      </c>
      <c r="C254" s="370" t="str">
        <f aca="false">IF(A254="N/A"," ",(IF(AND(MONTH(A254)&gt;=6,MONTH(A254)&lt;=8,OR($K$37="REGION 2",$K$37="REGION 2A",$K$37="REGION 2B",$K$37="REGION 3",$K$37="REGION 3A",$K$37="REGION 3B",$K$37="REGION 4",$K$37="REGION 4B",$K$37="REGION 4C",$K$37="REGION 5",$K$37="REGION 5A")),((0.059228/(B254/100))-(0.4980013/(SQRT(B254/100)))+2.137988),HLOOKUP(MONTH(A254),ScalarTable,28))))</f>
        <v> </v>
      </c>
      <c r="D254" s="371" t="str">
        <f aca="false">IF(A254="N/A"," ",C254*B254)</f>
        <v> </v>
      </c>
      <c r="E254" s="369" t="str">
        <f aca="false">IF(A254="N/A"," ",IF(ISERROR(M254),E242*Inputs!$F$19,M254))</f>
        <v> </v>
      </c>
      <c r="F254" s="371" t="str">
        <f aca="false">IF(A254="N/A"," ",E254*C254)</f>
        <v> </v>
      </c>
      <c r="G254" s="369" t="str">
        <f aca="false">IF(A254="N/A"," ",IF(ISERROR(N254),G242*Inputs!$F$19,N254))</f>
        <v> </v>
      </c>
      <c r="H254" s="371" t="str">
        <f aca="false">IF(A254="N/A"," ",G254*C254)</f>
        <v> </v>
      </c>
      <c r="I254" s="371" t="str">
        <f aca="false">IF(A254="N/A"," ",IF(ISERROR(O254),I242*Inputs!$F$19,O254))</f>
        <v> </v>
      </c>
      <c r="J254" s="372" t="str">
        <f aca="false">IF(A254="N/A"," ",IF(ISERROR(P254),J242*Inputs!$F$23,P254))</f>
        <v> </v>
      </c>
      <c r="L254" s="374" t="str">
        <f aca="false">IF(A254="N/A"," ",VLOOKUP(A254,PeakPowerCurves,(IF('Pricing Inputs'!$AT$3=2,3,IF('Pricing Inputs'!$AT$3=1,2,4))),FALSE()))</f>
        <v> </v>
      </c>
      <c r="M254" s="374" t="str">
        <f aca="false">IF(A254="N/A"," ",VLOOKUP(A254,SatSunPeakPwr,(IF('Pricing Inputs'!$AT$3=2,3,IF('Pricing Inputs'!$AT$3=1,2,4))),FALSE()))</f>
        <v> </v>
      </c>
      <c r="N254" s="374" t="str">
        <f aca="false">IF(A254="N/A"," ",VLOOKUP(A254,SatSunPeakPwr,(IF('Pricing Inputs'!$AT$3=2,7,IF('Pricing Inputs'!$AT$3=1,6,8))),FALSE()))</f>
        <v> </v>
      </c>
      <c r="O254" s="375" t="str">
        <f aca="false">IF(A254="N/A"," ",(VLOOKUP(A254,OPPowerPrices,(IF('Pricing Inputs'!$AT$3=2,7,IF('Pricing Inputs'!$AT$3=1,6,8))),FALSE())))</f>
        <v> </v>
      </c>
      <c r="P254" s="376" t="str">
        <f aca="false">IF(A254="N/A"," ",(VLOOKUP(A254,GasCurves,15,FALSE())))</f>
        <v> </v>
      </c>
      <c r="AF254" s="341" t="n">
        <v>44166</v>
      </c>
      <c r="AG254" s="31" t="n">
        <v>22</v>
      </c>
      <c r="AH254" s="31" t="n">
        <v>4</v>
      </c>
      <c r="AI254" s="31" t="n">
        <v>4</v>
      </c>
      <c r="AJ254" s="31" t="n">
        <v>1</v>
      </c>
      <c r="AK254" s="31" t="n">
        <v>31</v>
      </c>
    </row>
    <row r="255" customFormat="false" ht="12.75" hidden="false" customHeight="false" outlineLevel="0" collapsed="false">
      <c r="A255" s="368" t="str">
        <f aca="false">Calculations!A222</f>
        <v>N/A</v>
      </c>
      <c r="B255" s="369" t="str">
        <f aca="false">IF(A255="N/A"," ",IF(ISERROR(L255),B243*Inputs!$F$19,L255))</f>
        <v> </v>
      </c>
      <c r="C255" s="370" t="str">
        <f aca="false">IF(A255="N/A"," ",(IF(AND(MONTH(A255)&gt;=6,MONTH(A255)&lt;=8,OR($K$37="REGION 2",$K$37="REGION 2A",$K$37="REGION 2B",$K$37="REGION 3",$K$37="REGION 3A",$K$37="REGION 3B",$K$37="REGION 4",$K$37="REGION 4B",$K$37="REGION 4C",$K$37="REGION 5",$K$37="REGION 5A")),((0.059228/(B255/100))-(0.4980013/(SQRT(B255/100)))+2.137988),HLOOKUP(MONTH(A255),ScalarTable,28))))</f>
        <v> </v>
      </c>
      <c r="D255" s="371" t="str">
        <f aca="false">IF(A255="N/A"," ",C255*B255)</f>
        <v> </v>
      </c>
      <c r="E255" s="369" t="str">
        <f aca="false">IF(A255="N/A"," ",IF(ISERROR(M255),E243*Inputs!$F$19,M255))</f>
        <v> </v>
      </c>
      <c r="F255" s="371" t="str">
        <f aca="false">IF(A255="N/A"," ",E255*C255)</f>
        <v> </v>
      </c>
      <c r="G255" s="369" t="str">
        <f aca="false">IF(A255="N/A"," ",IF(ISERROR(N255),G243*Inputs!$F$19,N255))</f>
        <v> </v>
      </c>
      <c r="H255" s="371" t="str">
        <f aca="false">IF(A255="N/A"," ",G255*C255)</f>
        <v> </v>
      </c>
      <c r="I255" s="371" t="str">
        <f aca="false">IF(A255="N/A"," ",IF(ISERROR(O255),I243*Inputs!$F$19,O255))</f>
        <v> </v>
      </c>
      <c r="J255" s="372" t="str">
        <f aca="false">IF(A255="N/A"," ",IF(ISERROR(P255),J243*Inputs!$F$23,P255))</f>
        <v> </v>
      </c>
      <c r="L255" s="374" t="str">
        <f aca="false">IF(A255="N/A"," ",VLOOKUP(A255,PeakPowerCurves,(IF('Pricing Inputs'!$AT$3=2,3,IF('Pricing Inputs'!$AT$3=1,2,4))),FALSE()))</f>
        <v> </v>
      </c>
      <c r="M255" s="374" t="str">
        <f aca="false">IF(A255="N/A"," ",VLOOKUP(A255,SatSunPeakPwr,(IF('Pricing Inputs'!$AT$3=2,3,IF('Pricing Inputs'!$AT$3=1,2,4))),FALSE()))</f>
        <v> </v>
      </c>
      <c r="N255" s="374" t="str">
        <f aca="false">IF(A255="N/A"," ",VLOOKUP(A255,SatSunPeakPwr,(IF('Pricing Inputs'!$AT$3=2,7,IF('Pricing Inputs'!$AT$3=1,6,8))),FALSE()))</f>
        <v> </v>
      </c>
      <c r="O255" s="375" t="str">
        <f aca="false">IF(A255="N/A"," ",(VLOOKUP(A255,OPPowerPrices,(IF('Pricing Inputs'!$AT$3=2,7,IF('Pricing Inputs'!$AT$3=1,6,8))),FALSE())))</f>
        <v> </v>
      </c>
      <c r="P255" s="376" t="str">
        <f aca="false">IF(A255="N/A"," ",(VLOOKUP(A255,GasCurves,15,FALSE())))</f>
        <v> </v>
      </c>
    </row>
    <row r="256" customFormat="false" ht="12.75" hidden="false" customHeight="false" outlineLevel="0" collapsed="false">
      <c r="A256" s="368" t="str">
        <f aca="false">Calculations!A223</f>
        <v>N/A</v>
      </c>
      <c r="B256" s="369" t="str">
        <f aca="false">IF(A256="N/A"," ",IF(ISERROR(L256),B244*Inputs!$F$19,L256))</f>
        <v> </v>
      </c>
      <c r="C256" s="370" t="str">
        <f aca="false">IF(A256="N/A"," ",(IF(AND(MONTH(A256)&gt;=6,MONTH(A256)&lt;=8,OR($K$37="REGION 2",$K$37="REGION 2A",$K$37="REGION 2B",$K$37="REGION 3",$K$37="REGION 3A",$K$37="REGION 3B",$K$37="REGION 4",$K$37="REGION 4B",$K$37="REGION 4C",$K$37="REGION 5",$K$37="REGION 5A")),((0.059228/(B256/100))-(0.4980013/(SQRT(B256/100)))+2.137988),HLOOKUP(MONTH(A256),ScalarTable,28))))</f>
        <v> </v>
      </c>
      <c r="D256" s="371" t="str">
        <f aca="false">IF(A256="N/A"," ",C256*B256)</f>
        <v> </v>
      </c>
      <c r="E256" s="369" t="str">
        <f aca="false">IF(A256="N/A"," ",IF(ISERROR(M256),E244*Inputs!$F$19,M256))</f>
        <v> </v>
      </c>
      <c r="F256" s="371" t="str">
        <f aca="false">IF(A256="N/A"," ",E256*C256)</f>
        <v> </v>
      </c>
      <c r="G256" s="369" t="str">
        <f aca="false">IF(A256="N/A"," ",IF(ISERROR(N256),G244*Inputs!$F$19,N256))</f>
        <v> </v>
      </c>
      <c r="H256" s="371" t="str">
        <f aca="false">IF(A256="N/A"," ",G256*C256)</f>
        <v> </v>
      </c>
      <c r="I256" s="371" t="str">
        <f aca="false">IF(A256="N/A"," ",IF(ISERROR(O256),I244*Inputs!$F$19,O256))</f>
        <v> </v>
      </c>
      <c r="J256" s="372" t="str">
        <f aca="false">IF(A256="N/A"," ",IF(ISERROR(P256),J244*Inputs!$F$23,P256))</f>
        <v> </v>
      </c>
      <c r="L256" s="374" t="str">
        <f aca="false">IF(A256="N/A"," ",VLOOKUP(A256,PeakPowerCurves,(IF('Pricing Inputs'!$AT$3=2,3,IF('Pricing Inputs'!$AT$3=1,2,4))),FALSE()))</f>
        <v> </v>
      </c>
      <c r="M256" s="374" t="str">
        <f aca="false">IF(A256="N/A"," ",VLOOKUP(A256,SatSunPeakPwr,(IF('Pricing Inputs'!$AT$3=2,3,IF('Pricing Inputs'!$AT$3=1,2,4))),FALSE()))</f>
        <v> </v>
      </c>
      <c r="N256" s="374" t="str">
        <f aca="false">IF(A256="N/A"," ",VLOOKUP(A256,SatSunPeakPwr,(IF('Pricing Inputs'!$AT$3=2,7,IF('Pricing Inputs'!$AT$3=1,6,8))),FALSE()))</f>
        <v> </v>
      </c>
      <c r="O256" s="375" t="str">
        <f aca="false">IF(A256="N/A"," ",(VLOOKUP(A256,OPPowerPrices,(IF('Pricing Inputs'!$AT$3=2,7,IF('Pricing Inputs'!$AT$3=1,6,8))),FALSE())))</f>
        <v> </v>
      </c>
      <c r="P256" s="376" t="str">
        <f aca="false">IF(A256="N/A"," ",(VLOOKUP(A256,GasCurves,15,FALSE())))</f>
        <v> </v>
      </c>
    </row>
    <row r="257" customFormat="false" ht="12.75" hidden="false" customHeight="false" outlineLevel="0" collapsed="false">
      <c r="A257" s="368" t="str">
        <f aca="false">Calculations!A224</f>
        <v>N/A</v>
      </c>
      <c r="B257" s="369" t="str">
        <f aca="false">IF(A257="N/A"," ",IF(ISERROR(L257),B245*Inputs!$F$19,L257))</f>
        <v> </v>
      </c>
      <c r="C257" s="370" t="str">
        <f aca="false">IF(A257="N/A"," ",(IF(AND(MONTH(A257)&gt;=6,MONTH(A257)&lt;=8,OR($K$37="REGION 2",$K$37="REGION 2A",$K$37="REGION 2B",$K$37="REGION 3",$K$37="REGION 3A",$K$37="REGION 3B",$K$37="REGION 4",$K$37="REGION 4B",$K$37="REGION 4C",$K$37="REGION 5",$K$37="REGION 5A")),((0.059228/(B257/100))-(0.4980013/(SQRT(B257/100)))+2.137988),HLOOKUP(MONTH(A257),ScalarTable,28))))</f>
        <v> </v>
      </c>
      <c r="D257" s="371" t="str">
        <f aca="false">IF(A257="N/A"," ",C257*B257)</f>
        <v> </v>
      </c>
      <c r="E257" s="369" t="str">
        <f aca="false">IF(A257="N/A"," ",IF(ISERROR(M257),E245*Inputs!$F$19,M257))</f>
        <v> </v>
      </c>
      <c r="F257" s="371" t="str">
        <f aca="false">IF(A257="N/A"," ",E257*C257)</f>
        <v> </v>
      </c>
      <c r="G257" s="369" t="str">
        <f aca="false">IF(A257="N/A"," ",IF(ISERROR(N257),G245*Inputs!$F$19,N257))</f>
        <v> </v>
      </c>
      <c r="H257" s="371" t="str">
        <f aca="false">IF(A257="N/A"," ",G257*C257)</f>
        <v> </v>
      </c>
      <c r="I257" s="371" t="str">
        <f aca="false">IF(A257="N/A"," ",IF(ISERROR(O257),I245*Inputs!$F$19,O257))</f>
        <v> </v>
      </c>
      <c r="J257" s="372" t="str">
        <f aca="false">IF(A257="N/A"," ",IF(ISERROR(P257),J245*Inputs!$F$23,P257))</f>
        <v> </v>
      </c>
      <c r="L257" s="374" t="str">
        <f aca="false">IF(A257="N/A"," ",VLOOKUP(A257,PeakPowerCurves,(IF('Pricing Inputs'!$AT$3=2,3,IF('Pricing Inputs'!$AT$3=1,2,4))),FALSE()))</f>
        <v> </v>
      </c>
      <c r="M257" s="374" t="str">
        <f aca="false">IF(A257="N/A"," ",VLOOKUP(A257,SatSunPeakPwr,(IF('Pricing Inputs'!$AT$3=2,3,IF('Pricing Inputs'!$AT$3=1,2,4))),FALSE()))</f>
        <v> </v>
      </c>
      <c r="N257" s="374" t="str">
        <f aca="false">IF(A257="N/A"," ",VLOOKUP(A257,SatSunPeakPwr,(IF('Pricing Inputs'!$AT$3=2,7,IF('Pricing Inputs'!$AT$3=1,6,8))),FALSE()))</f>
        <v> </v>
      </c>
      <c r="O257" s="375" t="str">
        <f aca="false">IF(A257="N/A"," ",(VLOOKUP(A257,OPPowerPrices,(IF('Pricing Inputs'!$AT$3=2,7,IF('Pricing Inputs'!$AT$3=1,6,8))),FALSE())))</f>
        <v> </v>
      </c>
      <c r="P257" s="376" t="str">
        <f aca="false">IF(A257="N/A"," ",(VLOOKUP(A257,GasCurves,15,FALSE())))</f>
        <v> </v>
      </c>
    </row>
    <row r="258" customFormat="false" ht="12.75" hidden="false" customHeight="false" outlineLevel="0" collapsed="false">
      <c r="A258" s="368" t="str">
        <f aca="false">Calculations!A225</f>
        <v>N/A</v>
      </c>
      <c r="B258" s="369" t="str">
        <f aca="false">IF(A258="N/A"," ",IF(ISERROR(L258),B246*Inputs!$F$19,L258))</f>
        <v> </v>
      </c>
      <c r="C258" s="370" t="str">
        <f aca="false">IF(A258="N/A"," ",(IF(AND(MONTH(A258)&gt;=6,MONTH(A258)&lt;=8,OR($K$37="REGION 2",$K$37="REGION 2A",$K$37="REGION 2B",$K$37="REGION 3",$K$37="REGION 3A",$K$37="REGION 3B",$K$37="REGION 4",$K$37="REGION 4B",$K$37="REGION 4C",$K$37="REGION 5",$K$37="REGION 5A")),((0.059228/(B258/100))-(0.4980013/(SQRT(B258/100)))+2.137988),HLOOKUP(MONTH(A258),ScalarTable,28))))</f>
        <v> </v>
      </c>
      <c r="D258" s="371" t="str">
        <f aca="false">IF(A258="N/A"," ",C258*B258)</f>
        <v> </v>
      </c>
      <c r="E258" s="369" t="str">
        <f aca="false">IF(A258="N/A"," ",IF(ISERROR(M258),E246*Inputs!$F$19,M258))</f>
        <v> </v>
      </c>
      <c r="F258" s="371" t="str">
        <f aca="false">IF(A258="N/A"," ",E258*C258)</f>
        <v> </v>
      </c>
      <c r="G258" s="369" t="str">
        <f aca="false">IF(A258="N/A"," ",IF(ISERROR(N258),G246*Inputs!$F$19,N258))</f>
        <v> </v>
      </c>
      <c r="H258" s="371" t="str">
        <f aca="false">IF(A258="N/A"," ",G258*C258)</f>
        <v> </v>
      </c>
      <c r="I258" s="371" t="str">
        <f aca="false">IF(A258="N/A"," ",IF(ISERROR(O258),I246*Inputs!$F$19,O258))</f>
        <v> </v>
      </c>
      <c r="J258" s="372" t="str">
        <f aca="false">IF(A258="N/A"," ",IF(ISERROR(P258),J246*Inputs!$F$23,P258))</f>
        <v> </v>
      </c>
      <c r="L258" s="374" t="str">
        <f aca="false">IF(A258="N/A"," ",VLOOKUP(A258,PeakPowerCurves,(IF('Pricing Inputs'!$AT$3=2,3,IF('Pricing Inputs'!$AT$3=1,2,4))),FALSE()))</f>
        <v> </v>
      </c>
      <c r="M258" s="374" t="str">
        <f aca="false">IF(A258="N/A"," ",VLOOKUP(A258,SatSunPeakPwr,(IF('Pricing Inputs'!$AT$3=2,3,IF('Pricing Inputs'!$AT$3=1,2,4))),FALSE()))</f>
        <v> </v>
      </c>
      <c r="N258" s="374" t="str">
        <f aca="false">IF(A258="N/A"," ",VLOOKUP(A258,SatSunPeakPwr,(IF('Pricing Inputs'!$AT$3=2,7,IF('Pricing Inputs'!$AT$3=1,6,8))),FALSE()))</f>
        <v> </v>
      </c>
      <c r="O258" s="375" t="str">
        <f aca="false">IF(A258="N/A"," ",(VLOOKUP(A258,OPPowerPrices,(IF('Pricing Inputs'!$AT$3=2,7,IF('Pricing Inputs'!$AT$3=1,6,8))),FALSE())))</f>
        <v> </v>
      </c>
      <c r="P258" s="376" t="str">
        <f aca="false">IF(A258="N/A"," ",(VLOOKUP(A258,GasCurves,15,FALSE())))</f>
        <v> </v>
      </c>
    </row>
    <row r="259" customFormat="false" ht="12.75" hidden="false" customHeight="false" outlineLevel="0" collapsed="false">
      <c r="A259" s="368" t="str">
        <f aca="false">Calculations!A226</f>
        <v>N/A</v>
      </c>
      <c r="B259" s="369" t="str">
        <f aca="false">IF(A259="N/A"," ",IF(ISERROR(L259),B247*Inputs!$F$19,L259))</f>
        <v> </v>
      </c>
      <c r="C259" s="370" t="str">
        <f aca="false">IF(A259="N/A"," ",(IF(AND(MONTH(A259)&gt;=6,MONTH(A259)&lt;=8,OR($K$37="REGION 2",$K$37="REGION 2A",$K$37="REGION 2B",$K$37="REGION 3",$K$37="REGION 3A",$K$37="REGION 3B",$K$37="REGION 4",$K$37="REGION 4B",$K$37="REGION 4C",$K$37="REGION 5",$K$37="REGION 5A")),((0.059228/(B259/100))-(0.4980013/(SQRT(B259/100)))+2.137988),HLOOKUP(MONTH(A259),ScalarTable,28))))</f>
        <v> </v>
      </c>
      <c r="D259" s="371" t="str">
        <f aca="false">IF(A259="N/A"," ",C259*B259)</f>
        <v> </v>
      </c>
      <c r="E259" s="369" t="str">
        <f aca="false">IF(A259="N/A"," ",IF(ISERROR(M259),E247*Inputs!$F$19,M259))</f>
        <v> </v>
      </c>
      <c r="F259" s="371" t="str">
        <f aca="false">IF(A259="N/A"," ",E259*C259)</f>
        <v> </v>
      </c>
      <c r="G259" s="369" t="str">
        <f aca="false">IF(A259="N/A"," ",IF(ISERROR(N259),G247*Inputs!$F$19,N259))</f>
        <v> </v>
      </c>
      <c r="H259" s="371" t="str">
        <f aca="false">IF(A259="N/A"," ",G259*C259)</f>
        <v> </v>
      </c>
      <c r="I259" s="371" t="str">
        <f aca="false">IF(A259="N/A"," ",IF(ISERROR(O259),I247*Inputs!$F$19,O259))</f>
        <v> </v>
      </c>
      <c r="J259" s="372" t="str">
        <f aca="false">IF(A259="N/A"," ",IF(ISERROR(P259),J247*Inputs!$F$23,P259))</f>
        <v> </v>
      </c>
      <c r="L259" s="374" t="str">
        <f aca="false">IF(A259="N/A"," ",VLOOKUP(A259,PeakPowerCurves,(IF('Pricing Inputs'!$AT$3=2,3,IF('Pricing Inputs'!$AT$3=1,2,4))),FALSE()))</f>
        <v> </v>
      </c>
      <c r="M259" s="374" t="str">
        <f aca="false">IF(A259="N/A"," ",VLOOKUP(A259,SatSunPeakPwr,(IF('Pricing Inputs'!$AT$3=2,3,IF('Pricing Inputs'!$AT$3=1,2,4))),FALSE()))</f>
        <v> </v>
      </c>
      <c r="N259" s="374" t="str">
        <f aca="false">IF(A259="N/A"," ",VLOOKUP(A259,SatSunPeakPwr,(IF('Pricing Inputs'!$AT$3=2,7,IF('Pricing Inputs'!$AT$3=1,6,8))),FALSE()))</f>
        <v> </v>
      </c>
      <c r="O259" s="375" t="str">
        <f aca="false">IF(A259="N/A"," ",(VLOOKUP(A259,OPPowerPrices,(IF('Pricing Inputs'!$AT$3=2,7,IF('Pricing Inputs'!$AT$3=1,6,8))),FALSE())))</f>
        <v> </v>
      </c>
      <c r="P259" s="376" t="str">
        <f aca="false">IF(A259="N/A"," ",(VLOOKUP(A259,GasCurves,15,FALSE())))</f>
        <v> </v>
      </c>
    </row>
    <row r="260" customFormat="false" ht="12.75" hidden="false" customHeight="false" outlineLevel="0" collapsed="false">
      <c r="A260" s="368" t="str">
        <f aca="false">Calculations!A227</f>
        <v>N/A</v>
      </c>
      <c r="B260" s="369" t="str">
        <f aca="false">IF(A260="N/A"," ",IF(ISERROR(L260),B248*Inputs!$F$19,L260))</f>
        <v> </v>
      </c>
      <c r="C260" s="370" t="str">
        <f aca="false">IF(A260="N/A"," ",(IF(AND(MONTH(A260)&gt;=6,MONTH(A260)&lt;=8,OR($K$37="REGION 2",$K$37="REGION 2A",$K$37="REGION 2B",$K$37="REGION 3",$K$37="REGION 3A",$K$37="REGION 3B",$K$37="REGION 4",$K$37="REGION 4B",$K$37="REGION 4C",$K$37="REGION 5",$K$37="REGION 5A")),((0.059228/(B260/100))-(0.4980013/(SQRT(B260/100)))+2.137988),HLOOKUP(MONTH(A260),ScalarTable,28))))</f>
        <v> </v>
      </c>
      <c r="D260" s="371" t="str">
        <f aca="false">IF(A260="N/A"," ",C260*B260)</f>
        <v> </v>
      </c>
      <c r="E260" s="369" t="str">
        <f aca="false">IF(A260="N/A"," ",IF(ISERROR(M260),E248*Inputs!$F$19,M260))</f>
        <v> </v>
      </c>
      <c r="F260" s="371" t="str">
        <f aca="false">IF(A260="N/A"," ",E260*C260)</f>
        <v> </v>
      </c>
      <c r="G260" s="369" t="str">
        <f aca="false">IF(A260="N/A"," ",IF(ISERROR(N260),G248*Inputs!$F$19,N260))</f>
        <v> </v>
      </c>
      <c r="H260" s="371" t="str">
        <f aca="false">IF(A260="N/A"," ",G260*C260)</f>
        <v> </v>
      </c>
      <c r="I260" s="371" t="str">
        <f aca="false">IF(A260="N/A"," ",IF(ISERROR(O260),I248*Inputs!$F$19,O260))</f>
        <v> </v>
      </c>
      <c r="J260" s="372" t="str">
        <f aca="false">IF(A260="N/A"," ",IF(ISERROR(P260),J248*Inputs!$F$23,P260))</f>
        <v> </v>
      </c>
      <c r="L260" s="374" t="str">
        <f aca="false">IF(A260="N/A"," ",VLOOKUP(A260,PeakPowerCurves,(IF('Pricing Inputs'!$AT$3=2,3,IF('Pricing Inputs'!$AT$3=1,2,4))),FALSE()))</f>
        <v> </v>
      </c>
      <c r="M260" s="374" t="str">
        <f aca="false">IF(A260="N/A"," ",VLOOKUP(A260,SatSunPeakPwr,(IF('Pricing Inputs'!$AT$3=2,3,IF('Pricing Inputs'!$AT$3=1,2,4))),FALSE()))</f>
        <v> </v>
      </c>
      <c r="N260" s="374" t="str">
        <f aca="false">IF(A260="N/A"," ",VLOOKUP(A260,SatSunPeakPwr,(IF('Pricing Inputs'!$AT$3=2,7,IF('Pricing Inputs'!$AT$3=1,6,8))),FALSE()))</f>
        <v> </v>
      </c>
      <c r="O260" s="375" t="str">
        <f aca="false">IF(A260="N/A"," ",(VLOOKUP(A260,OPPowerPrices,(IF('Pricing Inputs'!$AT$3=2,7,IF('Pricing Inputs'!$AT$3=1,6,8))),FALSE())))</f>
        <v> </v>
      </c>
      <c r="P260" s="376" t="str">
        <f aca="false">IF(A260="N/A"," ",(VLOOKUP(A260,GasCurves,15,FALSE())))</f>
        <v> </v>
      </c>
    </row>
    <row r="261" customFormat="false" ht="12.75" hidden="false" customHeight="false" outlineLevel="0" collapsed="false">
      <c r="A261" s="368" t="str">
        <f aca="false">Calculations!A228</f>
        <v>N/A</v>
      </c>
      <c r="B261" s="369" t="str">
        <f aca="false">IF(A261="N/A"," ",IF(ISERROR(L261),B249*Inputs!$F$19,L261))</f>
        <v> </v>
      </c>
      <c r="C261" s="370" t="str">
        <f aca="false">IF(A261="N/A"," ",(IF(AND(MONTH(A261)&gt;=6,MONTH(A261)&lt;=8,OR($K$37="REGION 2",$K$37="REGION 2A",$K$37="REGION 2B",$K$37="REGION 3",$K$37="REGION 3A",$K$37="REGION 3B",$K$37="REGION 4",$K$37="REGION 4B",$K$37="REGION 4C",$K$37="REGION 5",$K$37="REGION 5A")),((0.059228/(B261/100))-(0.4980013/(SQRT(B261/100)))+2.137988),HLOOKUP(MONTH(A261),ScalarTable,28))))</f>
        <v> </v>
      </c>
      <c r="D261" s="371" t="str">
        <f aca="false">IF(A261="N/A"," ",C261*B261)</f>
        <v> </v>
      </c>
      <c r="E261" s="369" t="str">
        <f aca="false">IF(A261="N/A"," ",IF(ISERROR(M261),E249*Inputs!$F$19,M261))</f>
        <v> </v>
      </c>
      <c r="F261" s="371" t="str">
        <f aca="false">IF(A261="N/A"," ",E261*C261)</f>
        <v> </v>
      </c>
      <c r="G261" s="369" t="str">
        <f aca="false">IF(A261="N/A"," ",IF(ISERROR(N261),G249*Inputs!$F$19,N261))</f>
        <v> </v>
      </c>
      <c r="H261" s="371" t="str">
        <f aca="false">IF(A261="N/A"," ",G261*C261)</f>
        <v> </v>
      </c>
      <c r="I261" s="371" t="str">
        <f aca="false">IF(A261="N/A"," ",IF(ISERROR(O261),I249*Inputs!$F$19,O261))</f>
        <v> </v>
      </c>
      <c r="J261" s="372" t="str">
        <f aca="false">IF(A261="N/A"," ",IF(ISERROR(P261),J249*Inputs!$F$23,P261))</f>
        <v> </v>
      </c>
      <c r="L261" s="374" t="str">
        <f aca="false">IF(A261="N/A"," ",VLOOKUP(A261,PeakPowerCurves,(IF('Pricing Inputs'!$AT$3=2,3,IF('Pricing Inputs'!$AT$3=1,2,4))),FALSE()))</f>
        <v> </v>
      </c>
      <c r="M261" s="374" t="str">
        <f aca="false">IF(A261="N/A"," ",VLOOKUP(A261,SatSunPeakPwr,(IF('Pricing Inputs'!$AT$3=2,3,IF('Pricing Inputs'!$AT$3=1,2,4))),FALSE()))</f>
        <v> </v>
      </c>
      <c r="N261" s="374" t="str">
        <f aca="false">IF(A261="N/A"," ",VLOOKUP(A261,SatSunPeakPwr,(IF('Pricing Inputs'!$AT$3=2,7,IF('Pricing Inputs'!$AT$3=1,6,8))),FALSE()))</f>
        <v> </v>
      </c>
      <c r="O261" s="375" t="str">
        <f aca="false">IF(A261="N/A"," ",(VLOOKUP(A261,OPPowerPrices,(IF('Pricing Inputs'!$AT$3=2,7,IF('Pricing Inputs'!$AT$3=1,6,8))),FALSE())))</f>
        <v> </v>
      </c>
      <c r="P261" s="376" t="str">
        <f aca="false">IF(A261="N/A"," ",(VLOOKUP(A261,GasCurves,15,FALSE())))</f>
        <v> </v>
      </c>
    </row>
    <row r="262" customFormat="false" ht="12.75" hidden="false" customHeight="false" outlineLevel="0" collapsed="false">
      <c r="A262" s="368" t="str">
        <f aca="false">Calculations!A229</f>
        <v>N/A</v>
      </c>
      <c r="B262" s="369" t="str">
        <f aca="false">IF(A262="N/A"," ",IF(ISERROR(L262),B250*Inputs!$F$19,L262))</f>
        <v> </v>
      </c>
      <c r="C262" s="370" t="str">
        <f aca="false">IF(A262="N/A"," ",(IF(AND(MONTH(A262)&gt;=6,MONTH(A262)&lt;=8,OR($K$37="REGION 2",$K$37="REGION 2A",$K$37="REGION 2B",$K$37="REGION 3",$K$37="REGION 3A",$K$37="REGION 3B",$K$37="REGION 4",$K$37="REGION 4B",$K$37="REGION 4C",$K$37="REGION 5",$K$37="REGION 5A")),((0.059228/(B262/100))-(0.4980013/(SQRT(B262/100)))+2.137988),HLOOKUP(MONTH(A262),ScalarTable,28))))</f>
        <v> </v>
      </c>
      <c r="D262" s="371" t="str">
        <f aca="false">IF(A262="N/A"," ",C262*B262)</f>
        <v> </v>
      </c>
      <c r="E262" s="369" t="str">
        <f aca="false">IF(A262="N/A"," ",IF(ISERROR(M262),E250*Inputs!$F$19,M262))</f>
        <v> </v>
      </c>
      <c r="F262" s="371" t="str">
        <f aca="false">IF(A262="N/A"," ",E262*C262)</f>
        <v> </v>
      </c>
      <c r="G262" s="369" t="str">
        <f aca="false">IF(A262="N/A"," ",IF(ISERROR(N262),G250*Inputs!$F$19,N262))</f>
        <v> </v>
      </c>
      <c r="H262" s="371" t="str">
        <f aca="false">IF(A262="N/A"," ",G262*C262)</f>
        <v> </v>
      </c>
      <c r="I262" s="371" t="str">
        <f aca="false">IF(A262="N/A"," ",IF(ISERROR(O262),I250*Inputs!$F$19,O262))</f>
        <v> </v>
      </c>
      <c r="J262" s="372" t="str">
        <f aca="false">IF(A262="N/A"," ",IF(ISERROR(P262),J250*Inputs!$F$23,P262))</f>
        <v> </v>
      </c>
      <c r="L262" s="374" t="str">
        <f aca="false">IF(A262="N/A"," ",VLOOKUP(A262,PeakPowerCurves,(IF('Pricing Inputs'!$AT$3=2,3,IF('Pricing Inputs'!$AT$3=1,2,4))),FALSE()))</f>
        <v> </v>
      </c>
      <c r="M262" s="374" t="str">
        <f aca="false">IF(A262="N/A"," ",VLOOKUP(A262,SatSunPeakPwr,(IF('Pricing Inputs'!$AT$3=2,3,IF('Pricing Inputs'!$AT$3=1,2,4))),FALSE()))</f>
        <v> </v>
      </c>
      <c r="N262" s="374" t="str">
        <f aca="false">IF(A262="N/A"," ",VLOOKUP(A262,SatSunPeakPwr,(IF('Pricing Inputs'!$AT$3=2,7,IF('Pricing Inputs'!$AT$3=1,6,8))),FALSE()))</f>
        <v> </v>
      </c>
      <c r="O262" s="375" t="str">
        <f aca="false">IF(A262="N/A"," ",(VLOOKUP(A262,OPPowerPrices,(IF('Pricing Inputs'!$AT$3=2,7,IF('Pricing Inputs'!$AT$3=1,6,8))),FALSE())))</f>
        <v> </v>
      </c>
      <c r="P262" s="376" t="str">
        <f aca="false">IF(A262="N/A"," ",(VLOOKUP(A262,GasCurves,15,FALSE())))</f>
        <v> </v>
      </c>
    </row>
    <row r="263" customFormat="false" ht="12.75" hidden="false" customHeight="false" outlineLevel="0" collapsed="false">
      <c r="A263" s="368" t="str">
        <f aca="false">Calculations!A230</f>
        <v>N/A</v>
      </c>
      <c r="B263" s="369" t="str">
        <f aca="false">IF(A263="N/A"," ",IF(ISERROR(L263),B251*Inputs!$F$19,L263))</f>
        <v> </v>
      </c>
      <c r="C263" s="370" t="str">
        <f aca="false">IF(A263="N/A"," ",(IF(AND(MONTH(A263)&gt;=6,MONTH(A263)&lt;=8,OR($K$37="REGION 2",$K$37="REGION 2A",$K$37="REGION 2B",$K$37="REGION 3",$K$37="REGION 3A",$K$37="REGION 3B",$K$37="REGION 4",$K$37="REGION 4B",$K$37="REGION 4C",$K$37="REGION 5",$K$37="REGION 5A")),((0.059228/(B263/100))-(0.4980013/(SQRT(B263/100)))+2.137988),HLOOKUP(MONTH(A263),ScalarTable,28))))</f>
        <v> </v>
      </c>
      <c r="D263" s="371" t="str">
        <f aca="false">IF(A263="N/A"," ",C263*B263)</f>
        <v> </v>
      </c>
      <c r="E263" s="369" t="str">
        <f aca="false">IF(A263="N/A"," ",IF(ISERROR(M263),E251*Inputs!$F$19,M263))</f>
        <v> </v>
      </c>
      <c r="F263" s="371" t="str">
        <f aca="false">IF(A263="N/A"," ",E263*C263)</f>
        <v> </v>
      </c>
      <c r="G263" s="369" t="str">
        <f aca="false">IF(A263="N/A"," ",IF(ISERROR(N263),G251*Inputs!$F$19,N263))</f>
        <v> </v>
      </c>
      <c r="H263" s="371" t="str">
        <f aca="false">IF(A263="N/A"," ",G263*C263)</f>
        <v> </v>
      </c>
      <c r="I263" s="371" t="str">
        <f aca="false">IF(A263="N/A"," ",IF(ISERROR(O263),I251*Inputs!$F$19,O263))</f>
        <v> </v>
      </c>
      <c r="J263" s="372" t="str">
        <f aca="false">IF(A263="N/A"," ",IF(ISERROR(P263),J251*Inputs!$F$23,P263))</f>
        <v> </v>
      </c>
      <c r="L263" s="374" t="str">
        <f aca="false">IF(A263="N/A"," ",VLOOKUP(A263,PeakPowerCurves,(IF('Pricing Inputs'!$AT$3=2,3,IF('Pricing Inputs'!$AT$3=1,2,4))),FALSE()))</f>
        <v> </v>
      </c>
      <c r="M263" s="374" t="str">
        <f aca="false">IF(A263="N/A"," ",VLOOKUP(A263,SatSunPeakPwr,(IF('Pricing Inputs'!$AT$3=2,3,IF('Pricing Inputs'!$AT$3=1,2,4))),FALSE()))</f>
        <v> </v>
      </c>
      <c r="N263" s="374" t="str">
        <f aca="false">IF(A263="N/A"," ",VLOOKUP(A263,SatSunPeakPwr,(IF('Pricing Inputs'!$AT$3=2,7,IF('Pricing Inputs'!$AT$3=1,6,8))),FALSE()))</f>
        <v> </v>
      </c>
      <c r="O263" s="375" t="str">
        <f aca="false">IF(A263="N/A"," ",(VLOOKUP(A263,OPPowerPrices,(IF('Pricing Inputs'!$AT$3=2,7,IF('Pricing Inputs'!$AT$3=1,6,8))),FALSE())))</f>
        <v> </v>
      </c>
      <c r="P263" s="376" t="str">
        <f aca="false">IF(A263="N/A"," ",(VLOOKUP(A263,GasCurves,15,FALSE())))</f>
        <v> </v>
      </c>
    </row>
    <row r="264" customFormat="false" ht="12.75" hidden="false" customHeight="false" outlineLevel="0" collapsed="false">
      <c r="A264" s="368" t="str">
        <f aca="false">Calculations!A231</f>
        <v>N/A</v>
      </c>
      <c r="B264" s="369" t="str">
        <f aca="false">IF(A264="N/A"," ",IF(ISERROR(L264),B252*Inputs!$F$19,L264))</f>
        <v> </v>
      </c>
      <c r="C264" s="370" t="str">
        <f aca="false">IF(A264="N/A"," ",(IF(AND(MONTH(A264)&gt;=6,MONTH(A264)&lt;=8,OR($K$37="REGION 2",$K$37="REGION 2A",$K$37="REGION 2B",$K$37="REGION 3",$K$37="REGION 3A",$K$37="REGION 3B",$K$37="REGION 4",$K$37="REGION 4B",$K$37="REGION 4C",$K$37="REGION 5",$K$37="REGION 5A")),((0.059228/(B264/100))-(0.4980013/(SQRT(B264/100)))+2.137988),HLOOKUP(MONTH(A264),ScalarTable,28))))</f>
        <v> </v>
      </c>
      <c r="D264" s="371" t="str">
        <f aca="false">IF(A264="N/A"," ",C264*B264)</f>
        <v> </v>
      </c>
      <c r="E264" s="369" t="str">
        <f aca="false">IF(A264="N/A"," ",IF(ISERROR(M264),E252*Inputs!$F$19,M264))</f>
        <v> </v>
      </c>
      <c r="F264" s="371" t="str">
        <f aca="false">IF(A264="N/A"," ",E264*C264)</f>
        <v> </v>
      </c>
      <c r="G264" s="369" t="str">
        <f aca="false">IF(A264="N/A"," ",IF(ISERROR(N264),G252*Inputs!$F$19,N264))</f>
        <v> </v>
      </c>
      <c r="H264" s="371" t="str">
        <f aca="false">IF(A264="N/A"," ",G264*C264)</f>
        <v> </v>
      </c>
      <c r="I264" s="371" t="str">
        <f aca="false">IF(A264="N/A"," ",IF(ISERROR(O264),I252*Inputs!$F$19,O264))</f>
        <v> </v>
      </c>
      <c r="J264" s="372" t="str">
        <f aca="false">IF(A264="N/A"," ",IF(ISERROR(P264),J252*Inputs!$F$23,P264))</f>
        <v> </v>
      </c>
      <c r="L264" s="374" t="str">
        <f aca="false">IF(A264="N/A"," ",VLOOKUP(A264,PeakPowerCurves,(IF('Pricing Inputs'!$AT$3=2,3,IF('Pricing Inputs'!$AT$3=1,2,4))),FALSE()))</f>
        <v> </v>
      </c>
      <c r="M264" s="374" t="str">
        <f aca="false">IF(A264="N/A"," ",VLOOKUP(A264,SatSunPeakPwr,(IF('Pricing Inputs'!$AT$3=2,3,IF('Pricing Inputs'!$AT$3=1,2,4))),FALSE()))</f>
        <v> </v>
      </c>
      <c r="N264" s="374" t="str">
        <f aca="false">IF(A264="N/A"," ",VLOOKUP(A264,SatSunPeakPwr,(IF('Pricing Inputs'!$AT$3=2,7,IF('Pricing Inputs'!$AT$3=1,6,8))),FALSE()))</f>
        <v> </v>
      </c>
      <c r="O264" s="375" t="str">
        <f aca="false">IF(A264="N/A"," ",(VLOOKUP(A264,OPPowerPrices,(IF('Pricing Inputs'!$AT$3=2,7,IF('Pricing Inputs'!$AT$3=1,6,8))),FALSE())))</f>
        <v> </v>
      </c>
      <c r="P264" s="376" t="str">
        <f aca="false">IF(A264="N/A"," ",(VLOOKUP(A264,GasCurves,15,FALSE())))</f>
        <v> </v>
      </c>
    </row>
    <row r="265" customFormat="false" ht="12.75" hidden="false" customHeight="false" outlineLevel="0" collapsed="false">
      <c r="A265" s="368" t="str">
        <f aca="false">Calculations!A232</f>
        <v>N/A</v>
      </c>
      <c r="B265" s="369" t="str">
        <f aca="false">IF(A265="N/A"," ",IF(ISERROR(L265),B253*Inputs!$F$19,L265))</f>
        <v> </v>
      </c>
      <c r="C265" s="370" t="str">
        <f aca="false">IF(A265="N/A"," ",(IF(AND(MONTH(A265)&gt;=6,MONTH(A265)&lt;=8,OR($K$37="REGION 2",$K$37="REGION 2A",$K$37="REGION 2B",$K$37="REGION 3",$K$37="REGION 3A",$K$37="REGION 3B",$K$37="REGION 4",$K$37="REGION 4B",$K$37="REGION 4C",$K$37="REGION 5",$K$37="REGION 5A")),((0.059228/(B265/100))-(0.4980013/(SQRT(B265/100)))+2.137988),HLOOKUP(MONTH(A265),ScalarTable,28))))</f>
        <v> </v>
      </c>
      <c r="D265" s="371" t="str">
        <f aca="false">IF(A265="N/A"," ",C265*B265)</f>
        <v> </v>
      </c>
      <c r="E265" s="369" t="str">
        <f aca="false">IF(A265="N/A"," ",IF(ISERROR(M265),E253*Inputs!$F$19,M265))</f>
        <v> </v>
      </c>
      <c r="F265" s="371" t="str">
        <f aca="false">IF(A265="N/A"," ",E265*C265)</f>
        <v> </v>
      </c>
      <c r="G265" s="369" t="str">
        <f aca="false">IF(A265="N/A"," ",IF(ISERROR(N265),G253*Inputs!$F$19,N265))</f>
        <v> </v>
      </c>
      <c r="H265" s="371" t="str">
        <f aca="false">IF(A265="N/A"," ",G265*C265)</f>
        <v> </v>
      </c>
      <c r="I265" s="371" t="str">
        <f aca="false">IF(A265="N/A"," ",IF(ISERROR(O265),I253*Inputs!$F$19,O265))</f>
        <v> </v>
      </c>
      <c r="J265" s="372" t="str">
        <f aca="false">IF(A265="N/A"," ",IF(ISERROR(P265),J253*Inputs!$F$23,P265))</f>
        <v> </v>
      </c>
      <c r="L265" s="374" t="str">
        <f aca="false">IF(A265="N/A"," ",VLOOKUP(A265,PeakPowerCurves,(IF('Pricing Inputs'!$AT$3=2,3,IF('Pricing Inputs'!$AT$3=1,2,4))),FALSE()))</f>
        <v> </v>
      </c>
      <c r="M265" s="374" t="str">
        <f aca="false">IF(A265="N/A"," ",VLOOKUP(A265,SatSunPeakPwr,(IF('Pricing Inputs'!$AT$3=2,3,IF('Pricing Inputs'!$AT$3=1,2,4))),FALSE()))</f>
        <v> </v>
      </c>
      <c r="N265" s="374" t="str">
        <f aca="false">IF(A265="N/A"," ",VLOOKUP(A265,SatSunPeakPwr,(IF('Pricing Inputs'!$AT$3=2,7,IF('Pricing Inputs'!$AT$3=1,6,8))),FALSE()))</f>
        <v> </v>
      </c>
      <c r="O265" s="375" t="str">
        <f aca="false">IF(A265="N/A"," ",(VLOOKUP(A265,OPPowerPrices,(IF('Pricing Inputs'!$AT$3=2,7,IF('Pricing Inputs'!$AT$3=1,6,8))),FALSE())))</f>
        <v> </v>
      </c>
      <c r="P265" s="376" t="str">
        <f aca="false">IF(A265="N/A"," ",(VLOOKUP(A265,GasCurves,15,FALSE())))</f>
        <v> </v>
      </c>
    </row>
    <row r="266" customFormat="false" ht="12.75" hidden="false" customHeight="false" outlineLevel="0" collapsed="false">
      <c r="A266" s="368" t="str">
        <f aca="false">Calculations!A233</f>
        <v>N/A</v>
      </c>
      <c r="B266" s="369" t="str">
        <f aca="false">IF(A266="N/A"," ",IF(ISERROR(L266),B254*Inputs!$F$19,L266))</f>
        <v> </v>
      </c>
      <c r="C266" s="370" t="str">
        <f aca="false">IF(A266="N/A"," ",(IF(AND(MONTH(A266)&gt;=6,MONTH(A266)&lt;=8,OR($K$37="REGION 2",$K$37="REGION 2A",$K$37="REGION 2B",$K$37="REGION 3",$K$37="REGION 3A",$K$37="REGION 3B",$K$37="REGION 4",$K$37="REGION 4B",$K$37="REGION 4C",$K$37="REGION 5",$K$37="REGION 5A")),((0.059228/(B266/100))-(0.4980013/(SQRT(B266/100)))+2.137988),HLOOKUP(MONTH(A266),ScalarTable,28))))</f>
        <v> </v>
      </c>
      <c r="D266" s="371" t="str">
        <f aca="false">IF(A266="N/A"," ",C266*B266)</f>
        <v> </v>
      </c>
      <c r="E266" s="369" t="str">
        <f aca="false">IF(A266="N/A"," ",IF(ISERROR(M266),E254*Inputs!$F$19,M266))</f>
        <v> </v>
      </c>
      <c r="F266" s="371" t="str">
        <f aca="false">IF(A266="N/A"," ",E266*C266)</f>
        <v> </v>
      </c>
      <c r="G266" s="369" t="str">
        <f aca="false">IF(A266="N/A"," ",IF(ISERROR(N266),G254*Inputs!$F$19,N266))</f>
        <v> </v>
      </c>
      <c r="H266" s="371" t="str">
        <f aca="false">IF(A266="N/A"," ",G266*C266)</f>
        <v> </v>
      </c>
      <c r="I266" s="371" t="str">
        <f aca="false">IF(A266="N/A"," ",IF(ISERROR(O266),I254*Inputs!$F$19,O266))</f>
        <v> </v>
      </c>
      <c r="J266" s="372" t="str">
        <f aca="false">IF(A266="N/A"," ",IF(ISERROR(P266),J254*Inputs!$F$23,P266))</f>
        <v> </v>
      </c>
      <c r="L266" s="374" t="str">
        <f aca="false">IF(A266="N/A"," ",VLOOKUP(A266,PeakPowerCurves,(IF('Pricing Inputs'!$AT$3=2,3,IF('Pricing Inputs'!$AT$3=1,2,4))),FALSE()))</f>
        <v> </v>
      </c>
      <c r="M266" s="374" t="str">
        <f aca="false">IF(A266="N/A"," ",VLOOKUP(A266,SatSunPeakPwr,(IF('Pricing Inputs'!$AT$3=2,3,IF('Pricing Inputs'!$AT$3=1,2,4))),FALSE()))</f>
        <v> </v>
      </c>
      <c r="N266" s="374" t="str">
        <f aca="false">IF(A266="N/A"," ",VLOOKUP(A266,SatSunPeakPwr,(IF('Pricing Inputs'!$AT$3=2,7,IF('Pricing Inputs'!$AT$3=1,6,8))),FALSE()))</f>
        <v> </v>
      </c>
      <c r="O266" s="375" t="str">
        <f aca="false">IF(A266="N/A"," ",(VLOOKUP(A266,OPPowerPrices,(IF('Pricing Inputs'!$AT$3=2,7,IF('Pricing Inputs'!$AT$3=1,6,8))),FALSE())))</f>
        <v> </v>
      </c>
      <c r="P266" s="376" t="str">
        <f aca="false">IF(A266="N/A"," ",(VLOOKUP(A266,GasCurves,15,FALSE())))</f>
        <v> </v>
      </c>
    </row>
    <row r="267" customFormat="false" ht="12.75" hidden="false" customHeight="false" outlineLevel="0" collapsed="false">
      <c r="A267" s="368" t="str">
        <f aca="false">Calculations!A234</f>
        <v>N/A</v>
      </c>
      <c r="B267" s="369" t="str">
        <f aca="false">IF(A267="N/A"," ",IF(ISERROR(L267),B255*Inputs!$F$19,L267))</f>
        <v> </v>
      </c>
      <c r="C267" s="370" t="str">
        <f aca="false">IF(A267="N/A"," ",(IF(AND(MONTH(A267)&gt;=6,MONTH(A267)&lt;=8,OR($K$37="REGION 2",$K$37="REGION 2A",$K$37="REGION 2B",$K$37="REGION 3",$K$37="REGION 3A",$K$37="REGION 3B",$K$37="REGION 4",$K$37="REGION 4B",$K$37="REGION 4C",$K$37="REGION 5",$K$37="REGION 5A")),((0.059228/(B267/100))-(0.4980013/(SQRT(B267/100)))+2.137988),HLOOKUP(MONTH(A267),ScalarTable,28))))</f>
        <v> </v>
      </c>
      <c r="D267" s="371" t="str">
        <f aca="false">IF(A267="N/A"," ",C267*B267)</f>
        <v> </v>
      </c>
      <c r="E267" s="369" t="str">
        <f aca="false">IF(A267="N/A"," ",IF(ISERROR(M267),E255*Inputs!$F$19,M267))</f>
        <v> </v>
      </c>
      <c r="F267" s="371" t="str">
        <f aca="false">IF(A267="N/A"," ",E267*C267)</f>
        <v> </v>
      </c>
      <c r="G267" s="369" t="str">
        <f aca="false">IF(A267="N/A"," ",IF(ISERROR(N267),G255*Inputs!$F$19,N267))</f>
        <v> </v>
      </c>
      <c r="H267" s="371" t="str">
        <f aca="false">IF(A267="N/A"," ",G267*C267)</f>
        <v> </v>
      </c>
      <c r="I267" s="371" t="str">
        <f aca="false">IF(A267="N/A"," ",IF(ISERROR(O267),I255*Inputs!$F$19,O267))</f>
        <v> </v>
      </c>
      <c r="J267" s="372" t="str">
        <f aca="false">IF(A267="N/A"," ",IF(ISERROR(P267),J255*Inputs!$F$23,P267))</f>
        <v> </v>
      </c>
      <c r="L267" s="374" t="str">
        <f aca="false">IF(A267="N/A"," ",VLOOKUP(A267,PeakPowerCurves,(IF('Pricing Inputs'!$AT$3=2,3,IF('Pricing Inputs'!$AT$3=1,2,4))),FALSE()))</f>
        <v> </v>
      </c>
      <c r="M267" s="374" t="str">
        <f aca="false">IF(A267="N/A"," ",VLOOKUP(A267,SatSunPeakPwr,(IF('Pricing Inputs'!$AT$3=2,3,IF('Pricing Inputs'!$AT$3=1,2,4))),FALSE()))</f>
        <v> </v>
      </c>
      <c r="N267" s="374" t="str">
        <f aca="false">IF(A267="N/A"," ",VLOOKUP(A267,SatSunPeakPwr,(IF('Pricing Inputs'!$AT$3=2,7,IF('Pricing Inputs'!$AT$3=1,6,8))),FALSE()))</f>
        <v> </v>
      </c>
      <c r="O267" s="375" t="str">
        <f aca="false">IF(A267="N/A"," ",(VLOOKUP(A267,OPPowerPrices,(IF('Pricing Inputs'!$AT$3=2,7,IF('Pricing Inputs'!$AT$3=1,6,8))),FALSE())))</f>
        <v> </v>
      </c>
      <c r="P267" s="376" t="str">
        <f aca="false">IF(A267="N/A"," ",(VLOOKUP(A267,GasCurves,15,FALSE())))</f>
        <v> </v>
      </c>
    </row>
    <row r="268" customFormat="false" ht="12.75" hidden="false" customHeight="false" outlineLevel="0" collapsed="false">
      <c r="A268" s="368" t="str">
        <f aca="false">Calculations!A235</f>
        <v>N/A</v>
      </c>
      <c r="B268" s="369" t="str">
        <f aca="false">IF(A268="N/A"," ",IF(ISERROR(L268),B256*Inputs!$F$19,L268))</f>
        <v> </v>
      </c>
      <c r="C268" s="370" t="str">
        <f aca="false">IF(A268="N/A"," ",(IF(AND(MONTH(A268)&gt;=6,MONTH(A268)&lt;=8,OR($K$37="REGION 2",$K$37="REGION 2A",$K$37="REGION 2B",$K$37="REGION 3",$K$37="REGION 3A",$K$37="REGION 3B",$K$37="REGION 4",$K$37="REGION 4B",$K$37="REGION 4C",$K$37="REGION 5",$K$37="REGION 5A")),((0.059228/(B268/100))-(0.4980013/(SQRT(B268/100)))+2.137988),HLOOKUP(MONTH(A268),ScalarTable,28))))</f>
        <v> </v>
      </c>
      <c r="D268" s="371" t="str">
        <f aca="false">IF(A268="N/A"," ",C268*B268)</f>
        <v> </v>
      </c>
      <c r="E268" s="369" t="str">
        <f aca="false">IF(A268="N/A"," ",IF(ISERROR(M268),E256*Inputs!$F$19,M268))</f>
        <v> </v>
      </c>
      <c r="F268" s="371" t="str">
        <f aca="false">IF(A268="N/A"," ",E268*C268)</f>
        <v> </v>
      </c>
      <c r="G268" s="369" t="str">
        <f aca="false">IF(A268="N/A"," ",IF(ISERROR(N268),G256*Inputs!$F$19,N268))</f>
        <v> </v>
      </c>
      <c r="H268" s="371" t="str">
        <f aca="false">IF(A268="N/A"," ",G268*C268)</f>
        <v> </v>
      </c>
      <c r="I268" s="371" t="str">
        <f aca="false">IF(A268="N/A"," ",IF(ISERROR(O268),I256*Inputs!$F$19,O268))</f>
        <v> </v>
      </c>
      <c r="J268" s="372" t="str">
        <f aca="false">IF(A268="N/A"," ",IF(ISERROR(P268),J256*Inputs!$F$23,P268))</f>
        <v> </v>
      </c>
      <c r="L268" s="374" t="str">
        <f aca="false">IF(A268="N/A"," ",VLOOKUP(A268,PeakPowerCurves,(IF('Pricing Inputs'!$AT$3=2,3,IF('Pricing Inputs'!$AT$3=1,2,4))),FALSE()))</f>
        <v> </v>
      </c>
      <c r="M268" s="374" t="str">
        <f aca="false">IF(A268="N/A"," ",VLOOKUP(A268,SatSunPeakPwr,(IF('Pricing Inputs'!$AT$3=2,3,IF('Pricing Inputs'!$AT$3=1,2,4))),FALSE()))</f>
        <v> </v>
      </c>
      <c r="N268" s="374" t="str">
        <f aca="false">IF(A268="N/A"," ",VLOOKUP(A268,SatSunPeakPwr,(IF('Pricing Inputs'!$AT$3=2,7,IF('Pricing Inputs'!$AT$3=1,6,8))),FALSE()))</f>
        <v> </v>
      </c>
      <c r="O268" s="375" t="str">
        <f aca="false">IF(A268="N/A"," ",(VLOOKUP(A268,OPPowerPrices,(IF('Pricing Inputs'!$AT$3=2,7,IF('Pricing Inputs'!$AT$3=1,6,8))),FALSE())))</f>
        <v> </v>
      </c>
      <c r="P268" s="376" t="str">
        <f aca="false">IF(A268="N/A"," ",(VLOOKUP(A268,GasCurves,15,FALSE())))</f>
        <v> </v>
      </c>
    </row>
    <row r="269" customFormat="false" ht="12.75" hidden="false" customHeight="false" outlineLevel="0" collapsed="false">
      <c r="A269" s="368" t="str">
        <f aca="false">Calculations!A236</f>
        <v>N/A</v>
      </c>
      <c r="B269" s="369" t="str">
        <f aca="false">IF(A269="N/A"," ",IF(ISERROR(L269),B257*Inputs!$F$19,L269))</f>
        <v> </v>
      </c>
      <c r="C269" s="370" t="str">
        <f aca="false">IF(A269="N/A"," ",(IF(AND(MONTH(A269)&gt;=6,MONTH(A269)&lt;=8,OR($K$37="REGION 2",$K$37="REGION 2A",$K$37="REGION 2B",$K$37="REGION 3",$K$37="REGION 3A",$K$37="REGION 3B",$K$37="REGION 4",$K$37="REGION 4B",$K$37="REGION 4C",$K$37="REGION 5",$K$37="REGION 5A")),((0.059228/(B269/100))-(0.4980013/(SQRT(B269/100)))+2.137988),HLOOKUP(MONTH(A269),ScalarTable,28))))</f>
        <v> </v>
      </c>
      <c r="D269" s="371" t="str">
        <f aca="false">IF(A269="N/A"," ",C269*B269)</f>
        <v> </v>
      </c>
      <c r="E269" s="369" t="str">
        <f aca="false">IF(A269="N/A"," ",IF(ISERROR(M269),E257*Inputs!$F$19,M269))</f>
        <v> </v>
      </c>
      <c r="F269" s="371" t="str">
        <f aca="false">IF(A269="N/A"," ",E269*C269)</f>
        <v> </v>
      </c>
      <c r="G269" s="369" t="str">
        <f aca="false">IF(A269="N/A"," ",IF(ISERROR(N269),G257*Inputs!$F$19,N269))</f>
        <v> </v>
      </c>
      <c r="H269" s="371" t="str">
        <f aca="false">IF(A269="N/A"," ",G269*C269)</f>
        <v> </v>
      </c>
      <c r="I269" s="371" t="str">
        <f aca="false">IF(A269="N/A"," ",IF(ISERROR(O269),I257*Inputs!$F$19,O269))</f>
        <v> </v>
      </c>
      <c r="J269" s="372" t="str">
        <f aca="false">IF(A269="N/A"," ",IF(ISERROR(P269),J257*Inputs!$F$23,P269))</f>
        <v> </v>
      </c>
      <c r="L269" s="374" t="str">
        <f aca="false">IF(A269="N/A"," ",VLOOKUP(A269,PeakPowerCurves,(IF('Pricing Inputs'!$AT$3=2,3,IF('Pricing Inputs'!$AT$3=1,2,4))),FALSE()))</f>
        <v> </v>
      </c>
      <c r="M269" s="374" t="str">
        <f aca="false">IF(A269="N/A"," ",VLOOKUP(A269,SatSunPeakPwr,(IF('Pricing Inputs'!$AT$3=2,3,IF('Pricing Inputs'!$AT$3=1,2,4))),FALSE()))</f>
        <v> </v>
      </c>
      <c r="N269" s="374" t="str">
        <f aca="false">IF(A269="N/A"," ",VLOOKUP(A269,SatSunPeakPwr,(IF('Pricing Inputs'!$AT$3=2,7,IF('Pricing Inputs'!$AT$3=1,6,8))),FALSE()))</f>
        <v> </v>
      </c>
      <c r="O269" s="375" t="str">
        <f aca="false">IF(A269="N/A"," ",(VLOOKUP(A269,OPPowerPrices,(IF('Pricing Inputs'!$AT$3=2,7,IF('Pricing Inputs'!$AT$3=1,6,8))),FALSE())))</f>
        <v> </v>
      </c>
      <c r="P269" s="376" t="str">
        <f aca="false">IF(A269="N/A"," ",(VLOOKUP(A269,GasCurves,15,FALSE())))</f>
        <v> </v>
      </c>
    </row>
    <row r="270" customFormat="false" ht="12.75" hidden="false" customHeight="false" outlineLevel="0" collapsed="false">
      <c r="A270" s="368" t="str">
        <f aca="false">Calculations!A237</f>
        <v>N/A</v>
      </c>
      <c r="B270" s="369" t="str">
        <f aca="false">IF(A270="N/A"," ",IF(ISERROR(L270),B258*Inputs!$F$19,L270))</f>
        <v> </v>
      </c>
      <c r="C270" s="370" t="str">
        <f aca="false">IF(A270="N/A"," ",(IF(AND(MONTH(A270)&gt;=6,MONTH(A270)&lt;=8,OR($K$37="REGION 2",$K$37="REGION 2A",$K$37="REGION 2B",$K$37="REGION 3",$K$37="REGION 3A",$K$37="REGION 3B",$K$37="REGION 4",$K$37="REGION 4B",$K$37="REGION 4C",$K$37="REGION 5",$K$37="REGION 5A")),((0.059228/(B270/100))-(0.4980013/(SQRT(B270/100)))+2.137988),HLOOKUP(MONTH(A270),ScalarTable,28))))</f>
        <v> </v>
      </c>
      <c r="D270" s="371" t="str">
        <f aca="false">IF(A270="N/A"," ",C270*B270)</f>
        <v> </v>
      </c>
      <c r="E270" s="369" t="str">
        <f aca="false">IF(A270="N/A"," ",IF(ISERROR(M270),E258*Inputs!$F$19,M270))</f>
        <v> </v>
      </c>
      <c r="F270" s="371" t="str">
        <f aca="false">IF(A270="N/A"," ",E270*C270)</f>
        <v> </v>
      </c>
      <c r="G270" s="369" t="str">
        <f aca="false">IF(A270="N/A"," ",IF(ISERROR(N270),G258*Inputs!$F$19,N270))</f>
        <v> </v>
      </c>
      <c r="H270" s="371" t="str">
        <f aca="false">IF(A270="N/A"," ",G270*C270)</f>
        <v> </v>
      </c>
      <c r="I270" s="371" t="str">
        <f aca="false">IF(A270="N/A"," ",IF(ISERROR(O270),I258*Inputs!$F$19,O270))</f>
        <v> </v>
      </c>
      <c r="J270" s="372" t="str">
        <f aca="false">IF(A270="N/A"," ",IF(ISERROR(P270),J258*Inputs!$F$23,P270))</f>
        <v> </v>
      </c>
      <c r="L270" s="374" t="str">
        <f aca="false">IF(A270="N/A"," ",VLOOKUP(A270,PeakPowerCurves,(IF('Pricing Inputs'!$AT$3=2,3,IF('Pricing Inputs'!$AT$3=1,2,4))),FALSE()))</f>
        <v> </v>
      </c>
      <c r="M270" s="374" t="str">
        <f aca="false">IF(A270="N/A"," ",VLOOKUP(A270,SatSunPeakPwr,(IF('Pricing Inputs'!$AT$3=2,3,IF('Pricing Inputs'!$AT$3=1,2,4))),FALSE()))</f>
        <v> </v>
      </c>
      <c r="N270" s="374" t="str">
        <f aca="false">IF(A270="N/A"," ",VLOOKUP(A270,SatSunPeakPwr,(IF('Pricing Inputs'!$AT$3=2,7,IF('Pricing Inputs'!$AT$3=1,6,8))),FALSE()))</f>
        <v> </v>
      </c>
      <c r="O270" s="375" t="str">
        <f aca="false">IF(A270="N/A"," ",(VLOOKUP(A270,OPPowerPrices,(IF('Pricing Inputs'!$AT$3=2,7,IF('Pricing Inputs'!$AT$3=1,6,8))),FALSE())))</f>
        <v> </v>
      </c>
      <c r="P270" s="376" t="str">
        <f aca="false">IF(A270="N/A"," ",(VLOOKUP(A270,GasCurves,15,FALSE())))</f>
        <v> </v>
      </c>
    </row>
    <row r="271" customFormat="false" ht="12.75" hidden="false" customHeight="false" outlineLevel="0" collapsed="false">
      <c r="A271" s="368" t="str">
        <f aca="false">Calculations!A238</f>
        <v>N/A</v>
      </c>
      <c r="B271" s="369" t="str">
        <f aca="false">IF(A271="N/A"," ",IF(ISERROR(L271),B259*Inputs!$F$19,L271))</f>
        <v> </v>
      </c>
      <c r="C271" s="370" t="str">
        <f aca="false">IF(A271="N/A"," ",(IF(AND(MONTH(A271)&gt;=6,MONTH(A271)&lt;=8,OR($K$37="REGION 2",$K$37="REGION 2A",$K$37="REGION 2B",$K$37="REGION 3",$K$37="REGION 3A",$K$37="REGION 3B",$K$37="REGION 4",$K$37="REGION 4B",$K$37="REGION 4C",$K$37="REGION 5",$K$37="REGION 5A")),((0.059228/(B271/100))-(0.4980013/(SQRT(B271/100)))+2.137988),HLOOKUP(MONTH(A271),ScalarTable,28))))</f>
        <v> </v>
      </c>
      <c r="D271" s="371" t="str">
        <f aca="false">IF(A271="N/A"," ",C271*B271)</f>
        <v> </v>
      </c>
      <c r="E271" s="369" t="str">
        <f aca="false">IF(A271="N/A"," ",IF(ISERROR(M271),E259*Inputs!$F$19,M271))</f>
        <v> </v>
      </c>
      <c r="F271" s="371" t="str">
        <f aca="false">IF(A271="N/A"," ",E271*C271)</f>
        <v> </v>
      </c>
      <c r="G271" s="369" t="str">
        <f aca="false">IF(A271="N/A"," ",IF(ISERROR(N271),G259*Inputs!$F$19,N271))</f>
        <v> </v>
      </c>
      <c r="H271" s="371" t="str">
        <f aca="false">IF(A271="N/A"," ",G271*C271)</f>
        <v> </v>
      </c>
      <c r="I271" s="371" t="str">
        <f aca="false">IF(A271="N/A"," ",IF(ISERROR(O271),I259*Inputs!$F$19,O271))</f>
        <v> </v>
      </c>
      <c r="J271" s="372" t="str">
        <f aca="false">IF(A271="N/A"," ",IF(ISERROR(P271),J259*Inputs!$F$23,P271))</f>
        <v> </v>
      </c>
      <c r="L271" s="374" t="str">
        <f aca="false">IF(A271="N/A"," ",VLOOKUP(A271,PeakPowerCurves,(IF('Pricing Inputs'!$AT$3=2,3,IF('Pricing Inputs'!$AT$3=1,2,4))),FALSE()))</f>
        <v> </v>
      </c>
      <c r="M271" s="374" t="str">
        <f aca="false">IF(A271="N/A"," ",VLOOKUP(A271,SatSunPeakPwr,(IF('Pricing Inputs'!$AT$3=2,3,IF('Pricing Inputs'!$AT$3=1,2,4))),FALSE()))</f>
        <v> </v>
      </c>
      <c r="N271" s="374" t="str">
        <f aca="false">IF(A271="N/A"," ",VLOOKUP(A271,SatSunPeakPwr,(IF('Pricing Inputs'!$AT$3=2,7,IF('Pricing Inputs'!$AT$3=1,6,8))),FALSE()))</f>
        <v> </v>
      </c>
      <c r="O271" s="375" t="str">
        <f aca="false">IF(A271="N/A"," ",(VLOOKUP(A271,OPPowerPrices,(IF('Pricing Inputs'!$AT$3=2,7,IF('Pricing Inputs'!$AT$3=1,6,8))),FALSE())))</f>
        <v> </v>
      </c>
      <c r="P271" s="376" t="str">
        <f aca="false">IF(A271="N/A"," ",(VLOOKUP(A271,GasCurves,15,FALSE())))</f>
        <v> </v>
      </c>
    </row>
    <row r="272" customFormat="false" ht="12.75" hidden="false" customHeight="false" outlineLevel="0" collapsed="false">
      <c r="A272" s="368" t="str">
        <f aca="false">Calculations!A239</f>
        <v>N/A</v>
      </c>
      <c r="B272" s="369" t="str">
        <f aca="false">IF(A272="N/A"," ",IF(ISERROR(L272),B260*Inputs!$F$19,L272))</f>
        <v> </v>
      </c>
      <c r="C272" s="370" t="str">
        <f aca="false">IF(A272="N/A"," ",(IF(AND(MONTH(A272)&gt;=6,MONTH(A272)&lt;=8,OR($K$37="REGION 2",$K$37="REGION 2A",$K$37="REGION 2B",$K$37="REGION 3",$K$37="REGION 3A",$K$37="REGION 3B",$K$37="REGION 4",$K$37="REGION 4B",$K$37="REGION 4C",$K$37="REGION 5",$K$37="REGION 5A")),((0.059228/(B272/100))-(0.4980013/(SQRT(B272/100)))+2.137988),HLOOKUP(MONTH(A272),ScalarTable,28))))</f>
        <v> </v>
      </c>
      <c r="D272" s="371" t="str">
        <f aca="false">IF(A272="N/A"," ",C272*B272)</f>
        <v> </v>
      </c>
      <c r="E272" s="369" t="str">
        <f aca="false">IF(A272="N/A"," ",IF(ISERROR(M272),E260*Inputs!$F$19,M272))</f>
        <v> </v>
      </c>
      <c r="F272" s="371" t="str">
        <f aca="false">IF(A272="N/A"," ",E272*C272)</f>
        <v> </v>
      </c>
      <c r="G272" s="369" t="str">
        <f aca="false">IF(A272="N/A"," ",IF(ISERROR(N272),G260*Inputs!$F$19,N272))</f>
        <v> </v>
      </c>
      <c r="H272" s="371" t="str">
        <f aca="false">IF(A272="N/A"," ",G272*C272)</f>
        <v> </v>
      </c>
      <c r="I272" s="371" t="str">
        <f aca="false">IF(A272="N/A"," ",IF(ISERROR(O272),I260*Inputs!$F$19,O272))</f>
        <v> </v>
      </c>
      <c r="J272" s="372" t="str">
        <f aca="false">IF(A272="N/A"," ",IF(ISERROR(P272),J260*Inputs!$F$23,P272))</f>
        <v> </v>
      </c>
      <c r="L272" s="374" t="str">
        <f aca="false">IF(A272="N/A"," ",VLOOKUP(A272,PeakPowerCurves,(IF('Pricing Inputs'!$AT$3=2,3,IF('Pricing Inputs'!$AT$3=1,2,4))),FALSE()))</f>
        <v> </v>
      </c>
      <c r="M272" s="374" t="str">
        <f aca="false">IF(A272="N/A"," ",VLOOKUP(A272,SatSunPeakPwr,(IF('Pricing Inputs'!$AT$3=2,3,IF('Pricing Inputs'!$AT$3=1,2,4))),FALSE()))</f>
        <v> </v>
      </c>
      <c r="N272" s="374" t="str">
        <f aca="false">IF(A272="N/A"," ",VLOOKUP(A272,SatSunPeakPwr,(IF('Pricing Inputs'!$AT$3=2,7,IF('Pricing Inputs'!$AT$3=1,6,8))),FALSE()))</f>
        <v> </v>
      </c>
      <c r="O272" s="375" t="str">
        <f aca="false">IF(A272="N/A"," ",(VLOOKUP(A272,OPPowerPrices,(IF('Pricing Inputs'!$AT$3=2,7,IF('Pricing Inputs'!$AT$3=1,6,8))),FALSE())))</f>
        <v> </v>
      </c>
      <c r="P272" s="376" t="str">
        <f aca="false">IF(A272="N/A"," ",(VLOOKUP(A272,GasCurves,15,FALSE())))</f>
        <v> </v>
      </c>
    </row>
    <row r="273" customFormat="false" ht="12.75" hidden="false" customHeight="false" outlineLevel="0" collapsed="false">
      <c r="A273" s="368" t="str">
        <f aca="false">Calculations!A240</f>
        <v>N/A</v>
      </c>
      <c r="B273" s="369" t="str">
        <f aca="false">IF(A273="N/A"," ",IF(ISERROR(L273),B261*Inputs!$F$19,L273))</f>
        <v> </v>
      </c>
      <c r="C273" s="370" t="str">
        <f aca="false">IF(A273="N/A"," ",(IF(AND(MONTH(A273)&gt;=6,MONTH(A273)&lt;=8,OR($K$37="REGION 2",$K$37="REGION 2A",$K$37="REGION 2B",$K$37="REGION 3",$K$37="REGION 3A",$K$37="REGION 3B",$K$37="REGION 4",$K$37="REGION 4B",$K$37="REGION 4C",$K$37="REGION 5",$K$37="REGION 5A")),((0.059228/(B273/100))-(0.4980013/(SQRT(B273/100)))+2.137988),HLOOKUP(MONTH(A273),ScalarTable,28))))</f>
        <v> </v>
      </c>
      <c r="D273" s="371" t="str">
        <f aca="false">IF(A273="N/A"," ",C273*B273)</f>
        <v> </v>
      </c>
      <c r="E273" s="369" t="str">
        <f aca="false">IF(A273="N/A"," ",IF(ISERROR(M273),E261*Inputs!$F$19,M273))</f>
        <v> </v>
      </c>
      <c r="F273" s="371" t="str">
        <f aca="false">IF(A273="N/A"," ",E273*C273)</f>
        <v> </v>
      </c>
      <c r="G273" s="369" t="str">
        <f aca="false">IF(A273="N/A"," ",IF(ISERROR(N273),G261*Inputs!$F$19,N273))</f>
        <v> </v>
      </c>
      <c r="H273" s="371" t="str">
        <f aca="false">IF(A273="N/A"," ",G273*C273)</f>
        <v> </v>
      </c>
      <c r="I273" s="371" t="str">
        <f aca="false">IF(A273="N/A"," ",IF(ISERROR(O273),I261*Inputs!$F$19,O273))</f>
        <v> </v>
      </c>
      <c r="J273" s="372" t="str">
        <f aca="false">IF(A273="N/A"," ",IF(ISERROR(P273),J261*Inputs!$F$23,P273))</f>
        <v> </v>
      </c>
      <c r="L273" s="374" t="str">
        <f aca="false">IF(A273="N/A"," ",VLOOKUP(A273,PeakPowerCurves,(IF('Pricing Inputs'!$AT$3=2,3,IF('Pricing Inputs'!$AT$3=1,2,4))),FALSE()))</f>
        <v> </v>
      </c>
      <c r="M273" s="374" t="str">
        <f aca="false">IF(A273="N/A"," ",VLOOKUP(A273,SatSunPeakPwr,(IF('Pricing Inputs'!$AT$3=2,3,IF('Pricing Inputs'!$AT$3=1,2,4))),FALSE()))</f>
        <v> </v>
      </c>
      <c r="N273" s="374" t="str">
        <f aca="false">IF(A273="N/A"," ",VLOOKUP(A273,SatSunPeakPwr,(IF('Pricing Inputs'!$AT$3=2,7,IF('Pricing Inputs'!$AT$3=1,6,8))),FALSE()))</f>
        <v> </v>
      </c>
      <c r="O273" s="375" t="str">
        <f aca="false">IF(A273="N/A"," ",(VLOOKUP(A273,OPPowerPrices,(IF('Pricing Inputs'!$AT$3=2,7,IF('Pricing Inputs'!$AT$3=1,6,8))),FALSE())))</f>
        <v> </v>
      </c>
      <c r="P273" s="376" t="str">
        <f aca="false">IF(A273="N/A"," ",(VLOOKUP(A273,GasCurves,15,FALSE())))</f>
        <v> </v>
      </c>
    </row>
    <row r="274" customFormat="false" ht="12.75" hidden="false" customHeight="false" outlineLevel="0" collapsed="false">
      <c r="A274" s="368" t="str">
        <f aca="false">Calculations!A241</f>
        <v>N/A</v>
      </c>
      <c r="B274" s="369" t="str">
        <f aca="false">IF(A274="N/A"," ",IF(ISERROR(L274),B262*Inputs!$F$19,L274))</f>
        <v> </v>
      </c>
      <c r="C274" s="370" t="str">
        <f aca="false">IF(A274="N/A"," ",(IF(AND(MONTH(A274)&gt;=6,MONTH(A274)&lt;=8,OR($K$37="REGION 2",$K$37="REGION 2A",$K$37="REGION 2B",$K$37="REGION 3",$K$37="REGION 3A",$K$37="REGION 3B",$K$37="REGION 4",$K$37="REGION 4B",$K$37="REGION 4C",$K$37="REGION 5",$K$37="REGION 5A")),((0.059228/(B274/100))-(0.4980013/(SQRT(B274/100)))+2.137988),HLOOKUP(MONTH(A274),ScalarTable,28))))</f>
        <v> </v>
      </c>
      <c r="D274" s="371" t="str">
        <f aca="false">IF(A274="N/A"," ",C274*B274)</f>
        <v> </v>
      </c>
      <c r="E274" s="369" t="str">
        <f aca="false">IF(A274="N/A"," ",IF(ISERROR(M274),E262*Inputs!$F$19,M274))</f>
        <v> </v>
      </c>
      <c r="F274" s="371" t="str">
        <f aca="false">IF(A274="N/A"," ",E274*C274)</f>
        <v> </v>
      </c>
      <c r="G274" s="369" t="str">
        <f aca="false">IF(A274="N/A"," ",IF(ISERROR(N274),G262*Inputs!$F$19,N274))</f>
        <v> </v>
      </c>
      <c r="H274" s="371" t="str">
        <f aca="false">IF(A274="N/A"," ",G274*C274)</f>
        <v> </v>
      </c>
      <c r="I274" s="371" t="str">
        <f aca="false">IF(A274="N/A"," ",IF(ISERROR(O274),I262*Inputs!$F$19,O274))</f>
        <v> </v>
      </c>
      <c r="J274" s="372" t="str">
        <f aca="false">IF(A274="N/A"," ",IF(ISERROR(P274),J262*Inputs!$F$23,P274))</f>
        <v> </v>
      </c>
      <c r="L274" s="374" t="str">
        <f aca="false">IF(A274="N/A"," ",VLOOKUP(A274,PeakPowerCurves,(IF('Pricing Inputs'!$AT$3=2,3,IF('Pricing Inputs'!$AT$3=1,2,4))),FALSE()))</f>
        <v> </v>
      </c>
      <c r="M274" s="374" t="str">
        <f aca="false">IF(A274="N/A"," ",VLOOKUP(A274,SatSunPeakPwr,(IF('Pricing Inputs'!$AT$3=2,3,IF('Pricing Inputs'!$AT$3=1,2,4))),FALSE()))</f>
        <v> </v>
      </c>
      <c r="N274" s="374" t="str">
        <f aca="false">IF(A274="N/A"," ",VLOOKUP(A274,SatSunPeakPwr,(IF('Pricing Inputs'!$AT$3=2,7,IF('Pricing Inputs'!$AT$3=1,6,8))),FALSE()))</f>
        <v> </v>
      </c>
      <c r="O274" s="375" t="str">
        <f aca="false">IF(A274="N/A"," ",(VLOOKUP(A274,OPPowerPrices,(IF('Pricing Inputs'!$AT$3=2,7,IF('Pricing Inputs'!$AT$3=1,6,8))),FALSE())))</f>
        <v> </v>
      </c>
      <c r="P274" s="376" t="str">
        <f aca="false">IF(A274="N/A"," ",(VLOOKUP(A274,GasCurves,15,FALSE())))</f>
        <v> </v>
      </c>
    </row>
    <row r="275" customFormat="false" ht="12.75" hidden="false" customHeight="false" outlineLevel="0" collapsed="false">
      <c r="A275" s="368" t="str">
        <f aca="false">Calculations!A242</f>
        <v>N/A</v>
      </c>
      <c r="B275" s="369" t="str">
        <f aca="false">IF(A275="N/A"," ",IF(ISERROR(L275),B263*Inputs!$F$19,L275))</f>
        <v> </v>
      </c>
      <c r="C275" s="370" t="str">
        <f aca="false">IF(A275="N/A"," ",(IF(AND(MONTH(A275)&gt;=6,MONTH(A275)&lt;=8,OR($K$37="REGION 2",$K$37="REGION 2A",$K$37="REGION 2B",$K$37="REGION 3",$K$37="REGION 3A",$K$37="REGION 3B",$K$37="REGION 4",$K$37="REGION 4B",$K$37="REGION 4C",$K$37="REGION 5",$K$37="REGION 5A")),((0.059228/(B275/100))-(0.4980013/(SQRT(B275/100)))+2.137988),HLOOKUP(MONTH(A275),ScalarTable,28))))</f>
        <v> </v>
      </c>
      <c r="D275" s="371" t="str">
        <f aca="false">IF(A275="N/A"," ",C275*B275)</f>
        <v> </v>
      </c>
      <c r="E275" s="369" t="str">
        <f aca="false">IF(A275="N/A"," ",IF(ISERROR(M275),E263*Inputs!$F$19,M275))</f>
        <v> </v>
      </c>
      <c r="F275" s="371" t="str">
        <f aca="false">IF(A275="N/A"," ",E275*C275)</f>
        <v> </v>
      </c>
      <c r="G275" s="369" t="str">
        <f aca="false">IF(A275="N/A"," ",IF(ISERROR(N275),G263*Inputs!$F$19,N275))</f>
        <v> </v>
      </c>
      <c r="H275" s="371" t="str">
        <f aca="false">IF(A275="N/A"," ",G275*C275)</f>
        <v> </v>
      </c>
      <c r="I275" s="371" t="str">
        <f aca="false">IF(A275="N/A"," ",IF(ISERROR(O275),I263*Inputs!$F$19,O275))</f>
        <v> </v>
      </c>
      <c r="J275" s="372" t="str">
        <f aca="false">IF(A275="N/A"," ",IF(ISERROR(P275),J263*Inputs!$F$23,P275))</f>
        <v> </v>
      </c>
      <c r="L275" s="374" t="str">
        <f aca="false">IF(A275="N/A"," ",VLOOKUP(A275,PeakPowerCurves,(IF('Pricing Inputs'!$AT$3=2,3,IF('Pricing Inputs'!$AT$3=1,2,4))),FALSE()))</f>
        <v> </v>
      </c>
      <c r="M275" s="374" t="str">
        <f aca="false">IF(A275="N/A"," ",VLOOKUP(A275,SatSunPeakPwr,(IF('Pricing Inputs'!$AT$3=2,3,IF('Pricing Inputs'!$AT$3=1,2,4))),FALSE()))</f>
        <v> </v>
      </c>
      <c r="N275" s="374" t="str">
        <f aca="false">IF(A275="N/A"," ",VLOOKUP(A275,SatSunPeakPwr,(IF('Pricing Inputs'!$AT$3=2,7,IF('Pricing Inputs'!$AT$3=1,6,8))),FALSE()))</f>
        <v> </v>
      </c>
      <c r="O275" s="375" t="str">
        <f aca="false">IF(A275="N/A"," ",(VLOOKUP(A275,OPPowerPrices,(IF('Pricing Inputs'!$AT$3=2,7,IF('Pricing Inputs'!$AT$3=1,6,8))),FALSE())))</f>
        <v> </v>
      </c>
      <c r="P275" s="376" t="str">
        <f aca="false">IF(A275="N/A"," ",(VLOOKUP(A275,GasCurves,15,FALSE())))</f>
        <v> </v>
      </c>
    </row>
    <row r="276" customFormat="false" ht="12.75" hidden="false" customHeight="false" outlineLevel="0" collapsed="false">
      <c r="A276" s="368" t="str">
        <f aca="false">Calculations!A243</f>
        <v>N/A</v>
      </c>
      <c r="B276" s="369" t="str">
        <f aca="false">IF(A276="N/A"," ",IF(ISERROR(L276),B264*Inputs!$F$19,L276))</f>
        <v> </v>
      </c>
      <c r="C276" s="370" t="str">
        <f aca="false">IF(A276="N/A"," ",(IF(AND(MONTH(A276)&gt;=6,MONTH(A276)&lt;=8,OR($K$37="REGION 2",$K$37="REGION 2A",$K$37="REGION 2B",$K$37="REGION 3",$K$37="REGION 3A",$K$37="REGION 3B",$K$37="REGION 4",$K$37="REGION 4B",$K$37="REGION 4C",$K$37="REGION 5",$K$37="REGION 5A")),((0.059228/(B276/100))-(0.4980013/(SQRT(B276/100)))+2.137988),HLOOKUP(MONTH(A276),ScalarTable,28))))</f>
        <v> </v>
      </c>
      <c r="D276" s="371" t="str">
        <f aca="false">IF(A276="N/A"," ",C276*B276)</f>
        <v> </v>
      </c>
      <c r="E276" s="369" t="str">
        <f aca="false">IF(A276="N/A"," ",IF(ISERROR(M276),E264*Inputs!$F$19,M276))</f>
        <v> </v>
      </c>
      <c r="F276" s="371" t="str">
        <f aca="false">IF(A276="N/A"," ",E276*C276)</f>
        <v> </v>
      </c>
      <c r="G276" s="369" t="str">
        <f aca="false">IF(A276="N/A"," ",IF(ISERROR(N276),G264*Inputs!$F$19,N276))</f>
        <v> </v>
      </c>
      <c r="H276" s="371" t="str">
        <f aca="false">IF(A276="N/A"," ",G276*C276)</f>
        <v> </v>
      </c>
      <c r="I276" s="371" t="str">
        <f aca="false">IF(A276="N/A"," ",IF(ISERROR(O276),I264*Inputs!$F$19,O276))</f>
        <v> </v>
      </c>
      <c r="J276" s="372" t="str">
        <f aca="false">IF(A276="N/A"," ",IF(ISERROR(P276),J264*Inputs!$F$23,P276))</f>
        <v> </v>
      </c>
      <c r="L276" s="374" t="str">
        <f aca="false">IF(A276="N/A"," ",VLOOKUP(A276,PeakPowerCurves,(IF('Pricing Inputs'!$AT$3=2,3,IF('Pricing Inputs'!$AT$3=1,2,4))),FALSE()))</f>
        <v> </v>
      </c>
      <c r="M276" s="374" t="str">
        <f aca="false">IF(A276="N/A"," ",VLOOKUP(A276,SatSunPeakPwr,(IF('Pricing Inputs'!$AT$3=2,3,IF('Pricing Inputs'!$AT$3=1,2,4))),FALSE()))</f>
        <v> </v>
      </c>
      <c r="N276" s="374" t="str">
        <f aca="false">IF(A276="N/A"," ",VLOOKUP(A276,SatSunPeakPwr,(IF('Pricing Inputs'!$AT$3=2,7,IF('Pricing Inputs'!$AT$3=1,6,8))),FALSE()))</f>
        <v> </v>
      </c>
      <c r="O276" s="375" t="str">
        <f aca="false">IF(A276="N/A"," ",(VLOOKUP(A276,OPPowerPrices,(IF('Pricing Inputs'!$AT$3=2,7,IF('Pricing Inputs'!$AT$3=1,6,8))),FALSE())))</f>
        <v> </v>
      </c>
      <c r="P276" s="376" t="str">
        <f aca="false">IF(A276="N/A"," ",(VLOOKUP(A276,GasCurves,15,FALSE())))</f>
        <v> </v>
      </c>
    </row>
    <row r="277" customFormat="false" ht="12.75" hidden="false" customHeight="false" outlineLevel="0" collapsed="false">
      <c r="A277" s="368" t="str">
        <f aca="false">Calculations!A244</f>
        <v>N/A</v>
      </c>
      <c r="B277" s="369" t="str">
        <f aca="false">IF(A277="N/A"," ",IF(ISERROR(L277),B265*Inputs!$F$19,L277))</f>
        <v> </v>
      </c>
      <c r="C277" s="370" t="str">
        <f aca="false">IF(A277="N/A"," ",(IF(AND(MONTH(A277)&gt;=6,MONTH(A277)&lt;=8,OR($K$37="REGION 2",$K$37="REGION 2A",$K$37="REGION 2B",$K$37="REGION 3",$K$37="REGION 3A",$K$37="REGION 3B",$K$37="REGION 4",$K$37="REGION 4B",$K$37="REGION 4C",$K$37="REGION 5",$K$37="REGION 5A")),((0.059228/(B277/100))-(0.4980013/(SQRT(B277/100)))+2.137988),HLOOKUP(MONTH(A277),ScalarTable,28))))</f>
        <v> </v>
      </c>
      <c r="D277" s="371" t="str">
        <f aca="false">IF(A277="N/A"," ",C277*B277)</f>
        <v> </v>
      </c>
      <c r="E277" s="369" t="str">
        <f aca="false">IF(A277="N/A"," ",IF(ISERROR(M277),E265*Inputs!$F$19,M277))</f>
        <v> </v>
      </c>
      <c r="F277" s="371" t="str">
        <f aca="false">IF(A277="N/A"," ",E277*C277)</f>
        <v> </v>
      </c>
      <c r="G277" s="369" t="str">
        <f aca="false">IF(A277="N/A"," ",IF(ISERROR(N277),G265*Inputs!$F$19,N277))</f>
        <v> </v>
      </c>
      <c r="H277" s="371" t="str">
        <f aca="false">IF(A277="N/A"," ",G277*C277)</f>
        <v> </v>
      </c>
      <c r="I277" s="371" t="str">
        <f aca="false">IF(A277="N/A"," ",IF(ISERROR(O277),I265*Inputs!$F$19,O277))</f>
        <v> </v>
      </c>
      <c r="J277" s="372" t="str">
        <f aca="false">IF(A277="N/A"," ",IF(ISERROR(P277),J265*Inputs!$F$23,P277))</f>
        <v> </v>
      </c>
      <c r="L277" s="374" t="str">
        <f aca="false">IF(A277="N/A"," ",VLOOKUP(A277,PeakPowerCurves,(IF('Pricing Inputs'!$AT$3=2,3,IF('Pricing Inputs'!$AT$3=1,2,4))),FALSE()))</f>
        <v> </v>
      </c>
      <c r="M277" s="374" t="str">
        <f aca="false">IF(A277="N/A"," ",VLOOKUP(A277,SatSunPeakPwr,(IF('Pricing Inputs'!$AT$3=2,3,IF('Pricing Inputs'!$AT$3=1,2,4))),FALSE()))</f>
        <v> </v>
      </c>
      <c r="N277" s="374" t="str">
        <f aca="false">IF(A277="N/A"," ",VLOOKUP(A277,SatSunPeakPwr,(IF('Pricing Inputs'!$AT$3=2,7,IF('Pricing Inputs'!$AT$3=1,6,8))),FALSE()))</f>
        <v> </v>
      </c>
      <c r="O277" s="375" t="str">
        <f aca="false">IF(A277="N/A"," ",(VLOOKUP(A277,OPPowerPrices,(IF('Pricing Inputs'!$AT$3=2,7,IF('Pricing Inputs'!$AT$3=1,6,8))),FALSE())))</f>
        <v> </v>
      </c>
      <c r="P277" s="376" t="str">
        <f aca="false">IF(A277="N/A"," ",(VLOOKUP(A277,GasCurves,15,FALSE())))</f>
        <v> </v>
      </c>
    </row>
    <row r="278" customFormat="false" ht="12.75" hidden="false" customHeight="false" outlineLevel="0" collapsed="false">
      <c r="A278" s="368" t="str">
        <f aca="false">Calculations!A245</f>
        <v>N/A</v>
      </c>
      <c r="B278" s="369" t="str">
        <f aca="false">IF(A278="N/A"," ",IF(ISERROR(L278),B266*Inputs!$F$19,L278))</f>
        <v> </v>
      </c>
      <c r="C278" s="370" t="str">
        <f aca="false">IF(A278="N/A"," ",(IF(AND(MONTH(A278)&gt;=6,MONTH(A278)&lt;=8,OR($K$37="REGION 2",$K$37="REGION 2A",$K$37="REGION 2B",$K$37="REGION 3",$K$37="REGION 3A",$K$37="REGION 3B",$K$37="REGION 4",$K$37="REGION 4B",$K$37="REGION 4C",$K$37="REGION 5",$K$37="REGION 5A")),((0.059228/(B278/100))-(0.4980013/(SQRT(B278/100)))+2.137988),HLOOKUP(MONTH(A278),ScalarTable,28))))</f>
        <v> </v>
      </c>
      <c r="D278" s="371" t="str">
        <f aca="false">IF(A278="N/A"," ",C278*B278)</f>
        <v> </v>
      </c>
      <c r="E278" s="369" t="str">
        <f aca="false">IF(A278="N/A"," ",IF(ISERROR(M278),E266*Inputs!$F$19,M278))</f>
        <v> </v>
      </c>
      <c r="F278" s="371" t="str">
        <f aca="false">IF(A278="N/A"," ",E278*C278)</f>
        <v> </v>
      </c>
      <c r="G278" s="369" t="str">
        <f aca="false">IF(A278="N/A"," ",IF(ISERROR(N278),G266*Inputs!$F$19,N278))</f>
        <v> </v>
      </c>
      <c r="H278" s="371" t="str">
        <f aca="false">IF(A278="N/A"," ",G278*C278)</f>
        <v> </v>
      </c>
      <c r="I278" s="371" t="str">
        <f aca="false">IF(A278="N/A"," ",IF(ISERROR(O278),I266*Inputs!$F$19,O278))</f>
        <v> </v>
      </c>
      <c r="J278" s="372" t="str">
        <f aca="false">IF(A278="N/A"," ",IF(ISERROR(P278),J266*Inputs!$F$23,P278))</f>
        <v> </v>
      </c>
      <c r="L278" s="374" t="str">
        <f aca="false">IF(A278="N/A"," ",VLOOKUP(A278,PeakPowerCurves,(IF('Pricing Inputs'!$AT$3=2,3,IF('Pricing Inputs'!$AT$3=1,2,4))),FALSE()))</f>
        <v> </v>
      </c>
      <c r="M278" s="374" t="str">
        <f aca="false">IF(A278="N/A"," ",VLOOKUP(A278,SatSunPeakPwr,(IF('Pricing Inputs'!$AT$3=2,3,IF('Pricing Inputs'!$AT$3=1,2,4))),FALSE()))</f>
        <v> </v>
      </c>
      <c r="N278" s="374" t="str">
        <f aca="false">IF(A278="N/A"," ",VLOOKUP(A278,SatSunPeakPwr,(IF('Pricing Inputs'!$AT$3=2,7,IF('Pricing Inputs'!$AT$3=1,6,8))),FALSE()))</f>
        <v> </v>
      </c>
      <c r="O278" s="375" t="str">
        <f aca="false">IF(A278="N/A"," ",(VLOOKUP(A278,OPPowerPrices,(IF('Pricing Inputs'!$AT$3=2,7,IF('Pricing Inputs'!$AT$3=1,6,8))),FALSE())))</f>
        <v> </v>
      </c>
      <c r="P278" s="376" t="str">
        <f aca="false">IF(A278="N/A"," ",(VLOOKUP(A278,GasCurves,15,FALSE())))</f>
        <v> </v>
      </c>
    </row>
    <row r="279" customFormat="false" ht="12.75" hidden="false" customHeight="false" outlineLevel="0" collapsed="false">
      <c r="A279" s="368" t="str">
        <f aca="false">Calculations!A246</f>
        <v>N/A</v>
      </c>
      <c r="B279" s="369" t="str">
        <f aca="false">IF(A279="N/A"," ",IF(ISERROR(L279),B267*Inputs!$F$19,L279))</f>
        <v> </v>
      </c>
      <c r="C279" s="370" t="str">
        <f aca="false">IF(A279="N/A"," ",(IF(AND(MONTH(A279)&gt;=6,MONTH(A279)&lt;=8,OR($K$37="REGION 2",$K$37="REGION 2A",$K$37="REGION 2B",$K$37="REGION 3",$K$37="REGION 3A",$K$37="REGION 3B",$K$37="REGION 4",$K$37="REGION 4B",$K$37="REGION 4C",$K$37="REGION 5",$K$37="REGION 5A")),((0.059228/(B279/100))-(0.4980013/(SQRT(B279/100)))+2.137988),HLOOKUP(MONTH(A279),ScalarTable,28))))</f>
        <v> </v>
      </c>
      <c r="D279" s="371" t="str">
        <f aca="false">IF(A279="N/A"," ",C279*B279)</f>
        <v> </v>
      </c>
      <c r="E279" s="369" t="str">
        <f aca="false">IF(A279="N/A"," ",IF(ISERROR(M279),E267*Inputs!$F$19,M279))</f>
        <v> </v>
      </c>
      <c r="F279" s="371" t="str">
        <f aca="false">IF(A279="N/A"," ",E279*C279)</f>
        <v> </v>
      </c>
      <c r="G279" s="369" t="str">
        <f aca="false">IF(A279="N/A"," ",IF(ISERROR(N279),G267*Inputs!$F$19,N279))</f>
        <v> </v>
      </c>
      <c r="H279" s="371" t="str">
        <f aca="false">IF(A279="N/A"," ",G279*C279)</f>
        <v> </v>
      </c>
      <c r="I279" s="371" t="str">
        <f aca="false">IF(A279="N/A"," ",IF(ISERROR(O279),I267*Inputs!$F$19,O279))</f>
        <v> </v>
      </c>
      <c r="J279" s="372" t="str">
        <f aca="false">IF(A279="N/A"," ",IF(ISERROR(P279),J267*Inputs!$F$23,P279))</f>
        <v> </v>
      </c>
      <c r="L279" s="374" t="str">
        <f aca="false">IF(A279="N/A"," ",VLOOKUP(A279,PeakPowerCurves,(IF('Pricing Inputs'!$AT$3=2,3,IF('Pricing Inputs'!$AT$3=1,2,4))),FALSE()))</f>
        <v> </v>
      </c>
      <c r="M279" s="374" t="str">
        <f aca="false">IF(A279="N/A"," ",VLOOKUP(A279,SatSunPeakPwr,(IF('Pricing Inputs'!$AT$3=2,3,IF('Pricing Inputs'!$AT$3=1,2,4))),FALSE()))</f>
        <v> </v>
      </c>
      <c r="N279" s="374" t="str">
        <f aca="false">IF(A279="N/A"," ",VLOOKUP(A279,SatSunPeakPwr,(IF('Pricing Inputs'!$AT$3=2,7,IF('Pricing Inputs'!$AT$3=1,6,8))),FALSE()))</f>
        <v> </v>
      </c>
      <c r="O279" s="375" t="str">
        <f aca="false">IF(A279="N/A"," ",(VLOOKUP(A279,OPPowerPrices,(IF('Pricing Inputs'!$AT$3=2,7,IF('Pricing Inputs'!$AT$3=1,6,8))),FALSE())))</f>
        <v> </v>
      </c>
      <c r="P279" s="376" t="str">
        <f aca="false">IF(A279="N/A"," ",(VLOOKUP(A279,GasCurves,15,FALSE())))</f>
        <v> </v>
      </c>
    </row>
    <row r="280" customFormat="false" ht="12.75" hidden="false" customHeight="false" outlineLevel="0" collapsed="false">
      <c r="A280" s="368" t="str">
        <f aca="false">Calculations!A247</f>
        <v>N/A</v>
      </c>
      <c r="B280" s="369" t="str">
        <f aca="false">IF(A280="N/A"," ",IF(ISERROR(L280),B268*Inputs!$F$19,L280))</f>
        <v> </v>
      </c>
      <c r="C280" s="370" t="str">
        <f aca="false">IF(A280="N/A"," ",(IF(AND(MONTH(A280)&gt;=6,MONTH(A280)&lt;=8,OR($K$37="REGION 2",$K$37="REGION 2A",$K$37="REGION 2B",$K$37="REGION 3",$K$37="REGION 3A",$K$37="REGION 3B",$K$37="REGION 4",$K$37="REGION 4B",$K$37="REGION 4C",$K$37="REGION 5",$K$37="REGION 5A")),((0.059228/(B280/100))-(0.4980013/(SQRT(B280/100)))+2.137988),HLOOKUP(MONTH(A280),ScalarTable,28))))</f>
        <v> </v>
      </c>
      <c r="D280" s="371" t="str">
        <f aca="false">IF(A280="N/A"," ",C280*B280)</f>
        <v> </v>
      </c>
      <c r="E280" s="369" t="str">
        <f aca="false">IF(A280="N/A"," ",IF(ISERROR(M280),E268*Inputs!$F$19,M280))</f>
        <v> </v>
      </c>
      <c r="F280" s="371" t="str">
        <f aca="false">IF(A280="N/A"," ",E280*C280)</f>
        <v> </v>
      </c>
      <c r="G280" s="369" t="str">
        <f aca="false">IF(A280="N/A"," ",IF(ISERROR(N280),G268*Inputs!$F$19,N280))</f>
        <v> </v>
      </c>
      <c r="H280" s="371" t="str">
        <f aca="false">IF(A280="N/A"," ",G280*C280)</f>
        <v> </v>
      </c>
      <c r="I280" s="371" t="str">
        <f aca="false">IF(A280="N/A"," ",IF(ISERROR(O280),I268*Inputs!$F$19,O280))</f>
        <v> </v>
      </c>
      <c r="J280" s="372" t="str">
        <f aca="false">IF(A280="N/A"," ",IF(ISERROR(P280),J268*Inputs!$F$23,P280))</f>
        <v> </v>
      </c>
      <c r="L280" s="374" t="str">
        <f aca="false">IF(A280="N/A"," ",VLOOKUP(A280,PeakPowerCurves,(IF('Pricing Inputs'!$AT$3=2,3,IF('Pricing Inputs'!$AT$3=1,2,4))),FALSE()))</f>
        <v> </v>
      </c>
      <c r="M280" s="374" t="str">
        <f aca="false">IF(A280="N/A"," ",VLOOKUP(A280,SatSunPeakPwr,(IF('Pricing Inputs'!$AT$3=2,3,IF('Pricing Inputs'!$AT$3=1,2,4))),FALSE()))</f>
        <v> </v>
      </c>
      <c r="N280" s="374" t="str">
        <f aca="false">IF(A280="N/A"," ",VLOOKUP(A280,SatSunPeakPwr,(IF('Pricing Inputs'!$AT$3=2,7,IF('Pricing Inputs'!$AT$3=1,6,8))),FALSE()))</f>
        <v> </v>
      </c>
      <c r="O280" s="375" t="str">
        <f aca="false">IF(A280="N/A"," ",(VLOOKUP(A280,OPPowerPrices,(IF('Pricing Inputs'!$AT$3=2,7,IF('Pricing Inputs'!$AT$3=1,6,8))),FALSE())))</f>
        <v> </v>
      </c>
      <c r="P280" s="376" t="str">
        <f aca="false">IF(A280="N/A"," ",(VLOOKUP(A280,GasCurves,15,FALSE())))</f>
        <v> </v>
      </c>
    </row>
    <row r="281" customFormat="false" ht="12.75" hidden="false" customHeight="false" outlineLevel="0" collapsed="false">
      <c r="A281" s="368" t="str">
        <f aca="false">Calculations!A248</f>
        <v>N/A</v>
      </c>
      <c r="B281" s="369" t="str">
        <f aca="false">IF(A281="N/A"," ",IF(ISERROR(L281),B269*Inputs!$F$19,L281))</f>
        <v> </v>
      </c>
      <c r="C281" s="370" t="str">
        <f aca="false">IF(A281="N/A"," ",(IF(AND(MONTH(A281)&gt;=6,MONTH(A281)&lt;=8,OR($K$37="REGION 2",$K$37="REGION 2A",$K$37="REGION 2B",$K$37="REGION 3",$K$37="REGION 3A",$K$37="REGION 3B",$K$37="REGION 4",$K$37="REGION 4B",$K$37="REGION 4C",$K$37="REGION 5",$K$37="REGION 5A")),((0.059228/(B281/100))-(0.4980013/(SQRT(B281/100)))+2.137988),HLOOKUP(MONTH(A281),ScalarTable,28))))</f>
        <v> </v>
      </c>
      <c r="D281" s="371" t="str">
        <f aca="false">IF(A281="N/A"," ",C281*B281)</f>
        <v> </v>
      </c>
      <c r="E281" s="369" t="str">
        <f aca="false">IF(A281="N/A"," ",IF(ISERROR(M281),E269*Inputs!$F$19,M281))</f>
        <v> </v>
      </c>
      <c r="F281" s="371" t="str">
        <f aca="false">IF(A281="N/A"," ",E281*C281)</f>
        <v> </v>
      </c>
      <c r="G281" s="369" t="str">
        <f aca="false">IF(A281="N/A"," ",IF(ISERROR(N281),G269*Inputs!$F$19,N281))</f>
        <v> </v>
      </c>
      <c r="H281" s="371" t="str">
        <f aca="false">IF(A281="N/A"," ",G281*C281)</f>
        <v> </v>
      </c>
      <c r="I281" s="371" t="str">
        <f aca="false">IF(A281="N/A"," ",IF(ISERROR(O281),I269*Inputs!$F$19,O281))</f>
        <v> </v>
      </c>
      <c r="J281" s="372" t="str">
        <f aca="false">IF(A281="N/A"," ",IF(ISERROR(P281),J269*Inputs!$F$23,P281))</f>
        <v> </v>
      </c>
      <c r="L281" s="374" t="str">
        <f aca="false">IF(A281="N/A"," ",VLOOKUP(A281,PeakPowerCurves,(IF('Pricing Inputs'!$AT$3=2,3,IF('Pricing Inputs'!$AT$3=1,2,4))),FALSE()))</f>
        <v> </v>
      </c>
      <c r="M281" s="374" t="str">
        <f aca="false">IF(A281="N/A"," ",VLOOKUP(A281,SatSunPeakPwr,(IF('Pricing Inputs'!$AT$3=2,3,IF('Pricing Inputs'!$AT$3=1,2,4))),FALSE()))</f>
        <v> </v>
      </c>
      <c r="N281" s="374" t="str">
        <f aca="false">IF(A281="N/A"," ",VLOOKUP(A281,SatSunPeakPwr,(IF('Pricing Inputs'!$AT$3=2,7,IF('Pricing Inputs'!$AT$3=1,6,8))),FALSE()))</f>
        <v> </v>
      </c>
      <c r="O281" s="375" t="str">
        <f aca="false">IF(A281="N/A"," ",(VLOOKUP(A281,OPPowerPrices,(IF('Pricing Inputs'!$AT$3=2,7,IF('Pricing Inputs'!$AT$3=1,6,8))),FALSE())))</f>
        <v> </v>
      </c>
      <c r="P281" s="376" t="str">
        <f aca="false">IF(A281="N/A"," ",(VLOOKUP(A281,GasCurves,15,FALSE())))</f>
        <v> </v>
      </c>
    </row>
    <row r="282" customFormat="false" ht="12.75" hidden="false" customHeight="false" outlineLevel="0" collapsed="false">
      <c r="A282" s="368" t="str">
        <f aca="false">Calculations!A249</f>
        <v>N/A</v>
      </c>
      <c r="B282" s="369" t="str">
        <f aca="false">IF(A282="N/A"," ",IF(ISERROR(L282),B270*Inputs!$F$19,L282))</f>
        <v> </v>
      </c>
      <c r="C282" s="370" t="str">
        <f aca="false">IF(A282="N/A"," ",(IF(AND(MONTH(A282)&gt;=6,MONTH(A282)&lt;=8,OR($K$37="REGION 2",$K$37="REGION 2A",$K$37="REGION 2B",$K$37="REGION 3",$K$37="REGION 3A",$K$37="REGION 3B",$K$37="REGION 4",$K$37="REGION 4B",$K$37="REGION 4C",$K$37="REGION 5",$K$37="REGION 5A")),((0.059228/(B282/100))-(0.4980013/(SQRT(B282/100)))+2.137988),HLOOKUP(MONTH(A282),ScalarTable,28))))</f>
        <v> </v>
      </c>
      <c r="D282" s="371" t="str">
        <f aca="false">IF(A282="N/A"," ",C282*B282)</f>
        <v> </v>
      </c>
      <c r="E282" s="369" t="str">
        <f aca="false">IF(A282="N/A"," ",IF(ISERROR(M282),E270*Inputs!$F$19,M282))</f>
        <v> </v>
      </c>
      <c r="F282" s="371" t="str">
        <f aca="false">IF(A282="N/A"," ",E282*C282)</f>
        <v> </v>
      </c>
      <c r="G282" s="369" t="str">
        <f aca="false">IF(A282="N/A"," ",IF(ISERROR(N282),G270*Inputs!$F$19,N282))</f>
        <v> </v>
      </c>
      <c r="H282" s="371" t="str">
        <f aca="false">IF(A282="N/A"," ",G282*C282)</f>
        <v> </v>
      </c>
      <c r="I282" s="371" t="str">
        <f aca="false">IF(A282="N/A"," ",IF(ISERROR(O282),I270*Inputs!$F$19,O282))</f>
        <v> </v>
      </c>
      <c r="J282" s="372" t="str">
        <f aca="false">IF(A282="N/A"," ",IF(ISERROR(P282),J270*Inputs!$F$23,P282))</f>
        <v> </v>
      </c>
      <c r="L282" s="374" t="str">
        <f aca="false">IF(A282="N/A"," ",VLOOKUP(A282,PeakPowerCurves,(IF('Pricing Inputs'!$AT$3=2,3,IF('Pricing Inputs'!$AT$3=1,2,4))),FALSE()))</f>
        <v> </v>
      </c>
      <c r="M282" s="374" t="str">
        <f aca="false">IF(A282="N/A"," ",VLOOKUP(A282,SatSunPeakPwr,(IF('Pricing Inputs'!$AT$3=2,3,IF('Pricing Inputs'!$AT$3=1,2,4))),FALSE()))</f>
        <v> </v>
      </c>
      <c r="N282" s="374" t="str">
        <f aca="false">IF(A282="N/A"," ",VLOOKUP(A282,SatSunPeakPwr,(IF('Pricing Inputs'!$AT$3=2,7,IF('Pricing Inputs'!$AT$3=1,6,8))),FALSE()))</f>
        <v> </v>
      </c>
      <c r="O282" s="375" t="str">
        <f aca="false">IF(A282="N/A"," ",(VLOOKUP(A282,OPPowerPrices,(IF('Pricing Inputs'!$AT$3=2,7,IF('Pricing Inputs'!$AT$3=1,6,8))),FALSE())))</f>
        <v> </v>
      </c>
      <c r="P282" s="376" t="str">
        <f aca="false">IF(A282="N/A"," ",(VLOOKUP(A282,GasCurves,15,FALSE())))</f>
        <v> </v>
      </c>
    </row>
    <row r="283" customFormat="false" ht="12.75" hidden="false" customHeight="false" outlineLevel="0" collapsed="false">
      <c r="A283" s="368" t="str">
        <f aca="false">Calculations!A250</f>
        <v>N/A</v>
      </c>
      <c r="B283" s="369" t="str">
        <f aca="false">IF(A283="N/A"," ",IF(ISERROR(L283),B271*Inputs!$F$19,L283))</f>
        <v> </v>
      </c>
      <c r="C283" s="370" t="str">
        <f aca="false">IF(A283="N/A"," ",(IF(AND(MONTH(A283)&gt;=6,MONTH(A283)&lt;=8,OR($K$37="REGION 2",$K$37="REGION 2A",$K$37="REGION 2B",$K$37="REGION 3",$K$37="REGION 3A",$K$37="REGION 3B",$K$37="REGION 4",$K$37="REGION 4B",$K$37="REGION 4C",$K$37="REGION 5",$K$37="REGION 5A")),((0.059228/(B283/100))-(0.4980013/(SQRT(B283/100)))+2.137988),HLOOKUP(MONTH(A283),ScalarTable,28))))</f>
        <v> </v>
      </c>
      <c r="D283" s="371" t="str">
        <f aca="false">IF(A283="N/A"," ",C283*B283)</f>
        <v> </v>
      </c>
      <c r="E283" s="369" t="str">
        <f aca="false">IF(A283="N/A"," ",IF(ISERROR(M283),E271*Inputs!$F$19,M283))</f>
        <v> </v>
      </c>
      <c r="F283" s="371" t="str">
        <f aca="false">IF(A283="N/A"," ",E283*C283)</f>
        <v> </v>
      </c>
      <c r="G283" s="369" t="str">
        <f aca="false">IF(A283="N/A"," ",IF(ISERROR(N283),G271*Inputs!$F$19,N283))</f>
        <v> </v>
      </c>
      <c r="H283" s="371" t="str">
        <f aca="false">IF(A283="N/A"," ",G283*C283)</f>
        <v> </v>
      </c>
      <c r="I283" s="371" t="str">
        <f aca="false">IF(A283="N/A"," ",IF(ISERROR(O283),I271*Inputs!$F$19,O283))</f>
        <v> </v>
      </c>
      <c r="J283" s="372" t="str">
        <f aca="false">IF(A283="N/A"," ",IF(ISERROR(P283),J271*Inputs!$F$23,P283))</f>
        <v> </v>
      </c>
      <c r="L283" s="374" t="str">
        <f aca="false">IF(A283="N/A"," ",VLOOKUP(A283,PeakPowerCurves,(IF('Pricing Inputs'!$AT$3=2,3,IF('Pricing Inputs'!$AT$3=1,2,4))),FALSE()))</f>
        <v> </v>
      </c>
      <c r="M283" s="374" t="str">
        <f aca="false">IF(A283="N/A"," ",VLOOKUP(A283,SatSunPeakPwr,(IF('Pricing Inputs'!$AT$3=2,3,IF('Pricing Inputs'!$AT$3=1,2,4))),FALSE()))</f>
        <v> </v>
      </c>
      <c r="N283" s="374" t="str">
        <f aca="false">IF(A283="N/A"," ",VLOOKUP(A283,SatSunPeakPwr,(IF('Pricing Inputs'!$AT$3=2,7,IF('Pricing Inputs'!$AT$3=1,6,8))),FALSE()))</f>
        <v> </v>
      </c>
      <c r="O283" s="375" t="str">
        <f aca="false">IF(A283="N/A"," ",(VLOOKUP(A283,OPPowerPrices,(IF('Pricing Inputs'!$AT$3=2,7,IF('Pricing Inputs'!$AT$3=1,6,8))),FALSE())))</f>
        <v> </v>
      </c>
      <c r="P283" s="376" t="str">
        <f aca="false">IF(A283="N/A"," ",(VLOOKUP(A283,GasCurves,15,FALSE())))</f>
        <v> </v>
      </c>
    </row>
    <row r="284" customFormat="false" ht="12.75" hidden="false" customHeight="false" outlineLevel="0" collapsed="false">
      <c r="A284" s="368" t="str">
        <f aca="false">Calculations!A251</f>
        <v>N/A</v>
      </c>
      <c r="B284" s="369" t="str">
        <f aca="false">IF(A284="N/A"," ",IF(ISERROR(L284),B272*Inputs!$F$19,L284))</f>
        <v> </v>
      </c>
      <c r="C284" s="370" t="str">
        <f aca="false">IF(A284="N/A"," ",(IF(AND(MONTH(A284)&gt;=6,MONTH(A284)&lt;=8,OR($K$37="REGION 2",$K$37="REGION 2A",$K$37="REGION 2B",$K$37="REGION 3",$K$37="REGION 3A",$K$37="REGION 3B",$K$37="REGION 4",$K$37="REGION 4B",$K$37="REGION 4C",$K$37="REGION 5",$K$37="REGION 5A")),((0.059228/(B284/100))-(0.4980013/(SQRT(B284/100)))+2.137988),HLOOKUP(MONTH(A284),ScalarTable,28))))</f>
        <v> </v>
      </c>
      <c r="D284" s="371" t="str">
        <f aca="false">IF(A284="N/A"," ",C284*B284)</f>
        <v> </v>
      </c>
      <c r="E284" s="369" t="str">
        <f aca="false">IF(A284="N/A"," ",IF(ISERROR(M284),E272*Inputs!$F$19,M284))</f>
        <v> </v>
      </c>
      <c r="F284" s="371" t="str">
        <f aca="false">IF(A284="N/A"," ",E284*C284)</f>
        <v> </v>
      </c>
      <c r="G284" s="369" t="str">
        <f aca="false">IF(A284="N/A"," ",IF(ISERROR(N284),G272*Inputs!$F$19,N284))</f>
        <v> </v>
      </c>
      <c r="H284" s="371" t="str">
        <f aca="false">IF(A284="N/A"," ",G284*C284)</f>
        <v> </v>
      </c>
      <c r="I284" s="371" t="str">
        <f aca="false">IF(A284="N/A"," ",IF(ISERROR(O284),I272*Inputs!$F$19,O284))</f>
        <v> </v>
      </c>
      <c r="J284" s="372" t="str">
        <f aca="false">IF(A284="N/A"," ",IF(ISERROR(P284),J272*Inputs!$F$23,P284))</f>
        <v> </v>
      </c>
      <c r="L284" s="374" t="str">
        <f aca="false">IF(A284="N/A"," ",VLOOKUP(A284,PeakPowerCurves,(IF('Pricing Inputs'!$AT$3=2,3,IF('Pricing Inputs'!$AT$3=1,2,4))),FALSE()))</f>
        <v> </v>
      </c>
      <c r="M284" s="374" t="str">
        <f aca="false">IF(A284="N/A"," ",VLOOKUP(A284,SatSunPeakPwr,(IF('Pricing Inputs'!$AT$3=2,3,IF('Pricing Inputs'!$AT$3=1,2,4))),FALSE()))</f>
        <v> </v>
      </c>
      <c r="N284" s="374" t="str">
        <f aca="false">IF(A284="N/A"," ",VLOOKUP(A284,SatSunPeakPwr,(IF('Pricing Inputs'!$AT$3=2,7,IF('Pricing Inputs'!$AT$3=1,6,8))),FALSE()))</f>
        <v> </v>
      </c>
      <c r="O284" s="375" t="str">
        <f aca="false">IF(A284="N/A"," ",(VLOOKUP(A284,OPPowerPrices,(IF('Pricing Inputs'!$AT$3=2,7,IF('Pricing Inputs'!$AT$3=1,6,8))),FALSE())))</f>
        <v> </v>
      </c>
      <c r="P284" s="376" t="str">
        <f aca="false">IF(A284="N/A"," ",(VLOOKUP(A284,GasCurves,15,FALSE())))</f>
        <v> </v>
      </c>
    </row>
    <row r="285" customFormat="false" ht="12.75" hidden="false" customHeight="false" outlineLevel="0" collapsed="false">
      <c r="A285" s="368" t="str">
        <f aca="false">Calculations!A252</f>
        <v>N/A</v>
      </c>
      <c r="B285" s="369" t="str">
        <f aca="false">IF(A285="N/A"," ",IF(ISERROR(L285),B273*Inputs!$F$19,L285))</f>
        <v> </v>
      </c>
      <c r="C285" s="370" t="str">
        <f aca="false">IF(A285="N/A"," ",(IF(AND(MONTH(A285)&gt;=6,MONTH(A285)&lt;=8,OR($K$37="REGION 2",$K$37="REGION 2A",$K$37="REGION 2B",$K$37="REGION 3",$K$37="REGION 3A",$K$37="REGION 3B",$K$37="REGION 4",$K$37="REGION 4B",$K$37="REGION 4C",$K$37="REGION 5",$K$37="REGION 5A")),((0.059228/(B285/100))-(0.4980013/(SQRT(B285/100)))+2.137988),HLOOKUP(MONTH(A285),ScalarTable,28))))</f>
        <v> </v>
      </c>
      <c r="D285" s="371" t="str">
        <f aca="false">IF(A285="N/A"," ",C285*B285)</f>
        <v> </v>
      </c>
      <c r="E285" s="369" t="str">
        <f aca="false">IF(A285="N/A"," ",IF(ISERROR(M285),E273*Inputs!$F$19,M285))</f>
        <v> </v>
      </c>
      <c r="F285" s="371" t="str">
        <f aca="false">IF(A285="N/A"," ",E285*C285)</f>
        <v> </v>
      </c>
      <c r="G285" s="369" t="str">
        <f aca="false">IF(A285="N/A"," ",IF(ISERROR(N285),G273*Inputs!$F$19,N285))</f>
        <v> </v>
      </c>
      <c r="H285" s="371" t="str">
        <f aca="false">IF(A285="N/A"," ",G285*C285)</f>
        <v> </v>
      </c>
      <c r="I285" s="371" t="str">
        <f aca="false">IF(A285="N/A"," ",IF(ISERROR(O285),I273*Inputs!$F$19,O285))</f>
        <v> </v>
      </c>
      <c r="J285" s="372" t="str">
        <f aca="false">IF(A285="N/A"," ",IF(ISERROR(P285),J273*Inputs!$F$23,P285))</f>
        <v> </v>
      </c>
      <c r="L285" s="374" t="str">
        <f aca="false">IF(A285="N/A"," ",VLOOKUP(A285,PeakPowerCurves,(IF('Pricing Inputs'!$AT$3=2,3,IF('Pricing Inputs'!$AT$3=1,2,4))),FALSE()))</f>
        <v> </v>
      </c>
      <c r="M285" s="374" t="str">
        <f aca="false">IF(A285="N/A"," ",VLOOKUP(A285,SatSunPeakPwr,(IF('Pricing Inputs'!$AT$3=2,3,IF('Pricing Inputs'!$AT$3=1,2,4))),FALSE()))</f>
        <v> </v>
      </c>
      <c r="N285" s="374" t="str">
        <f aca="false">IF(A285="N/A"," ",VLOOKUP(A285,SatSunPeakPwr,(IF('Pricing Inputs'!$AT$3=2,7,IF('Pricing Inputs'!$AT$3=1,6,8))),FALSE()))</f>
        <v> </v>
      </c>
      <c r="O285" s="375" t="str">
        <f aca="false">IF(A285="N/A"," ",(VLOOKUP(A285,OPPowerPrices,(IF('Pricing Inputs'!$AT$3=2,7,IF('Pricing Inputs'!$AT$3=1,6,8))),FALSE())))</f>
        <v> </v>
      </c>
      <c r="P285" s="376" t="str">
        <f aca="false">IF(A285="N/A"," ",(VLOOKUP(A285,GasCurves,15,FALSE())))</f>
        <v> </v>
      </c>
    </row>
    <row r="286" customFormat="false" ht="12.75" hidden="false" customHeight="false" outlineLevel="0" collapsed="false">
      <c r="A286" s="368" t="str">
        <f aca="false">Calculations!A253</f>
        <v>N/A</v>
      </c>
      <c r="B286" s="369" t="str">
        <f aca="false">IF(A286="N/A"," ",IF(ISERROR(L286),B274*Inputs!$F$19,L286))</f>
        <v> </v>
      </c>
      <c r="C286" s="370" t="str">
        <f aca="false">IF(A286="N/A"," ",(IF(AND(MONTH(A286)&gt;=6,MONTH(A286)&lt;=8,OR($K$37="REGION 2",$K$37="REGION 2A",$K$37="REGION 2B",$K$37="REGION 3",$K$37="REGION 3A",$K$37="REGION 3B",$K$37="REGION 4",$K$37="REGION 4B",$K$37="REGION 4C",$K$37="REGION 5",$K$37="REGION 5A")),((0.059228/(B286/100))-(0.4980013/(SQRT(B286/100)))+2.137988),HLOOKUP(MONTH(A286),ScalarTable,28))))</f>
        <v> </v>
      </c>
      <c r="D286" s="371" t="str">
        <f aca="false">IF(A286="N/A"," ",C286*B286)</f>
        <v> </v>
      </c>
      <c r="E286" s="369" t="str">
        <f aca="false">IF(A286="N/A"," ",IF(ISERROR(M286),E274*Inputs!$F$19,M286))</f>
        <v> </v>
      </c>
      <c r="F286" s="371" t="str">
        <f aca="false">IF(A286="N/A"," ",E286*C286)</f>
        <v> </v>
      </c>
      <c r="G286" s="369" t="str">
        <f aca="false">IF(A286="N/A"," ",IF(ISERROR(N286),G274*Inputs!$F$19,N286))</f>
        <v> </v>
      </c>
      <c r="H286" s="371" t="str">
        <f aca="false">IF(A286="N/A"," ",G286*C286)</f>
        <v> </v>
      </c>
      <c r="I286" s="371" t="str">
        <f aca="false">IF(A286="N/A"," ",IF(ISERROR(O286),I274*Inputs!$F$19,O286))</f>
        <v> </v>
      </c>
      <c r="J286" s="372" t="str">
        <f aca="false">IF(A286="N/A"," ",IF(ISERROR(P286),J274*Inputs!$F$23,P286))</f>
        <v> </v>
      </c>
      <c r="L286" s="374" t="str">
        <f aca="false">IF(A286="N/A"," ",VLOOKUP(A286,PeakPowerCurves,(IF('Pricing Inputs'!$AT$3=2,3,IF('Pricing Inputs'!$AT$3=1,2,4))),FALSE()))</f>
        <v> </v>
      </c>
      <c r="M286" s="374" t="str">
        <f aca="false">IF(A286="N/A"," ",VLOOKUP(A286,SatSunPeakPwr,(IF('Pricing Inputs'!$AT$3=2,3,IF('Pricing Inputs'!$AT$3=1,2,4))),FALSE()))</f>
        <v> </v>
      </c>
      <c r="N286" s="374" t="str">
        <f aca="false">IF(A286="N/A"," ",VLOOKUP(A286,SatSunPeakPwr,(IF('Pricing Inputs'!$AT$3=2,7,IF('Pricing Inputs'!$AT$3=1,6,8))),FALSE()))</f>
        <v> </v>
      </c>
      <c r="O286" s="375" t="str">
        <f aca="false">IF(A286="N/A"," ",(VLOOKUP(A286,OPPowerPrices,(IF('Pricing Inputs'!$AT$3=2,7,IF('Pricing Inputs'!$AT$3=1,6,8))),FALSE())))</f>
        <v> </v>
      </c>
      <c r="P286" s="376" t="str">
        <f aca="false">IF(A286="N/A"," ",(VLOOKUP(A286,GasCurves,15,FALSE())))</f>
        <v> </v>
      </c>
    </row>
    <row r="287" customFormat="false" ht="12.75" hidden="false" customHeight="false" outlineLevel="0" collapsed="false">
      <c r="A287" s="368" t="str">
        <f aca="false">Calculations!A254</f>
        <v>N/A</v>
      </c>
      <c r="B287" s="369" t="str">
        <f aca="false">IF(A287="N/A"," ",IF(ISERROR(L287),B275*Inputs!$F$19,L287))</f>
        <v> </v>
      </c>
      <c r="C287" s="370" t="str">
        <f aca="false">IF(A287="N/A"," ",(IF(AND(MONTH(A287)&gt;=6,MONTH(A287)&lt;=8,OR($K$37="REGION 2",$K$37="REGION 2A",$K$37="REGION 2B",$K$37="REGION 3",$K$37="REGION 3A",$K$37="REGION 3B",$K$37="REGION 4",$K$37="REGION 4B",$K$37="REGION 4C",$K$37="REGION 5",$K$37="REGION 5A")),((0.059228/(B287/100))-(0.4980013/(SQRT(B287/100)))+2.137988),HLOOKUP(MONTH(A287),ScalarTable,28))))</f>
        <v> </v>
      </c>
      <c r="D287" s="371" t="str">
        <f aca="false">IF(A287="N/A"," ",C287*B287)</f>
        <v> </v>
      </c>
      <c r="E287" s="369" t="str">
        <f aca="false">IF(A287="N/A"," ",IF(ISERROR(M287),E275*Inputs!$F$19,M287))</f>
        <v> </v>
      </c>
      <c r="F287" s="371" t="str">
        <f aca="false">IF(A287="N/A"," ",E287*C287)</f>
        <v> </v>
      </c>
      <c r="G287" s="369" t="str">
        <f aca="false">IF(A287="N/A"," ",IF(ISERROR(N287),G275*Inputs!$F$19,N287))</f>
        <v> </v>
      </c>
      <c r="H287" s="371" t="str">
        <f aca="false">IF(A287="N/A"," ",G287*C287)</f>
        <v> </v>
      </c>
      <c r="I287" s="371" t="str">
        <f aca="false">IF(A287="N/A"," ",IF(ISERROR(O287),I275*Inputs!$F$19,O287))</f>
        <v> </v>
      </c>
      <c r="J287" s="372" t="str">
        <f aca="false">IF(A287="N/A"," ",IF(ISERROR(P287),J275*Inputs!$F$23,P287))</f>
        <v> </v>
      </c>
      <c r="L287" s="374" t="str">
        <f aca="false">IF(A287="N/A"," ",VLOOKUP(A287,PeakPowerCurves,(IF('Pricing Inputs'!$AT$3=2,3,IF('Pricing Inputs'!$AT$3=1,2,4))),FALSE()))</f>
        <v> </v>
      </c>
      <c r="M287" s="374" t="str">
        <f aca="false">IF(A287="N/A"," ",VLOOKUP(A287,SatSunPeakPwr,(IF('Pricing Inputs'!$AT$3=2,3,IF('Pricing Inputs'!$AT$3=1,2,4))),FALSE()))</f>
        <v> </v>
      </c>
      <c r="N287" s="374" t="str">
        <f aca="false">IF(A287="N/A"," ",VLOOKUP(A287,SatSunPeakPwr,(IF('Pricing Inputs'!$AT$3=2,7,IF('Pricing Inputs'!$AT$3=1,6,8))),FALSE()))</f>
        <v> </v>
      </c>
      <c r="O287" s="375" t="str">
        <f aca="false">IF(A287="N/A"," ",(VLOOKUP(A287,OPPowerPrices,(IF('Pricing Inputs'!$AT$3=2,7,IF('Pricing Inputs'!$AT$3=1,6,8))),FALSE())))</f>
        <v> </v>
      </c>
      <c r="P287" s="376" t="str">
        <f aca="false">IF(A287="N/A"," ",(VLOOKUP(A287,GasCurves,15,FALSE())))</f>
        <v> </v>
      </c>
    </row>
    <row r="288" customFormat="false" ht="12.75" hidden="false" customHeight="false" outlineLevel="0" collapsed="false">
      <c r="A288" s="368" t="str">
        <f aca="false">Calculations!A255</f>
        <v>N/A</v>
      </c>
      <c r="B288" s="369" t="str">
        <f aca="false">IF(A288="N/A"," ",IF(ISERROR(L288),B276*Inputs!$F$19,L288))</f>
        <v> </v>
      </c>
      <c r="C288" s="370" t="str">
        <f aca="false">IF(A288="N/A"," ",(IF(AND(MONTH(A288)&gt;=6,MONTH(A288)&lt;=8,OR($K$37="REGION 2",$K$37="REGION 2A",$K$37="REGION 2B",$K$37="REGION 3",$K$37="REGION 3A",$K$37="REGION 3B",$K$37="REGION 4",$K$37="REGION 4B",$K$37="REGION 4C",$K$37="REGION 5",$K$37="REGION 5A")),((0.059228/(B288/100))-(0.4980013/(SQRT(B288/100)))+2.137988),HLOOKUP(MONTH(A288),ScalarTable,28))))</f>
        <v> </v>
      </c>
      <c r="D288" s="371" t="str">
        <f aca="false">IF(A288="N/A"," ",C288*B288)</f>
        <v> </v>
      </c>
      <c r="E288" s="369" t="str">
        <f aca="false">IF(A288="N/A"," ",IF(ISERROR(M288),E276*Inputs!$F$19,M288))</f>
        <v> </v>
      </c>
      <c r="F288" s="371" t="str">
        <f aca="false">IF(A288="N/A"," ",E288*C288)</f>
        <v> </v>
      </c>
      <c r="G288" s="369" t="str">
        <f aca="false">IF(A288="N/A"," ",IF(ISERROR(N288),G276*Inputs!$F$19,N288))</f>
        <v> </v>
      </c>
      <c r="H288" s="371" t="str">
        <f aca="false">IF(A288="N/A"," ",G288*C288)</f>
        <v> </v>
      </c>
      <c r="I288" s="371" t="str">
        <f aca="false">IF(A288="N/A"," ",IF(ISERROR(O288),I276*Inputs!$F$19,O288))</f>
        <v> </v>
      </c>
      <c r="J288" s="372" t="str">
        <f aca="false">IF(A288="N/A"," ",IF(ISERROR(P288),J276*Inputs!$F$23,P288))</f>
        <v> </v>
      </c>
      <c r="L288" s="374" t="str">
        <f aca="false">IF(A288="N/A"," ",VLOOKUP(A288,PeakPowerCurves,(IF('Pricing Inputs'!$AT$3=2,3,IF('Pricing Inputs'!$AT$3=1,2,4))),FALSE()))</f>
        <v> </v>
      </c>
      <c r="M288" s="374" t="str">
        <f aca="false">IF(A288="N/A"," ",VLOOKUP(A288,SatSunPeakPwr,(IF('Pricing Inputs'!$AT$3=2,3,IF('Pricing Inputs'!$AT$3=1,2,4))),FALSE()))</f>
        <v> </v>
      </c>
      <c r="N288" s="374" t="str">
        <f aca="false">IF(A288="N/A"," ",VLOOKUP(A288,SatSunPeakPwr,(IF('Pricing Inputs'!$AT$3=2,7,IF('Pricing Inputs'!$AT$3=1,6,8))),FALSE()))</f>
        <v> </v>
      </c>
      <c r="O288" s="375" t="str">
        <f aca="false">IF(A288="N/A"," ",(VLOOKUP(A288,OPPowerPrices,(IF('Pricing Inputs'!$AT$3=2,7,IF('Pricing Inputs'!$AT$3=1,6,8))),FALSE())))</f>
        <v> </v>
      </c>
      <c r="P288" s="376" t="str">
        <f aca="false">IF(A288="N/A"," ",(VLOOKUP(A288,GasCurves,15,FALSE())))</f>
        <v> </v>
      </c>
    </row>
    <row r="289" customFormat="false" ht="12.75" hidden="false" customHeight="false" outlineLevel="0" collapsed="false">
      <c r="A289" s="368" t="str">
        <f aca="false">Calculations!A256</f>
        <v>N/A</v>
      </c>
      <c r="B289" s="369" t="str">
        <f aca="false">IF(A289="N/A"," ",IF(ISERROR(L289),B277*Inputs!$F$19,L289))</f>
        <v> </v>
      </c>
      <c r="C289" s="370" t="str">
        <f aca="false">IF(A289="N/A"," ",(IF(AND(MONTH(A289)&gt;=6,MONTH(A289)&lt;=8,OR($K$37="REGION 2",$K$37="REGION 2A",$K$37="REGION 2B",$K$37="REGION 3",$K$37="REGION 3A",$K$37="REGION 3B",$K$37="REGION 4",$K$37="REGION 4B",$K$37="REGION 4C",$K$37="REGION 5",$K$37="REGION 5A")),((0.059228/(B289/100))-(0.4980013/(SQRT(B289/100)))+2.137988),HLOOKUP(MONTH(A289),ScalarTable,28))))</f>
        <v> </v>
      </c>
      <c r="D289" s="371" t="str">
        <f aca="false">IF(A289="N/A"," ",C289*B289)</f>
        <v> </v>
      </c>
      <c r="E289" s="369" t="str">
        <f aca="false">IF(A289="N/A"," ",IF(ISERROR(M289),E277*Inputs!$F$19,M289))</f>
        <v> </v>
      </c>
      <c r="F289" s="371" t="str">
        <f aca="false">IF(A289="N/A"," ",E289*C289)</f>
        <v> </v>
      </c>
      <c r="G289" s="369" t="str">
        <f aca="false">IF(A289="N/A"," ",IF(ISERROR(N289),G277*Inputs!$F$19,N289))</f>
        <v> </v>
      </c>
      <c r="H289" s="371" t="str">
        <f aca="false">IF(A289="N/A"," ",G289*C289)</f>
        <v> </v>
      </c>
      <c r="I289" s="371" t="str">
        <f aca="false">IF(A289="N/A"," ",IF(ISERROR(O289),I277*Inputs!$F$19,O289))</f>
        <v> </v>
      </c>
      <c r="J289" s="372" t="str">
        <f aca="false">IF(A289="N/A"," ",IF(ISERROR(P289),J277*Inputs!$F$23,P289))</f>
        <v> </v>
      </c>
      <c r="L289" s="374" t="str">
        <f aca="false">IF(A289="N/A"," ",VLOOKUP(A289,PeakPowerCurves,(IF('Pricing Inputs'!$AT$3=2,3,IF('Pricing Inputs'!$AT$3=1,2,4))),FALSE()))</f>
        <v> </v>
      </c>
      <c r="M289" s="374" t="str">
        <f aca="false">IF(A289="N/A"," ",VLOOKUP(A289,SatSunPeakPwr,(IF('Pricing Inputs'!$AT$3=2,3,IF('Pricing Inputs'!$AT$3=1,2,4))),FALSE()))</f>
        <v> </v>
      </c>
      <c r="N289" s="374" t="str">
        <f aca="false">IF(A289="N/A"," ",VLOOKUP(A289,SatSunPeakPwr,(IF('Pricing Inputs'!$AT$3=2,7,IF('Pricing Inputs'!$AT$3=1,6,8))),FALSE()))</f>
        <v> </v>
      </c>
      <c r="O289" s="375" t="str">
        <f aca="false">IF(A289="N/A"," ",(VLOOKUP(A289,OPPowerPrices,(IF('Pricing Inputs'!$AT$3=2,7,IF('Pricing Inputs'!$AT$3=1,6,8))),FALSE())))</f>
        <v> </v>
      </c>
      <c r="P289" s="376" t="str">
        <f aca="false">IF(A289="N/A"," ",(VLOOKUP(A289,GasCurves,15,FALSE())))</f>
        <v> </v>
      </c>
    </row>
    <row r="290" customFormat="false" ht="12.75" hidden="false" customHeight="false" outlineLevel="0" collapsed="false">
      <c r="A290" s="368" t="str">
        <f aca="false">Calculations!A257</f>
        <v>N/A</v>
      </c>
      <c r="B290" s="369" t="str">
        <f aca="false">IF(A290="N/A"," ",IF(ISERROR(L290),B278*Inputs!$F$19,L290))</f>
        <v> </v>
      </c>
      <c r="C290" s="370" t="str">
        <f aca="false">IF(A290="N/A"," ",(IF(AND(MONTH(A290)&gt;=6,MONTH(A290)&lt;=8,OR($K$37="REGION 2",$K$37="REGION 2A",$K$37="REGION 2B",$K$37="REGION 3",$K$37="REGION 3A",$K$37="REGION 3B",$K$37="REGION 4",$K$37="REGION 4B",$K$37="REGION 4C",$K$37="REGION 5",$K$37="REGION 5A")),((0.059228/(B290/100))-(0.4980013/(SQRT(B290/100)))+2.137988),HLOOKUP(MONTH(A290),ScalarTable,28))))</f>
        <v> </v>
      </c>
      <c r="D290" s="371" t="str">
        <f aca="false">IF(A290="N/A"," ",C290*B290)</f>
        <v> </v>
      </c>
      <c r="E290" s="369" t="str">
        <f aca="false">IF(A290="N/A"," ",IF(ISERROR(M290),E278*Inputs!$F$19,M290))</f>
        <v> </v>
      </c>
      <c r="F290" s="371" t="str">
        <f aca="false">IF(A290="N/A"," ",E290*C290)</f>
        <v> </v>
      </c>
      <c r="G290" s="369" t="str">
        <f aca="false">IF(A290="N/A"," ",IF(ISERROR(N290),G278*Inputs!$F$19,N290))</f>
        <v> </v>
      </c>
      <c r="H290" s="371" t="str">
        <f aca="false">IF(A290="N/A"," ",G290*C290)</f>
        <v> </v>
      </c>
      <c r="I290" s="371" t="str">
        <f aca="false">IF(A290="N/A"," ",IF(ISERROR(O290),I278*Inputs!$F$19,O290))</f>
        <v> </v>
      </c>
      <c r="J290" s="372" t="str">
        <f aca="false">IF(A290="N/A"," ",IF(ISERROR(P290),J278*Inputs!$F$23,P290))</f>
        <v> </v>
      </c>
      <c r="L290" s="374" t="str">
        <f aca="false">IF(A290="N/A"," ",VLOOKUP(A290,PeakPowerCurves,(IF('Pricing Inputs'!$AT$3=2,3,IF('Pricing Inputs'!$AT$3=1,2,4))),FALSE()))</f>
        <v> </v>
      </c>
      <c r="M290" s="374" t="str">
        <f aca="false">IF(A290="N/A"," ",VLOOKUP(A290,SatSunPeakPwr,(IF('Pricing Inputs'!$AT$3=2,3,IF('Pricing Inputs'!$AT$3=1,2,4))),FALSE()))</f>
        <v> </v>
      </c>
      <c r="N290" s="374" t="str">
        <f aca="false">IF(A290="N/A"," ",VLOOKUP(A290,SatSunPeakPwr,(IF('Pricing Inputs'!$AT$3=2,7,IF('Pricing Inputs'!$AT$3=1,6,8))),FALSE()))</f>
        <v> </v>
      </c>
      <c r="O290" s="375" t="str">
        <f aca="false">IF(A290="N/A"," ",(VLOOKUP(A290,OPPowerPrices,(IF('Pricing Inputs'!$AT$3=2,7,IF('Pricing Inputs'!$AT$3=1,6,8))),FALSE())))</f>
        <v> </v>
      </c>
      <c r="P290" s="376" t="str">
        <f aca="false">IF(A290="N/A"," ",(VLOOKUP(A290,GasCurves,15,FALSE())))</f>
        <v> </v>
      </c>
    </row>
    <row r="291" customFormat="false" ht="12.75" hidden="false" customHeight="false" outlineLevel="0" collapsed="false">
      <c r="A291" s="368" t="str">
        <f aca="false">Calculations!A258</f>
        <v>N/A</v>
      </c>
      <c r="B291" s="369" t="str">
        <f aca="false">IF(A291="N/A"," ",IF(ISERROR(L291),B279*Inputs!$F$19,L291))</f>
        <v> </v>
      </c>
      <c r="C291" s="370" t="str">
        <f aca="false">IF(A291="N/A"," ",(IF(AND(MONTH(A291)&gt;=6,MONTH(A291)&lt;=8,OR($K$37="REGION 2",$K$37="REGION 2A",$K$37="REGION 2B",$K$37="REGION 3",$K$37="REGION 3A",$K$37="REGION 3B",$K$37="REGION 4",$K$37="REGION 4B",$K$37="REGION 4C",$K$37="REGION 5",$K$37="REGION 5A")),((0.059228/(B291/100))-(0.4980013/(SQRT(B291/100)))+2.137988),HLOOKUP(MONTH(A291),ScalarTable,28))))</f>
        <v> </v>
      </c>
      <c r="D291" s="371" t="str">
        <f aca="false">IF(A291="N/A"," ",C291*B291)</f>
        <v> </v>
      </c>
      <c r="E291" s="369" t="str">
        <f aca="false">IF(A291="N/A"," ",IF(ISERROR(M291),E279*Inputs!$F$19,M291))</f>
        <v> </v>
      </c>
      <c r="F291" s="371" t="str">
        <f aca="false">IF(A291="N/A"," ",E291*C291)</f>
        <v> </v>
      </c>
      <c r="G291" s="369" t="str">
        <f aca="false">IF(A291="N/A"," ",IF(ISERROR(N291),G279*Inputs!$F$19,N291))</f>
        <v> </v>
      </c>
      <c r="H291" s="371" t="str">
        <f aca="false">IF(A291="N/A"," ",G291*C291)</f>
        <v> </v>
      </c>
      <c r="I291" s="371" t="str">
        <f aca="false">IF(A291="N/A"," ",IF(ISERROR(O291),I279*Inputs!$F$19,O291))</f>
        <v> </v>
      </c>
      <c r="J291" s="372" t="str">
        <f aca="false">IF(A291="N/A"," ",IF(ISERROR(P291),J279*Inputs!$F$23,P291))</f>
        <v> </v>
      </c>
      <c r="L291" s="374" t="str">
        <f aca="false">IF(A291="N/A"," ",VLOOKUP(A291,PeakPowerCurves,(IF('Pricing Inputs'!$AT$3=2,3,IF('Pricing Inputs'!$AT$3=1,2,4))),FALSE()))</f>
        <v> </v>
      </c>
      <c r="M291" s="374" t="str">
        <f aca="false">IF(A291="N/A"," ",VLOOKUP(A291,SatSunPeakPwr,(IF('Pricing Inputs'!$AT$3=2,3,IF('Pricing Inputs'!$AT$3=1,2,4))),FALSE()))</f>
        <v> </v>
      </c>
      <c r="N291" s="374" t="str">
        <f aca="false">IF(A291="N/A"," ",VLOOKUP(A291,SatSunPeakPwr,(IF('Pricing Inputs'!$AT$3=2,7,IF('Pricing Inputs'!$AT$3=1,6,8))),FALSE()))</f>
        <v> </v>
      </c>
      <c r="O291" s="375" t="str">
        <f aca="false">IF(A291="N/A"," ",(VLOOKUP(A291,OPPowerPrices,(IF('Pricing Inputs'!$AT$3=2,7,IF('Pricing Inputs'!$AT$3=1,6,8))),FALSE())))</f>
        <v> </v>
      </c>
      <c r="P291" s="376" t="str">
        <f aca="false">IF(A291="N/A"," ",(VLOOKUP(A291,GasCurves,15,FALSE())))</f>
        <v> </v>
      </c>
    </row>
    <row r="292" customFormat="false" ht="12.75" hidden="false" customHeight="false" outlineLevel="0" collapsed="false">
      <c r="A292" s="368" t="str">
        <f aca="false">Calculations!A259</f>
        <v>N/A</v>
      </c>
      <c r="B292" s="369" t="str">
        <f aca="false">IF(A292="N/A"," ",IF(ISERROR(L292),B280*Inputs!$F$19,L292))</f>
        <v> </v>
      </c>
      <c r="C292" s="370" t="str">
        <f aca="false">IF(A292="N/A"," ",(IF(AND(MONTH(A292)&gt;=6,MONTH(A292)&lt;=8,OR($K$37="REGION 2",$K$37="REGION 2A",$K$37="REGION 2B",$K$37="REGION 3",$K$37="REGION 3A",$K$37="REGION 3B",$K$37="REGION 4",$K$37="REGION 4B",$K$37="REGION 4C",$K$37="REGION 5",$K$37="REGION 5A")),((0.059228/(B292/100))-(0.4980013/(SQRT(B292/100)))+2.137988),HLOOKUP(MONTH(A292),ScalarTable,28))))</f>
        <v> </v>
      </c>
      <c r="D292" s="371" t="str">
        <f aca="false">IF(A292="N/A"," ",C292*B292)</f>
        <v> </v>
      </c>
      <c r="E292" s="369" t="str">
        <f aca="false">IF(A292="N/A"," ",IF(ISERROR(M292),E280*Inputs!$F$19,M292))</f>
        <v> </v>
      </c>
      <c r="F292" s="371" t="str">
        <f aca="false">IF(A292="N/A"," ",E292*C292)</f>
        <v> </v>
      </c>
      <c r="G292" s="369" t="str">
        <f aca="false">IF(A292="N/A"," ",IF(ISERROR(N292),G280*Inputs!$F$19,N292))</f>
        <v> </v>
      </c>
      <c r="H292" s="371" t="str">
        <f aca="false">IF(A292="N/A"," ",G292*C292)</f>
        <v> </v>
      </c>
      <c r="I292" s="371" t="str">
        <f aca="false">IF(A292="N/A"," ",IF(ISERROR(O292),I280*Inputs!$F$19,O292))</f>
        <v> </v>
      </c>
      <c r="J292" s="372" t="str">
        <f aca="false">IF(A292="N/A"," ",IF(ISERROR(P292),J280*Inputs!$F$23,P292))</f>
        <v> </v>
      </c>
      <c r="L292" s="374" t="str">
        <f aca="false">IF(A292="N/A"," ",VLOOKUP(A292,PeakPowerCurves,(IF('Pricing Inputs'!$AT$3=2,3,IF('Pricing Inputs'!$AT$3=1,2,4))),FALSE()))</f>
        <v> </v>
      </c>
      <c r="M292" s="374" t="str">
        <f aca="false">IF(A292="N/A"," ",VLOOKUP(A292,SatSunPeakPwr,(IF('Pricing Inputs'!$AT$3=2,3,IF('Pricing Inputs'!$AT$3=1,2,4))),FALSE()))</f>
        <v> </v>
      </c>
      <c r="N292" s="374" t="str">
        <f aca="false">IF(A292="N/A"," ",VLOOKUP(A292,SatSunPeakPwr,(IF('Pricing Inputs'!$AT$3=2,7,IF('Pricing Inputs'!$AT$3=1,6,8))),FALSE()))</f>
        <v> </v>
      </c>
      <c r="O292" s="375" t="str">
        <f aca="false">IF(A292="N/A"," ",(VLOOKUP(A292,OPPowerPrices,(IF('Pricing Inputs'!$AT$3=2,7,IF('Pricing Inputs'!$AT$3=1,6,8))),FALSE())))</f>
        <v> </v>
      </c>
      <c r="P292" s="376" t="str">
        <f aca="false">IF(A292="N/A"," ",(VLOOKUP(A292,GasCurves,15,FALSE())))</f>
        <v> </v>
      </c>
    </row>
    <row r="293" customFormat="false" ht="12.75" hidden="false" customHeight="false" outlineLevel="0" collapsed="false">
      <c r="A293" s="368" t="str">
        <f aca="false">Calculations!A260</f>
        <v>N/A</v>
      </c>
      <c r="B293" s="369" t="str">
        <f aca="false">IF(A293="N/A"," ",IF(ISERROR(L293),B281*Inputs!$F$19,L293))</f>
        <v> </v>
      </c>
      <c r="C293" s="370" t="str">
        <f aca="false">IF(A293="N/A"," ",(IF(AND(MONTH(A293)&gt;=6,MONTH(A293)&lt;=8,OR($K$37="REGION 2",$K$37="REGION 2A",$K$37="REGION 2B",$K$37="REGION 3",$K$37="REGION 3A",$K$37="REGION 3B",$K$37="REGION 4",$K$37="REGION 4B",$K$37="REGION 4C",$K$37="REGION 5",$K$37="REGION 5A")),((0.059228/(B293/100))-(0.4980013/(SQRT(B293/100)))+2.137988),HLOOKUP(MONTH(A293),ScalarTable,28))))</f>
        <v> </v>
      </c>
      <c r="D293" s="371" t="str">
        <f aca="false">IF(A293="N/A"," ",C293*B293)</f>
        <v> </v>
      </c>
      <c r="E293" s="369" t="str">
        <f aca="false">IF(A293="N/A"," ",IF(ISERROR(M293),E281*Inputs!$F$19,M293))</f>
        <v> </v>
      </c>
      <c r="F293" s="371" t="str">
        <f aca="false">IF(A293="N/A"," ",E293*C293)</f>
        <v> </v>
      </c>
      <c r="G293" s="369" t="str">
        <f aca="false">IF(A293="N/A"," ",IF(ISERROR(N293),G281*Inputs!$F$19,N293))</f>
        <v> </v>
      </c>
      <c r="H293" s="371" t="str">
        <f aca="false">IF(A293="N/A"," ",G293*C293)</f>
        <v> </v>
      </c>
      <c r="I293" s="371" t="str">
        <f aca="false">IF(A293="N/A"," ",IF(ISERROR(O293),I281*Inputs!$F$19,O293))</f>
        <v> </v>
      </c>
      <c r="J293" s="372" t="str">
        <f aca="false">IF(A293="N/A"," ",IF(ISERROR(P293),J281*Inputs!$F$23,P293))</f>
        <v> </v>
      </c>
      <c r="L293" s="374" t="str">
        <f aca="false">IF(A293="N/A"," ",VLOOKUP(A293,PeakPowerCurves,(IF('Pricing Inputs'!$AT$3=2,3,IF('Pricing Inputs'!$AT$3=1,2,4))),FALSE()))</f>
        <v> </v>
      </c>
      <c r="M293" s="374" t="str">
        <f aca="false">IF(A293="N/A"," ",VLOOKUP(A293,SatSunPeakPwr,(IF('Pricing Inputs'!$AT$3=2,3,IF('Pricing Inputs'!$AT$3=1,2,4))),FALSE()))</f>
        <v> </v>
      </c>
      <c r="N293" s="374" t="str">
        <f aca="false">IF(A293="N/A"," ",VLOOKUP(A293,SatSunPeakPwr,(IF('Pricing Inputs'!$AT$3=2,7,IF('Pricing Inputs'!$AT$3=1,6,8))),FALSE()))</f>
        <v> </v>
      </c>
      <c r="O293" s="375" t="str">
        <f aca="false">IF(A293="N/A"," ",(VLOOKUP(A293,OPPowerPrices,(IF('Pricing Inputs'!$AT$3=2,7,IF('Pricing Inputs'!$AT$3=1,6,8))),FALSE())))</f>
        <v> </v>
      </c>
      <c r="P293" s="376" t="str">
        <f aca="false">IF(A293="N/A"," ",(VLOOKUP(A293,GasCurves,15,FALSE())))</f>
        <v> </v>
      </c>
    </row>
    <row r="294" customFormat="false" ht="12.75" hidden="false" customHeight="false" outlineLevel="0" collapsed="false">
      <c r="A294" s="368" t="str">
        <f aca="false">Calculations!A261</f>
        <v>N/A</v>
      </c>
      <c r="B294" s="369" t="str">
        <f aca="false">IF(A294="N/A"," ",IF(ISERROR(L294),B282*Inputs!$F$19,L294))</f>
        <v> </v>
      </c>
      <c r="C294" s="370" t="str">
        <f aca="false">IF(A294="N/A"," ",(IF(AND(MONTH(A294)&gt;=6,MONTH(A294)&lt;=8,OR($K$37="REGION 2",$K$37="REGION 2A",$K$37="REGION 2B",$K$37="REGION 3",$K$37="REGION 3A",$K$37="REGION 3B",$K$37="REGION 4",$K$37="REGION 4B",$K$37="REGION 4C",$K$37="REGION 5",$K$37="REGION 5A")),((0.059228/(B294/100))-(0.4980013/(SQRT(B294/100)))+2.137988),HLOOKUP(MONTH(A294),ScalarTable,28))))</f>
        <v> </v>
      </c>
      <c r="D294" s="371" t="str">
        <f aca="false">IF(A294="N/A"," ",C294*B294)</f>
        <v> </v>
      </c>
      <c r="E294" s="369" t="str">
        <f aca="false">IF(A294="N/A"," ",IF(ISERROR(M294),E282*Inputs!$F$19,M294))</f>
        <v> </v>
      </c>
      <c r="F294" s="371" t="str">
        <f aca="false">IF(A294="N/A"," ",E294*C294)</f>
        <v> </v>
      </c>
      <c r="G294" s="369" t="str">
        <f aca="false">IF(A294="N/A"," ",IF(ISERROR(N294),G282*Inputs!$F$19,N294))</f>
        <v> </v>
      </c>
      <c r="H294" s="371" t="str">
        <f aca="false">IF(A294="N/A"," ",G294*C294)</f>
        <v> </v>
      </c>
      <c r="I294" s="371" t="str">
        <f aca="false">IF(A294="N/A"," ",IF(ISERROR(O294),I282*Inputs!$F$19,O294))</f>
        <v> </v>
      </c>
      <c r="J294" s="372" t="str">
        <f aca="false">IF(A294="N/A"," ",IF(ISERROR(P294),J282*Inputs!$F$23,P294))</f>
        <v> </v>
      </c>
      <c r="L294" s="374" t="str">
        <f aca="false">IF(A294="N/A"," ",VLOOKUP(A294,PeakPowerCurves,(IF('Pricing Inputs'!$AT$3=2,3,IF('Pricing Inputs'!$AT$3=1,2,4))),FALSE()))</f>
        <v> </v>
      </c>
      <c r="M294" s="374" t="str">
        <f aca="false">IF(A294="N/A"," ",VLOOKUP(A294,SatSunPeakPwr,(IF('Pricing Inputs'!$AT$3=2,3,IF('Pricing Inputs'!$AT$3=1,2,4))),FALSE()))</f>
        <v> </v>
      </c>
      <c r="N294" s="374" t="str">
        <f aca="false">IF(A294="N/A"," ",VLOOKUP(A294,SatSunPeakPwr,(IF('Pricing Inputs'!$AT$3=2,7,IF('Pricing Inputs'!$AT$3=1,6,8))),FALSE()))</f>
        <v> </v>
      </c>
      <c r="O294" s="375" t="str">
        <f aca="false">IF(A294="N/A"," ",(VLOOKUP(A294,OPPowerPrices,(IF('Pricing Inputs'!$AT$3=2,7,IF('Pricing Inputs'!$AT$3=1,6,8))),FALSE())))</f>
        <v> </v>
      </c>
      <c r="P294" s="376" t="str">
        <f aca="false">IF(A294="N/A"," ",(VLOOKUP(A294,GasCurves,15,FALSE())))</f>
        <v> </v>
      </c>
    </row>
    <row r="295" customFormat="false" ht="12.75" hidden="false" customHeight="false" outlineLevel="0" collapsed="false">
      <c r="A295" s="368" t="str">
        <f aca="false">Calculations!A262</f>
        <v>N/A</v>
      </c>
      <c r="B295" s="369" t="str">
        <f aca="false">IF(A295="N/A"," ",IF(ISERROR(L295),B283*Inputs!$F$19,L295))</f>
        <v> </v>
      </c>
      <c r="C295" s="370" t="str">
        <f aca="false">IF(A295="N/A"," ",(IF(AND(MONTH(A295)&gt;=6,MONTH(A295)&lt;=8,OR($K$37="REGION 2",$K$37="REGION 2A",$K$37="REGION 2B",$K$37="REGION 3",$K$37="REGION 3A",$K$37="REGION 3B",$K$37="REGION 4",$K$37="REGION 4B",$K$37="REGION 4C",$K$37="REGION 5",$K$37="REGION 5A")),((0.059228/(B295/100))-(0.4980013/(SQRT(B295/100)))+2.137988),HLOOKUP(MONTH(A295),ScalarTable,28))))</f>
        <v> </v>
      </c>
      <c r="D295" s="371" t="str">
        <f aca="false">IF(A295="N/A"," ",C295*B295)</f>
        <v> </v>
      </c>
      <c r="E295" s="369" t="str">
        <f aca="false">IF(A295="N/A"," ",IF(ISERROR(M295),E283*Inputs!$F$19,M295))</f>
        <v> </v>
      </c>
      <c r="F295" s="371" t="str">
        <f aca="false">IF(A295="N/A"," ",E295*C295)</f>
        <v> </v>
      </c>
      <c r="G295" s="369" t="str">
        <f aca="false">IF(A295="N/A"," ",IF(ISERROR(N295),G283*Inputs!$F$19,N295))</f>
        <v> </v>
      </c>
      <c r="H295" s="371" t="str">
        <f aca="false">IF(A295="N/A"," ",G295*C295)</f>
        <v> </v>
      </c>
      <c r="I295" s="371" t="str">
        <f aca="false">IF(A295="N/A"," ",IF(ISERROR(O295),I283*Inputs!$F$19,O295))</f>
        <v> </v>
      </c>
      <c r="J295" s="372" t="str">
        <f aca="false">IF(A295="N/A"," ",IF(ISERROR(P295),J283*Inputs!$F$23,P295))</f>
        <v> </v>
      </c>
      <c r="L295" s="374" t="str">
        <f aca="false">IF(A295="N/A"," ",VLOOKUP(A295,PeakPowerCurves,(IF('Pricing Inputs'!$AT$3=2,3,IF('Pricing Inputs'!$AT$3=1,2,4))),FALSE()))</f>
        <v> </v>
      </c>
      <c r="M295" s="374" t="str">
        <f aca="false">IF(A295="N/A"," ",VLOOKUP(A295,SatSunPeakPwr,(IF('Pricing Inputs'!$AT$3=2,3,IF('Pricing Inputs'!$AT$3=1,2,4))),FALSE()))</f>
        <v> </v>
      </c>
      <c r="N295" s="374" t="str">
        <f aca="false">IF(A295="N/A"," ",VLOOKUP(A295,SatSunPeakPwr,(IF('Pricing Inputs'!$AT$3=2,7,IF('Pricing Inputs'!$AT$3=1,6,8))),FALSE()))</f>
        <v> </v>
      </c>
      <c r="O295" s="375" t="str">
        <f aca="false">IF(A295="N/A"," ",(VLOOKUP(A295,OPPowerPrices,(IF('Pricing Inputs'!$AT$3=2,7,IF('Pricing Inputs'!$AT$3=1,6,8))),FALSE())))</f>
        <v> </v>
      </c>
      <c r="P295" s="376" t="str">
        <f aca="false">IF(A295="N/A"," ",(VLOOKUP(A295,GasCurves,15,FALSE())))</f>
        <v> </v>
      </c>
    </row>
    <row r="296" customFormat="false" ht="12.75" hidden="false" customHeight="false" outlineLevel="0" collapsed="false">
      <c r="A296" s="368" t="str">
        <f aca="false">Calculations!A263</f>
        <v>N/A</v>
      </c>
      <c r="B296" s="369" t="str">
        <f aca="false">IF(A296="N/A"," ",IF(ISERROR(L296),B284*Inputs!$F$19,L296))</f>
        <v> </v>
      </c>
      <c r="C296" s="370" t="str">
        <f aca="false">IF(A296="N/A"," ",(IF(AND(MONTH(A296)&gt;=6,MONTH(A296)&lt;=8,OR($K$37="REGION 2",$K$37="REGION 2A",$K$37="REGION 2B",$K$37="REGION 3",$K$37="REGION 3A",$K$37="REGION 3B",$K$37="REGION 4",$K$37="REGION 4B",$K$37="REGION 4C",$K$37="REGION 5",$K$37="REGION 5A")),((0.059228/(B296/100))-(0.4980013/(SQRT(B296/100)))+2.137988),HLOOKUP(MONTH(A296),ScalarTable,28))))</f>
        <v> </v>
      </c>
      <c r="D296" s="371" t="str">
        <f aca="false">IF(A296="N/A"," ",C296*B296)</f>
        <v> </v>
      </c>
      <c r="E296" s="369" t="str">
        <f aca="false">IF(A296="N/A"," ",IF(ISERROR(M296),E284*Inputs!$F$19,M296))</f>
        <v> </v>
      </c>
      <c r="F296" s="371" t="str">
        <f aca="false">IF(A296="N/A"," ",E296*C296)</f>
        <v> </v>
      </c>
      <c r="G296" s="369" t="str">
        <f aca="false">IF(A296="N/A"," ",IF(ISERROR(N296),G284*Inputs!$F$19,N296))</f>
        <v> </v>
      </c>
      <c r="H296" s="371" t="str">
        <f aca="false">IF(A296="N/A"," ",G296*C296)</f>
        <v> </v>
      </c>
      <c r="I296" s="371" t="str">
        <f aca="false">IF(A296="N/A"," ",IF(ISERROR(O296),I284*Inputs!$F$19,O296))</f>
        <v> </v>
      </c>
      <c r="J296" s="372" t="str">
        <f aca="false">IF(A296="N/A"," ",IF(ISERROR(P296),J284*Inputs!$F$23,P296))</f>
        <v> </v>
      </c>
      <c r="L296" s="374" t="str">
        <f aca="false">IF(A296="N/A"," ",VLOOKUP(A296,PeakPowerCurves,(IF('Pricing Inputs'!$AT$3=2,3,IF('Pricing Inputs'!$AT$3=1,2,4))),FALSE()))</f>
        <v> </v>
      </c>
      <c r="M296" s="374" t="str">
        <f aca="false">IF(A296="N/A"," ",VLOOKUP(A296,SatSunPeakPwr,(IF('Pricing Inputs'!$AT$3=2,3,IF('Pricing Inputs'!$AT$3=1,2,4))),FALSE()))</f>
        <v> </v>
      </c>
      <c r="N296" s="374" t="str">
        <f aca="false">IF(A296="N/A"," ",VLOOKUP(A296,SatSunPeakPwr,(IF('Pricing Inputs'!$AT$3=2,7,IF('Pricing Inputs'!$AT$3=1,6,8))),FALSE()))</f>
        <v> </v>
      </c>
      <c r="O296" s="375" t="str">
        <f aca="false">IF(A296="N/A"," ",(VLOOKUP(A296,OPPowerPrices,(IF('Pricing Inputs'!$AT$3=2,7,IF('Pricing Inputs'!$AT$3=1,6,8))),FALSE())))</f>
        <v> </v>
      </c>
      <c r="P296" s="376" t="str">
        <f aca="false">IF(A296="N/A"," ",(VLOOKUP(A296,GasCurves,15,FALSE())))</f>
        <v> </v>
      </c>
    </row>
    <row r="297" customFormat="false" ht="12.75" hidden="false" customHeight="false" outlineLevel="0" collapsed="false">
      <c r="A297" s="368" t="str">
        <f aca="false">Calculations!A264</f>
        <v>N/A</v>
      </c>
      <c r="B297" s="369" t="str">
        <f aca="false">IF(A297="N/A"," ",IF(ISERROR(L297),B285*Inputs!$F$19,L297))</f>
        <v> </v>
      </c>
      <c r="C297" s="370" t="str">
        <f aca="false">IF(A297="N/A"," ",(IF(AND(MONTH(A297)&gt;=6,MONTH(A297)&lt;=8,OR($K$37="REGION 2",$K$37="REGION 2A",$K$37="REGION 2B",$K$37="REGION 3",$K$37="REGION 3A",$K$37="REGION 3B",$K$37="REGION 4",$K$37="REGION 4B",$K$37="REGION 4C",$K$37="REGION 5",$K$37="REGION 5A")),((0.059228/(B297/100))-(0.4980013/(SQRT(B297/100)))+2.137988),HLOOKUP(MONTH(A297),ScalarTable,28))))</f>
        <v> </v>
      </c>
      <c r="D297" s="371" t="str">
        <f aca="false">IF(A297="N/A"," ",C297*B297)</f>
        <v> </v>
      </c>
      <c r="E297" s="369" t="str">
        <f aca="false">IF(A297="N/A"," ",IF(ISERROR(M297),E285*Inputs!$F$19,M297))</f>
        <v> </v>
      </c>
      <c r="F297" s="371" t="str">
        <f aca="false">IF(A297="N/A"," ",E297*C297)</f>
        <v> </v>
      </c>
      <c r="G297" s="369" t="str">
        <f aca="false">IF(A297="N/A"," ",IF(ISERROR(N297),G285*Inputs!$F$19,N297))</f>
        <v> </v>
      </c>
      <c r="H297" s="371" t="str">
        <f aca="false">IF(A297="N/A"," ",G297*C297)</f>
        <v> </v>
      </c>
      <c r="I297" s="371" t="str">
        <f aca="false">IF(A297="N/A"," ",IF(ISERROR(O297),I285*Inputs!$F$19,O297))</f>
        <v> </v>
      </c>
      <c r="J297" s="372" t="str">
        <f aca="false">IF(A297="N/A"," ",IF(ISERROR(P297),J285*Inputs!$F$23,P297))</f>
        <v> </v>
      </c>
      <c r="L297" s="374" t="str">
        <f aca="false">IF(A297="N/A"," ",VLOOKUP(A297,PeakPowerCurves,(IF('Pricing Inputs'!$AT$3=2,3,IF('Pricing Inputs'!$AT$3=1,2,4))),FALSE()))</f>
        <v> </v>
      </c>
      <c r="M297" s="374" t="str">
        <f aca="false">IF(A297="N/A"," ",VLOOKUP(A297,SatSunPeakPwr,(IF('Pricing Inputs'!$AT$3=2,3,IF('Pricing Inputs'!$AT$3=1,2,4))),FALSE()))</f>
        <v> </v>
      </c>
      <c r="N297" s="374" t="str">
        <f aca="false">IF(A297="N/A"," ",VLOOKUP(A297,SatSunPeakPwr,(IF('Pricing Inputs'!$AT$3=2,7,IF('Pricing Inputs'!$AT$3=1,6,8))),FALSE()))</f>
        <v> </v>
      </c>
      <c r="O297" s="375" t="str">
        <f aca="false">IF(A297="N/A"," ",(VLOOKUP(A297,OPPowerPrices,(IF('Pricing Inputs'!$AT$3=2,7,IF('Pricing Inputs'!$AT$3=1,6,8))),FALSE())))</f>
        <v> </v>
      </c>
      <c r="P297" s="376" t="str">
        <f aca="false">IF(A297="N/A"," ",(VLOOKUP(A297,GasCurves,15,FALSE())))</f>
        <v> </v>
      </c>
    </row>
    <row r="298" customFormat="false" ht="12.75" hidden="false" customHeight="false" outlineLevel="0" collapsed="false">
      <c r="A298" s="368" t="str">
        <f aca="false">Calculations!A265</f>
        <v>N/A</v>
      </c>
      <c r="B298" s="369" t="str">
        <f aca="false">IF(A298="N/A"," ",IF(ISERROR(L298),B286*Inputs!$F$19,L298))</f>
        <v> </v>
      </c>
      <c r="C298" s="370" t="str">
        <f aca="false">IF(A298="N/A"," ",(IF(AND(MONTH(A298)&gt;=6,MONTH(A298)&lt;=8,OR($K$37="REGION 2",$K$37="REGION 2A",$K$37="REGION 2B",$K$37="REGION 3",$K$37="REGION 3A",$K$37="REGION 3B",$K$37="REGION 4",$K$37="REGION 4B",$K$37="REGION 4C",$K$37="REGION 5",$K$37="REGION 5A")),((0.059228/(B298/100))-(0.4980013/(SQRT(B298/100)))+2.137988),HLOOKUP(MONTH(A298),ScalarTable,28))))</f>
        <v> </v>
      </c>
      <c r="D298" s="371" t="str">
        <f aca="false">IF(A298="N/A"," ",C298*B298)</f>
        <v> </v>
      </c>
      <c r="E298" s="369" t="str">
        <f aca="false">IF(A298="N/A"," ",IF(ISERROR(M298),E286*Inputs!$F$19,M298))</f>
        <v> </v>
      </c>
      <c r="F298" s="371" t="str">
        <f aca="false">IF(A298="N/A"," ",E298*C298)</f>
        <v> </v>
      </c>
      <c r="G298" s="369" t="str">
        <f aca="false">IF(A298="N/A"," ",IF(ISERROR(N298),G286*Inputs!$F$19,N298))</f>
        <v> </v>
      </c>
      <c r="H298" s="371" t="str">
        <f aca="false">IF(A298="N/A"," ",G298*C298)</f>
        <v> </v>
      </c>
      <c r="I298" s="371" t="str">
        <f aca="false">IF(A298="N/A"," ",IF(ISERROR(O298),I286*Inputs!$F$19,O298))</f>
        <v> </v>
      </c>
      <c r="J298" s="372" t="str">
        <f aca="false">IF(A298="N/A"," ",IF(ISERROR(P298),J286*Inputs!$F$23,P298))</f>
        <v> </v>
      </c>
      <c r="L298" s="374" t="str">
        <f aca="false">IF(A298="N/A"," ",VLOOKUP(A298,PeakPowerCurves,(IF('Pricing Inputs'!$AT$3=2,3,IF('Pricing Inputs'!$AT$3=1,2,4))),FALSE()))</f>
        <v> </v>
      </c>
      <c r="M298" s="374" t="str">
        <f aca="false">IF(A298="N/A"," ",VLOOKUP(A298,SatSunPeakPwr,(IF('Pricing Inputs'!$AT$3=2,3,IF('Pricing Inputs'!$AT$3=1,2,4))),FALSE()))</f>
        <v> </v>
      </c>
      <c r="N298" s="374" t="str">
        <f aca="false">IF(A298="N/A"," ",VLOOKUP(A298,SatSunPeakPwr,(IF('Pricing Inputs'!$AT$3=2,7,IF('Pricing Inputs'!$AT$3=1,6,8))),FALSE()))</f>
        <v> </v>
      </c>
      <c r="O298" s="375" t="str">
        <f aca="false">IF(A298="N/A"," ",(VLOOKUP(A298,OPPowerPrices,(IF('Pricing Inputs'!$AT$3=2,7,IF('Pricing Inputs'!$AT$3=1,6,8))),FALSE())))</f>
        <v> </v>
      </c>
      <c r="P298" s="376" t="str">
        <f aca="false">IF(A298="N/A"," ",(VLOOKUP(A298,GasCurves,15,FALSE())))</f>
        <v> </v>
      </c>
    </row>
    <row r="299" customFormat="false" ht="12.75" hidden="false" customHeight="false" outlineLevel="0" collapsed="false">
      <c r="A299" s="368" t="str">
        <f aca="false">Calculations!A266</f>
        <v>N/A</v>
      </c>
      <c r="B299" s="369" t="str">
        <f aca="false">IF(A299="N/A"," ",IF(ISERROR(L299),B287*Inputs!$F$19,L299))</f>
        <v> </v>
      </c>
      <c r="C299" s="370" t="str">
        <f aca="false">IF(A299="N/A"," ",(IF(AND(MONTH(A299)&gt;=6,MONTH(A299)&lt;=8,OR($K$37="REGION 2",$K$37="REGION 2A",$K$37="REGION 2B",$K$37="REGION 3",$K$37="REGION 3A",$K$37="REGION 3B",$K$37="REGION 4",$K$37="REGION 4B",$K$37="REGION 4C",$K$37="REGION 5",$K$37="REGION 5A")),((0.059228/(B299/100))-(0.4980013/(SQRT(B299/100)))+2.137988),HLOOKUP(MONTH(A299),ScalarTable,28))))</f>
        <v> </v>
      </c>
      <c r="D299" s="371" t="str">
        <f aca="false">IF(A299="N/A"," ",C299*B299)</f>
        <v> </v>
      </c>
      <c r="E299" s="369" t="str">
        <f aca="false">IF(A299="N/A"," ",IF(ISERROR(M299),E287*Inputs!$F$19,M299))</f>
        <v> </v>
      </c>
      <c r="F299" s="371" t="str">
        <f aca="false">IF(A299="N/A"," ",E299*C299)</f>
        <v> </v>
      </c>
      <c r="G299" s="369" t="str">
        <f aca="false">IF(A299="N/A"," ",IF(ISERROR(N299),G287*Inputs!$F$19,N299))</f>
        <v> </v>
      </c>
      <c r="H299" s="371" t="str">
        <f aca="false">IF(A299="N/A"," ",G299*C299)</f>
        <v> </v>
      </c>
      <c r="I299" s="371" t="str">
        <f aca="false">IF(A299="N/A"," ",IF(ISERROR(O299),I287*Inputs!$F$19,O299))</f>
        <v> </v>
      </c>
      <c r="J299" s="372" t="str">
        <f aca="false">IF(A299="N/A"," ",IF(ISERROR(P299),J287*Inputs!$F$23,P299))</f>
        <v> </v>
      </c>
      <c r="L299" s="374" t="str">
        <f aca="false">IF(A299="N/A"," ",VLOOKUP(A299,PeakPowerCurves,(IF('Pricing Inputs'!$AT$3=2,3,IF('Pricing Inputs'!$AT$3=1,2,4))),FALSE()))</f>
        <v> </v>
      </c>
      <c r="M299" s="374" t="str">
        <f aca="false">IF(A299="N/A"," ",VLOOKUP(A299,SatSunPeakPwr,(IF('Pricing Inputs'!$AT$3=2,3,IF('Pricing Inputs'!$AT$3=1,2,4))),FALSE()))</f>
        <v> </v>
      </c>
      <c r="N299" s="374" t="str">
        <f aca="false">IF(A299="N/A"," ",VLOOKUP(A299,SatSunPeakPwr,(IF('Pricing Inputs'!$AT$3=2,7,IF('Pricing Inputs'!$AT$3=1,6,8))),FALSE()))</f>
        <v> </v>
      </c>
      <c r="O299" s="375" t="str">
        <f aca="false">IF(A299="N/A"," ",(VLOOKUP(A299,OPPowerPrices,(IF('Pricing Inputs'!$AT$3=2,7,IF('Pricing Inputs'!$AT$3=1,6,8))),FALSE())))</f>
        <v> </v>
      </c>
      <c r="P299" s="376" t="str">
        <f aca="false">IF(A299="N/A"," ",(VLOOKUP(A299,GasCurves,15,FALSE())))</f>
        <v> </v>
      </c>
    </row>
    <row r="300" customFormat="false" ht="12.75" hidden="false" customHeight="false" outlineLevel="0" collapsed="false">
      <c r="A300" s="368" t="str">
        <f aca="false">Calculations!A267</f>
        <v>N/A</v>
      </c>
      <c r="B300" s="369" t="str">
        <f aca="false">IF(A300="N/A"," ",IF(ISERROR(L300),B288*Inputs!$F$19,L300))</f>
        <v> </v>
      </c>
      <c r="C300" s="370" t="str">
        <f aca="false">IF(A300="N/A"," ",(IF(AND(MONTH(A300)&gt;=6,MONTH(A300)&lt;=8,OR($K$37="REGION 2",$K$37="REGION 2A",$K$37="REGION 2B",$K$37="REGION 3",$K$37="REGION 3A",$K$37="REGION 3B",$K$37="REGION 4",$K$37="REGION 4B",$K$37="REGION 4C",$K$37="REGION 5",$K$37="REGION 5A")),((0.059228/(B300/100))-(0.4980013/(SQRT(B300/100)))+2.137988),HLOOKUP(MONTH(A300),ScalarTable,28))))</f>
        <v> </v>
      </c>
      <c r="D300" s="371" t="str">
        <f aca="false">IF(A300="N/A"," ",C300*B300)</f>
        <v> </v>
      </c>
      <c r="E300" s="369" t="str">
        <f aca="false">IF(A300="N/A"," ",IF(ISERROR(M300),E288*Inputs!$F$19,M300))</f>
        <v> </v>
      </c>
      <c r="F300" s="371" t="str">
        <f aca="false">IF(A300="N/A"," ",E300*C300)</f>
        <v> </v>
      </c>
      <c r="G300" s="369" t="str">
        <f aca="false">IF(A300="N/A"," ",IF(ISERROR(N300),G288*Inputs!$F$19,N300))</f>
        <v> </v>
      </c>
      <c r="H300" s="371" t="str">
        <f aca="false">IF(A300="N/A"," ",G300*C300)</f>
        <v> </v>
      </c>
      <c r="I300" s="371" t="str">
        <f aca="false">IF(A300="N/A"," ",IF(ISERROR(O300),I288*Inputs!$F$19,O300))</f>
        <v> </v>
      </c>
      <c r="J300" s="372" t="str">
        <f aca="false">IF(A300="N/A"," ",IF(ISERROR(P300),J288*Inputs!$F$23,P300))</f>
        <v> </v>
      </c>
      <c r="L300" s="374" t="str">
        <f aca="false">IF(A300="N/A"," ",VLOOKUP(A300,PeakPowerCurves,(IF('Pricing Inputs'!$AT$3=2,3,IF('Pricing Inputs'!$AT$3=1,2,4))),FALSE()))</f>
        <v> </v>
      </c>
      <c r="M300" s="374" t="str">
        <f aca="false">IF(A300="N/A"," ",VLOOKUP(A300,SatSunPeakPwr,(IF('Pricing Inputs'!$AT$3=2,3,IF('Pricing Inputs'!$AT$3=1,2,4))),FALSE()))</f>
        <v> </v>
      </c>
      <c r="N300" s="374" t="str">
        <f aca="false">IF(A300="N/A"," ",VLOOKUP(A300,SatSunPeakPwr,(IF('Pricing Inputs'!$AT$3=2,7,IF('Pricing Inputs'!$AT$3=1,6,8))),FALSE()))</f>
        <v> </v>
      </c>
      <c r="O300" s="375" t="str">
        <f aca="false">IF(A300="N/A"," ",(VLOOKUP(A300,OPPowerPrices,(IF('Pricing Inputs'!$AT$3=2,7,IF('Pricing Inputs'!$AT$3=1,6,8))),FALSE())))</f>
        <v> </v>
      </c>
      <c r="P300" s="376" t="str">
        <f aca="false">IF(A300="N/A"," ",(VLOOKUP(A300,GasCurves,15,FALSE())))</f>
        <v> </v>
      </c>
    </row>
    <row r="301" customFormat="false" ht="12.75" hidden="false" customHeight="false" outlineLevel="0" collapsed="false">
      <c r="A301" s="368" t="str">
        <f aca="false">Calculations!A268</f>
        <v>N/A</v>
      </c>
      <c r="B301" s="369" t="str">
        <f aca="false">IF(A301="N/A"," ",IF(ISERROR(L301),B289*Inputs!$F$19,L301))</f>
        <v> </v>
      </c>
      <c r="C301" s="370" t="str">
        <f aca="false">IF(A301="N/A"," ",(IF(AND(MONTH(A301)&gt;=6,MONTH(A301)&lt;=8,OR($K$37="REGION 2",$K$37="REGION 2A",$K$37="REGION 2B",$K$37="REGION 3",$K$37="REGION 3A",$K$37="REGION 3B",$K$37="REGION 4",$K$37="REGION 4B",$K$37="REGION 4C",$K$37="REGION 5",$K$37="REGION 5A")),((0.059228/(B301/100))-(0.4980013/(SQRT(B301/100)))+2.137988),HLOOKUP(MONTH(A301),ScalarTable,28))))</f>
        <v> </v>
      </c>
      <c r="D301" s="371" t="str">
        <f aca="false">IF(A301="N/A"," ",C301*B301)</f>
        <v> </v>
      </c>
      <c r="E301" s="369" t="str">
        <f aca="false">IF(A301="N/A"," ",IF(ISERROR(M301),E289*Inputs!$F$19,M301))</f>
        <v> </v>
      </c>
      <c r="F301" s="371" t="str">
        <f aca="false">IF(A301="N/A"," ",E301*C301)</f>
        <v> </v>
      </c>
      <c r="G301" s="369" t="str">
        <f aca="false">IF(A301="N/A"," ",IF(ISERROR(N301),G289*Inputs!$F$19,N301))</f>
        <v> </v>
      </c>
      <c r="H301" s="371" t="str">
        <f aca="false">IF(A301="N/A"," ",G301*C301)</f>
        <v> </v>
      </c>
      <c r="I301" s="371" t="str">
        <f aca="false">IF(A301="N/A"," ",IF(ISERROR(O301),I289*Inputs!$F$19,O301))</f>
        <v> </v>
      </c>
      <c r="J301" s="372" t="str">
        <f aca="false">IF(A301="N/A"," ",IF(ISERROR(P301),J289*Inputs!$F$23,P301))</f>
        <v> </v>
      </c>
      <c r="L301" s="374" t="str">
        <f aca="false">IF(A301="N/A"," ",VLOOKUP(A301,PeakPowerCurves,(IF('Pricing Inputs'!$AT$3=2,3,IF('Pricing Inputs'!$AT$3=1,2,4))),FALSE()))</f>
        <v> </v>
      </c>
      <c r="M301" s="374" t="str">
        <f aca="false">IF(A301="N/A"," ",VLOOKUP(A301,SatSunPeakPwr,(IF('Pricing Inputs'!$AT$3=2,3,IF('Pricing Inputs'!$AT$3=1,2,4))),FALSE()))</f>
        <v> </v>
      </c>
      <c r="N301" s="374" t="str">
        <f aca="false">IF(A301="N/A"," ",VLOOKUP(A301,SatSunPeakPwr,(IF('Pricing Inputs'!$AT$3=2,7,IF('Pricing Inputs'!$AT$3=1,6,8))),FALSE()))</f>
        <v> </v>
      </c>
      <c r="O301" s="375" t="str">
        <f aca="false">IF(A301="N/A"," ",(VLOOKUP(A301,OPPowerPrices,(IF('Pricing Inputs'!$AT$3=2,7,IF('Pricing Inputs'!$AT$3=1,6,8))),FALSE())))</f>
        <v> </v>
      </c>
      <c r="P301" s="376" t="str">
        <f aca="false">IF(A301="N/A"," ",(VLOOKUP(A301,GasCurves,15,FALSE())))</f>
        <v> </v>
      </c>
    </row>
    <row r="302" customFormat="false" ht="12.75" hidden="false" customHeight="false" outlineLevel="0" collapsed="false">
      <c r="A302" s="368" t="str">
        <f aca="false">Calculations!A269</f>
        <v>N/A</v>
      </c>
      <c r="B302" s="369" t="str">
        <f aca="false">IF(A302="N/A"," ",IF(ISERROR(L302),B290*Inputs!$F$19,L302))</f>
        <v> </v>
      </c>
      <c r="C302" s="370" t="str">
        <f aca="false">IF(A302="N/A"," ",(IF(AND(MONTH(A302)&gt;=6,MONTH(A302)&lt;=8,OR($K$37="REGION 2",$K$37="REGION 2A",$K$37="REGION 2B",$K$37="REGION 3",$K$37="REGION 3A",$K$37="REGION 3B",$K$37="REGION 4",$K$37="REGION 4B",$K$37="REGION 4C",$K$37="REGION 5",$K$37="REGION 5A")),((0.059228/(B302/100))-(0.4980013/(SQRT(B302/100)))+2.137988),HLOOKUP(MONTH(A302),ScalarTable,28))))</f>
        <v> </v>
      </c>
      <c r="D302" s="371" t="str">
        <f aca="false">IF(A302="N/A"," ",C302*B302)</f>
        <v> </v>
      </c>
      <c r="E302" s="369" t="str">
        <f aca="false">IF(A302="N/A"," ",IF(ISERROR(M302),E290*Inputs!$F$19,M302))</f>
        <v> </v>
      </c>
      <c r="F302" s="371" t="str">
        <f aca="false">IF(A302="N/A"," ",E302*C302)</f>
        <v> </v>
      </c>
      <c r="G302" s="369" t="str">
        <f aca="false">IF(A302="N/A"," ",IF(ISERROR(N302),G290*Inputs!$F$19,N302))</f>
        <v> </v>
      </c>
      <c r="H302" s="371" t="str">
        <f aca="false">IF(A302="N/A"," ",G302*C302)</f>
        <v> </v>
      </c>
      <c r="I302" s="371" t="str">
        <f aca="false">IF(A302="N/A"," ",IF(ISERROR(O302),I290*Inputs!$F$19,O302))</f>
        <v> </v>
      </c>
      <c r="J302" s="372" t="str">
        <f aca="false">IF(A302="N/A"," ",IF(ISERROR(P302),J290*Inputs!$F$23,P302))</f>
        <v> </v>
      </c>
      <c r="L302" s="374" t="str">
        <f aca="false">IF(A302="N/A"," ",VLOOKUP(A302,PeakPowerCurves,(IF('Pricing Inputs'!$AT$3=2,3,IF('Pricing Inputs'!$AT$3=1,2,4))),FALSE()))</f>
        <v> </v>
      </c>
      <c r="M302" s="374" t="str">
        <f aca="false">IF(A302="N/A"," ",VLOOKUP(A302,SatSunPeakPwr,(IF('Pricing Inputs'!$AT$3=2,3,IF('Pricing Inputs'!$AT$3=1,2,4))),FALSE()))</f>
        <v> </v>
      </c>
      <c r="N302" s="374" t="str">
        <f aca="false">IF(A302="N/A"," ",VLOOKUP(A302,SatSunPeakPwr,(IF('Pricing Inputs'!$AT$3=2,7,IF('Pricing Inputs'!$AT$3=1,6,8))),FALSE()))</f>
        <v> </v>
      </c>
      <c r="O302" s="375" t="str">
        <f aca="false">IF(A302="N/A"," ",(VLOOKUP(A302,OPPowerPrices,(IF('Pricing Inputs'!$AT$3=2,7,IF('Pricing Inputs'!$AT$3=1,6,8))),FALSE())))</f>
        <v> </v>
      </c>
      <c r="P302" s="376" t="str">
        <f aca="false">IF(A302="N/A"," ",(VLOOKUP(A302,GasCurves,15,FALSE())))</f>
        <v> </v>
      </c>
    </row>
    <row r="303" customFormat="false" ht="12.75" hidden="false" customHeight="false" outlineLevel="0" collapsed="false">
      <c r="A303" s="368" t="str">
        <f aca="false">Calculations!A270</f>
        <v>N/A</v>
      </c>
      <c r="B303" s="369" t="str">
        <f aca="false">IF(A303="N/A"," ",IF(ISERROR(L303),B291*Inputs!$F$19,L303))</f>
        <v> </v>
      </c>
      <c r="C303" s="370" t="str">
        <f aca="false">IF(A303="N/A"," ",(IF(AND(MONTH(A303)&gt;=6,MONTH(A303)&lt;=8,OR($K$37="REGION 2",$K$37="REGION 2A",$K$37="REGION 2B",$K$37="REGION 3",$K$37="REGION 3A",$K$37="REGION 3B",$K$37="REGION 4",$K$37="REGION 4B",$K$37="REGION 4C",$K$37="REGION 5",$K$37="REGION 5A")),((0.059228/(B303/100))-(0.4980013/(SQRT(B303/100)))+2.137988),HLOOKUP(MONTH(A303),ScalarTable,28))))</f>
        <v> </v>
      </c>
      <c r="D303" s="371" t="str">
        <f aca="false">IF(A303="N/A"," ",C303*B303)</f>
        <v> </v>
      </c>
      <c r="E303" s="369" t="str">
        <f aca="false">IF(A303="N/A"," ",IF(ISERROR(M303),E291*Inputs!$F$19,M303))</f>
        <v> </v>
      </c>
      <c r="F303" s="371" t="str">
        <f aca="false">IF(A303="N/A"," ",E303*C303)</f>
        <v> </v>
      </c>
      <c r="G303" s="369" t="str">
        <f aca="false">IF(A303="N/A"," ",IF(ISERROR(N303),G291*Inputs!$F$19,N303))</f>
        <v> </v>
      </c>
      <c r="H303" s="371" t="str">
        <f aca="false">IF(A303="N/A"," ",G303*C303)</f>
        <v> </v>
      </c>
      <c r="I303" s="371" t="str">
        <f aca="false">IF(A303="N/A"," ",IF(ISERROR(O303),I291*Inputs!$F$19,O303))</f>
        <v> </v>
      </c>
      <c r="J303" s="372" t="str">
        <f aca="false">IF(A303="N/A"," ",IF(ISERROR(P303),J291*Inputs!$F$23,P303))</f>
        <v> </v>
      </c>
      <c r="L303" s="374" t="str">
        <f aca="false">IF(A303="N/A"," ",VLOOKUP(A303,PeakPowerCurves,(IF('Pricing Inputs'!$AT$3=2,3,IF('Pricing Inputs'!$AT$3=1,2,4))),FALSE()))</f>
        <v> </v>
      </c>
      <c r="M303" s="374" t="str">
        <f aca="false">IF(A303="N/A"," ",VLOOKUP(A303,SatSunPeakPwr,(IF('Pricing Inputs'!$AT$3=2,3,IF('Pricing Inputs'!$AT$3=1,2,4))),FALSE()))</f>
        <v> </v>
      </c>
      <c r="N303" s="374" t="str">
        <f aca="false">IF(A303="N/A"," ",VLOOKUP(A303,SatSunPeakPwr,(IF('Pricing Inputs'!$AT$3=2,7,IF('Pricing Inputs'!$AT$3=1,6,8))),FALSE()))</f>
        <v> </v>
      </c>
      <c r="O303" s="375" t="str">
        <f aca="false">IF(A303="N/A"," ",(VLOOKUP(A303,OPPowerPrices,(IF('Pricing Inputs'!$AT$3=2,7,IF('Pricing Inputs'!$AT$3=1,6,8))),FALSE())))</f>
        <v> </v>
      </c>
      <c r="P303" s="376" t="str">
        <f aca="false">IF(A303="N/A"," ",(VLOOKUP(A303,GasCurves,15,FALSE())))</f>
        <v> </v>
      </c>
    </row>
    <row r="304" customFormat="false" ht="12.75" hidden="false" customHeight="false" outlineLevel="0" collapsed="false">
      <c r="A304" s="368" t="str">
        <f aca="false">Calculations!A271</f>
        <v>N/A</v>
      </c>
      <c r="B304" s="369" t="str">
        <f aca="false">IF(A304="N/A"," ",IF(ISERROR(L304),B292*Inputs!$F$19,L304))</f>
        <v> </v>
      </c>
      <c r="C304" s="370" t="str">
        <f aca="false">IF(A304="N/A"," ",(IF(AND(MONTH(A304)&gt;=6,MONTH(A304)&lt;=8,OR($K$37="REGION 2",$K$37="REGION 2A",$K$37="REGION 2B",$K$37="REGION 3",$K$37="REGION 3A",$K$37="REGION 3B",$K$37="REGION 4",$K$37="REGION 4B",$K$37="REGION 4C",$K$37="REGION 5",$K$37="REGION 5A")),((0.059228/(B304/100))-(0.4980013/(SQRT(B304/100)))+2.137988),HLOOKUP(MONTH(A304),ScalarTable,28))))</f>
        <v> </v>
      </c>
      <c r="D304" s="371" t="str">
        <f aca="false">IF(A304="N/A"," ",C304*B304)</f>
        <v> </v>
      </c>
      <c r="E304" s="369" t="str">
        <f aca="false">IF(A304="N/A"," ",IF(ISERROR(M304),E292*Inputs!$F$19,M304))</f>
        <v> </v>
      </c>
      <c r="F304" s="371" t="str">
        <f aca="false">IF(A304="N/A"," ",E304*C304)</f>
        <v> </v>
      </c>
      <c r="G304" s="369" t="str">
        <f aca="false">IF(A304="N/A"," ",IF(ISERROR(N304),G292*Inputs!$F$19,N304))</f>
        <v> </v>
      </c>
      <c r="H304" s="371" t="str">
        <f aca="false">IF(A304="N/A"," ",G304*C304)</f>
        <v> </v>
      </c>
      <c r="I304" s="371" t="str">
        <f aca="false">IF(A304="N/A"," ",IF(ISERROR(O304),I292*Inputs!$F$19,O304))</f>
        <v> </v>
      </c>
      <c r="J304" s="372" t="str">
        <f aca="false">IF(A304="N/A"," ",IF(ISERROR(P304),J292*Inputs!$F$23,P304))</f>
        <v> </v>
      </c>
      <c r="L304" s="374" t="str">
        <f aca="false">IF(A304="N/A"," ",VLOOKUP(A304,PeakPowerCurves,(IF('Pricing Inputs'!$AT$3=2,3,IF('Pricing Inputs'!$AT$3=1,2,4))),FALSE()))</f>
        <v> </v>
      </c>
      <c r="M304" s="374" t="str">
        <f aca="false">IF(A304="N/A"," ",VLOOKUP(A304,SatSunPeakPwr,(IF('Pricing Inputs'!$AT$3=2,3,IF('Pricing Inputs'!$AT$3=1,2,4))),FALSE()))</f>
        <v> </v>
      </c>
      <c r="N304" s="374" t="str">
        <f aca="false">IF(A304="N/A"," ",VLOOKUP(A304,SatSunPeakPwr,(IF('Pricing Inputs'!$AT$3=2,7,IF('Pricing Inputs'!$AT$3=1,6,8))),FALSE()))</f>
        <v> </v>
      </c>
      <c r="O304" s="375" t="str">
        <f aca="false">IF(A304="N/A"," ",(VLOOKUP(A304,OPPowerPrices,(IF('Pricing Inputs'!$AT$3=2,7,IF('Pricing Inputs'!$AT$3=1,6,8))),FALSE())))</f>
        <v> </v>
      </c>
      <c r="P304" s="376" t="str">
        <f aca="false">IF(A304="N/A"," ",(VLOOKUP(A304,GasCurves,15,FALSE())))</f>
        <v> </v>
      </c>
    </row>
    <row r="305" customFormat="false" ht="12.75" hidden="false" customHeight="false" outlineLevel="0" collapsed="false">
      <c r="A305" s="368" t="str">
        <f aca="false">Calculations!A272</f>
        <v>N/A</v>
      </c>
      <c r="B305" s="369" t="str">
        <f aca="false">IF(A305="N/A"," ",IF(ISERROR(L305),B293*Inputs!$F$19,L305))</f>
        <v> </v>
      </c>
      <c r="C305" s="370" t="str">
        <f aca="false">IF(A305="N/A"," ",(IF(AND(MONTH(A305)&gt;=6,MONTH(A305)&lt;=8,OR($K$37="REGION 2",$K$37="REGION 2A",$K$37="REGION 2B",$K$37="REGION 3",$K$37="REGION 3A",$K$37="REGION 3B",$K$37="REGION 4",$K$37="REGION 4B",$K$37="REGION 4C",$K$37="REGION 5",$K$37="REGION 5A")),((0.059228/(B305/100))-(0.4980013/(SQRT(B305/100)))+2.137988),HLOOKUP(MONTH(A305),ScalarTable,28))))</f>
        <v> </v>
      </c>
      <c r="D305" s="371" t="str">
        <f aca="false">IF(A305="N/A"," ",C305*B305)</f>
        <v> </v>
      </c>
      <c r="E305" s="369" t="str">
        <f aca="false">IF(A305="N/A"," ",IF(ISERROR(M305),E293*Inputs!$F$19,M305))</f>
        <v> </v>
      </c>
      <c r="F305" s="371" t="str">
        <f aca="false">IF(A305="N/A"," ",E305*C305)</f>
        <v> </v>
      </c>
      <c r="G305" s="369" t="str">
        <f aca="false">IF(A305="N/A"," ",IF(ISERROR(N305),G293*Inputs!$F$19,N305))</f>
        <v> </v>
      </c>
      <c r="H305" s="371" t="str">
        <f aca="false">IF(A305="N/A"," ",G305*C305)</f>
        <v> </v>
      </c>
      <c r="I305" s="371" t="str">
        <f aca="false">IF(A305="N/A"," ",IF(ISERROR(O305),I293*Inputs!$F$19,O305))</f>
        <v> </v>
      </c>
      <c r="J305" s="372" t="str">
        <f aca="false">IF(A305="N/A"," ",IF(ISERROR(P305),J293*Inputs!$F$23,P305))</f>
        <v> </v>
      </c>
      <c r="L305" s="374" t="str">
        <f aca="false">IF(A305="N/A"," ",VLOOKUP(A305,PeakPowerCurves,(IF('Pricing Inputs'!$AT$3=2,3,IF('Pricing Inputs'!$AT$3=1,2,4))),FALSE()))</f>
        <v> </v>
      </c>
      <c r="M305" s="374" t="str">
        <f aca="false">IF(A305="N/A"," ",VLOOKUP(A305,SatSunPeakPwr,(IF('Pricing Inputs'!$AT$3=2,3,IF('Pricing Inputs'!$AT$3=1,2,4))),FALSE()))</f>
        <v> </v>
      </c>
      <c r="N305" s="374" t="str">
        <f aca="false">IF(A305="N/A"," ",VLOOKUP(A305,SatSunPeakPwr,(IF('Pricing Inputs'!$AT$3=2,7,IF('Pricing Inputs'!$AT$3=1,6,8))),FALSE()))</f>
        <v> </v>
      </c>
      <c r="O305" s="375" t="str">
        <f aca="false">IF(A305="N/A"," ",(VLOOKUP(A305,OPPowerPrices,(IF('Pricing Inputs'!$AT$3=2,7,IF('Pricing Inputs'!$AT$3=1,6,8))),FALSE())))</f>
        <v> </v>
      </c>
      <c r="P305" s="376" t="str">
        <f aca="false">IF(A305="N/A"," ",(VLOOKUP(A305,GasCurves,15,FALSE())))</f>
        <v> </v>
      </c>
    </row>
    <row r="306" customFormat="false" ht="12.75" hidden="false" customHeight="false" outlineLevel="0" collapsed="false">
      <c r="A306" s="368" t="str">
        <f aca="false">Calculations!A273</f>
        <v>N/A</v>
      </c>
      <c r="B306" s="369" t="str">
        <f aca="false">IF(A306="N/A"," ",IF(ISERROR(L306),B294*Inputs!$F$19,L306))</f>
        <v> </v>
      </c>
      <c r="C306" s="370" t="str">
        <f aca="false">IF(A306="N/A"," ",(IF(AND(MONTH(A306)&gt;=6,MONTH(A306)&lt;=8,OR($K$37="REGION 2",$K$37="REGION 2A",$K$37="REGION 2B",$K$37="REGION 3",$K$37="REGION 3A",$K$37="REGION 3B",$K$37="REGION 4",$K$37="REGION 4B",$K$37="REGION 4C",$K$37="REGION 5",$K$37="REGION 5A")),((0.059228/(B306/100))-(0.4980013/(SQRT(B306/100)))+2.137988),HLOOKUP(MONTH(A306),ScalarTable,28))))</f>
        <v> </v>
      </c>
      <c r="D306" s="371" t="str">
        <f aca="false">IF(A306="N/A"," ",C306*B306)</f>
        <v> </v>
      </c>
      <c r="E306" s="369" t="str">
        <f aca="false">IF(A306="N/A"," ",IF(ISERROR(M306),E294*Inputs!$F$19,M306))</f>
        <v> </v>
      </c>
      <c r="F306" s="371" t="str">
        <f aca="false">IF(A306="N/A"," ",E306*C306)</f>
        <v> </v>
      </c>
      <c r="G306" s="369" t="str">
        <f aca="false">IF(A306="N/A"," ",IF(ISERROR(N306),G294*Inputs!$F$19,N306))</f>
        <v> </v>
      </c>
      <c r="H306" s="371" t="str">
        <f aca="false">IF(A306="N/A"," ",G306*C306)</f>
        <v> </v>
      </c>
      <c r="I306" s="371" t="str">
        <f aca="false">IF(A306="N/A"," ",IF(ISERROR(O306),I294*Inputs!$F$19,O306))</f>
        <v> </v>
      </c>
      <c r="J306" s="372" t="str">
        <f aca="false">IF(A306="N/A"," ",IF(ISERROR(P306),J294*Inputs!$F$23,P306))</f>
        <v> </v>
      </c>
      <c r="L306" s="374" t="str">
        <f aca="false">IF(A306="N/A"," ",VLOOKUP(A306,PeakPowerCurves,(IF('Pricing Inputs'!$AT$3=2,3,IF('Pricing Inputs'!$AT$3=1,2,4))),FALSE()))</f>
        <v> </v>
      </c>
      <c r="M306" s="374" t="str">
        <f aca="false">IF(A306="N/A"," ",VLOOKUP(A306,SatSunPeakPwr,(IF('Pricing Inputs'!$AT$3=2,3,IF('Pricing Inputs'!$AT$3=1,2,4))),FALSE()))</f>
        <v> </v>
      </c>
      <c r="N306" s="374" t="str">
        <f aca="false">IF(A306="N/A"," ",VLOOKUP(A306,SatSunPeakPwr,(IF('Pricing Inputs'!$AT$3=2,7,IF('Pricing Inputs'!$AT$3=1,6,8))),FALSE()))</f>
        <v> </v>
      </c>
      <c r="O306" s="375" t="str">
        <f aca="false">IF(A306="N/A"," ",(VLOOKUP(A306,OPPowerPrices,(IF('Pricing Inputs'!$AT$3=2,7,IF('Pricing Inputs'!$AT$3=1,6,8))),FALSE())))</f>
        <v> </v>
      </c>
      <c r="P306" s="376" t="str">
        <f aca="false">IF(A306="N/A"," ",(VLOOKUP(A306,GasCurves,15,FALSE())))</f>
        <v> </v>
      </c>
    </row>
    <row r="307" customFormat="false" ht="12.75" hidden="false" customHeight="false" outlineLevel="0" collapsed="false">
      <c r="A307" s="368" t="str">
        <f aca="false">Calculations!A274</f>
        <v>N/A</v>
      </c>
      <c r="B307" s="369" t="str">
        <f aca="false">IF(A307="N/A"," ",IF(ISERROR(L307),B295*Inputs!$F$19,L307))</f>
        <v> </v>
      </c>
      <c r="C307" s="370" t="str">
        <f aca="false">IF(A307="N/A"," ",(IF(AND(MONTH(A307)&gt;=6,MONTH(A307)&lt;=8,OR($K$37="REGION 2",$K$37="REGION 2A",$K$37="REGION 2B",$K$37="REGION 3",$K$37="REGION 3A",$K$37="REGION 3B",$K$37="REGION 4",$K$37="REGION 4B",$K$37="REGION 4C",$K$37="REGION 5",$K$37="REGION 5A")),((0.059228/(B307/100))-(0.4980013/(SQRT(B307/100)))+2.137988),HLOOKUP(MONTH(A307),ScalarTable,28))))</f>
        <v> </v>
      </c>
      <c r="D307" s="371" t="str">
        <f aca="false">IF(A307="N/A"," ",C307*B307)</f>
        <v> </v>
      </c>
      <c r="E307" s="369" t="str">
        <f aca="false">IF(A307="N/A"," ",IF(ISERROR(M307),E295*Inputs!$F$19,M307))</f>
        <v> </v>
      </c>
      <c r="F307" s="371" t="str">
        <f aca="false">IF(A307="N/A"," ",E307*C307)</f>
        <v> </v>
      </c>
      <c r="G307" s="369" t="str">
        <f aca="false">IF(A307="N/A"," ",IF(ISERROR(N307),G295*Inputs!$F$19,N307))</f>
        <v> </v>
      </c>
      <c r="H307" s="371" t="str">
        <f aca="false">IF(A307="N/A"," ",G307*C307)</f>
        <v> </v>
      </c>
      <c r="I307" s="371" t="str">
        <f aca="false">IF(A307="N/A"," ",IF(ISERROR(O307),I295*Inputs!$F$19,O307))</f>
        <v> </v>
      </c>
      <c r="J307" s="372" t="str">
        <f aca="false">IF(A307="N/A"," ",IF(ISERROR(P307),J295*Inputs!$F$23,P307))</f>
        <v> </v>
      </c>
      <c r="L307" s="374" t="str">
        <f aca="false">IF(A307="N/A"," ",VLOOKUP(A307,PeakPowerCurves,(IF('Pricing Inputs'!$AT$3=2,3,IF('Pricing Inputs'!$AT$3=1,2,4))),FALSE()))</f>
        <v> </v>
      </c>
      <c r="M307" s="374" t="str">
        <f aca="false">IF(A307="N/A"," ",VLOOKUP(A307,SatSunPeakPwr,(IF('Pricing Inputs'!$AT$3=2,3,IF('Pricing Inputs'!$AT$3=1,2,4))),FALSE()))</f>
        <v> </v>
      </c>
      <c r="N307" s="374" t="str">
        <f aca="false">IF(A307="N/A"," ",VLOOKUP(A307,SatSunPeakPwr,(IF('Pricing Inputs'!$AT$3=2,7,IF('Pricing Inputs'!$AT$3=1,6,8))),FALSE()))</f>
        <v> </v>
      </c>
      <c r="O307" s="375" t="str">
        <f aca="false">IF(A307="N/A"," ",(VLOOKUP(A307,OPPowerPrices,(IF('Pricing Inputs'!$AT$3=2,7,IF('Pricing Inputs'!$AT$3=1,6,8))),FALSE())))</f>
        <v> </v>
      </c>
      <c r="P307" s="376" t="str">
        <f aca="false">IF(A307="N/A"," ",(VLOOKUP(A307,GasCurves,15,FALSE())))</f>
        <v> </v>
      </c>
    </row>
    <row r="308" customFormat="false" ht="12.75" hidden="false" customHeight="false" outlineLevel="0" collapsed="false">
      <c r="A308" s="368" t="str">
        <f aca="false">Calculations!A275</f>
        <v>N/A</v>
      </c>
      <c r="B308" s="369" t="str">
        <f aca="false">IF(A308="N/A"," ",IF(ISERROR(L308),B296*Inputs!$F$19,L308))</f>
        <v> </v>
      </c>
      <c r="C308" s="370" t="str">
        <f aca="false">IF(A308="N/A"," ",(IF(AND(MONTH(A308)&gt;=6,MONTH(A308)&lt;=8,OR($K$37="REGION 2",$K$37="REGION 2A",$K$37="REGION 2B",$K$37="REGION 3",$K$37="REGION 3A",$K$37="REGION 3B",$K$37="REGION 4",$K$37="REGION 4B",$K$37="REGION 4C",$K$37="REGION 5",$K$37="REGION 5A")),((0.059228/(B308/100))-(0.4980013/(SQRT(B308/100)))+2.137988),HLOOKUP(MONTH(A308),ScalarTable,28))))</f>
        <v> </v>
      </c>
      <c r="D308" s="371" t="str">
        <f aca="false">IF(A308="N/A"," ",C308*B308)</f>
        <v> </v>
      </c>
      <c r="E308" s="369" t="str">
        <f aca="false">IF(A308="N/A"," ",IF(ISERROR(M308),E296*Inputs!$F$19,M308))</f>
        <v> </v>
      </c>
      <c r="F308" s="371" t="str">
        <f aca="false">IF(A308="N/A"," ",E308*C308)</f>
        <v> </v>
      </c>
      <c r="G308" s="369" t="str">
        <f aca="false">IF(A308="N/A"," ",IF(ISERROR(N308),G296*Inputs!$F$19,N308))</f>
        <v> </v>
      </c>
      <c r="H308" s="371" t="str">
        <f aca="false">IF(A308="N/A"," ",G308*C308)</f>
        <v> </v>
      </c>
      <c r="I308" s="371" t="str">
        <f aca="false">IF(A308="N/A"," ",IF(ISERROR(O308),I296*Inputs!$F$19,O308))</f>
        <v> </v>
      </c>
      <c r="J308" s="372" t="str">
        <f aca="false">IF(A308="N/A"," ",IF(ISERROR(P308),J296*Inputs!$F$23,P308))</f>
        <v> </v>
      </c>
      <c r="L308" s="374" t="str">
        <f aca="false">IF(A308="N/A"," ",VLOOKUP(A308,PeakPowerCurves,(IF('Pricing Inputs'!$AT$3=2,3,IF('Pricing Inputs'!$AT$3=1,2,4))),FALSE()))</f>
        <v> </v>
      </c>
      <c r="M308" s="374" t="str">
        <f aca="false">IF(A308="N/A"," ",VLOOKUP(A308,SatSunPeakPwr,(IF('Pricing Inputs'!$AT$3=2,3,IF('Pricing Inputs'!$AT$3=1,2,4))),FALSE()))</f>
        <v> </v>
      </c>
      <c r="N308" s="374" t="str">
        <f aca="false">IF(A308="N/A"," ",VLOOKUP(A308,SatSunPeakPwr,(IF('Pricing Inputs'!$AT$3=2,7,IF('Pricing Inputs'!$AT$3=1,6,8))),FALSE()))</f>
        <v> </v>
      </c>
      <c r="O308" s="375" t="str">
        <f aca="false">IF(A308="N/A"," ",(VLOOKUP(A308,OPPowerPrices,(IF('Pricing Inputs'!$AT$3=2,7,IF('Pricing Inputs'!$AT$3=1,6,8))),FALSE())))</f>
        <v> </v>
      </c>
      <c r="P308" s="376" t="str">
        <f aca="false">IF(A308="N/A"," ",(VLOOKUP(A308,GasCurves,15,FALSE())))</f>
        <v> </v>
      </c>
    </row>
    <row r="309" customFormat="false" ht="12.75" hidden="false" customHeight="false" outlineLevel="0" collapsed="false">
      <c r="A309" s="368" t="str">
        <f aca="false">Calculations!A276</f>
        <v>N/A</v>
      </c>
      <c r="B309" s="369" t="str">
        <f aca="false">IF(A309="N/A"," ",IF(ISERROR(L309),B297*Inputs!$F$19,L309))</f>
        <v> </v>
      </c>
      <c r="C309" s="370" t="str">
        <f aca="false">IF(A309="N/A"," ",(IF(AND(MONTH(A309)&gt;=6,MONTH(A309)&lt;=8,OR($K$37="REGION 2",$K$37="REGION 2A",$K$37="REGION 2B",$K$37="REGION 3",$K$37="REGION 3A",$K$37="REGION 3B",$K$37="REGION 4",$K$37="REGION 4B",$K$37="REGION 4C",$K$37="REGION 5",$K$37="REGION 5A")),((0.059228/(B309/100))-(0.4980013/(SQRT(B309/100)))+2.137988),HLOOKUP(MONTH(A309),ScalarTable,28))))</f>
        <v> </v>
      </c>
      <c r="D309" s="371" t="str">
        <f aca="false">IF(A309="N/A"," ",C309*B309)</f>
        <v> </v>
      </c>
      <c r="E309" s="369" t="str">
        <f aca="false">IF(A309="N/A"," ",IF(ISERROR(M309),E297*Inputs!$F$19,M309))</f>
        <v> </v>
      </c>
      <c r="F309" s="371" t="str">
        <f aca="false">IF(A309="N/A"," ",E309*C309)</f>
        <v> </v>
      </c>
      <c r="G309" s="369" t="str">
        <f aca="false">IF(A309="N/A"," ",IF(ISERROR(N309),G297*Inputs!$F$19,N309))</f>
        <v> </v>
      </c>
      <c r="H309" s="371" t="str">
        <f aca="false">IF(A309="N/A"," ",G309*C309)</f>
        <v> </v>
      </c>
      <c r="I309" s="371" t="str">
        <f aca="false">IF(A309="N/A"," ",IF(ISERROR(O309),I297*Inputs!$F$19,O309))</f>
        <v> </v>
      </c>
      <c r="J309" s="372" t="str">
        <f aca="false">IF(A309="N/A"," ",IF(ISERROR(P309),J297*Inputs!$F$23,P309))</f>
        <v> </v>
      </c>
      <c r="L309" s="374" t="str">
        <f aca="false">IF(A309="N/A"," ",VLOOKUP(A309,PeakPowerCurves,(IF('Pricing Inputs'!$AT$3=2,3,IF('Pricing Inputs'!$AT$3=1,2,4))),FALSE()))</f>
        <v> </v>
      </c>
      <c r="M309" s="374" t="str">
        <f aca="false">IF(A309="N/A"," ",VLOOKUP(A309,SatSunPeakPwr,(IF('Pricing Inputs'!$AT$3=2,3,IF('Pricing Inputs'!$AT$3=1,2,4))),FALSE()))</f>
        <v> </v>
      </c>
      <c r="N309" s="374" t="str">
        <f aca="false">IF(A309="N/A"," ",VLOOKUP(A309,SatSunPeakPwr,(IF('Pricing Inputs'!$AT$3=2,7,IF('Pricing Inputs'!$AT$3=1,6,8))),FALSE()))</f>
        <v> </v>
      </c>
      <c r="O309" s="375" t="str">
        <f aca="false">IF(A309="N/A"," ",(VLOOKUP(A309,OPPowerPrices,(IF('Pricing Inputs'!$AT$3=2,7,IF('Pricing Inputs'!$AT$3=1,6,8))),FALSE())))</f>
        <v> </v>
      </c>
      <c r="P309" s="376" t="str">
        <f aca="false">IF(A309="N/A"," ",(VLOOKUP(A309,GasCurves,15,FALSE())))</f>
        <v> </v>
      </c>
    </row>
    <row r="310" customFormat="false" ht="12.75" hidden="false" customHeight="false" outlineLevel="0" collapsed="false">
      <c r="A310" s="368" t="str">
        <f aca="false">Calculations!A277</f>
        <v>N/A</v>
      </c>
      <c r="B310" s="369" t="str">
        <f aca="false">IF(A310="N/A"," ",IF(ISERROR(L310),B298*Inputs!$F$19,L310))</f>
        <v> </v>
      </c>
      <c r="C310" s="370" t="str">
        <f aca="false">IF(A310="N/A"," ",(IF(AND(MONTH(A310)&gt;=6,MONTH(A310)&lt;=8,OR($K$37="REGION 2",$K$37="REGION 2A",$K$37="REGION 2B",$K$37="REGION 3",$K$37="REGION 3A",$K$37="REGION 3B",$K$37="REGION 4",$K$37="REGION 4B",$K$37="REGION 4C",$K$37="REGION 5",$K$37="REGION 5A")),((0.059228/(B310/100))-(0.4980013/(SQRT(B310/100)))+2.137988),HLOOKUP(MONTH(A310),ScalarTable,28))))</f>
        <v> </v>
      </c>
      <c r="D310" s="371" t="str">
        <f aca="false">IF(A310="N/A"," ",C310*B310)</f>
        <v> </v>
      </c>
      <c r="E310" s="369" t="str">
        <f aca="false">IF(A310="N/A"," ",IF(ISERROR(M310),E298*Inputs!$F$19,M310))</f>
        <v> </v>
      </c>
      <c r="F310" s="371" t="str">
        <f aca="false">IF(A310="N/A"," ",E310*C310)</f>
        <v> </v>
      </c>
      <c r="G310" s="369" t="str">
        <f aca="false">IF(A310="N/A"," ",IF(ISERROR(N310),G298*Inputs!$F$19,N310))</f>
        <v> </v>
      </c>
      <c r="H310" s="371" t="str">
        <f aca="false">IF(A310="N/A"," ",G310*C310)</f>
        <v> </v>
      </c>
      <c r="I310" s="371" t="str">
        <f aca="false">IF(A310="N/A"," ",IF(ISERROR(O310),I298*Inputs!$F$19,O310))</f>
        <v> </v>
      </c>
      <c r="J310" s="372" t="str">
        <f aca="false">IF(A310="N/A"," ",IF(ISERROR(P310),J298*Inputs!$F$23,P310))</f>
        <v> </v>
      </c>
      <c r="L310" s="374" t="str">
        <f aca="false">IF(A310="N/A"," ",VLOOKUP(A310,PeakPowerCurves,(IF('Pricing Inputs'!$AT$3=2,3,IF('Pricing Inputs'!$AT$3=1,2,4))),FALSE()))</f>
        <v> </v>
      </c>
      <c r="M310" s="374" t="str">
        <f aca="false">IF(A310="N/A"," ",VLOOKUP(A310,SatSunPeakPwr,(IF('Pricing Inputs'!$AT$3=2,3,IF('Pricing Inputs'!$AT$3=1,2,4))),FALSE()))</f>
        <v> </v>
      </c>
      <c r="N310" s="374" t="str">
        <f aca="false">IF(A310="N/A"," ",VLOOKUP(A310,SatSunPeakPwr,(IF('Pricing Inputs'!$AT$3=2,7,IF('Pricing Inputs'!$AT$3=1,6,8))),FALSE()))</f>
        <v> </v>
      </c>
      <c r="O310" s="375" t="str">
        <f aca="false">IF(A310="N/A"," ",(VLOOKUP(A310,OPPowerPrices,(IF('Pricing Inputs'!$AT$3=2,7,IF('Pricing Inputs'!$AT$3=1,6,8))),FALSE())))</f>
        <v> </v>
      </c>
      <c r="P310" s="376" t="str">
        <f aca="false">IF(A310="N/A"," ",(VLOOKUP(A310,GasCurves,15,FALSE())))</f>
        <v> </v>
      </c>
    </row>
    <row r="311" customFormat="false" ht="12.75" hidden="false" customHeight="false" outlineLevel="0" collapsed="false">
      <c r="A311" s="368" t="str">
        <f aca="false">Calculations!A278</f>
        <v>N/A</v>
      </c>
      <c r="B311" s="369" t="str">
        <f aca="false">IF(A311="N/A"," ",IF(ISERROR(L311),B299*Inputs!$F$19,L311))</f>
        <v> </v>
      </c>
      <c r="C311" s="370" t="str">
        <f aca="false">IF(A311="N/A"," ",(IF(AND(MONTH(A311)&gt;=6,MONTH(A311)&lt;=8,OR($K$37="REGION 2",$K$37="REGION 2A",$K$37="REGION 2B",$K$37="REGION 3",$K$37="REGION 3A",$K$37="REGION 3B",$K$37="REGION 4",$K$37="REGION 4B",$K$37="REGION 4C",$K$37="REGION 5",$K$37="REGION 5A")),((0.059228/(B311/100))-(0.4980013/(SQRT(B311/100)))+2.137988),HLOOKUP(MONTH(A311),ScalarTable,28))))</f>
        <v> </v>
      </c>
      <c r="D311" s="371" t="str">
        <f aca="false">IF(A311="N/A"," ",C311*B311)</f>
        <v> </v>
      </c>
      <c r="E311" s="369" t="str">
        <f aca="false">IF(A311="N/A"," ",IF(ISERROR(M311),E299*Inputs!$F$19,M311))</f>
        <v> </v>
      </c>
      <c r="F311" s="371" t="str">
        <f aca="false">IF(A311="N/A"," ",E311*C311)</f>
        <v> </v>
      </c>
      <c r="G311" s="369" t="str">
        <f aca="false">IF(A311="N/A"," ",IF(ISERROR(N311),G299*Inputs!$F$19,N311))</f>
        <v> </v>
      </c>
      <c r="H311" s="371" t="str">
        <f aca="false">IF(A311="N/A"," ",G311*C311)</f>
        <v> </v>
      </c>
      <c r="I311" s="371" t="str">
        <f aca="false">IF(A311="N/A"," ",IF(ISERROR(O311),I299*Inputs!$F$19,O311))</f>
        <v> </v>
      </c>
      <c r="J311" s="372" t="str">
        <f aca="false">IF(A311="N/A"," ",IF(ISERROR(P311),J299*Inputs!$F$23,P311))</f>
        <v> </v>
      </c>
      <c r="L311" s="374" t="str">
        <f aca="false">IF(A311="N/A"," ",VLOOKUP(A311,PeakPowerCurves,(IF('Pricing Inputs'!$AT$3=2,3,IF('Pricing Inputs'!$AT$3=1,2,4))),FALSE()))</f>
        <v> </v>
      </c>
      <c r="M311" s="374" t="str">
        <f aca="false">IF(A311="N/A"," ",VLOOKUP(A311,SatSunPeakPwr,(IF('Pricing Inputs'!$AT$3=2,3,IF('Pricing Inputs'!$AT$3=1,2,4))),FALSE()))</f>
        <v> </v>
      </c>
      <c r="N311" s="374" t="str">
        <f aca="false">IF(A311="N/A"," ",VLOOKUP(A311,SatSunPeakPwr,(IF('Pricing Inputs'!$AT$3=2,7,IF('Pricing Inputs'!$AT$3=1,6,8))),FALSE()))</f>
        <v> </v>
      </c>
      <c r="O311" s="375" t="str">
        <f aca="false">IF(A311="N/A"," ",(VLOOKUP(A311,OPPowerPrices,(IF('Pricing Inputs'!$AT$3=2,7,IF('Pricing Inputs'!$AT$3=1,6,8))),FALSE())))</f>
        <v> </v>
      </c>
      <c r="P311" s="376" t="str">
        <f aca="false">IF(A311="N/A"," ",(VLOOKUP(A311,GasCurves,15,FALSE())))</f>
        <v> </v>
      </c>
    </row>
    <row r="312" customFormat="false" ht="12.75" hidden="false" customHeight="false" outlineLevel="0" collapsed="false">
      <c r="A312" s="368" t="str">
        <f aca="false">Calculations!A279</f>
        <v>N/A</v>
      </c>
      <c r="B312" s="369" t="str">
        <f aca="false">IF(A312="N/A"," ",IF(ISERROR(L312),B300*Inputs!$F$19,L312))</f>
        <v> </v>
      </c>
      <c r="C312" s="370" t="str">
        <f aca="false">IF(A312="N/A"," ",(IF(AND(MONTH(A312)&gt;=6,MONTH(A312)&lt;=8,OR($K$37="REGION 2",$K$37="REGION 2A",$K$37="REGION 2B",$K$37="REGION 3",$K$37="REGION 3A",$K$37="REGION 3B",$K$37="REGION 4",$K$37="REGION 4B",$K$37="REGION 4C",$K$37="REGION 5",$K$37="REGION 5A")),((0.059228/(B312/100))-(0.4980013/(SQRT(B312/100)))+2.137988),HLOOKUP(MONTH(A312),ScalarTable,28))))</f>
        <v> </v>
      </c>
      <c r="D312" s="371" t="str">
        <f aca="false">IF(A312="N/A"," ",C312*B312)</f>
        <v> </v>
      </c>
      <c r="E312" s="369" t="str">
        <f aca="false">IF(A312="N/A"," ",IF(ISERROR(M312),E300*Inputs!$F$19,M312))</f>
        <v> </v>
      </c>
      <c r="F312" s="371" t="str">
        <f aca="false">IF(A312="N/A"," ",E312*C312)</f>
        <v> </v>
      </c>
      <c r="G312" s="369" t="str">
        <f aca="false">IF(A312="N/A"," ",IF(ISERROR(N312),G300*Inputs!$F$19,N312))</f>
        <v> </v>
      </c>
      <c r="H312" s="371" t="str">
        <f aca="false">IF(A312="N/A"," ",G312*C312)</f>
        <v> </v>
      </c>
      <c r="I312" s="371" t="str">
        <f aca="false">IF(A312="N/A"," ",IF(ISERROR(O312),I300*Inputs!$F$19,O312))</f>
        <v> </v>
      </c>
      <c r="J312" s="372" t="str">
        <f aca="false">IF(A312="N/A"," ",IF(ISERROR(P312),J300*Inputs!$F$23,P312))</f>
        <v> </v>
      </c>
      <c r="L312" s="374" t="str">
        <f aca="false">IF(A312="N/A"," ",VLOOKUP(A312,PeakPowerCurves,(IF('Pricing Inputs'!$AT$3=2,3,IF('Pricing Inputs'!$AT$3=1,2,4))),FALSE()))</f>
        <v> </v>
      </c>
      <c r="M312" s="374" t="str">
        <f aca="false">IF(A312="N/A"," ",VLOOKUP(A312,SatSunPeakPwr,(IF('Pricing Inputs'!$AT$3=2,3,IF('Pricing Inputs'!$AT$3=1,2,4))),FALSE()))</f>
        <v> </v>
      </c>
      <c r="N312" s="374" t="str">
        <f aca="false">IF(A312="N/A"," ",VLOOKUP(A312,SatSunPeakPwr,(IF('Pricing Inputs'!$AT$3=2,7,IF('Pricing Inputs'!$AT$3=1,6,8))),FALSE()))</f>
        <v> </v>
      </c>
      <c r="O312" s="375" t="str">
        <f aca="false">IF(A312="N/A"," ",(VLOOKUP(A312,OPPowerPrices,(IF('Pricing Inputs'!$AT$3=2,7,IF('Pricing Inputs'!$AT$3=1,6,8))),FALSE())))</f>
        <v> </v>
      </c>
      <c r="P312" s="376" t="str">
        <f aca="false">IF(A312="N/A"," ",(VLOOKUP(A312,GasCurves,15,FALSE())))</f>
        <v> </v>
      </c>
    </row>
    <row r="313" customFormat="false" ht="12.75" hidden="false" customHeight="false" outlineLevel="0" collapsed="false">
      <c r="A313" s="368" t="str">
        <f aca="false">Calculations!A280</f>
        <v>N/A</v>
      </c>
      <c r="B313" s="369" t="str">
        <f aca="false">IF(A313="N/A"," ",IF(ISERROR(L313),B301*Inputs!$F$19,L313))</f>
        <v> </v>
      </c>
      <c r="C313" s="370" t="str">
        <f aca="false">IF(A313="N/A"," ",(IF(AND(MONTH(A313)&gt;=6,MONTH(A313)&lt;=8,OR($K$37="REGION 2",$K$37="REGION 2A",$K$37="REGION 2B",$K$37="REGION 3",$K$37="REGION 3A",$K$37="REGION 3B",$K$37="REGION 4",$K$37="REGION 4B",$K$37="REGION 4C",$K$37="REGION 5",$K$37="REGION 5A")),((0.059228/(B313/100))-(0.4980013/(SQRT(B313/100)))+2.137988),HLOOKUP(MONTH(A313),ScalarTable,28))))</f>
        <v> </v>
      </c>
      <c r="D313" s="371" t="str">
        <f aca="false">IF(A313="N/A"," ",C313*B313)</f>
        <v> </v>
      </c>
      <c r="E313" s="369" t="str">
        <f aca="false">IF(A313="N/A"," ",IF(ISERROR(M313),E301*Inputs!$F$19,M313))</f>
        <v> </v>
      </c>
      <c r="F313" s="371" t="str">
        <f aca="false">IF(A313="N/A"," ",E313*C313)</f>
        <v> </v>
      </c>
      <c r="G313" s="369" t="str">
        <f aca="false">IF(A313="N/A"," ",IF(ISERROR(N313),G301*Inputs!$F$19,N313))</f>
        <v> </v>
      </c>
      <c r="H313" s="371" t="str">
        <f aca="false">IF(A313="N/A"," ",G313*C313)</f>
        <v> </v>
      </c>
      <c r="I313" s="371" t="str">
        <f aca="false">IF(A313="N/A"," ",IF(ISERROR(O313),I301*Inputs!$F$19,O313))</f>
        <v> </v>
      </c>
      <c r="J313" s="372" t="str">
        <f aca="false">IF(A313="N/A"," ",IF(ISERROR(P313),J301*Inputs!$F$23,P313))</f>
        <v> </v>
      </c>
      <c r="L313" s="374" t="str">
        <f aca="false">IF(A313="N/A"," ",VLOOKUP(A313,PeakPowerCurves,(IF('Pricing Inputs'!$AT$3=2,3,IF('Pricing Inputs'!$AT$3=1,2,4))),FALSE()))</f>
        <v> </v>
      </c>
      <c r="M313" s="374" t="str">
        <f aca="false">IF(A313="N/A"," ",VLOOKUP(A313,SatSunPeakPwr,(IF('Pricing Inputs'!$AT$3=2,3,IF('Pricing Inputs'!$AT$3=1,2,4))),FALSE()))</f>
        <v> </v>
      </c>
      <c r="N313" s="374" t="str">
        <f aca="false">IF(A313="N/A"," ",VLOOKUP(A313,SatSunPeakPwr,(IF('Pricing Inputs'!$AT$3=2,7,IF('Pricing Inputs'!$AT$3=1,6,8))),FALSE()))</f>
        <v> </v>
      </c>
      <c r="O313" s="375" t="str">
        <f aca="false">IF(A313="N/A"," ",(VLOOKUP(A313,OPPowerPrices,(IF('Pricing Inputs'!$AT$3=2,7,IF('Pricing Inputs'!$AT$3=1,6,8))),FALSE())))</f>
        <v> </v>
      </c>
      <c r="P313" s="376" t="str">
        <f aca="false">IF(A313="N/A"," ",(VLOOKUP(A313,GasCurves,15,FALSE())))</f>
        <v> </v>
      </c>
    </row>
    <row r="314" customFormat="false" ht="12.75" hidden="false" customHeight="false" outlineLevel="0" collapsed="false">
      <c r="A314" s="368" t="str">
        <f aca="false">Calculations!A281</f>
        <v>N/A</v>
      </c>
      <c r="B314" s="369" t="str">
        <f aca="false">IF(A314="N/A"," ",IF(ISERROR(L314),B302*Inputs!$F$19,L314))</f>
        <v> </v>
      </c>
      <c r="C314" s="370" t="str">
        <f aca="false">IF(A314="N/A"," ",(IF(AND(MONTH(A314)&gt;=6,MONTH(A314)&lt;=8,OR($K$37="REGION 2",$K$37="REGION 2A",$K$37="REGION 2B",$K$37="REGION 3",$K$37="REGION 3A",$K$37="REGION 3B",$K$37="REGION 4",$K$37="REGION 4B",$K$37="REGION 4C",$K$37="REGION 5",$K$37="REGION 5A")),((0.059228/(B314/100))-(0.4980013/(SQRT(B314/100)))+2.137988),HLOOKUP(MONTH(A314),ScalarTable,28))))</f>
        <v> </v>
      </c>
      <c r="D314" s="371" t="str">
        <f aca="false">IF(A314="N/A"," ",C314*B314)</f>
        <v> </v>
      </c>
      <c r="E314" s="369" t="str">
        <f aca="false">IF(A314="N/A"," ",IF(ISERROR(M314),E302*Inputs!$F$19,M314))</f>
        <v> </v>
      </c>
      <c r="F314" s="371" t="str">
        <f aca="false">IF(A314="N/A"," ",E314*C314)</f>
        <v> </v>
      </c>
      <c r="G314" s="369" t="str">
        <f aca="false">IF(A314="N/A"," ",IF(ISERROR(N314),G302*Inputs!$F$19,N314))</f>
        <v> </v>
      </c>
      <c r="H314" s="371" t="str">
        <f aca="false">IF(A314="N/A"," ",G314*C314)</f>
        <v> </v>
      </c>
      <c r="I314" s="371" t="str">
        <f aca="false">IF(A314="N/A"," ",IF(ISERROR(O314),I302*Inputs!$F$19,O314))</f>
        <v> </v>
      </c>
      <c r="J314" s="372" t="str">
        <f aca="false">IF(A314="N/A"," ",IF(ISERROR(P314),J302*Inputs!$F$23,P314))</f>
        <v> </v>
      </c>
      <c r="L314" s="374" t="str">
        <f aca="false">IF(A314="N/A"," ",VLOOKUP(A314,PeakPowerCurves,(IF('Pricing Inputs'!$AT$3=2,3,IF('Pricing Inputs'!$AT$3=1,2,4))),FALSE()))</f>
        <v> </v>
      </c>
      <c r="M314" s="374" t="str">
        <f aca="false">IF(A314="N/A"," ",VLOOKUP(A314,SatSunPeakPwr,(IF('Pricing Inputs'!$AT$3=2,3,IF('Pricing Inputs'!$AT$3=1,2,4))),FALSE()))</f>
        <v> </v>
      </c>
      <c r="N314" s="374" t="str">
        <f aca="false">IF(A314="N/A"," ",VLOOKUP(A314,SatSunPeakPwr,(IF('Pricing Inputs'!$AT$3=2,7,IF('Pricing Inputs'!$AT$3=1,6,8))),FALSE()))</f>
        <v> </v>
      </c>
      <c r="O314" s="375" t="str">
        <f aca="false">IF(A314="N/A"," ",(VLOOKUP(A314,OPPowerPrices,(IF('Pricing Inputs'!$AT$3=2,7,IF('Pricing Inputs'!$AT$3=1,6,8))),FALSE())))</f>
        <v> </v>
      </c>
      <c r="P314" s="376" t="str">
        <f aca="false">IF(A314="N/A"," ",(VLOOKUP(A314,GasCurves,15,FALSE())))</f>
        <v> </v>
      </c>
    </row>
    <row r="315" customFormat="false" ht="12.75" hidden="false" customHeight="false" outlineLevel="0" collapsed="false">
      <c r="A315" s="368" t="str">
        <f aca="false">Calculations!A282</f>
        <v>N/A</v>
      </c>
      <c r="B315" s="369" t="str">
        <f aca="false">IF(A315="N/A"," ",IF(ISERROR(L315),B303*Inputs!$F$19,L315))</f>
        <v> </v>
      </c>
      <c r="C315" s="370" t="str">
        <f aca="false">IF(A315="N/A"," ",(IF(AND(MONTH(A315)&gt;=6,MONTH(A315)&lt;=8,OR($K$37="REGION 2",$K$37="REGION 2A",$K$37="REGION 2B",$K$37="REGION 3",$K$37="REGION 3A",$K$37="REGION 3B",$K$37="REGION 4",$K$37="REGION 4B",$K$37="REGION 4C",$K$37="REGION 5",$K$37="REGION 5A")),((0.059228/(B315/100))-(0.4980013/(SQRT(B315/100)))+2.137988),HLOOKUP(MONTH(A315),ScalarTable,28))))</f>
        <v> </v>
      </c>
      <c r="D315" s="371" t="str">
        <f aca="false">IF(A315="N/A"," ",C315*B315)</f>
        <v> </v>
      </c>
      <c r="E315" s="369" t="str">
        <f aca="false">IF(A315="N/A"," ",IF(ISERROR(M315),E303*Inputs!$F$19,M315))</f>
        <v> </v>
      </c>
      <c r="F315" s="371" t="str">
        <f aca="false">IF(A315="N/A"," ",E315*C315)</f>
        <v> </v>
      </c>
      <c r="G315" s="369" t="str">
        <f aca="false">IF(A315="N/A"," ",IF(ISERROR(N315),G303*Inputs!$F$19,N315))</f>
        <v> </v>
      </c>
      <c r="H315" s="371" t="str">
        <f aca="false">IF(A315="N/A"," ",G315*C315)</f>
        <v> </v>
      </c>
      <c r="I315" s="371" t="str">
        <f aca="false">IF(A315="N/A"," ",IF(ISERROR(O315),I303*Inputs!$F$19,O315))</f>
        <v> </v>
      </c>
      <c r="J315" s="372" t="str">
        <f aca="false">IF(A315="N/A"," ",IF(ISERROR(P315),J303*Inputs!$F$23,P315))</f>
        <v> </v>
      </c>
      <c r="L315" s="374" t="str">
        <f aca="false">IF(A315="N/A"," ",VLOOKUP(A315,PeakPowerCurves,(IF('Pricing Inputs'!$AT$3=2,3,IF('Pricing Inputs'!$AT$3=1,2,4))),FALSE()))</f>
        <v> </v>
      </c>
      <c r="M315" s="374" t="str">
        <f aca="false">IF(A315="N/A"," ",VLOOKUP(A315,SatSunPeakPwr,(IF('Pricing Inputs'!$AT$3=2,3,IF('Pricing Inputs'!$AT$3=1,2,4))),FALSE()))</f>
        <v> </v>
      </c>
      <c r="N315" s="374" t="str">
        <f aca="false">IF(A315="N/A"," ",VLOOKUP(A315,SatSunPeakPwr,(IF('Pricing Inputs'!$AT$3=2,7,IF('Pricing Inputs'!$AT$3=1,6,8))),FALSE()))</f>
        <v> </v>
      </c>
      <c r="O315" s="375" t="str">
        <f aca="false">IF(A315="N/A"," ",(VLOOKUP(A315,OPPowerPrices,(IF('Pricing Inputs'!$AT$3=2,7,IF('Pricing Inputs'!$AT$3=1,6,8))),FALSE())))</f>
        <v> </v>
      </c>
      <c r="P315" s="376" t="str">
        <f aca="false">IF(A315="N/A"," ",(VLOOKUP(A315,GasCurves,15,FALSE())))</f>
        <v> </v>
      </c>
    </row>
    <row r="316" customFormat="false" ht="12.75" hidden="false" customHeight="false" outlineLevel="0" collapsed="false">
      <c r="A316" s="368" t="str">
        <f aca="false">Calculations!A283</f>
        <v>N/A</v>
      </c>
      <c r="B316" s="369" t="str">
        <f aca="false">IF(A316="N/A"," ",IF(ISERROR(L316),B304*Inputs!$F$19,L316))</f>
        <v> </v>
      </c>
      <c r="C316" s="370" t="str">
        <f aca="false">IF(A316="N/A"," ",(IF(AND(MONTH(A316)&gt;=6,MONTH(A316)&lt;=8,OR($K$37="REGION 2",$K$37="REGION 2A",$K$37="REGION 2B",$K$37="REGION 3",$K$37="REGION 3A",$K$37="REGION 3B",$K$37="REGION 4",$K$37="REGION 4B",$K$37="REGION 4C",$K$37="REGION 5",$K$37="REGION 5A")),((0.059228/(B316/100))-(0.4980013/(SQRT(B316/100)))+2.137988),HLOOKUP(MONTH(A316),ScalarTable,28))))</f>
        <v> </v>
      </c>
      <c r="D316" s="371" t="str">
        <f aca="false">IF(A316="N/A"," ",C316*B316)</f>
        <v> </v>
      </c>
      <c r="E316" s="369" t="str">
        <f aca="false">IF(A316="N/A"," ",IF(ISERROR(M316),E304*Inputs!$F$19,M316))</f>
        <v> </v>
      </c>
      <c r="F316" s="371" t="str">
        <f aca="false">IF(A316="N/A"," ",E316*C316)</f>
        <v> </v>
      </c>
      <c r="G316" s="369" t="str">
        <f aca="false">IF(A316="N/A"," ",IF(ISERROR(N316),G304*Inputs!$F$19,N316))</f>
        <v> </v>
      </c>
      <c r="H316" s="371" t="str">
        <f aca="false">IF(A316="N/A"," ",G316*C316)</f>
        <v> </v>
      </c>
      <c r="I316" s="371" t="str">
        <f aca="false">IF(A316="N/A"," ",IF(ISERROR(O316),I304*Inputs!$F$19,O316))</f>
        <v> </v>
      </c>
      <c r="J316" s="372" t="str">
        <f aca="false">IF(A316="N/A"," ",IF(ISERROR(P316),J304*Inputs!$F$23,P316))</f>
        <v> </v>
      </c>
      <c r="L316" s="374" t="str">
        <f aca="false">IF(A316="N/A"," ",VLOOKUP(A316,PeakPowerCurves,(IF('Pricing Inputs'!$AT$3=2,3,IF('Pricing Inputs'!$AT$3=1,2,4))),FALSE()))</f>
        <v> </v>
      </c>
      <c r="M316" s="374" t="str">
        <f aca="false">IF(A316="N/A"," ",VLOOKUP(A316,SatSunPeakPwr,(IF('Pricing Inputs'!$AT$3=2,3,IF('Pricing Inputs'!$AT$3=1,2,4))),FALSE()))</f>
        <v> </v>
      </c>
      <c r="N316" s="374" t="str">
        <f aca="false">IF(A316="N/A"," ",VLOOKUP(A316,SatSunPeakPwr,(IF('Pricing Inputs'!$AT$3=2,7,IF('Pricing Inputs'!$AT$3=1,6,8))),FALSE()))</f>
        <v> </v>
      </c>
      <c r="O316" s="375" t="str">
        <f aca="false">IF(A316="N/A"," ",(VLOOKUP(A316,OPPowerPrices,(IF('Pricing Inputs'!$AT$3=2,7,IF('Pricing Inputs'!$AT$3=1,6,8))),FALSE())))</f>
        <v> </v>
      </c>
      <c r="P316" s="376" t="str">
        <f aca="false">IF(A316="N/A"," ",(VLOOKUP(A316,GasCurves,15,FALSE())))</f>
        <v> </v>
      </c>
    </row>
    <row r="317" customFormat="false" ht="12.75" hidden="false" customHeight="false" outlineLevel="0" collapsed="false">
      <c r="A317" s="368" t="str">
        <f aca="false">Calculations!A284</f>
        <v>N/A</v>
      </c>
      <c r="B317" s="369" t="str">
        <f aca="false">IF(A317="N/A"," ",IF(ISERROR(L317),B305*Inputs!$F$19,L317))</f>
        <v> </v>
      </c>
      <c r="C317" s="370" t="str">
        <f aca="false">IF(A317="N/A"," ",(IF(AND(MONTH(A317)&gt;=6,MONTH(A317)&lt;=8,OR($K$37="REGION 2",$K$37="REGION 2A",$K$37="REGION 2B",$K$37="REGION 3",$K$37="REGION 3A",$K$37="REGION 3B",$K$37="REGION 4",$K$37="REGION 4B",$K$37="REGION 4C",$K$37="REGION 5",$K$37="REGION 5A")),((0.059228/(B317/100))-(0.4980013/(SQRT(B317/100)))+2.137988),HLOOKUP(MONTH(A317),ScalarTable,28))))</f>
        <v> </v>
      </c>
      <c r="D317" s="371" t="str">
        <f aca="false">IF(A317="N/A"," ",C317*B317)</f>
        <v> </v>
      </c>
      <c r="E317" s="369" t="str">
        <f aca="false">IF(A317="N/A"," ",IF(ISERROR(M317),E305*Inputs!$F$19,M317))</f>
        <v> </v>
      </c>
      <c r="F317" s="371" t="str">
        <f aca="false">IF(A317="N/A"," ",E317*C317)</f>
        <v> </v>
      </c>
      <c r="G317" s="369" t="str">
        <f aca="false">IF(A317="N/A"," ",IF(ISERROR(N317),G305*Inputs!$F$19,N317))</f>
        <v> </v>
      </c>
      <c r="H317" s="371" t="str">
        <f aca="false">IF(A317="N/A"," ",G317*C317)</f>
        <v> </v>
      </c>
      <c r="I317" s="371" t="str">
        <f aca="false">IF(A317="N/A"," ",IF(ISERROR(O317),I305*Inputs!$F$19,O317))</f>
        <v> </v>
      </c>
      <c r="J317" s="372" t="str">
        <f aca="false">IF(A317="N/A"," ",IF(ISERROR(P317),J305*Inputs!$F$23,P317))</f>
        <v> </v>
      </c>
      <c r="L317" s="374" t="str">
        <f aca="false">IF(A317="N/A"," ",VLOOKUP(A317,PeakPowerCurves,(IF('Pricing Inputs'!$AT$3=2,3,IF('Pricing Inputs'!$AT$3=1,2,4))),FALSE()))</f>
        <v> </v>
      </c>
      <c r="M317" s="374" t="str">
        <f aca="false">IF(A317="N/A"," ",VLOOKUP(A317,SatSunPeakPwr,(IF('Pricing Inputs'!$AT$3=2,3,IF('Pricing Inputs'!$AT$3=1,2,4))),FALSE()))</f>
        <v> </v>
      </c>
      <c r="N317" s="374" t="str">
        <f aca="false">IF(A317="N/A"," ",VLOOKUP(A317,SatSunPeakPwr,(IF('Pricing Inputs'!$AT$3=2,7,IF('Pricing Inputs'!$AT$3=1,6,8))),FALSE()))</f>
        <v> </v>
      </c>
      <c r="O317" s="375" t="str">
        <f aca="false">IF(A317="N/A"," ",(VLOOKUP(A317,OPPowerPrices,(IF('Pricing Inputs'!$AT$3=2,7,IF('Pricing Inputs'!$AT$3=1,6,8))),FALSE())))</f>
        <v> </v>
      </c>
      <c r="P317" s="376" t="str">
        <f aca="false">IF(A317="N/A"," ",(VLOOKUP(A317,GasCurves,15,FALSE())))</f>
        <v> </v>
      </c>
    </row>
    <row r="318" customFormat="false" ht="12.75" hidden="false" customHeight="false" outlineLevel="0" collapsed="false">
      <c r="A318" s="368" t="str">
        <f aca="false">Calculations!A285</f>
        <v>N/A</v>
      </c>
      <c r="B318" s="369" t="str">
        <f aca="false">IF(A318="N/A"," ",IF(ISERROR(L318),B306*Inputs!$F$19,L318))</f>
        <v> </v>
      </c>
      <c r="C318" s="370" t="str">
        <f aca="false">IF(A318="N/A"," ",(IF(AND(MONTH(A318)&gt;=6,MONTH(A318)&lt;=8,OR($K$37="REGION 2",$K$37="REGION 2A",$K$37="REGION 2B",$K$37="REGION 3",$K$37="REGION 3A",$K$37="REGION 3B",$K$37="REGION 4",$K$37="REGION 4B",$K$37="REGION 4C",$K$37="REGION 5",$K$37="REGION 5A")),((0.059228/(B318/100))-(0.4980013/(SQRT(B318/100)))+2.137988),HLOOKUP(MONTH(A318),ScalarTable,28))))</f>
        <v> </v>
      </c>
      <c r="D318" s="371" t="str">
        <f aca="false">IF(A318="N/A"," ",C318*B318)</f>
        <v> </v>
      </c>
      <c r="E318" s="369" t="str">
        <f aca="false">IF(A318="N/A"," ",IF(ISERROR(M318),E306*Inputs!$F$19,M318))</f>
        <v> </v>
      </c>
      <c r="F318" s="371" t="str">
        <f aca="false">IF(A318="N/A"," ",E318*C318)</f>
        <v> </v>
      </c>
      <c r="G318" s="369" t="str">
        <f aca="false">IF(A318="N/A"," ",IF(ISERROR(N318),G306*Inputs!$F$19,N318))</f>
        <v> </v>
      </c>
      <c r="H318" s="371" t="str">
        <f aca="false">IF(A318="N/A"," ",G318*C318)</f>
        <v> </v>
      </c>
      <c r="I318" s="371" t="str">
        <f aca="false">IF(A318="N/A"," ",IF(ISERROR(O318),I306*Inputs!$F$19,O318))</f>
        <v> </v>
      </c>
      <c r="J318" s="372" t="str">
        <f aca="false">IF(A318="N/A"," ",IF(ISERROR(P318),J306*Inputs!$F$23,P318))</f>
        <v> </v>
      </c>
      <c r="L318" s="374" t="str">
        <f aca="false">IF(A318="N/A"," ",VLOOKUP(A318,PeakPowerCurves,(IF('Pricing Inputs'!$AT$3=2,3,IF('Pricing Inputs'!$AT$3=1,2,4))),FALSE()))</f>
        <v> </v>
      </c>
      <c r="M318" s="374" t="str">
        <f aca="false">IF(A318="N/A"," ",VLOOKUP(A318,SatSunPeakPwr,(IF('Pricing Inputs'!$AT$3=2,3,IF('Pricing Inputs'!$AT$3=1,2,4))),FALSE()))</f>
        <v> </v>
      </c>
      <c r="N318" s="374" t="str">
        <f aca="false">IF(A318="N/A"," ",VLOOKUP(A318,SatSunPeakPwr,(IF('Pricing Inputs'!$AT$3=2,7,IF('Pricing Inputs'!$AT$3=1,6,8))),FALSE()))</f>
        <v> </v>
      </c>
      <c r="O318" s="375" t="str">
        <f aca="false">IF(A318="N/A"," ",(VLOOKUP(A318,OPPowerPrices,(IF('Pricing Inputs'!$AT$3=2,7,IF('Pricing Inputs'!$AT$3=1,6,8))),FALSE())))</f>
        <v> </v>
      </c>
      <c r="P318" s="376" t="str">
        <f aca="false">IF(A318="N/A"," ",(VLOOKUP(A318,GasCurves,15,FALSE())))</f>
        <v> </v>
      </c>
    </row>
    <row r="319" customFormat="false" ht="12.75" hidden="false" customHeight="false" outlineLevel="0" collapsed="false">
      <c r="A319" s="368" t="str">
        <f aca="false">Calculations!A286</f>
        <v>N/A</v>
      </c>
      <c r="B319" s="369" t="str">
        <f aca="false">IF(A319="N/A"," ",IF(ISERROR(L319),B307*Inputs!$F$19,L319))</f>
        <v> </v>
      </c>
      <c r="C319" s="370" t="str">
        <f aca="false">IF(A319="N/A"," ",(IF(AND(MONTH(A319)&gt;=6,MONTH(A319)&lt;=8,OR($K$37="REGION 2",$K$37="REGION 2A",$K$37="REGION 2B",$K$37="REGION 3",$K$37="REGION 3A",$K$37="REGION 3B",$K$37="REGION 4",$K$37="REGION 4B",$K$37="REGION 4C",$K$37="REGION 5",$K$37="REGION 5A")),((0.059228/(B319/100))-(0.4980013/(SQRT(B319/100)))+2.137988),HLOOKUP(MONTH(A319),ScalarTable,28))))</f>
        <v> </v>
      </c>
      <c r="D319" s="371" t="str">
        <f aca="false">IF(A319="N/A"," ",C319*B319)</f>
        <v> </v>
      </c>
      <c r="E319" s="369" t="str">
        <f aca="false">IF(A319="N/A"," ",IF(ISERROR(M319),E307*Inputs!$F$19,M319))</f>
        <v> </v>
      </c>
      <c r="F319" s="371" t="str">
        <f aca="false">IF(A319="N/A"," ",E319*C319)</f>
        <v> </v>
      </c>
      <c r="G319" s="369" t="str">
        <f aca="false">IF(A319="N/A"," ",IF(ISERROR(N319),G307*Inputs!$F$19,N319))</f>
        <v> </v>
      </c>
      <c r="H319" s="371" t="str">
        <f aca="false">IF(A319="N/A"," ",G319*C319)</f>
        <v> </v>
      </c>
      <c r="I319" s="371" t="str">
        <f aca="false">IF(A319="N/A"," ",IF(ISERROR(O319),I307*Inputs!$F$19,O319))</f>
        <v> </v>
      </c>
      <c r="J319" s="372" t="str">
        <f aca="false">IF(A319="N/A"," ",IF(ISERROR(P319),J307*Inputs!$F$23,P319))</f>
        <v> </v>
      </c>
      <c r="L319" s="374" t="str">
        <f aca="false">IF(A319="N/A"," ",VLOOKUP(A319,PeakPowerCurves,(IF('Pricing Inputs'!$AT$3=2,3,IF('Pricing Inputs'!$AT$3=1,2,4))),FALSE()))</f>
        <v> </v>
      </c>
      <c r="M319" s="374" t="str">
        <f aca="false">IF(A319="N/A"," ",VLOOKUP(A319,SatSunPeakPwr,(IF('Pricing Inputs'!$AT$3=2,3,IF('Pricing Inputs'!$AT$3=1,2,4))),FALSE()))</f>
        <v> </v>
      </c>
      <c r="N319" s="374" t="str">
        <f aca="false">IF(A319="N/A"," ",VLOOKUP(A319,SatSunPeakPwr,(IF('Pricing Inputs'!$AT$3=2,7,IF('Pricing Inputs'!$AT$3=1,6,8))),FALSE()))</f>
        <v> </v>
      </c>
      <c r="O319" s="375" t="str">
        <f aca="false">IF(A319="N/A"," ",(VLOOKUP(A319,OPPowerPrices,(IF('Pricing Inputs'!$AT$3=2,7,IF('Pricing Inputs'!$AT$3=1,6,8))),FALSE())))</f>
        <v> </v>
      </c>
      <c r="P319" s="376" t="str">
        <f aca="false">IF(A319="N/A"," ",(VLOOKUP(A319,GasCurves,15,FALSE())))</f>
        <v> </v>
      </c>
    </row>
    <row r="320" customFormat="false" ht="12.75" hidden="false" customHeight="false" outlineLevel="0" collapsed="false">
      <c r="A320" s="368" t="str">
        <f aca="false">Calculations!A287</f>
        <v>N/A</v>
      </c>
      <c r="B320" s="369" t="str">
        <f aca="false">IF(A320="N/A"," ",IF(ISERROR(L320),B308*Inputs!$F$19,L320))</f>
        <v> </v>
      </c>
      <c r="C320" s="370" t="str">
        <f aca="false">IF(A320="N/A"," ",(IF(AND(MONTH(A320)&gt;=6,MONTH(A320)&lt;=8,OR($K$37="REGION 2",$K$37="REGION 2A",$K$37="REGION 2B",$K$37="REGION 3",$K$37="REGION 3A",$K$37="REGION 3B",$K$37="REGION 4",$K$37="REGION 4B",$K$37="REGION 4C",$K$37="REGION 5",$K$37="REGION 5A")),((0.059228/(B320/100))-(0.4980013/(SQRT(B320/100)))+2.137988),HLOOKUP(MONTH(A320),ScalarTable,28))))</f>
        <v> </v>
      </c>
      <c r="D320" s="371" t="str">
        <f aca="false">IF(A320="N/A"," ",C320*B320)</f>
        <v> </v>
      </c>
      <c r="E320" s="369" t="str">
        <f aca="false">IF(A320="N/A"," ",IF(ISERROR(M320),E308*Inputs!$F$19,M320))</f>
        <v> </v>
      </c>
      <c r="F320" s="371" t="str">
        <f aca="false">IF(A320="N/A"," ",E320*C320)</f>
        <v> </v>
      </c>
      <c r="G320" s="369" t="str">
        <f aca="false">IF(A320="N/A"," ",IF(ISERROR(N320),G308*Inputs!$F$19,N320))</f>
        <v> </v>
      </c>
      <c r="H320" s="371" t="str">
        <f aca="false">IF(A320="N/A"," ",G320*C320)</f>
        <v> </v>
      </c>
      <c r="I320" s="371" t="str">
        <f aca="false">IF(A320="N/A"," ",IF(ISERROR(O320),I308*Inputs!$F$19,O320))</f>
        <v> </v>
      </c>
      <c r="J320" s="372" t="str">
        <f aca="false">IF(A320="N/A"," ",IF(ISERROR(P320),J308*Inputs!$F$23,P320))</f>
        <v> </v>
      </c>
      <c r="L320" s="374" t="str">
        <f aca="false">IF(A320="N/A"," ",VLOOKUP(A320,PeakPowerCurves,(IF('Pricing Inputs'!$AT$3=2,3,IF('Pricing Inputs'!$AT$3=1,2,4))),FALSE()))</f>
        <v> </v>
      </c>
      <c r="M320" s="374" t="str">
        <f aca="false">IF(A320="N/A"," ",VLOOKUP(A320,SatSunPeakPwr,(IF('Pricing Inputs'!$AT$3=2,3,IF('Pricing Inputs'!$AT$3=1,2,4))),FALSE()))</f>
        <v> </v>
      </c>
      <c r="N320" s="374" t="str">
        <f aca="false">IF(A320="N/A"," ",VLOOKUP(A320,SatSunPeakPwr,(IF('Pricing Inputs'!$AT$3=2,7,IF('Pricing Inputs'!$AT$3=1,6,8))),FALSE()))</f>
        <v> </v>
      </c>
      <c r="O320" s="375" t="str">
        <f aca="false">IF(A320="N/A"," ",(VLOOKUP(A320,OPPowerPrices,(IF('Pricing Inputs'!$AT$3=2,7,IF('Pricing Inputs'!$AT$3=1,6,8))),FALSE())))</f>
        <v> </v>
      </c>
      <c r="P320" s="376" t="str">
        <f aca="false">IF(A320="N/A"," ",(VLOOKUP(A320,GasCurves,15,FALSE())))</f>
        <v> </v>
      </c>
    </row>
    <row r="321" customFormat="false" ht="12.75" hidden="false" customHeight="false" outlineLevel="0" collapsed="false">
      <c r="A321" s="368" t="str">
        <f aca="false">Calculations!A288</f>
        <v>N/A</v>
      </c>
      <c r="B321" s="369" t="str">
        <f aca="false">IF(A321="N/A"," ",IF(ISERROR(L321),B309*Inputs!$F$19,L321))</f>
        <v> </v>
      </c>
      <c r="C321" s="370" t="str">
        <f aca="false">IF(A321="N/A"," ",(IF(AND(MONTH(A321)&gt;=6,MONTH(A321)&lt;=8,OR($K$37="REGION 2",$K$37="REGION 2A",$K$37="REGION 2B",$K$37="REGION 3",$K$37="REGION 3A",$K$37="REGION 3B",$K$37="REGION 4",$K$37="REGION 4B",$K$37="REGION 4C",$K$37="REGION 5",$K$37="REGION 5A")),((0.059228/(B321/100))-(0.4980013/(SQRT(B321/100)))+2.137988),HLOOKUP(MONTH(A321),ScalarTable,28))))</f>
        <v> </v>
      </c>
      <c r="D321" s="371" t="str">
        <f aca="false">IF(A321="N/A"," ",C321*B321)</f>
        <v> </v>
      </c>
      <c r="E321" s="369" t="str">
        <f aca="false">IF(A321="N/A"," ",IF(ISERROR(M321),E309*Inputs!$F$19,M321))</f>
        <v> </v>
      </c>
      <c r="F321" s="371" t="str">
        <f aca="false">IF(A321="N/A"," ",E321*C321)</f>
        <v> </v>
      </c>
      <c r="G321" s="369" t="str">
        <f aca="false">IF(A321="N/A"," ",IF(ISERROR(N321),G309*Inputs!$F$19,N321))</f>
        <v> </v>
      </c>
      <c r="H321" s="371" t="str">
        <f aca="false">IF(A321="N/A"," ",G321*C321)</f>
        <v> </v>
      </c>
      <c r="I321" s="371" t="str">
        <f aca="false">IF(A321="N/A"," ",IF(ISERROR(O321),I309*Inputs!$F$19,O321))</f>
        <v> </v>
      </c>
      <c r="J321" s="372" t="str">
        <f aca="false">IF(A321="N/A"," ",IF(ISERROR(P321),J309*Inputs!$F$23,P321))</f>
        <v> </v>
      </c>
      <c r="L321" s="374" t="str">
        <f aca="false">IF(A321="N/A"," ",VLOOKUP(A321,PeakPowerCurves,(IF('Pricing Inputs'!$AT$3=2,3,IF('Pricing Inputs'!$AT$3=1,2,4))),FALSE()))</f>
        <v> </v>
      </c>
      <c r="M321" s="374" t="str">
        <f aca="false">IF(A321="N/A"," ",VLOOKUP(A321,SatSunPeakPwr,(IF('Pricing Inputs'!$AT$3=2,3,IF('Pricing Inputs'!$AT$3=1,2,4))),FALSE()))</f>
        <v> </v>
      </c>
      <c r="N321" s="374" t="str">
        <f aca="false">IF(A321="N/A"," ",VLOOKUP(A321,SatSunPeakPwr,(IF('Pricing Inputs'!$AT$3=2,7,IF('Pricing Inputs'!$AT$3=1,6,8))),FALSE()))</f>
        <v> </v>
      </c>
      <c r="O321" s="375" t="str">
        <f aca="false">IF(A321="N/A"," ",(VLOOKUP(A321,OPPowerPrices,(IF('Pricing Inputs'!$AT$3=2,7,IF('Pricing Inputs'!$AT$3=1,6,8))),FALSE())))</f>
        <v> </v>
      </c>
      <c r="P321" s="376" t="str">
        <f aca="false">IF(A321="N/A"," ",(VLOOKUP(A321,GasCurves,15,FALSE())))</f>
        <v> </v>
      </c>
    </row>
    <row r="322" customFormat="false" ht="12.75" hidden="false" customHeight="false" outlineLevel="0" collapsed="false">
      <c r="A322" s="368" t="str">
        <f aca="false">Calculations!A289</f>
        <v>N/A</v>
      </c>
      <c r="B322" s="369" t="str">
        <f aca="false">IF(A322="N/A"," ",IF(ISERROR(L322),B310*Inputs!$F$19,L322))</f>
        <v> </v>
      </c>
      <c r="C322" s="370" t="str">
        <f aca="false">IF(A322="N/A"," ",(IF(AND(MONTH(A322)&gt;=6,MONTH(A322)&lt;=8,OR($K$37="REGION 2",$K$37="REGION 2A",$K$37="REGION 2B",$K$37="REGION 3",$K$37="REGION 3A",$K$37="REGION 3B",$K$37="REGION 4",$K$37="REGION 4B",$K$37="REGION 4C",$K$37="REGION 5",$K$37="REGION 5A")),((0.059228/(B322/100))-(0.4980013/(SQRT(B322/100)))+2.137988),HLOOKUP(MONTH(A322),ScalarTable,28))))</f>
        <v> </v>
      </c>
      <c r="D322" s="371" t="str">
        <f aca="false">IF(A322="N/A"," ",C322*B322)</f>
        <v> </v>
      </c>
      <c r="E322" s="369" t="str">
        <f aca="false">IF(A322="N/A"," ",IF(ISERROR(M322),E310*Inputs!$F$19,M322))</f>
        <v> </v>
      </c>
      <c r="F322" s="371" t="str">
        <f aca="false">IF(A322="N/A"," ",E322*C322)</f>
        <v> </v>
      </c>
      <c r="G322" s="369" t="str">
        <f aca="false">IF(A322="N/A"," ",IF(ISERROR(N322),G310*Inputs!$F$19,N322))</f>
        <v> </v>
      </c>
      <c r="H322" s="371" t="str">
        <f aca="false">IF(A322="N/A"," ",G322*C322)</f>
        <v> </v>
      </c>
      <c r="I322" s="371" t="str">
        <f aca="false">IF(A322="N/A"," ",IF(ISERROR(O322),I310*Inputs!$F$19,O322))</f>
        <v> </v>
      </c>
      <c r="J322" s="372" t="str">
        <f aca="false">IF(A322="N/A"," ",IF(ISERROR(P322),J310*Inputs!$F$23,P322))</f>
        <v> </v>
      </c>
      <c r="L322" s="374" t="str">
        <f aca="false">IF(A322="N/A"," ",VLOOKUP(A322,PeakPowerCurves,(IF('Pricing Inputs'!$AT$3=2,3,IF('Pricing Inputs'!$AT$3=1,2,4))),FALSE()))</f>
        <v> </v>
      </c>
      <c r="M322" s="374" t="str">
        <f aca="false">IF(A322="N/A"," ",VLOOKUP(A322,SatSunPeakPwr,(IF('Pricing Inputs'!$AT$3=2,3,IF('Pricing Inputs'!$AT$3=1,2,4))),FALSE()))</f>
        <v> </v>
      </c>
      <c r="N322" s="374" t="str">
        <f aca="false">IF(A322="N/A"," ",VLOOKUP(A322,SatSunPeakPwr,(IF('Pricing Inputs'!$AT$3=2,7,IF('Pricing Inputs'!$AT$3=1,6,8))),FALSE()))</f>
        <v> </v>
      </c>
      <c r="O322" s="375" t="str">
        <f aca="false">IF(A322="N/A"," ",(VLOOKUP(A322,OPPowerPrices,(IF('Pricing Inputs'!$AT$3=2,7,IF('Pricing Inputs'!$AT$3=1,6,8))),FALSE())))</f>
        <v> </v>
      </c>
      <c r="P322" s="376" t="str">
        <f aca="false">IF(A322="N/A"," ",(VLOOKUP(A322,GasCurves,15,FALSE())))</f>
        <v> </v>
      </c>
    </row>
    <row r="323" customFormat="false" ht="12.75" hidden="false" customHeight="false" outlineLevel="0" collapsed="false">
      <c r="A323" s="368" t="str">
        <f aca="false">Calculations!A290</f>
        <v>N/A</v>
      </c>
      <c r="B323" s="369" t="str">
        <f aca="false">IF(A323="N/A"," ",IF(ISERROR(L323),B311*Inputs!$F$19,L323))</f>
        <v> </v>
      </c>
      <c r="C323" s="370" t="str">
        <f aca="false">IF(A323="N/A"," ",(IF(AND(MONTH(A323)&gt;=6,MONTH(A323)&lt;=8,OR($K$37="REGION 2",$K$37="REGION 2A",$K$37="REGION 2B",$K$37="REGION 3",$K$37="REGION 3A",$K$37="REGION 3B",$K$37="REGION 4",$K$37="REGION 4B",$K$37="REGION 4C",$K$37="REGION 5",$K$37="REGION 5A")),((0.059228/(B323/100))-(0.4980013/(SQRT(B323/100)))+2.137988),HLOOKUP(MONTH(A323),ScalarTable,28))))</f>
        <v> </v>
      </c>
      <c r="D323" s="371" t="str">
        <f aca="false">IF(A323="N/A"," ",C323*B323)</f>
        <v> </v>
      </c>
      <c r="E323" s="369" t="str">
        <f aca="false">IF(A323="N/A"," ",IF(ISERROR(M323),E311*Inputs!$F$19,M323))</f>
        <v> </v>
      </c>
      <c r="F323" s="371" t="str">
        <f aca="false">IF(A323="N/A"," ",E323*C323)</f>
        <v> </v>
      </c>
      <c r="G323" s="369" t="str">
        <f aca="false">IF(A323="N/A"," ",IF(ISERROR(N323),G311*Inputs!$F$19,N323))</f>
        <v> </v>
      </c>
      <c r="H323" s="371" t="str">
        <f aca="false">IF(A323="N/A"," ",G323*C323)</f>
        <v> </v>
      </c>
      <c r="I323" s="371" t="str">
        <f aca="false">IF(A323="N/A"," ",IF(ISERROR(O323),I311*Inputs!$F$19,O323))</f>
        <v> </v>
      </c>
      <c r="J323" s="372" t="str">
        <f aca="false">IF(A323="N/A"," ",IF(ISERROR(P323),J311*Inputs!$F$23,P323))</f>
        <v> </v>
      </c>
      <c r="L323" s="374" t="str">
        <f aca="false">IF(A323="N/A"," ",VLOOKUP(A323,PeakPowerCurves,(IF('Pricing Inputs'!$AT$3=2,3,IF('Pricing Inputs'!$AT$3=1,2,4))),FALSE()))</f>
        <v> </v>
      </c>
      <c r="M323" s="374" t="str">
        <f aca="false">IF(A323="N/A"," ",VLOOKUP(A323,SatSunPeakPwr,(IF('Pricing Inputs'!$AT$3=2,3,IF('Pricing Inputs'!$AT$3=1,2,4))),FALSE()))</f>
        <v> </v>
      </c>
      <c r="N323" s="374" t="str">
        <f aca="false">IF(A323="N/A"," ",VLOOKUP(A323,SatSunPeakPwr,(IF('Pricing Inputs'!$AT$3=2,7,IF('Pricing Inputs'!$AT$3=1,6,8))),FALSE()))</f>
        <v> </v>
      </c>
      <c r="O323" s="375" t="str">
        <f aca="false">IF(A323="N/A"," ",(VLOOKUP(A323,OPPowerPrices,(IF('Pricing Inputs'!$AT$3=2,7,IF('Pricing Inputs'!$AT$3=1,6,8))),FALSE())))</f>
        <v> </v>
      </c>
      <c r="P323" s="376" t="str">
        <f aca="false">IF(A323="N/A"," ",(VLOOKUP(A323,GasCurves,15,FALSE())))</f>
        <v> </v>
      </c>
    </row>
    <row r="324" customFormat="false" ht="12.75" hidden="false" customHeight="false" outlineLevel="0" collapsed="false">
      <c r="A324" s="368" t="str">
        <f aca="false">Calculations!A291</f>
        <v>N/A</v>
      </c>
      <c r="B324" s="369" t="str">
        <f aca="false">IF(A324="N/A"," ",IF(ISERROR(L324),B312*Inputs!$F$19,L324))</f>
        <v> </v>
      </c>
      <c r="C324" s="370" t="str">
        <f aca="false">IF(A324="N/A"," ",(IF(AND(MONTH(A324)&gt;=6,MONTH(A324)&lt;=8,OR($K$37="REGION 2",$K$37="REGION 2A",$K$37="REGION 2B",$K$37="REGION 3",$K$37="REGION 3A",$K$37="REGION 3B",$K$37="REGION 4",$K$37="REGION 4B",$K$37="REGION 4C",$K$37="REGION 5",$K$37="REGION 5A")),((0.059228/(B324/100))-(0.4980013/(SQRT(B324/100)))+2.137988),HLOOKUP(MONTH(A324),ScalarTable,28))))</f>
        <v> </v>
      </c>
      <c r="D324" s="371" t="str">
        <f aca="false">IF(A324="N/A"," ",C324*B324)</f>
        <v> </v>
      </c>
      <c r="E324" s="369" t="str">
        <f aca="false">IF(A324="N/A"," ",IF(ISERROR(M324),E312*Inputs!$F$19,M324))</f>
        <v> </v>
      </c>
      <c r="F324" s="371" t="str">
        <f aca="false">IF(A324="N/A"," ",E324*C324)</f>
        <v> </v>
      </c>
      <c r="G324" s="369" t="str">
        <f aca="false">IF(A324="N/A"," ",IF(ISERROR(N324),G312*Inputs!$F$19,N324))</f>
        <v> </v>
      </c>
      <c r="H324" s="371" t="str">
        <f aca="false">IF(A324="N/A"," ",G324*C324)</f>
        <v> </v>
      </c>
      <c r="I324" s="371" t="str">
        <f aca="false">IF(A324="N/A"," ",IF(ISERROR(O324),I312*Inputs!$F$19,O324))</f>
        <v> </v>
      </c>
      <c r="J324" s="372" t="str">
        <f aca="false">IF(A324="N/A"," ",IF(ISERROR(P324),J312*Inputs!$F$23,P324))</f>
        <v> </v>
      </c>
      <c r="L324" s="374" t="str">
        <f aca="false">IF(A324="N/A"," ",VLOOKUP(A324,PeakPowerCurves,(IF('Pricing Inputs'!$AT$3=2,3,IF('Pricing Inputs'!$AT$3=1,2,4))),FALSE()))</f>
        <v> </v>
      </c>
      <c r="M324" s="374" t="str">
        <f aca="false">IF(A324="N/A"," ",VLOOKUP(A324,SatSunPeakPwr,(IF('Pricing Inputs'!$AT$3=2,3,IF('Pricing Inputs'!$AT$3=1,2,4))),FALSE()))</f>
        <v> </v>
      </c>
      <c r="N324" s="374" t="str">
        <f aca="false">IF(A324="N/A"," ",VLOOKUP(A324,SatSunPeakPwr,(IF('Pricing Inputs'!$AT$3=2,7,IF('Pricing Inputs'!$AT$3=1,6,8))),FALSE()))</f>
        <v> </v>
      </c>
      <c r="O324" s="375" t="str">
        <f aca="false">IF(A324="N/A"," ",(VLOOKUP(A324,OPPowerPrices,(IF('Pricing Inputs'!$AT$3=2,7,IF('Pricing Inputs'!$AT$3=1,6,8))),FALSE())))</f>
        <v> </v>
      </c>
      <c r="P324" s="376" t="str">
        <f aca="false">IF(A324="N/A"," ",(VLOOKUP(A324,GasCurves,15,FALSE())))</f>
        <v> </v>
      </c>
    </row>
    <row r="325" customFormat="false" ht="12.75" hidden="false" customHeight="false" outlineLevel="0" collapsed="false">
      <c r="A325" s="368" t="str">
        <f aca="false">Calculations!A292</f>
        <v>N/A</v>
      </c>
      <c r="B325" s="369" t="str">
        <f aca="false">IF(A325="N/A"," ",IF(ISERROR(L325),B313*Inputs!$F$19,L325))</f>
        <v> </v>
      </c>
      <c r="C325" s="370" t="str">
        <f aca="false">IF(A325="N/A"," ",(IF(AND(MONTH(A325)&gt;=6,MONTH(A325)&lt;=8,OR($K$37="REGION 2",$K$37="REGION 2A",$K$37="REGION 2B",$K$37="REGION 3",$K$37="REGION 3A",$K$37="REGION 3B",$K$37="REGION 4",$K$37="REGION 4B",$K$37="REGION 4C",$K$37="REGION 5",$K$37="REGION 5A")),((0.059228/(B325/100))-(0.4980013/(SQRT(B325/100)))+2.137988),HLOOKUP(MONTH(A325),ScalarTable,28))))</f>
        <v> </v>
      </c>
      <c r="D325" s="371" t="str">
        <f aca="false">IF(A325="N/A"," ",C325*B325)</f>
        <v> </v>
      </c>
      <c r="E325" s="369" t="str">
        <f aca="false">IF(A325="N/A"," ",IF(ISERROR(M325),E313*Inputs!$F$19,M325))</f>
        <v> </v>
      </c>
      <c r="F325" s="371" t="str">
        <f aca="false">IF(A325="N/A"," ",E325*C325)</f>
        <v> </v>
      </c>
      <c r="G325" s="369" t="str">
        <f aca="false">IF(A325="N/A"," ",IF(ISERROR(N325),G313*Inputs!$F$19,N325))</f>
        <v> </v>
      </c>
      <c r="H325" s="371" t="str">
        <f aca="false">IF(A325="N/A"," ",G325*C325)</f>
        <v> </v>
      </c>
      <c r="I325" s="371" t="str">
        <f aca="false">IF(A325="N/A"," ",IF(ISERROR(O325),I313*Inputs!$F$19,O325))</f>
        <v> </v>
      </c>
      <c r="J325" s="372" t="str">
        <f aca="false">IF(A325="N/A"," ",IF(ISERROR(P325),J313*Inputs!$F$23,P325))</f>
        <v> </v>
      </c>
      <c r="L325" s="374" t="str">
        <f aca="false">IF(A325="N/A"," ",VLOOKUP(A325,PeakPowerCurves,(IF('Pricing Inputs'!$AT$3=2,3,IF('Pricing Inputs'!$AT$3=1,2,4))),FALSE()))</f>
        <v> </v>
      </c>
      <c r="M325" s="374" t="str">
        <f aca="false">IF(A325="N/A"," ",VLOOKUP(A325,SatSunPeakPwr,(IF('Pricing Inputs'!$AT$3=2,3,IF('Pricing Inputs'!$AT$3=1,2,4))),FALSE()))</f>
        <v> </v>
      </c>
      <c r="N325" s="374" t="str">
        <f aca="false">IF(A325="N/A"," ",VLOOKUP(A325,SatSunPeakPwr,(IF('Pricing Inputs'!$AT$3=2,7,IF('Pricing Inputs'!$AT$3=1,6,8))),FALSE()))</f>
        <v> </v>
      </c>
      <c r="O325" s="375" t="str">
        <f aca="false">IF(A325="N/A"," ",(VLOOKUP(A325,OPPowerPrices,(IF('Pricing Inputs'!$AT$3=2,7,IF('Pricing Inputs'!$AT$3=1,6,8))),FALSE())))</f>
        <v> </v>
      </c>
      <c r="P325" s="376" t="str">
        <f aca="false">IF(A325="N/A"," ",(VLOOKUP(A325,GasCurves,15,FALSE())))</f>
        <v> </v>
      </c>
    </row>
    <row r="326" customFormat="false" ht="12.75" hidden="false" customHeight="false" outlineLevel="0" collapsed="false">
      <c r="A326" s="368" t="str">
        <f aca="false">Calculations!A293</f>
        <v>N/A</v>
      </c>
      <c r="B326" s="369" t="str">
        <f aca="false">IF(A326="N/A"," ",IF(ISERROR(L326),B314*Inputs!$F$19,L326))</f>
        <v> </v>
      </c>
      <c r="C326" s="370" t="str">
        <f aca="false">IF(A326="N/A"," ",(IF(AND(MONTH(A326)&gt;=6,MONTH(A326)&lt;=8,OR($K$37="REGION 2",$K$37="REGION 2A",$K$37="REGION 2B",$K$37="REGION 3",$K$37="REGION 3A",$K$37="REGION 3B",$K$37="REGION 4",$K$37="REGION 4B",$K$37="REGION 4C",$K$37="REGION 5",$K$37="REGION 5A")),((0.059228/(B326/100))-(0.4980013/(SQRT(B326/100)))+2.137988),HLOOKUP(MONTH(A326),ScalarTable,28))))</f>
        <v> </v>
      </c>
      <c r="D326" s="371" t="str">
        <f aca="false">IF(A326="N/A"," ",C326*B326)</f>
        <v> </v>
      </c>
      <c r="E326" s="369" t="str">
        <f aca="false">IF(A326="N/A"," ",IF(ISERROR(M326),E314*Inputs!$F$19,M326))</f>
        <v> </v>
      </c>
      <c r="F326" s="371" t="str">
        <f aca="false">IF(A326="N/A"," ",E326*C326)</f>
        <v> </v>
      </c>
      <c r="G326" s="369" t="str">
        <f aca="false">IF(A326="N/A"," ",IF(ISERROR(N326),G314*Inputs!$F$19,N326))</f>
        <v> </v>
      </c>
      <c r="H326" s="371" t="str">
        <f aca="false">IF(A326="N/A"," ",G326*C326)</f>
        <v> </v>
      </c>
      <c r="I326" s="371" t="str">
        <f aca="false">IF(A326="N/A"," ",IF(ISERROR(O326),I314*Inputs!$F$19,O326))</f>
        <v> </v>
      </c>
      <c r="J326" s="372" t="str">
        <f aca="false">IF(A326="N/A"," ",IF(ISERROR(P326),J314*Inputs!$F$23,P326))</f>
        <v> </v>
      </c>
      <c r="L326" s="374" t="str">
        <f aca="false">IF(A326="N/A"," ",VLOOKUP(A326,PeakPowerCurves,(IF('Pricing Inputs'!$AT$3=2,3,IF('Pricing Inputs'!$AT$3=1,2,4))),FALSE()))</f>
        <v> </v>
      </c>
      <c r="M326" s="374" t="str">
        <f aca="false">IF(A326="N/A"," ",VLOOKUP(A326,SatSunPeakPwr,(IF('Pricing Inputs'!$AT$3=2,3,IF('Pricing Inputs'!$AT$3=1,2,4))),FALSE()))</f>
        <v> </v>
      </c>
      <c r="N326" s="374" t="str">
        <f aca="false">IF(A326="N/A"," ",VLOOKUP(A326,SatSunPeakPwr,(IF('Pricing Inputs'!$AT$3=2,7,IF('Pricing Inputs'!$AT$3=1,6,8))),FALSE()))</f>
        <v> </v>
      </c>
      <c r="O326" s="375" t="str">
        <f aca="false">IF(A326="N/A"," ",(VLOOKUP(A326,OPPowerPrices,(IF('Pricing Inputs'!$AT$3=2,7,IF('Pricing Inputs'!$AT$3=1,6,8))),FALSE())))</f>
        <v> </v>
      </c>
      <c r="P326" s="376" t="str">
        <f aca="false">IF(A326="N/A"," ",(VLOOKUP(A326,GasCurves,15,FALSE())))</f>
        <v> </v>
      </c>
    </row>
    <row r="327" customFormat="false" ht="12.75" hidden="false" customHeight="false" outlineLevel="0" collapsed="false">
      <c r="A327" s="368" t="str">
        <f aca="false">Calculations!A294</f>
        <v>N/A</v>
      </c>
      <c r="B327" s="369" t="str">
        <f aca="false">IF(A327="N/A"," ",IF(ISERROR(L327),B315*Inputs!$F$19,L327))</f>
        <v> </v>
      </c>
      <c r="C327" s="370" t="str">
        <f aca="false">IF(A327="N/A"," ",(IF(AND(MONTH(A327)&gt;=6,MONTH(A327)&lt;=8,OR($K$37="REGION 2",$K$37="REGION 2A",$K$37="REGION 2B",$K$37="REGION 3",$K$37="REGION 3A",$K$37="REGION 3B",$K$37="REGION 4",$K$37="REGION 4B",$K$37="REGION 4C",$K$37="REGION 5",$K$37="REGION 5A")),((0.059228/(B327/100))-(0.4980013/(SQRT(B327/100)))+2.137988),HLOOKUP(MONTH(A327),ScalarTable,28))))</f>
        <v> </v>
      </c>
      <c r="D327" s="371" t="str">
        <f aca="false">IF(A327="N/A"," ",C327*B327)</f>
        <v> </v>
      </c>
      <c r="E327" s="369" t="str">
        <f aca="false">IF(A327="N/A"," ",IF(ISERROR(M327),E315*Inputs!$F$19,M327))</f>
        <v> </v>
      </c>
      <c r="F327" s="371" t="str">
        <f aca="false">IF(A327="N/A"," ",E327*C327)</f>
        <v> </v>
      </c>
      <c r="G327" s="369" t="str">
        <f aca="false">IF(A327="N/A"," ",IF(ISERROR(N327),G315*Inputs!$F$19,N327))</f>
        <v> </v>
      </c>
      <c r="H327" s="371" t="str">
        <f aca="false">IF(A327="N/A"," ",G327*C327)</f>
        <v> </v>
      </c>
      <c r="I327" s="371" t="str">
        <f aca="false">IF(A327="N/A"," ",IF(ISERROR(O327),I315*Inputs!$F$19,O327))</f>
        <v> </v>
      </c>
      <c r="J327" s="372" t="str">
        <f aca="false">IF(A327="N/A"," ",IF(ISERROR(P327),J315*Inputs!$F$23,P327))</f>
        <v> </v>
      </c>
      <c r="L327" s="374" t="str">
        <f aca="false">IF(A327="N/A"," ",VLOOKUP(A327,PeakPowerCurves,(IF('Pricing Inputs'!$AT$3=2,3,IF('Pricing Inputs'!$AT$3=1,2,4))),FALSE()))</f>
        <v> </v>
      </c>
      <c r="M327" s="374" t="str">
        <f aca="false">IF(A327="N/A"," ",VLOOKUP(A327,SatSunPeakPwr,(IF('Pricing Inputs'!$AT$3=2,3,IF('Pricing Inputs'!$AT$3=1,2,4))),FALSE()))</f>
        <v> </v>
      </c>
      <c r="N327" s="374" t="str">
        <f aca="false">IF(A327="N/A"," ",VLOOKUP(A327,SatSunPeakPwr,(IF('Pricing Inputs'!$AT$3=2,7,IF('Pricing Inputs'!$AT$3=1,6,8))),FALSE()))</f>
        <v> </v>
      </c>
      <c r="O327" s="375" t="str">
        <f aca="false">IF(A327="N/A"," ",(VLOOKUP(A327,OPPowerPrices,(IF('Pricing Inputs'!$AT$3=2,7,IF('Pricing Inputs'!$AT$3=1,6,8))),FALSE())))</f>
        <v> </v>
      </c>
      <c r="P327" s="376" t="str">
        <f aca="false">IF(A327="N/A"," ",(VLOOKUP(A327,GasCurves,15,FALSE())))</f>
        <v> </v>
      </c>
    </row>
    <row r="328" customFormat="false" ht="12.75" hidden="false" customHeight="false" outlineLevel="0" collapsed="false">
      <c r="A328" s="368" t="str">
        <f aca="false">Calculations!A295</f>
        <v>N/A</v>
      </c>
      <c r="B328" s="369" t="str">
        <f aca="false">IF(A328="N/A"," ",IF(ISERROR(L328),B316*Inputs!$F$19,L328))</f>
        <v> </v>
      </c>
      <c r="C328" s="370" t="str">
        <f aca="false">IF(A328="N/A"," ",(IF(AND(MONTH(A328)&gt;=6,MONTH(A328)&lt;=8,OR($K$37="REGION 2",$K$37="REGION 2A",$K$37="REGION 2B",$K$37="REGION 3",$K$37="REGION 3A",$K$37="REGION 3B",$K$37="REGION 4",$K$37="REGION 4B",$K$37="REGION 4C",$K$37="REGION 5",$K$37="REGION 5A")),((0.059228/(B328/100))-(0.4980013/(SQRT(B328/100)))+2.137988),HLOOKUP(MONTH(A328),ScalarTable,28))))</f>
        <v> </v>
      </c>
      <c r="D328" s="371" t="str">
        <f aca="false">IF(A328="N/A"," ",C328*B328)</f>
        <v> </v>
      </c>
      <c r="E328" s="369" t="str">
        <f aca="false">IF(A328="N/A"," ",IF(ISERROR(M328),E316*Inputs!$F$19,M328))</f>
        <v> </v>
      </c>
      <c r="F328" s="371" t="str">
        <f aca="false">IF(A328="N/A"," ",E328*C328)</f>
        <v> </v>
      </c>
      <c r="G328" s="369" t="str">
        <f aca="false">IF(A328="N/A"," ",IF(ISERROR(N328),G316*Inputs!$F$19,N328))</f>
        <v> </v>
      </c>
      <c r="H328" s="371" t="str">
        <f aca="false">IF(A328="N/A"," ",G328*C328)</f>
        <v> </v>
      </c>
      <c r="I328" s="371" t="str">
        <f aca="false">IF(A328="N/A"," ",IF(ISERROR(O328),I316*Inputs!$F$19,O328))</f>
        <v> </v>
      </c>
      <c r="J328" s="372" t="str">
        <f aca="false">IF(A328="N/A"," ",IF(ISERROR(P328),J316*Inputs!$F$23,P328))</f>
        <v> </v>
      </c>
      <c r="L328" s="374" t="str">
        <f aca="false">IF(A328="N/A"," ",VLOOKUP(A328,PeakPowerCurves,(IF('Pricing Inputs'!$AT$3=2,3,IF('Pricing Inputs'!$AT$3=1,2,4))),FALSE()))</f>
        <v> </v>
      </c>
      <c r="M328" s="374" t="str">
        <f aca="false">IF(A328="N/A"," ",VLOOKUP(A328,SatSunPeakPwr,(IF('Pricing Inputs'!$AT$3=2,3,IF('Pricing Inputs'!$AT$3=1,2,4))),FALSE()))</f>
        <v> </v>
      </c>
      <c r="N328" s="374" t="str">
        <f aca="false">IF(A328="N/A"," ",VLOOKUP(A328,SatSunPeakPwr,(IF('Pricing Inputs'!$AT$3=2,7,IF('Pricing Inputs'!$AT$3=1,6,8))),FALSE()))</f>
        <v> </v>
      </c>
      <c r="O328" s="375" t="str">
        <f aca="false">IF(A328="N/A"," ",(VLOOKUP(A328,OPPowerPrices,(IF('Pricing Inputs'!$AT$3=2,7,IF('Pricing Inputs'!$AT$3=1,6,8))),FALSE())))</f>
        <v> </v>
      </c>
      <c r="P328" s="376" t="str">
        <f aca="false">IF(A328="N/A"," ",(VLOOKUP(A328,GasCurves,15,FALSE())))</f>
        <v> </v>
      </c>
    </row>
    <row r="329" customFormat="false" ht="12.75" hidden="false" customHeight="false" outlineLevel="0" collapsed="false">
      <c r="A329" s="368" t="str">
        <f aca="false">Calculations!A296</f>
        <v>N/A</v>
      </c>
      <c r="B329" s="369" t="str">
        <f aca="false">IF(A329="N/A"," ",IF(ISERROR(L329),B317*Inputs!$F$19,L329))</f>
        <v> </v>
      </c>
      <c r="C329" s="370" t="str">
        <f aca="false">IF(A329="N/A"," ",(IF(AND(MONTH(A329)&gt;=6,MONTH(A329)&lt;=8,OR($K$37="REGION 2",$K$37="REGION 2A",$K$37="REGION 2B",$K$37="REGION 3",$K$37="REGION 3A",$K$37="REGION 3B",$K$37="REGION 4",$K$37="REGION 4B",$K$37="REGION 4C",$K$37="REGION 5",$K$37="REGION 5A")),((0.059228/(B329/100))-(0.4980013/(SQRT(B329/100)))+2.137988),HLOOKUP(MONTH(A329),ScalarTable,28))))</f>
        <v> </v>
      </c>
      <c r="D329" s="371" t="str">
        <f aca="false">IF(A329="N/A"," ",C329*B329)</f>
        <v> </v>
      </c>
      <c r="E329" s="369" t="str">
        <f aca="false">IF(A329="N/A"," ",IF(ISERROR(M329),E317*Inputs!$F$19,M329))</f>
        <v> </v>
      </c>
      <c r="F329" s="371" t="str">
        <f aca="false">IF(A329="N/A"," ",E329*C329)</f>
        <v> </v>
      </c>
      <c r="G329" s="369" t="str">
        <f aca="false">IF(A329="N/A"," ",IF(ISERROR(N329),G317*Inputs!$F$19,N329))</f>
        <v> </v>
      </c>
      <c r="H329" s="371" t="str">
        <f aca="false">IF(A329="N/A"," ",G329*C329)</f>
        <v> </v>
      </c>
      <c r="I329" s="371" t="str">
        <f aca="false">IF(A329="N/A"," ",IF(ISERROR(O329),I317*Inputs!$F$19,O329))</f>
        <v> </v>
      </c>
      <c r="J329" s="372" t="str">
        <f aca="false">IF(A329="N/A"," ",IF(ISERROR(P329),J317*Inputs!$F$23,P329))</f>
        <v> </v>
      </c>
      <c r="L329" s="374" t="str">
        <f aca="false">IF(A329="N/A"," ",VLOOKUP(A329,PeakPowerCurves,(IF('Pricing Inputs'!$AT$3=2,3,IF('Pricing Inputs'!$AT$3=1,2,4))),FALSE()))</f>
        <v> </v>
      </c>
      <c r="M329" s="374" t="str">
        <f aca="false">IF(A329="N/A"," ",VLOOKUP(A329,SatSunPeakPwr,(IF('Pricing Inputs'!$AT$3=2,3,IF('Pricing Inputs'!$AT$3=1,2,4))),FALSE()))</f>
        <v> </v>
      </c>
      <c r="N329" s="374" t="str">
        <f aca="false">IF(A329="N/A"," ",VLOOKUP(A329,SatSunPeakPwr,(IF('Pricing Inputs'!$AT$3=2,7,IF('Pricing Inputs'!$AT$3=1,6,8))),FALSE()))</f>
        <v> </v>
      </c>
      <c r="O329" s="375" t="str">
        <f aca="false">IF(A329="N/A"," ",(VLOOKUP(A329,OPPowerPrices,(IF('Pricing Inputs'!$AT$3=2,7,IF('Pricing Inputs'!$AT$3=1,6,8))),FALSE())))</f>
        <v> </v>
      </c>
      <c r="P329" s="376" t="str">
        <f aca="false">IF(A329="N/A"," ",(VLOOKUP(A329,GasCurves,15,FALSE())))</f>
        <v> </v>
      </c>
    </row>
    <row r="330" customFormat="false" ht="12.75" hidden="false" customHeight="false" outlineLevel="0" collapsed="false">
      <c r="A330" s="368" t="str">
        <f aca="false">Calculations!A297</f>
        <v>N/A</v>
      </c>
      <c r="B330" s="369" t="str">
        <f aca="false">IF(A330="N/A"," ",IF(ISERROR(L330),B318*Inputs!$F$19,L330))</f>
        <v> </v>
      </c>
      <c r="C330" s="370" t="str">
        <f aca="false">IF(A330="N/A"," ",(IF(AND(MONTH(A330)&gt;=6,MONTH(A330)&lt;=8,OR($K$37="REGION 2",$K$37="REGION 2A",$K$37="REGION 2B",$K$37="REGION 3",$K$37="REGION 3A",$K$37="REGION 3B",$K$37="REGION 4",$K$37="REGION 4B",$K$37="REGION 4C",$K$37="REGION 5",$K$37="REGION 5A")),((0.059228/(B330/100))-(0.4980013/(SQRT(B330/100)))+2.137988),HLOOKUP(MONTH(A330),ScalarTable,28))))</f>
        <v> </v>
      </c>
      <c r="D330" s="371" t="str">
        <f aca="false">IF(A330="N/A"," ",C330*B330)</f>
        <v> </v>
      </c>
      <c r="E330" s="369" t="str">
        <f aca="false">IF(A330="N/A"," ",IF(ISERROR(M330),E318*Inputs!$F$19,M330))</f>
        <v> </v>
      </c>
      <c r="F330" s="371" t="str">
        <f aca="false">IF(A330="N/A"," ",E330*C330)</f>
        <v> </v>
      </c>
      <c r="G330" s="369" t="str">
        <f aca="false">IF(A330="N/A"," ",IF(ISERROR(N330),G318*Inputs!$F$19,N330))</f>
        <v> </v>
      </c>
      <c r="H330" s="371" t="str">
        <f aca="false">IF(A330="N/A"," ",G330*C330)</f>
        <v> </v>
      </c>
      <c r="I330" s="371" t="str">
        <f aca="false">IF(A330="N/A"," ",IF(ISERROR(O330),I318*Inputs!$F$19,O330))</f>
        <v> </v>
      </c>
      <c r="J330" s="372" t="str">
        <f aca="false">IF(A330="N/A"," ",IF(ISERROR(P330),J318*Inputs!$F$23,P330))</f>
        <v> </v>
      </c>
      <c r="L330" s="374" t="str">
        <f aca="false">IF(A330="N/A"," ",VLOOKUP(A330,PeakPowerCurves,(IF('Pricing Inputs'!$AT$3=2,3,IF('Pricing Inputs'!$AT$3=1,2,4))),FALSE()))</f>
        <v> </v>
      </c>
      <c r="M330" s="374" t="str">
        <f aca="false">IF(A330="N/A"," ",VLOOKUP(A330,SatSunPeakPwr,(IF('Pricing Inputs'!$AT$3=2,3,IF('Pricing Inputs'!$AT$3=1,2,4))),FALSE()))</f>
        <v> </v>
      </c>
      <c r="N330" s="374" t="str">
        <f aca="false">IF(A330="N/A"," ",VLOOKUP(A330,SatSunPeakPwr,(IF('Pricing Inputs'!$AT$3=2,7,IF('Pricing Inputs'!$AT$3=1,6,8))),FALSE()))</f>
        <v> </v>
      </c>
      <c r="O330" s="375" t="str">
        <f aca="false">IF(A330="N/A"," ",(VLOOKUP(A330,OPPowerPrices,(IF('Pricing Inputs'!$AT$3=2,7,IF('Pricing Inputs'!$AT$3=1,6,8))),FALSE())))</f>
        <v> </v>
      </c>
      <c r="P330" s="376" t="str">
        <f aca="false">IF(A330="N/A"," ",(VLOOKUP(A330,GasCurves,15,FALSE())))</f>
        <v> </v>
      </c>
    </row>
    <row r="331" customFormat="false" ht="12.75" hidden="false" customHeight="false" outlineLevel="0" collapsed="false">
      <c r="A331" s="368" t="str">
        <f aca="false">Calculations!A298</f>
        <v>N/A</v>
      </c>
      <c r="B331" s="369" t="str">
        <f aca="false">IF(A331="N/A"," ",IF(ISERROR(L331),B319*Inputs!$F$19,L331))</f>
        <v> </v>
      </c>
      <c r="C331" s="370" t="str">
        <f aca="false">IF(A331="N/A"," ",(IF(AND(MONTH(A331)&gt;=6,MONTH(A331)&lt;=8,OR($K$37="REGION 2",$K$37="REGION 2A",$K$37="REGION 2B",$K$37="REGION 3",$K$37="REGION 3A",$K$37="REGION 3B",$K$37="REGION 4",$K$37="REGION 4B",$K$37="REGION 4C",$K$37="REGION 5",$K$37="REGION 5A")),((0.059228/(B331/100))-(0.4980013/(SQRT(B331/100)))+2.137988),HLOOKUP(MONTH(A331),ScalarTable,28))))</f>
        <v> </v>
      </c>
      <c r="D331" s="371" t="str">
        <f aca="false">IF(A331="N/A"," ",C331*B331)</f>
        <v> </v>
      </c>
      <c r="E331" s="369" t="str">
        <f aca="false">IF(A331="N/A"," ",IF(ISERROR(M331),E319*Inputs!$F$19,M331))</f>
        <v> </v>
      </c>
      <c r="F331" s="371" t="str">
        <f aca="false">IF(A331="N/A"," ",E331*C331)</f>
        <v> </v>
      </c>
      <c r="G331" s="369" t="str">
        <f aca="false">IF(A331="N/A"," ",IF(ISERROR(N331),G319*Inputs!$F$19,N331))</f>
        <v> </v>
      </c>
      <c r="H331" s="371" t="str">
        <f aca="false">IF(A331="N/A"," ",G331*C331)</f>
        <v> </v>
      </c>
      <c r="I331" s="371" t="str">
        <f aca="false">IF(A331="N/A"," ",IF(ISERROR(O331),I319*Inputs!$F$19,O331))</f>
        <v> </v>
      </c>
      <c r="J331" s="372" t="str">
        <f aca="false">IF(A331="N/A"," ",IF(ISERROR(P331),J319*Inputs!$F$23,P331))</f>
        <v> </v>
      </c>
      <c r="L331" s="374" t="str">
        <f aca="false">IF(A331="N/A"," ",VLOOKUP(A331,PeakPowerCurves,(IF('Pricing Inputs'!$AT$3=2,3,IF('Pricing Inputs'!$AT$3=1,2,4))),FALSE()))</f>
        <v> </v>
      </c>
      <c r="M331" s="374" t="str">
        <f aca="false">IF(A331="N/A"," ",VLOOKUP(A331,SatSunPeakPwr,(IF('Pricing Inputs'!$AT$3=2,3,IF('Pricing Inputs'!$AT$3=1,2,4))),FALSE()))</f>
        <v> </v>
      </c>
      <c r="N331" s="374" t="str">
        <f aca="false">IF(A331="N/A"," ",VLOOKUP(A331,SatSunPeakPwr,(IF('Pricing Inputs'!$AT$3=2,7,IF('Pricing Inputs'!$AT$3=1,6,8))),FALSE()))</f>
        <v> </v>
      </c>
      <c r="O331" s="375" t="str">
        <f aca="false">IF(A331="N/A"," ",(VLOOKUP(A331,OPPowerPrices,(IF('Pricing Inputs'!$AT$3=2,7,IF('Pricing Inputs'!$AT$3=1,6,8))),FALSE())))</f>
        <v> </v>
      </c>
      <c r="P331" s="376" t="str">
        <f aca="false">IF(A331="N/A"," ",(VLOOKUP(A331,GasCurves,15,FALSE())))</f>
        <v> </v>
      </c>
    </row>
    <row r="332" customFormat="false" ht="12.75" hidden="false" customHeight="false" outlineLevel="0" collapsed="false">
      <c r="A332" s="368" t="str">
        <f aca="false">Calculations!A299</f>
        <v>N/A</v>
      </c>
      <c r="B332" s="369" t="str">
        <f aca="false">IF(A332="N/A"," ",IF(ISERROR(L332),B320*Inputs!$F$19,L332))</f>
        <v> </v>
      </c>
      <c r="C332" s="370" t="str">
        <f aca="false">IF(A332="N/A"," ",(IF(AND(MONTH(A332)&gt;=6,MONTH(A332)&lt;=8,OR($K$37="REGION 2",$K$37="REGION 2A",$K$37="REGION 2B",$K$37="REGION 3",$K$37="REGION 3A",$K$37="REGION 3B",$K$37="REGION 4",$K$37="REGION 4B",$K$37="REGION 4C",$K$37="REGION 5",$K$37="REGION 5A")),((0.059228/(B332/100))-(0.4980013/(SQRT(B332/100)))+2.137988),HLOOKUP(MONTH(A332),ScalarTable,28))))</f>
        <v> </v>
      </c>
      <c r="D332" s="371" t="str">
        <f aca="false">IF(A332="N/A"," ",C332*B332)</f>
        <v> </v>
      </c>
      <c r="E332" s="369" t="str">
        <f aca="false">IF(A332="N/A"," ",IF(ISERROR(M332),E320*Inputs!$F$19,M332))</f>
        <v> </v>
      </c>
      <c r="F332" s="371" t="str">
        <f aca="false">IF(A332="N/A"," ",E332*C332)</f>
        <v> </v>
      </c>
      <c r="G332" s="369" t="str">
        <f aca="false">IF(A332="N/A"," ",IF(ISERROR(N332),G320*Inputs!$F$19,N332))</f>
        <v> </v>
      </c>
      <c r="H332" s="371" t="str">
        <f aca="false">IF(A332="N/A"," ",G332*C332)</f>
        <v> </v>
      </c>
      <c r="I332" s="371" t="str">
        <f aca="false">IF(A332="N/A"," ",IF(ISERROR(O332),I320*Inputs!$F$19,O332))</f>
        <v> </v>
      </c>
      <c r="J332" s="372" t="str">
        <f aca="false">IF(A332="N/A"," ",IF(ISERROR(P332),J320*Inputs!$F$23,P332))</f>
        <v> </v>
      </c>
      <c r="L332" s="374" t="str">
        <f aca="false">IF(A332="N/A"," ",VLOOKUP(A332,PeakPowerCurves,(IF('Pricing Inputs'!$AT$3=2,3,IF('Pricing Inputs'!$AT$3=1,2,4))),FALSE()))</f>
        <v> </v>
      </c>
      <c r="M332" s="374" t="str">
        <f aca="false">IF(A332="N/A"," ",VLOOKUP(A332,SatSunPeakPwr,(IF('Pricing Inputs'!$AT$3=2,3,IF('Pricing Inputs'!$AT$3=1,2,4))),FALSE()))</f>
        <v> </v>
      </c>
      <c r="N332" s="374" t="str">
        <f aca="false">IF(A332="N/A"," ",VLOOKUP(A332,SatSunPeakPwr,(IF('Pricing Inputs'!$AT$3=2,7,IF('Pricing Inputs'!$AT$3=1,6,8))),FALSE()))</f>
        <v> </v>
      </c>
      <c r="O332" s="375" t="str">
        <f aca="false">IF(A332="N/A"," ",(VLOOKUP(A332,OPPowerPrices,(IF('Pricing Inputs'!$AT$3=2,7,IF('Pricing Inputs'!$AT$3=1,6,8))),FALSE())))</f>
        <v> </v>
      </c>
      <c r="P332" s="376" t="str">
        <f aca="false">IF(A332="N/A"," ",(VLOOKUP(A332,GasCurves,15,FALSE())))</f>
        <v> </v>
      </c>
    </row>
    <row r="333" customFormat="false" ht="12.75" hidden="false" customHeight="false" outlineLevel="0" collapsed="false">
      <c r="A333" s="368" t="str">
        <f aca="false">Calculations!A300</f>
        <v>N/A</v>
      </c>
      <c r="B333" s="369" t="str">
        <f aca="false">IF(A333="N/A"," ",IF(ISERROR(L333),B321*Inputs!$F$19,L333))</f>
        <v> </v>
      </c>
      <c r="C333" s="370" t="str">
        <f aca="false">IF(A333="N/A"," ",(IF(AND(MONTH(A333)&gt;=6,MONTH(A333)&lt;=8,OR($K$37="REGION 2",$K$37="REGION 2A",$K$37="REGION 2B",$K$37="REGION 3",$K$37="REGION 3A",$K$37="REGION 3B",$K$37="REGION 4",$K$37="REGION 4B",$K$37="REGION 4C",$K$37="REGION 5",$K$37="REGION 5A")),((0.059228/(B333/100))-(0.4980013/(SQRT(B333/100)))+2.137988),HLOOKUP(MONTH(A333),ScalarTable,28))))</f>
        <v> </v>
      </c>
      <c r="D333" s="371" t="str">
        <f aca="false">IF(A333="N/A"," ",C333*B333)</f>
        <v> </v>
      </c>
      <c r="E333" s="369" t="str">
        <f aca="false">IF(A333="N/A"," ",IF(ISERROR(M333),E321*Inputs!$F$19,M333))</f>
        <v> </v>
      </c>
      <c r="F333" s="371" t="str">
        <f aca="false">IF(A333="N/A"," ",E333*C333)</f>
        <v> </v>
      </c>
      <c r="G333" s="369" t="str">
        <f aca="false">IF(A333="N/A"," ",IF(ISERROR(N333),G321*Inputs!$F$19,N333))</f>
        <v> </v>
      </c>
      <c r="H333" s="371" t="str">
        <f aca="false">IF(A333="N/A"," ",G333*C333)</f>
        <v> </v>
      </c>
      <c r="I333" s="371" t="str">
        <f aca="false">IF(A333="N/A"," ",IF(ISERROR(O333),I321*Inputs!$F$19,O333))</f>
        <v> </v>
      </c>
      <c r="J333" s="372" t="str">
        <f aca="false">IF(A333="N/A"," ",IF(ISERROR(P333),J321*Inputs!$F$23,P333))</f>
        <v> </v>
      </c>
      <c r="L333" s="374" t="str">
        <f aca="false">IF(A333="N/A"," ",VLOOKUP(A333,PeakPowerCurves,(IF('Pricing Inputs'!$AT$3=2,3,IF('Pricing Inputs'!$AT$3=1,2,4))),FALSE()))</f>
        <v> </v>
      </c>
      <c r="M333" s="374" t="str">
        <f aca="false">IF(A333="N/A"," ",VLOOKUP(A333,SatSunPeakPwr,(IF('Pricing Inputs'!$AT$3=2,3,IF('Pricing Inputs'!$AT$3=1,2,4))),FALSE()))</f>
        <v> </v>
      </c>
      <c r="N333" s="374" t="str">
        <f aca="false">IF(A333="N/A"," ",VLOOKUP(A333,SatSunPeakPwr,(IF('Pricing Inputs'!$AT$3=2,7,IF('Pricing Inputs'!$AT$3=1,6,8))),FALSE()))</f>
        <v> </v>
      </c>
      <c r="O333" s="375" t="str">
        <f aca="false">IF(A333="N/A"," ",(VLOOKUP(A333,OPPowerPrices,(IF('Pricing Inputs'!$AT$3=2,7,IF('Pricing Inputs'!$AT$3=1,6,8))),FALSE())))</f>
        <v> </v>
      </c>
      <c r="P333" s="376" t="str">
        <f aca="false">IF(A333="N/A"," ",(VLOOKUP(A333,GasCurves,15,FALSE())))</f>
        <v> </v>
      </c>
    </row>
    <row r="334" customFormat="false" ht="12.75" hidden="false" customHeight="false" outlineLevel="0" collapsed="false">
      <c r="A334" s="368" t="str">
        <f aca="false">Calculations!A301</f>
        <v>N/A</v>
      </c>
      <c r="B334" s="369" t="str">
        <f aca="false">IF(A334="N/A"," ",IF(ISERROR(L334),B322*Inputs!$F$19,L334))</f>
        <v> </v>
      </c>
      <c r="C334" s="370" t="str">
        <f aca="false">IF(A334="N/A"," ",(IF(AND(MONTH(A334)&gt;=6,MONTH(A334)&lt;=8,OR($K$37="REGION 2",$K$37="REGION 2A",$K$37="REGION 2B",$K$37="REGION 3",$K$37="REGION 3A",$K$37="REGION 3B",$K$37="REGION 4",$K$37="REGION 4B",$K$37="REGION 4C",$K$37="REGION 5",$K$37="REGION 5A")),((0.059228/(B334/100))-(0.4980013/(SQRT(B334/100)))+2.137988),HLOOKUP(MONTH(A334),ScalarTable,28))))</f>
        <v> </v>
      </c>
      <c r="D334" s="371" t="str">
        <f aca="false">IF(A334="N/A"," ",C334*B334)</f>
        <v> </v>
      </c>
      <c r="E334" s="369" t="str">
        <f aca="false">IF(A334="N/A"," ",IF(ISERROR(M334),E322*Inputs!$F$19,M334))</f>
        <v> </v>
      </c>
      <c r="F334" s="371" t="str">
        <f aca="false">IF(A334="N/A"," ",E334*C334)</f>
        <v> </v>
      </c>
      <c r="G334" s="369" t="str">
        <f aca="false">IF(A334="N/A"," ",IF(ISERROR(N334),G322*Inputs!$F$19,N334))</f>
        <v> </v>
      </c>
      <c r="H334" s="371" t="str">
        <f aca="false">IF(A334="N/A"," ",G334*C334)</f>
        <v> </v>
      </c>
      <c r="I334" s="371" t="str">
        <f aca="false">IF(A334="N/A"," ",IF(ISERROR(O334),I322*Inputs!$F$19,O334))</f>
        <v> </v>
      </c>
      <c r="J334" s="372" t="str">
        <f aca="false">IF(A334="N/A"," ",IF(ISERROR(P334),J322*Inputs!$F$23,P334))</f>
        <v> </v>
      </c>
      <c r="L334" s="374" t="str">
        <f aca="false">IF(A334="N/A"," ",VLOOKUP(A334,PeakPowerCurves,(IF('Pricing Inputs'!$AT$3=2,3,IF('Pricing Inputs'!$AT$3=1,2,4))),FALSE()))</f>
        <v> </v>
      </c>
      <c r="M334" s="374" t="str">
        <f aca="false">IF(A334="N/A"," ",VLOOKUP(A334,SatSunPeakPwr,(IF('Pricing Inputs'!$AT$3=2,3,IF('Pricing Inputs'!$AT$3=1,2,4))),FALSE()))</f>
        <v> </v>
      </c>
      <c r="N334" s="374" t="str">
        <f aca="false">IF(A334="N/A"," ",VLOOKUP(A334,SatSunPeakPwr,(IF('Pricing Inputs'!$AT$3=2,7,IF('Pricing Inputs'!$AT$3=1,6,8))),FALSE()))</f>
        <v> </v>
      </c>
      <c r="O334" s="375" t="str">
        <f aca="false">IF(A334="N/A"," ",(VLOOKUP(A334,OPPowerPrices,(IF('Pricing Inputs'!$AT$3=2,7,IF('Pricing Inputs'!$AT$3=1,6,8))),FALSE())))</f>
        <v> </v>
      </c>
      <c r="P334" s="376" t="str">
        <f aca="false">IF(A334="N/A"," ",(VLOOKUP(A334,GasCurves,15,FALSE())))</f>
        <v> </v>
      </c>
    </row>
    <row r="335" customFormat="false" ht="12.75" hidden="false" customHeight="false" outlineLevel="0" collapsed="false">
      <c r="A335" s="368" t="str">
        <f aca="false">Calculations!A302</f>
        <v>N/A</v>
      </c>
      <c r="B335" s="369" t="str">
        <f aca="false">IF(A335="N/A"," ",IF(ISERROR(L335),B323*Inputs!$F$19,L335))</f>
        <v> </v>
      </c>
      <c r="C335" s="370" t="str">
        <f aca="false">IF(A335="N/A"," ",(IF(AND(MONTH(A335)&gt;=6,MONTH(A335)&lt;=8,OR($K$37="REGION 2",$K$37="REGION 2A",$K$37="REGION 2B",$K$37="REGION 3",$K$37="REGION 3A",$K$37="REGION 3B",$K$37="REGION 4",$K$37="REGION 4B",$K$37="REGION 4C",$K$37="REGION 5",$K$37="REGION 5A")),((0.059228/(B335/100))-(0.4980013/(SQRT(B335/100)))+2.137988),HLOOKUP(MONTH(A335),ScalarTable,28))))</f>
        <v> </v>
      </c>
      <c r="D335" s="371" t="str">
        <f aca="false">IF(A335="N/A"," ",C335*B335)</f>
        <v> </v>
      </c>
      <c r="E335" s="369" t="str">
        <f aca="false">IF(A335="N/A"," ",IF(ISERROR(M335),E323*Inputs!$F$19,M335))</f>
        <v> </v>
      </c>
      <c r="F335" s="371" t="str">
        <f aca="false">IF(A335="N/A"," ",E335*C335)</f>
        <v> </v>
      </c>
      <c r="G335" s="369" t="str">
        <f aca="false">IF(A335="N/A"," ",IF(ISERROR(N335),G323*Inputs!$F$19,N335))</f>
        <v> </v>
      </c>
      <c r="H335" s="371" t="str">
        <f aca="false">IF(A335="N/A"," ",G335*C335)</f>
        <v> </v>
      </c>
      <c r="I335" s="371" t="str">
        <f aca="false">IF(A335="N/A"," ",IF(ISERROR(O335),I323*Inputs!$F$19,O335))</f>
        <v> </v>
      </c>
      <c r="J335" s="372" t="str">
        <f aca="false">IF(A335="N/A"," ",IF(ISERROR(P335),J323*Inputs!$F$23,P335))</f>
        <v> </v>
      </c>
      <c r="L335" s="374" t="str">
        <f aca="false">IF(A335="N/A"," ",VLOOKUP(A335,PeakPowerCurves,(IF('Pricing Inputs'!$AT$3=2,3,IF('Pricing Inputs'!$AT$3=1,2,4))),FALSE()))</f>
        <v> </v>
      </c>
      <c r="M335" s="374" t="str">
        <f aca="false">IF(A335="N/A"," ",VLOOKUP(A335,SatSunPeakPwr,(IF('Pricing Inputs'!$AT$3=2,3,IF('Pricing Inputs'!$AT$3=1,2,4))),FALSE()))</f>
        <v> </v>
      </c>
      <c r="N335" s="374" t="str">
        <f aca="false">IF(A335="N/A"," ",VLOOKUP(A335,SatSunPeakPwr,(IF('Pricing Inputs'!$AT$3=2,7,IF('Pricing Inputs'!$AT$3=1,6,8))),FALSE()))</f>
        <v> </v>
      </c>
      <c r="O335" s="375" t="str">
        <f aca="false">IF(A335="N/A"," ",(VLOOKUP(A335,OPPowerPrices,(IF('Pricing Inputs'!$AT$3=2,7,IF('Pricing Inputs'!$AT$3=1,6,8))),FALSE())))</f>
        <v> </v>
      </c>
      <c r="P335" s="376" t="str">
        <f aca="false">IF(A335="N/A"," ",(VLOOKUP(A335,GasCurves,15,FALSE())))</f>
        <v> </v>
      </c>
    </row>
    <row r="336" customFormat="false" ht="12.75" hidden="false" customHeight="false" outlineLevel="0" collapsed="false">
      <c r="A336" s="368" t="str">
        <f aca="false">Calculations!A303</f>
        <v>N/A</v>
      </c>
      <c r="B336" s="369" t="str">
        <f aca="false">IF(A336="N/A"," ",IF(ISERROR(L336),B324*Inputs!$F$19,L336))</f>
        <v> </v>
      </c>
      <c r="C336" s="370" t="str">
        <f aca="false">IF(A336="N/A"," ",(IF(AND(MONTH(A336)&gt;=6,MONTH(A336)&lt;=8,OR($K$37="REGION 2",$K$37="REGION 2A",$K$37="REGION 2B",$K$37="REGION 3",$K$37="REGION 3A",$K$37="REGION 3B",$K$37="REGION 4",$K$37="REGION 4B",$K$37="REGION 4C",$K$37="REGION 5",$K$37="REGION 5A")),((0.059228/(B336/100))-(0.4980013/(SQRT(B336/100)))+2.137988),HLOOKUP(MONTH(A336),ScalarTable,28))))</f>
        <v> </v>
      </c>
      <c r="D336" s="371" t="str">
        <f aca="false">IF(A336="N/A"," ",C336*B336)</f>
        <v> </v>
      </c>
      <c r="E336" s="369" t="str">
        <f aca="false">IF(A336="N/A"," ",IF(ISERROR(M336),E324*Inputs!$F$19,M336))</f>
        <v> </v>
      </c>
      <c r="F336" s="371" t="str">
        <f aca="false">IF(A336="N/A"," ",E336*C336)</f>
        <v> </v>
      </c>
      <c r="G336" s="369" t="str">
        <f aca="false">IF(A336="N/A"," ",IF(ISERROR(N336),G324*Inputs!$F$19,N336))</f>
        <v> </v>
      </c>
      <c r="H336" s="371" t="str">
        <f aca="false">IF(A336="N/A"," ",G336*C336)</f>
        <v> </v>
      </c>
      <c r="I336" s="371" t="str">
        <f aca="false">IF(A336="N/A"," ",IF(ISERROR(O336),I324*Inputs!$F$19,O336))</f>
        <v> </v>
      </c>
      <c r="J336" s="372" t="str">
        <f aca="false">IF(A336="N/A"," ",IF(ISERROR(P336),J324*Inputs!$F$23,P336))</f>
        <v> </v>
      </c>
      <c r="L336" s="374" t="str">
        <f aca="false">IF(A336="N/A"," ",VLOOKUP(A336,PeakPowerCurves,(IF('Pricing Inputs'!$AT$3=2,3,IF('Pricing Inputs'!$AT$3=1,2,4))),FALSE()))</f>
        <v> </v>
      </c>
      <c r="M336" s="374" t="str">
        <f aca="false">IF(A336="N/A"," ",VLOOKUP(A336,SatSunPeakPwr,(IF('Pricing Inputs'!$AT$3=2,3,IF('Pricing Inputs'!$AT$3=1,2,4))),FALSE()))</f>
        <v> </v>
      </c>
      <c r="N336" s="374" t="str">
        <f aca="false">IF(A336="N/A"," ",VLOOKUP(A336,SatSunPeakPwr,(IF('Pricing Inputs'!$AT$3=2,7,IF('Pricing Inputs'!$AT$3=1,6,8))),FALSE()))</f>
        <v> </v>
      </c>
      <c r="O336" s="375" t="str">
        <f aca="false">IF(A336="N/A"," ",(VLOOKUP(A336,OPPowerPrices,(IF('Pricing Inputs'!$AT$3=2,7,IF('Pricing Inputs'!$AT$3=1,6,8))),FALSE())))</f>
        <v> </v>
      </c>
      <c r="P336" s="376" t="str">
        <f aca="false">IF(A336="N/A"," ",(VLOOKUP(A336,GasCurves,15,FALSE())))</f>
        <v> </v>
      </c>
    </row>
    <row r="337" customFormat="false" ht="12.75" hidden="false" customHeight="false" outlineLevel="0" collapsed="false">
      <c r="A337" s="368" t="str">
        <f aca="false">Calculations!A304</f>
        <v>N/A</v>
      </c>
      <c r="B337" s="369" t="str">
        <f aca="false">IF(A337="N/A"," ",IF(ISERROR(L337),B325*Inputs!$F$19,L337))</f>
        <v> </v>
      </c>
      <c r="C337" s="370" t="str">
        <f aca="false">IF(A337="N/A"," ",(IF(AND(MONTH(A337)&gt;=6,MONTH(A337)&lt;=8,OR($K$37="REGION 2",$K$37="REGION 2A",$K$37="REGION 2B",$K$37="REGION 3",$K$37="REGION 3A",$K$37="REGION 3B",$K$37="REGION 4",$K$37="REGION 4B",$K$37="REGION 4C",$K$37="REGION 5",$K$37="REGION 5A")),((0.059228/(B337/100))-(0.4980013/(SQRT(B337/100)))+2.137988),HLOOKUP(MONTH(A337),ScalarTable,28))))</f>
        <v> </v>
      </c>
      <c r="D337" s="371" t="str">
        <f aca="false">IF(A337="N/A"," ",C337*B337)</f>
        <v> </v>
      </c>
      <c r="E337" s="369" t="str">
        <f aca="false">IF(A337="N/A"," ",IF(ISERROR(M337),E325*Inputs!$F$19,M337))</f>
        <v> </v>
      </c>
      <c r="F337" s="371" t="str">
        <f aca="false">IF(A337="N/A"," ",E337*C337)</f>
        <v> </v>
      </c>
      <c r="G337" s="369" t="str">
        <f aca="false">IF(A337="N/A"," ",IF(ISERROR(N337),G325*Inputs!$F$19,N337))</f>
        <v> </v>
      </c>
      <c r="H337" s="371" t="str">
        <f aca="false">IF(A337="N/A"," ",G337*C337)</f>
        <v> </v>
      </c>
      <c r="I337" s="371" t="str">
        <f aca="false">IF(A337="N/A"," ",IF(ISERROR(O337),I325*Inputs!$F$19,O337))</f>
        <v> </v>
      </c>
      <c r="J337" s="372" t="str">
        <f aca="false">IF(A337="N/A"," ",IF(ISERROR(P337),J325*Inputs!$F$23,P337))</f>
        <v> </v>
      </c>
      <c r="L337" s="374" t="str">
        <f aca="false">IF(A337="N/A"," ",VLOOKUP(A337,PeakPowerCurves,(IF('Pricing Inputs'!$AT$3=2,3,IF('Pricing Inputs'!$AT$3=1,2,4))),FALSE()))</f>
        <v> </v>
      </c>
      <c r="M337" s="374" t="str">
        <f aca="false">IF(A337="N/A"," ",VLOOKUP(A337,SatSunPeakPwr,(IF('Pricing Inputs'!$AT$3=2,3,IF('Pricing Inputs'!$AT$3=1,2,4))),FALSE()))</f>
        <v> </v>
      </c>
      <c r="N337" s="374" t="str">
        <f aca="false">IF(A337="N/A"," ",VLOOKUP(A337,SatSunPeakPwr,(IF('Pricing Inputs'!$AT$3=2,7,IF('Pricing Inputs'!$AT$3=1,6,8))),FALSE()))</f>
        <v> </v>
      </c>
      <c r="O337" s="375" t="str">
        <f aca="false">IF(A337="N/A"," ",(VLOOKUP(A337,OPPowerPrices,(IF('Pricing Inputs'!$AT$3=2,7,IF('Pricing Inputs'!$AT$3=1,6,8))),FALSE())))</f>
        <v> </v>
      </c>
      <c r="P337" s="376" t="str">
        <f aca="false">IF(A337="N/A"," ",(VLOOKUP(A337,GasCurves,15,FALSE())))</f>
        <v> </v>
      </c>
    </row>
    <row r="338" customFormat="false" ht="12.75" hidden="false" customHeight="false" outlineLevel="0" collapsed="false">
      <c r="A338" s="368" t="str">
        <f aca="false">Calculations!A305</f>
        <v>N/A</v>
      </c>
      <c r="B338" s="369" t="str">
        <f aca="false">IF(A338="N/A"," ",IF(ISERROR(L338),B326*Inputs!$F$19,L338))</f>
        <v> </v>
      </c>
      <c r="C338" s="370" t="str">
        <f aca="false">IF(A338="N/A"," ",(IF(AND(MONTH(A338)&gt;=6,MONTH(A338)&lt;=8,OR($K$37="REGION 2",$K$37="REGION 2A",$K$37="REGION 2B",$K$37="REGION 3",$K$37="REGION 3A",$K$37="REGION 3B",$K$37="REGION 4",$K$37="REGION 4B",$K$37="REGION 4C",$K$37="REGION 5",$K$37="REGION 5A")),((0.059228/(B338/100))-(0.4980013/(SQRT(B338/100)))+2.137988),HLOOKUP(MONTH(A338),ScalarTable,28))))</f>
        <v> </v>
      </c>
      <c r="D338" s="371" t="str">
        <f aca="false">IF(A338="N/A"," ",C338*B338)</f>
        <v> </v>
      </c>
      <c r="E338" s="369" t="str">
        <f aca="false">IF(A338="N/A"," ",IF(ISERROR(M338),E326*Inputs!$F$19,M338))</f>
        <v> </v>
      </c>
      <c r="F338" s="371" t="str">
        <f aca="false">IF(A338="N/A"," ",E338*C338)</f>
        <v> </v>
      </c>
      <c r="G338" s="369" t="str">
        <f aca="false">IF(A338="N/A"," ",IF(ISERROR(N338),G326*Inputs!$F$19,N338))</f>
        <v> </v>
      </c>
      <c r="H338" s="371" t="str">
        <f aca="false">IF(A338="N/A"," ",G338*C338)</f>
        <v> </v>
      </c>
      <c r="I338" s="371" t="str">
        <f aca="false">IF(A338="N/A"," ",IF(ISERROR(O338),I326*Inputs!$F$19,O338))</f>
        <v> </v>
      </c>
      <c r="J338" s="372" t="str">
        <f aca="false">IF(A338="N/A"," ",IF(ISERROR(P338),J326*Inputs!$F$23,P338))</f>
        <v> </v>
      </c>
      <c r="L338" s="374" t="str">
        <f aca="false">IF(A338="N/A"," ",VLOOKUP(A338,PeakPowerCurves,(IF('Pricing Inputs'!$AT$3=2,3,IF('Pricing Inputs'!$AT$3=1,2,4))),FALSE()))</f>
        <v> </v>
      </c>
      <c r="M338" s="374" t="str">
        <f aca="false">IF(A338="N/A"," ",VLOOKUP(A338,SatSunPeakPwr,(IF('Pricing Inputs'!$AT$3=2,3,IF('Pricing Inputs'!$AT$3=1,2,4))),FALSE()))</f>
        <v> </v>
      </c>
      <c r="N338" s="374" t="str">
        <f aca="false">IF(A338="N/A"," ",VLOOKUP(A338,SatSunPeakPwr,(IF('Pricing Inputs'!$AT$3=2,7,IF('Pricing Inputs'!$AT$3=1,6,8))),FALSE()))</f>
        <v> </v>
      </c>
      <c r="O338" s="375" t="str">
        <f aca="false">IF(A338="N/A"," ",(VLOOKUP(A338,OPPowerPrices,(IF('Pricing Inputs'!$AT$3=2,7,IF('Pricing Inputs'!$AT$3=1,6,8))),FALSE())))</f>
        <v> </v>
      </c>
      <c r="P338" s="376" t="str">
        <f aca="false">IF(A338="N/A"," ",(VLOOKUP(A338,GasCurves,15,FALSE())))</f>
        <v> </v>
      </c>
    </row>
    <row r="339" customFormat="false" ht="12.75" hidden="false" customHeight="false" outlineLevel="0" collapsed="false">
      <c r="A339" s="368" t="str">
        <f aca="false">Calculations!A306</f>
        <v>N/A</v>
      </c>
      <c r="B339" s="369" t="str">
        <f aca="false">IF(A339="N/A"," ",IF(ISERROR(L339),B327*Inputs!$F$19,L339))</f>
        <v> </v>
      </c>
      <c r="C339" s="370" t="str">
        <f aca="false">IF(A339="N/A"," ",(IF(AND(MONTH(A339)&gt;=6,MONTH(A339)&lt;=8,OR($K$37="REGION 2",$K$37="REGION 2A",$K$37="REGION 2B",$K$37="REGION 3",$K$37="REGION 3A",$K$37="REGION 3B",$K$37="REGION 4",$K$37="REGION 4B",$K$37="REGION 4C",$K$37="REGION 5",$K$37="REGION 5A")),((0.059228/(B339/100))-(0.4980013/(SQRT(B339/100)))+2.137988),HLOOKUP(MONTH(A339),ScalarTable,28))))</f>
        <v> </v>
      </c>
      <c r="D339" s="371" t="str">
        <f aca="false">IF(A339="N/A"," ",C339*B339)</f>
        <v> </v>
      </c>
      <c r="E339" s="369" t="str">
        <f aca="false">IF(A339="N/A"," ",IF(ISERROR(M339),E327*Inputs!$F$19,M339))</f>
        <v> </v>
      </c>
      <c r="F339" s="371" t="str">
        <f aca="false">IF(A339="N/A"," ",E339*C339)</f>
        <v> </v>
      </c>
      <c r="G339" s="369" t="str">
        <f aca="false">IF(A339="N/A"," ",IF(ISERROR(N339),G327*Inputs!$F$19,N339))</f>
        <v> </v>
      </c>
      <c r="H339" s="371" t="str">
        <f aca="false">IF(A339="N/A"," ",G339*C339)</f>
        <v> </v>
      </c>
      <c r="I339" s="371" t="str">
        <f aca="false">IF(A339="N/A"," ",IF(ISERROR(O339),I327*Inputs!$F$19,O339))</f>
        <v> </v>
      </c>
      <c r="J339" s="372" t="str">
        <f aca="false">IF(A339="N/A"," ",IF(ISERROR(P339),J327*Inputs!$F$23,P339))</f>
        <v> </v>
      </c>
      <c r="L339" s="374" t="str">
        <f aca="false">IF(A339="N/A"," ",VLOOKUP(A339,PeakPowerCurves,(IF('Pricing Inputs'!$AT$3=2,3,IF('Pricing Inputs'!$AT$3=1,2,4))),FALSE()))</f>
        <v> </v>
      </c>
      <c r="M339" s="374" t="str">
        <f aca="false">IF(A339="N/A"," ",VLOOKUP(A339,SatSunPeakPwr,(IF('Pricing Inputs'!$AT$3=2,3,IF('Pricing Inputs'!$AT$3=1,2,4))),FALSE()))</f>
        <v> </v>
      </c>
      <c r="N339" s="374" t="str">
        <f aca="false">IF(A339="N/A"," ",VLOOKUP(A339,SatSunPeakPwr,(IF('Pricing Inputs'!$AT$3=2,7,IF('Pricing Inputs'!$AT$3=1,6,8))),FALSE()))</f>
        <v> </v>
      </c>
      <c r="O339" s="375" t="str">
        <f aca="false">IF(A339="N/A"," ",(VLOOKUP(A339,OPPowerPrices,(IF('Pricing Inputs'!$AT$3=2,7,IF('Pricing Inputs'!$AT$3=1,6,8))),FALSE())))</f>
        <v> </v>
      </c>
      <c r="P339" s="376" t="str">
        <f aca="false">IF(A339="N/A"," ",(VLOOKUP(A339,GasCurves,15,FALSE())))</f>
        <v> </v>
      </c>
    </row>
    <row r="340" customFormat="false" ht="12.75" hidden="false" customHeight="false" outlineLevel="0" collapsed="false">
      <c r="A340" s="368" t="str">
        <f aca="false">Calculations!A307</f>
        <v>N/A</v>
      </c>
      <c r="B340" s="369" t="str">
        <f aca="false">IF(A340="N/A"," ",IF(ISERROR(L340),B328*Inputs!$F$19,L340))</f>
        <v> </v>
      </c>
      <c r="C340" s="370" t="str">
        <f aca="false">IF(A340="N/A"," ",(IF(AND(MONTH(A340)&gt;=6,MONTH(A340)&lt;=8,OR($K$37="REGION 2",$K$37="REGION 2A",$K$37="REGION 2B",$K$37="REGION 3",$K$37="REGION 3A",$K$37="REGION 3B",$K$37="REGION 4",$K$37="REGION 4B",$K$37="REGION 4C",$K$37="REGION 5",$K$37="REGION 5A")),((0.059228/(B340/100))-(0.4980013/(SQRT(B340/100)))+2.137988),HLOOKUP(MONTH(A340),ScalarTable,28))))</f>
        <v> </v>
      </c>
      <c r="D340" s="371" t="str">
        <f aca="false">IF(A340="N/A"," ",C340*B340)</f>
        <v> </v>
      </c>
      <c r="E340" s="369" t="str">
        <f aca="false">IF(A340="N/A"," ",IF(ISERROR(M340),E328*Inputs!$F$19,M340))</f>
        <v> </v>
      </c>
      <c r="F340" s="371" t="str">
        <f aca="false">IF(A340="N/A"," ",E340*C340)</f>
        <v> </v>
      </c>
      <c r="G340" s="369" t="str">
        <f aca="false">IF(A340="N/A"," ",IF(ISERROR(N340),G328*Inputs!$F$19,N340))</f>
        <v> </v>
      </c>
      <c r="H340" s="371" t="str">
        <f aca="false">IF(A340="N/A"," ",G340*C340)</f>
        <v> </v>
      </c>
      <c r="I340" s="371" t="str">
        <f aca="false">IF(A340="N/A"," ",IF(ISERROR(O340),I328*Inputs!$F$19,O340))</f>
        <v> </v>
      </c>
      <c r="J340" s="372" t="str">
        <f aca="false">IF(A340="N/A"," ",IF(ISERROR(P340),J328*Inputs!$F$23,P340))</f>
        <v> </v>
      </c>
      <c r="L340" s="374" t="str">
        <f aca="false">IF(A340="N/A"," ",VLOOKUP(A340,PeakPowerCurves,(IF('Pricing Inputs'!$AT$3=2,3,IF('Pricing Inputs'!$AT$3=1,2,4))),FALSE()))</f>
        <v> </v>
      </c>
      <c r="M340" s="374" t="str">
        <f aca="false">IF(A340="N/A"," ",VLOOKUP(A340,SatSunPeakPwr,(IF('Pricing Inputs'!$AT$3=2,3,IF('Pricing Inputs'!$AT$3=1,2,4))),FALSE()))</f>
        <v> </v>
      </c>
      <c r="N340" s="374" t="str">
        <f aca="false">IF(A340="N/A"," ",VLOOKUP(A340,SatSunPeakPwr,(IF('Pricing Inputs'!$AT$3=2,7,IF('Pricing Inputs'!$AT$3=1,6,8))),FALSE()))</f>
        <v> </v>
      </c>
      <c r="O340" s="375" t="str">
        <f aca="false">IF(A340="N/A"," ",(VLOOKUP(A340,OPPowerPrices,(IF('Pricing Inputs'!$AT$3=2,7,IF('Pricing Inputs'!$AT$3=1,6,8))),FALSE())))</f>
        <v> </v>
      </c>
      <c r="P340" s="376" t="str">
        <f aca="false">IF(A340="N/A"," ",(VLOOKUP(A340,GasCurves,15,FALSE())))</f>
        <v> </v>
      </c>
    </row>
    <row r="341" customFormat="false" ht="12.75" hidden="false" customHeight="false" outlineLevel="0" collapsed="false">
      <c r="A341" s="368" t="str">
        <f aca="false">Calculations!A308</f>
        <v>N/A</v>
      </c>
      <c r="B341" s="369" t="str">
        <f aca="false">IF(A341="N/A"," ",IF(ISERROR(L341),B329*Inputs!$F$19,L341))</f>
        <v> </v>
      </c>
      <c r="C341" s="370" t="str">
        <f aca="false">IF(A341="N/A"," ",(IF(AND(MONTH(A341)&gt;=6,MONTH(A341)&lt;=8,OR($K$37="REGION 2",$K$37="REGION 2A",$K$37="REGION 2B",$K$37="REGION 3",$K$37="REGION 3A",$K$37="REGION 3B",$K$37="REGION 4",$K$37="REGION 4B",$K$37="REGION 4C",$K$37="REGION 5",$K$37="REGION 5A")),((0.059228/(B341/100))-(0.4980013/(SQRT(B341/100)))+2.137988),HLOOKUP(MONTH(A341),ScalarTable,28))))</f>
        <v> </v>
      </c>
      <c r="D341" s="371" t="str">
        <f aca="false">IF(A341="N/A"," ",C341*B341)</f>
        <v> </v>
      </c>
      <c r="E341" s="369" t="str">
        <f aca="false">IF(A341="N/A"," ",IF(ISERROR(M341),E329*Inputs!$F$19,M341))</f>
        <v> </v>
      </c>
      <c r="F341" s="371" t="str">
        <f aca="false">IF(A341="N/A"," ",E341*C341)</f>
        <v> </v>
      </c>
      <c r="G341" s="369" t="str">
        <f aca="false">IF(A341="N/A"," ",IF(ISERROR(N341),G329*Inputs!$F$19,N341))</f>
        <v> </v>
      </c>
      <c r="H341" s="371" t="str">
        <f aca="false">IF(A341="N/A"," ",G341*C341)</f>
        <v> </v>
      </c>
      <c r="I341" s="371" t="str">
        <f aca="false">IF(A341="N/A"," ",IF(ISERROR(O341),I329*Inputs!$F$19,O341))</f>
        <v> </v>
      </c>
      <c r="J341" s="372" t="str">
        <f aca="false">IF(A341="N/A"," ",IF(ISERROR(P341),J329*Inputs!$F$23,P341))</f>
        <v> </v>
      </c>
      <c r="L341" s="374" t="str">
        <f aca="false">IF(A341="N/A"," ",VLOOKUP(A341,PeakPowerCurves,(IF('Pricing Inputs'!$AT$3=2,3,IF('Pricing Inputs'!$AT$3=1,2,4))),FALSE()))</f>
        <v> </v>
      </c>
      <c r="M341" s="374" t="str">
        <f aca="false">IF(A341="N/A"," ",VLOOKUP(A341,SatSunPeakPwr,(IF('Pricing Inputs'!$AT$3=2,3,IF('Pricing Inputs'!$AT$3=1,2,4))),FALSE()))</f>
        <v> </v>
      </c>
      <c r="N341" s="374" t="str">
        <f aca="false">IF(A341="N/A"," ",VLOOKUP(A341,SatSunPeakPwr,(IF('Pricing Inputs'!$AT$3=2,7,IF('Pricing Inputs'!$AT$3=1,6,8))),FALSE()))</f>
        <v> </v>
      </c>
      <c r="O341" s="375" t="str">
        <f aca="false">IF(A341="N/A"," ",(VLOOKUP(A341,OPPowerPrices,(IF('Pricing Inputs'!$AT$3=2,7,IF('Pricing Inputs'!$AT$3=1,6,8))),FALSE())))</f>
        <v> </v>
      </c>
      <c r="P341" s="376" t="str">
        <f aca="false">IF(A341="N/A"," ",(VLOOKUP(A341,GasCurves,15,FALSE())))</f>
        <v> </v>
      </c>
    </row>
    <row r="342" customFormat="false" ht="12.75" hidden="false" customHeight="false" outlineLevel="0" collapsed="false">
      <c r="A342" s="368" t="str">
        <f aca="false">Calculations!A309</f>
        <v>N/A</v>
      </c>
      <c r="B342" s="369" t="str">
        <f aca="false">IF(A342="N/A"," ",IF(ISERROR(L342),B330*Inputs!$F$19,L342))</f>
        <v> </v>
      </c>
      <c r="C342" s="370" t="str">
        <f aca="false">IF(A342="N/A"," ",(IF(AND(MONTH(A342)&gt;=6,MONTH(A342)&lt;=8,OR($K$37="REGION 2",$K$37="REGION 2A",$K$37="REGION 2B",$K$37="REGION 3",$K$37="REGION 3A",$K$37="REGION 3B",$K$37="REGION 4",$K$37="REGION 4B",$K$37="REGION 4C",$K$37="REGION 5",$K$37="REGION 5A")),((0.059228/(B342/100))-(0.4980013/(SQRT(B342/100)))+2.137988),HLOOKUP(MONTH(A342),ScalarTable,28))))</f>
        <v> </v>
      </c>
      <c r="D342" s="371" t="str">
        <f aca="false">IF(A342="N/A"," ",C342*B342)</f>
        <v> </v>
      </c>
      <c r="E342" s="369" t="str">
        <f aca="false">IF(A342="N/A"," ",IF(ISERROR(M342),E330*Inputs!$F$19,M342))</f>
        <v> </v>
      </c>
      <c r="F342" s="371" t="str">
        <f aca="false">IF(A342="N/A"," ",E342*C342)</f>
        <v> </v>
      </c>
      <c r="G342" s="369" t="str">
        <f aca="false">IF(A342="N/A"," ",IF(ISERROR(N342),G330*Inputs!$F$19,N342))</f>
        <v> </v>
      </c>
      <c r="H342" s="371" t="str">
        <f aca="false">IF(A342="N/A"," ",G342*C342)</f>
        <v> </v>
      </c>
      <c r="I342" s="371" t="str">
        <f aca="false">IF(A342="N/A"," ",IF(ISERROR(O342),I330*Inputs!$F$19,O342))</f>
        <v> </v>
      </c>
      <c r="J342" s="372" t="str">
        <f aca="false">IF(A342="N/A"," ",IF(ISERROR(P342),J330*Inputs!$F$23,P342))</f>
        <v> </v>
      </c>
      <c r="L342" s="374" t="str">
        <f aca="false">IF(A342="N/A"," ",VLOOKUP(A342,PeakPowerCurves,(IF('Pricing Inputs'!$AT$3=2,3,IF('Pricing Inputs'!$AT$3=1,2,4))),FALSE()))</f>
        <v> </v>
      </c>
      <c r="M342" s="374" t="str">
        <f aca="false">IF(A342="N/A"," ",VLOOKUP(A342,SatSunPeakPwr,(IF('Pricing Inputs'!$AT$3=2,3,IF('Pricing Inputs'!$AT$3=1,2,4))),FALSE()))</f>
        <v> </v>
      </c>
      <c r="N342" s="374" t="str">
        <f aca="false">IF(A342="N/A"," ",VLOOKUP(A342,SatSunPeakPwr,(IF('Pricing Inputs'!$AT$3=2,7,IF('Pricing Inputs'!$AT$3=1,6,8))),FALSE()))</f>
        <v> </v>
      </c>
      <c r="O342" s="375" t="str">
        <f aca="false">IF(A342="N/A"," ",(VLOOKUP(A342,OPPowerPrices,(IF('Pricing Inputs'!$AT$3=2,7,IF('Pricing Inputs'!$AT$3=1,6,8))),FALSE())))</f>
        <v> </v>
      </c>
      <c r="P342" s="376" t="str">
        <f aca="false">IF(A342="N/A"," ",(VLOOKUP(A342,GasCurves,15,FALSE())))</f>
        <v> </v>
      </c>
    </row>
    <row r="343" customFormat="false" ht="12.75" hidden="false" customHeight="false" outlineLevel="0" collapsed="false">
      <c r="A343" s="368" t="str">
        <f aca="false">Calculations!A310</f>
        <v>N/A</v>
      </c>
      <c r="B343" s="369" t="str">
        <f aca="false">IF(A343="N/A"," ",IF(ISERROR(L343),B331*Inputs!$F$19,L343))</f>
        <v> </v>
      </c>
      <c r="C343" s="370" t="str">
        <f aca="false">IF(A343="N/A"," ",(IF(AND(MONTH(A343)&gt;=6,MONTH(A343)&lt;=8,OR($K$37="REGION 2",$K$37="REGION 2A",$K$37="REGION 2B",$K$37="REGION 3",$K$37="REGION 3A",$K$37="REGION 3B",$K$37="REGION 4",$K$37="REGION 4B",$K$37="REGION 4C",$K$37="REGION 5",$K$37="REGION 5A")),((0.059228/(B343/100))-(0.4980013/(SQRT(B343/100)))+2.137988),HLOOKUP(MONTH(A343),ScalarTable,28))))</f>
        <v> </v>
      </c>
      <c r="D343" s="371" t="str">
        <f aca="false">IF(A343="N/A"," ",C343*B343)</f>
        <v> </v>
      </c>
      <c r="E343" s="369" t="str">
        <f aca="false">IF(A343="N/A"," ",IF(ISERROR(M343),E331*Inputs!$F$19,M343))</f>
        <v> </v>
      </c>
      <c r="F343" s="371" t="str">
        <f aca="false">IF(A343="N/A"," ",E343*C343)</f>
        <v> </v>
      </c>
      <c r="G343" s="369" t="str">
        <f aca="false">IF(A343="N/A"," ",IF(ISERROR(N343),G331*Inputs!$F$19,N343))</f>
        <v> </v>
      </c>
      <c r="H343" s="371" t="str">
        <f aca="false">IF(A343="N/A"," ",G343*C343)</f>
        <v> </v>
      </c>
      <c r="I343" s="371" t="str">
        <f aca="false">IF(A343="N/A"," ",IF(ISERROR(O343),I331*Inputs!$F$19,O343))</f>
        <v> </v>
      </c>
      <c r="J343" s="372" t="str">
        <f aca="false">IF(A343="N/A"," ",IF(ISERROR(P343),J331*Inputs!$F$23,P343))</f>
        <v> </v>
      </c>
      <c r="L343" s="374" t="str">
        <f aca="false">IF(A343="N/A"," ",VLOOKUP(A343,PeakPowerCurves,(IF('Pricing Inputs'!$AT$3=2,3,IF('Pricing Inputs'!$AT$3=1,2,4))),FALSE()))</f>
        <v> </v>
      </c>
      <c r="M343" s="374" t="str">
        <f aca="false">IF(A343="N/A"," ",VLOOKUP(A343,SatSunPeakPwr,(IF('Pricing Inputs'!$AT$3=2,3,IF('Pricing Inputs'!$AT$3=1,2,4))),FALSE()))</f>
        <v> </v>
      </c>
      <c r="N343" s="374" t="str">
        <f aca="false">IF(A343="N/A"," ",VLOOKUP(A343,SatSunPeakPwr,(IF('Pricing Inputs'!$AT$3=2,7,IF('Pricing Inputs'!$AT$3=1,6,8))),FALSE()))</f>
        <v> </v>
      </c>
      <c r="O343" s="375" t="str">
        <f aca="false">IF(A343="N/A"," ",(VLOOKUP(A343,OPPowerPrices,(IF('Pricing Inputs'!$AT$3=2,7,IF('Pricing Inputs'!$AT$3=1,6,8))),FALSE())))</f>
        <v> </v>
      </c>
      <c r="P343" s="376" t="str">
        <f aca="false">IF(A343="N/A"," ",(VLOOKUP(A343,GasCurves,15,FALSE())))</f>
        <v> </v>
      </c>
    </row>
    <row r="344" customFormat="false" ht="12.75" hidden="false" customHeight="false" outlineLevel="0" collapsed="false">
      <c r="A344" s="368" t="str">
        <f aca="false">Calculations!A311</f>
        <v>N/A</v>
      </c>
      <c r="B344" s="369" t="str">
        <f aca="false">IF(A344="N/A"," ",IF(ISERROR(L344),B332*Inputs!$F$19,L344))</f>
        <v> </v>
      </c>
      <c r="C344" s="370" t="str">
        <f aca="false">IF(A344="N/A"," ",(IF(AND(MONTH(A344)&gt;=6,MONTH(A344)&lt;=8,OR($K$37="REGION 2",$K$37="REGION 2A",$K$37="REGION 2B",$K$37="REGION 3",$K$37="REGION 3A",$K$37="REGION 3B",$K$37="REGION 4",$K$37="REGION 4B",$K$37="REGION 4C",$K$37="REGION 5",$K$37="REGION 5A")),((0.059228/(B344/100))-(0.4980013/(SQRT(B344/100)))+2.137988),HLOOKUP(MONTH(A344),ScalarTable,28))))</f>
        <v> </v>
      </c>
      <c r="D344" s="371" t="str">
        <f aca="false">IF(A344="N/A"," ",C344*B344)</f>
        <v> </v>
      </c>
      <c r="E344" s="369" t="str">
        <f aca="false">IF(A344="N/A"," ",IF(ISERROR(M344),E332*Inputs!$F$19,M344))</f>
        <v> </v>
      </c>
      <c r="F344" s="371" t="str">
        <f aca="false">IF(A344="N/A"," ",E344*C344)</f>
        <v> </v>
      </c>
      <c r="G344" s="369" t="str">
        <f aca="false">IF(A344="N/A"," ",IF(ISERROR(N344),G332*Inputs!$F$19,N344))</f>
        <v> </v>
      </c>
      <c r="H344" s="371" t="str">
        <f aca="false">IF(A344="N/A"," ",G344*C344)</f>
        <v> </v>
      </c>
      <c r="I344" s="371" t="str">
        <f aca="false">IF(A344="N/A"," ",IF(ISERROR(O344),I332*Inputs!$F$19,O344))</f>
        <v> </v>
      </c>
      <c r="J344" s="372" t="str">
        <f aca="false">IF(A344="N/A"," ",IF(ISERROR(P344),J332*Inputs!$F$23,P344))</f>
        <v> </v>
      </c>
      <c r="L344" s="374" t="str">
        <f aca="false">IF(A344="N/A"," ",VLOOKUP(A344,PeakPowerCurves,(IF('Pricing Inputs'!$AT$3=2,3,IF('Pricing Inputs'!$AT$3=1,2,4))),FALSE()))</f>
        <v> </v>
      </c>
      <c r="M344" s="374" t="str">
        <f aca="false">IF(A344="N/A"," ",VLOOKUP(A344,SatSunPeakPwr,(IF('Pricing Inputs'!$AT$3=2,3,IF('Pricing Inputs'!$AT$3=1,2,4))),FALSE()))</f>
        <v> </v>
      </c>
      <c r="N344" s="374" t="str">
        <f aca="false">IF(A344="N/A"," ",VLOOKUP(A344,SatSunPeakPwr,(IF('Pricing Inputs'!$AT$3=2,7,IF('Pricing Inputs'!$AT$3=1,6,8))),FALSE()))</f>
        <v> </v>
      </c>
      <c r="O344" s="375" t="str">
        <f aca="false">IF(A344="N/A"," ",(VLOOKUP(A344,OPPowerPrices,(IF('Pricing Inputs'!$AT$3=2,7,IF('Pricing Inputs'!$AT$3=1,6,8))),FALSE())))</f>
        <v> </v>
      </c>
      <c r="P344" s="376" t="str">
        <f aca="false">IF(A344="N/A"," ",(VLOOKUP(A344,GasCurves,15,FALSE())))</f>
        <v> </v>
      </c>
    </row>
    <row r="345" customFormat="false" ht="12.75" hidden="false" customHeight="false" outlineLevel="0" collapsed="false">
      <c r="A345" s="368" t="str">
        <f aca="false">Calculations!A312</f>
        <v>N/A</v>
      </c>
      <c r="B345" s="369" t="str">
        <f aca="false">IF(A345="N/A"," ",IF(ISERROR(L345),B333*Inputs!$F$19,L345))</f>
        <v> </v>
      </c>
      <c r="C345" s="370" t="str">
        <f aca="false">IF(A345="N/A"," ",(IF(AND(MONTH(A345)&gt;=6,MONTH(A345)&lt;=8,OR($K$37="REGION 2",$K$37="REGION 2A",$K$37="REGION 2B",$K$37="REGION 3",$K$37="REGION 3A",$K$37="REGION 3B",$K$37="REGION 4",$K$37="REGION 4B",$K$37="REGION 4C",$K$37="REGION 5",$K$37="REGION 5A")),((0.059228/(B345/100))-(0.4980013/(SQRT(B345/100)))+2.137988),HLOOKUP(MONTH(A345),ScalarTable,28))))</f>
        <v> </v>
      </c>
      <c r="D345" s="371" t="str">
        <f aca="false">IF(A345="N/A"," ",C345*B345)</f>
        <v> </v>
      </c>
      <c r="E345" s="369" t="str">
        <f aca="false">IF(A345="N/A"," ",IF(ISERROR(M345),E333*Inputs!$F$19,M345))</f>
        <v> </v>
      </c>
      <c r="F345" s="371" t="str">
        <f aca="false">IF(A345="N/A"," ",E345*C345)</f>
        <v> </v>
      </c>
      <c r="G345" s="369" t="str">
        <f aca="false">IF(A345="N/A"," ",IF(ISERROR(N345),G333*Inputs!$F$19,N345))</f>
        <v> </v>
      </c>
      <c r="H345" s="371" t="str">
        <f aca="false">IF(A345="N/A"," ",G345*C345)</f>
        <v> </v>
      </c>
      <c r="I345" s="371" t="str">
        <f aca="false">IF(A345="N/A"," ",IF(ISERROR(O345),I333*Inputs!$F$19,O345))</f>
        <v> </v>
      </c>
      <c r="J345" s="372" t="str">
        <f aca="false">IF(A345="N/A"," ",IF(ISERROR(P345),J333*Inputs!$F$23,P345))</f>
        <v> </v>
      </c>
      <c r="L345" s="374" t="str">
        <f aca="false">IF(A345="N/A"," ",VLOOKUP(A345,PeakPowerCurves,(IF('Pricing Inputs'!$AT$3=2,3,IF('Pricing Inputs'!$AT$3=1,2,4))),FALSE()))</f>
        <v> </v>
      </c>
      <c r="M345" s="374" t="str">
        <f aca="false">IF(A345="N/A"," ",VLOOKUP(A345,SatSunPeakPwr,(IF('Pricing Inputs'!$AT$3=2,3,IF('Pricing Inputs'!$AT$3=1,2,4))),FALSE()))</f>
        <v> </v>
      </c>
      <c r="N345" s="374" t="str">
        <f aca="false">IF(A345="N/A"," ",VLOOKUP(A345,SatSunPeakPwr,(IF('Pricing Inputs'!$AT$3=2,7,IF('Pricing Inputs'!$AT$3=1,6,8))),FALSE()))</f>
        <v> </v>
      </c>
      <c r="O345" s="375" t="str">
        <f aca="false">IF(A345="N/A"," ",(VLOOKUP(A345,OPPowerPrices,(IF('Pricing Inputs'!$AT$3=2,7,IF('Pricing Inputs'!$AT$3=1,6,8))),FALSE())))</f>
        <v> </v>
      </c>
      <c r="P345" s="376" t="str">
        <f aca="false">IF(A345="N/A"," ",(VLOOKUP(A345,GasCurves,15,FALSE())))</f>
        <v> </v>
      </c>
    </row>
    <row r="346" customFormat="false" ht="12.75" hidden="false" customHeight="false" outlineLevel="0" collapsed="false">
      <c r="A346" s="368" t="str">
        <f aca="false">Calculations!A313</f>
        <v>N/A</v>
      </c>
      <c r="B346" s="369" t="str">
        <f aca="false">IF(A346="N/A"," ",IF(ISERROR(L346),B334*Inputs!$F$19,L346))</f>
        <v> </v>
      </c>
      <c r="C346" s="370" t="str">
        <f aca="false">IF(A346="N/A"," ",(IF(AND(MONTH(A346)&gt;=6,MONTH(A346)&lt;=8,OR($K$37="REGION 2",$K$37="REGION 2A",$K$37="REGION 2B",$K$37="REGION 3",$K$37="REGION 3A",$K$37="REGION 3B",$K$37="REGION 4",$K$37="REGION 4B",$K$37="REGION 4C",$K$37="REGION 5",$K$37="REGION 5A")),((0.059228/(B346/100))-(0.4980013/(SQRT(B346/100)))+2.137988),HLOOKUP(MONTH(A346),ScalarTable,28))))</f>
        <v> </v>
      </c>
      <c r="D346" s="371" t="str">
        <f aca="false">IF(A346="N/A"," ",C346*B346)</f>
        <v> </v>
      </c>
      <c r="E346" s="369" t="str">
        <f aca="false">IF(A346="N/A"," ",IF(ISERROR(M346),E334*Inputs!$F$19,M346))</f>
        <v> </v>
      </c>
      <c r="F346" s="371" t="str">
        <f aca="false">IF(A346="N/A"," ",E346*C346)</f>
        <v> </v>
      </c>
      <c r="G346" s="369" t="str">
        <f aca="false">IF(A346="N/A"," ",IF(ISERROR(N346),G334*Inputs!$F$19,N346))</f>
        <v> </v>
      </c>
      <c r="H346" s="371" t="str">
        <f aca="false">IF(A346="N/A"," ",G346*C346)</f>
        <v> </v>
      </c>
      <c r="I346" s="371" t="str">
        <f aca="false">IF(A346="N/A"," ",IF(ISERROR(O346),I334*Inputs!$F$19,O346))</f>
        <v> </v>
      </c>
      <c r="J346" s="372" t="str">
        <f aca="false">IF(A346="N/A"," ",IF(ISERROR(P346),J334*Inputs!$F$23,P346))</f>
        <v> </v>
      </c>
      <c r="L346" s="374" t="str">
        <f aca="false">IF(A346="N/A"," ",VLOOKUP(A346,PeakPowerCurves,(IF('Pricing Inputs'!$AT$3=2,3,IF('Pricing Inputs'!$AT$3=1,2,4))),FALSE()))</f>
        <v> </v>
      </c>
      <c r="M346" s="374" t="str">
        <f aca="false">IF(A346="N/A"," ",VLOOKUP(A346,SatSunPeakPwr,(IF('Pricing Inputs'!$AT$3=2,3,IF('Pricing Inputs'!$AT$3=1,2,4))),FALSE()))</f>
        <v> </v>
      </c>
      <c r="N346" s="374" t="str">
        <f aca="false">IF(A346="N/A"," ",VLOOKUP(A346,SatSunPeakPwr,(IF('Pricing Inputs'!$AT$3=2,7,IF('Pricing Inputs'!$AT$3=1,6,8))),FALSE()))</f>
        <v> </v>
      </c>
      <c r="O346" s="375" t="str">
        <f aca="false">IF(A346="N/A"," ",(VLOOKUP(A346,OPPowerPrices,(IF('Pricing Inputs'!$AT$3=2,7,IF('Pricing Inputs'!$AT$3=1,6,8))),FALSE())))</f>
        <v> </v>
      </c>
      <c r="P346" s="376" t="str">
        <f aca="false">IF(A346="N/A"," ",(VLOOKUP(A346,GasCurves,15,FALSE())))</f>
        <v> </v>
      </c>
    </row>
    <row r="347" customFormat="false" ht="12.75" hidden="false" customHeight="false" outlineLevel="0" collapsed="false">
      <c r="A347" s="368" t="str">
        <f aca="false">Calculations!A314</f>
        <v>N/A</v>
      </c>
      <c r="B347" s="369" t="str">
        <f aca="false">IF(A347="N/A"," ",IF(ISERROR(L347),B335*Inputs!$F$19,L347))</f>
        <v> </v>
      </c>
      <c r="C347" s="370" t="str">
        <f aca="false">IF(A347="N/A"," ",(IF(AND(MONTH(A347)&gt;=6,MONTH(A347)&lt;=8,OR($K$37="REGION 2",$K$37="REGION 2A",$K$37="REGION 2B",$K$37="REGION 3",$K$37="REGION 3A",$K$37="REGION 3B",$K$37="REGION 4",$K$37="REGION 4B",$K$37="REGION 4C",$K$37="REGION 5",$K$37="REGION 5A")),((0.059228/(B347/100))-(0.4980013/(SQRT(B347/100)))+2.137988),HLOOKUP(MONTH(A347),ScalarTable,28))))</f>
        <v> </v>
      </c>
      <c r="D347" s="371" t="str">
        <f aca="false">IF(A347="N/A"," ",C347*B347)</f>
        <v> </v>
      </c>
      <c r="E347" s="369" t="str">
        <f aca="false">IF(A347="N/A"," ",IF(ISERROR(M347),E335*Inputs!$F$19,M347))</f>
        <v> </v>
      </c>
      <c r="F347" s="371" t="str">
        <f aca="false">IF(A347="N/A"," ",E347*C347)</f>
        <v> </v>
      </c>
      <c r="G347" s="369" t="str">
        <f aca="false">IF(A347="N/A"," ",IF(ISERROR(N347),G335*Inputs!$F$19,N347))</f>
        <v> </v>
      </c>
      <c r="H347" s="371" t="str">
        <f aca="false">IF(A347="N/A"," ",G347*C347)</f>
        <v> </v>
      </c>
      <c r="I347" s="371" t="str">
        <f aca="false">IF(A347="N/A"," ",IF(ISERROR(O347),I335*Inputs!$F$19,O347))</f>
        <v> </v>
      </c>
      <c r="J347" s="372" t="str">
        <f aca="false">IF(A347="N/A"," ",IF(ISERROR(P347),J335*Inputs!$F$23,P347))</f>
        <v> </v>
      </c>
      <c r="L347" s="374" t="str">
        <f aca="false">IF(A347="N/A"," ",VLOOKUP(A347,PeakPowerCurves,(IF('Pricing Inputs'!$AT$3=2,3,IF('Pricing Inputs'!$AT$3=1,2,4))),FALSE()))</f>
        <v> </v>
      </c>
      <c r="M347" s="374" t="str">
        <f aca="false">IF(A347="N/A"," ",VLOOKUP(A347,SatSunPeakPwr,(IF('Pricing Inputs'!$AT$3=2,3,IF('Pricing Inputs'!$AT$3=1,2,4))),FALSE()))</f>
        <v> </v>
      </c>
      <c r="N347" s="374" t="str">
        <f aca="false">IF(A347="N/A"," ",VLOOKUP(A347,SatSunPeakPwr,(IF('Pricing Inputs'!$AT$3=2,7,IF('Pricing Inputs'!$AT$3=1,6,8))),FALSE()))</f>
        <v> </v>
      </c>
      <c r="O347" s="375" t="str">
        <f aca="false">IF(A347="N/A"," ",(VLOOKUP(A347,OPPowerPrices,(IF('Pricing Inputs'!$AT$3=2,7,IF('Pricing Inputs'!$AT$3=1,6,8))),FALSE())))</f>
        <v> </v>
      </c>
      <c r="P347" s="376" t="str">
        <f aca="false">IF(A347="N/A"," ",(VLOOKUP(A347,GasCurves,15,FALSE())))</f>
        <v> </v>
      </c>
    </row>
    <row r="348" customFormat="false" ht="12.75" hidden="false" customHeight="false" outlineLevel="0" collapsed="false">
      <c r="A348" s="368" t="str">
        <f aca="false">Calculations!A315</f>
        <v>N/A</v>
      </c>
      <c r="B348" s="369" t="str">
        <f aca="false">IF(A348="N/A"," ",IF(ISERROR(L348),B336*Inputs!$F$19,L348))</f>
        <v> </v>
      </c>
      <c r="C348" s="370" t="str">
        <f aca="false">IF(A348="N/A"," ",(IF(AND(MONTH(A348)&gt;=6,MONTH(A348)&lt;=8,OR($K$37="REGION 2",$K$37="REGION 2A",$K$37="REGION 2B",$K$37="REGION 3",$K$37="REGION 3A",$K$37="REGION 3B",$K$37="REGION 4",$K$37="REGION 4B",$K$37="REGION 4C",$K$37="REGION 5",$K$37="REGION 5A")),((0.059228/(B348/100))-(0.4980013/(SQRT(B348/100)))+2.137988),HLOOKUP(MONTH(A348),ScalarTable,28))))</f>
        <v> </v>
      </c>
      <c r="D348" s="371" t="str">
        <f aca="false">IF(A348="N/A"," ",C348*B348)</f>
        <v> </v>
      </c>
      <c r="E348" s="369" t="str">
        <f aca="false">IF(A348="N/A"," ",IF(ISERROR(M348),E336*Inputs!$F$19,M348))</f>
        <v> </v>
      </c>
      <c r="F348" s="371" t="str">
        <f aca="false">IF(A348="N/A"," ",E348*C348)</f>
        <v> </v>
      </c>
      <c r="G348" s="369" t="str">
        <f aca="false">IF(A348="N/A"," ",IF(ISERROR(N348),G336*Inputs!$F$19,N348))</f>
        <v> </v>
      </c>
      <c r="H348" s="371" t="str">
        <f aca="false">IF(A348="N/A"," ",G348*C348)</f>
        <v> </v>
      </c>
      <c r="I348" s="371" t="str">
        <f aca="false">IF(A348="N/A"," ",IF(ISERROR(O348),I336*Inputs!$F$19,O348))</f>
        <v> </v>
      </c>
      <c r="J348" s="372" t="str">
        <f aca="false">IF(A348="N/A"," ",IF(ISERROR(P348),J336*Inputs!$F$23,P348))</f>
        <v> </v>
      </c>
      <c r="L348" s="374" t="str">
        <f aca="false">IF(A348="N/A"," ",VLOOKUP(A348,PeakPowerCurves,(IF('Pricing Inputs'!$AT$3=2,3,IF('Pricing Inputs'!$AT$3=1,2,4))),FALSE()))</f>
        <v> </v>
      </c>
      <c r="M348" s="374" t="str">
        <f aca="false">IF(A348="N/A"," ",VLOOKUP(A348,SatSunPeakPwr,(IF('Pricing Inputs'!$AT$3=2,3,IF('Pricing Inputs'!$AT$3=1,2,4))),FALSE()))</f>
        <v> </v>
      </c>
      <c r="N348" s="374" t="str">
        <f aca="false">IF(A348="N/A"," ",VLOOKUP(A348,SatSunPeakPwr,(IF('Pricing Inputs'!$AT$3=2,7,IF('Pricing Inputs'!$AT$3=1,6,8))),FALSE()))</f>
        <v> </v>
      </c>
      <c r="O348" s="375" t="str">
        <f aca="false">IF(A348="N/A"," ",(VLOOKUP(A348,OPPowerPrices,(IF('Pricing Inputs'!$AT$3=2,7,IF('Pricing Inputs'!$AT$3=1,6,8))),FALSE())))</f>
        <v> </v>
      </c>
      <c r="P348" s="376" t="str">
        <f aca="false">IF(A348="N/A"," ",(VLOOKUP(A348,GasCurves,15,FALSE())))</f>
        <v> </v>
      </c>
    </row>
    <row r="349" customFormat="false" ht="12.75" hidden="false" customHeight="false" outlineLevel="0" collapsed="false">
      <c r="A349" s="368" t="str">
        <f aca="false">Calculations!A316</f>
        <v>N/A</v>
      </c>
      <c r="B349" s="369" t="str">
        <f aca="false">IF(A349="N/A"," ",IF(ISERROR(L349),B337*Inputs!$F$19,L349))</f>
        <v> </v>
      </c>
      <c r="C349" s="370" t="str">
        <f aca="false">IF(A349="N/A"," ",(IF(AND(MONTH(A349)&gt;=6,MONTH(A349)&lt;=8,OR($K$37="REGION 2",$K$37="REGION 2A",$K$37="REGION 2B",$K$37="REGION 3",$K$37="REGION 3A",$K$37="REGION 3B",$K$37="REGION 4",$K$37="REGION 4B",$K$37="REGION 4C",$K$37="REGION 5",$K$37="REGION 5A")),((0.059228/(B349/100))-(0.4980013/(SQRT(B349/100)))+2.137988),HLOOKUP(MONTH(A349),ScalarTable,28))))</f>
        <v> </v>
      </c>
      <c r="D349" s="371" t="str">
        <f aca="false">IF(A349="N/A"," ",C349*B349)</f>
        <v> </v>
      </c>
      <c r="E349" s="369" t="str">
        <f aca="false">IF(A349="N/A"," ",IF(ISERROR(M349),E337*Inputs!$F$19,M349))</f>
        <v> </v>
      </c>
      <c r="F349" s="371" t="str">
        <f aca="false">IF(A349="N/A"," ",E349*C349)</f>
        <v> </v>
      </c>
      <c r="G349" s="369" t="str">
        <f aca="false">IF(A349="N/A"," ",IF(ISERROR(N349),G337*Inputs!$F$19,N349))</f>
        <v> </v>
      </c>
      <c r="H349" s="371" t="str">
        <f aca="false">IF(A349="N/A"," ",G349*C349)</f>
        <v> </v>
      </c>
      <c r="I349" s="371" t="str">
        <f aca="false">IF(A349="N/A"," ",IF(ISERROR(O349),I337*Inputs!$F$19,O349))</f>
        <v> </v>
      </c>
      <c r="J349" s="372" t="str">
        <f aca="false">IF(A349="N/A"," ",IF(ISERROR(P349),J337*Inputs!$F$23,P349))</f>
        <v> </v>
      </c>
      <c r="L349" s="374" t="str">
        <f aca="false">IF(A349="N/A"," ",VLOOKUP(A349,PeakPowerCurves,(IF('Pricing Inputs'!$AT$3=2,3,IF('Pricing Inputs'!$AT$3=1,2,4))),FALSE()))</f>
        <v> </v>
      </c>
      <c r="M349" s="374" t="str">
        <f aca="false">IF(A349="N/A"," ",VLOOKUP(A349,SatSunPeakPwr,(IF('Pricing Inputs'!$AT$3=2,3,IF('Pricing Inputs'!$AT$3=1,2,4))),FALSE()))</f>
        <v> </v>
      </c>
      <c r="N349" s="374" t="str">
        <f aca="false">IF(A349="N/A"," ",VLOOKUP(A349,SatSunPeakPwr,(IF('Pricing Inputs'!$AT$3=2,7,IF('Pricing Inputs'!$AT$3=1,6,8))),FALSE()))</f>
        <v> </v>
      </c>
      <c r="O349" s="375" t="str">
        <f aca="false">IF(A349="N/A"," ",(VLOOKUP(A349,OPPowerPrices,(IF('Pricing Inputs'!$AT$3=2,7,IF('Pricing Inputs'!$AT$3=1,6,8))),FALSE())))</f>
        <v> </v>
      </c>
      <c r="P349" s="376" t="str">
        <f aca="false">IF(A349="N/A"," ",(VLOOKUP(A349,GasCurves,15,FALSE())))</f>
        <v> </v>
      </c>
    </row>
    <row r="350" customFormat="false" ht="12.75" hidden="false" customHeight="false" outlineLevel="0" collapsed="false">
      <c r="A350" s="368" t="str">
        <f aca="false">Calculations!A317</f>
        <v>N/A</v>
      </c>
      <c r="B350" s="369" t="str">
        <f aca="false">IF(A350="N/A"," ",IF(ISERROR(L350),B338*Inputs!$F$19,L350))</f>
        <v> </v>
      </c>
      <c r="C350" s="370" t="str">
        <f aca="false">IF(A350="N/A"," ",(IF(AND(MONTH(A350)&gt;=6,MONTH(A350)&lt;=8,OR($K$37="REGION 2",$K$37="REGION 2A",$K$37="REGION 2B",$K$37="REGION 3",$K$37="REGION 3A",$K$37="REGION 3B",$K$37="REGION 4",$K$37="REGION 4B",$K$37="REGION 4C",$K$37="REGION 5",$K$37="REGION 5A")),((0.059228/(B350/100))-(0.4980013/(SQRT(B350/100)))+2.137988),HLOOKUP(MONTH(A350),ScalarTable,28))))</f>
        <v> </v>
      </c>
      <c r="D350" s="371" t="str">
        <f aca="false">IF(A350="N/A"," ",C350*B350)</f>
        <v> </v>
      </c>
      <c r="E350" s="369" t="str">
        <f aca="false">IF(A350="N/A"," ",IF(ISERROR(M350),E338*Inputs!$F$19,M350))</f>
        <v> </v>
      </c>
      <c r="F350" s="371" t="str">
        <f aca="false">IF(A350="N/A"," ",E350*C350)</f>
        <v> </v>
      </c>
      <c r="G350" s="369" t="str">
        <f aca="false">IF(A350="N/A"," ",IF(ISERROR(N350),G338*Inputs!$F$19,N350))</f>
        <v> </v>
      </c>
      <c r="H350" s="371" t="str">
        <f aca="false">IF(A350="N/A"," ",G350*C350)</f>
        <v> </v>
      </c>
      <c r="I350" s="371" t="str">
        <f aca="false">IF(A350="N/A"," ",IF(ISERROR(O350),I338*Inputs!$F$19,O350))</f>
        <v> </v>
      </c>
      <c r="J350" s="372" t="str">
        <f aca="false">IF(A350="N/A"," ",IF(ISERROR(P350),J338*Inputs!$F$23,P350))</f>
        <v> </v>
      </c>
      <c r="L350" s="374" t="str">
        <f aca="false">IF(A350="N/A"," ",VLOOKUP(A350,PeakPowerCurves,(IF('Pricing Inputs'!$AT$3=2,3,IF('Pricing Inputs'!$AT$3=1,2,4))),FALSE()))</f>
        <v> </v>
      </c>
      <c r="M350" s="374" t="str">
        <f aca="false">IF(A350="N/A"," ",VLOOKUP(A350,SatSunPeakPwr,(IF('Pricing Inputs'!$AT$3=2,3,IF('Pricing Inputs'!$AT$3=1,2,4))),FALSE()))</f>
        <v> </v>
      </c>
      <c r="N350" s="374" t="str">
        <f aca="false">IF(A350="N/A"," ",VLOOKUP(A350,SatSunPeakPwr,(IF('Pricing Inputs'!$AT$3=2,7,IF('Pricing Inputs'!$AT$3=1,6,8))),FALSE()))</f>
        <v> </v>
      </c>
      <c r="O350" s="375" t="str">
        <f aca="false">IF(A350="N/A"," ",(VLOOKUP(A350,OPPowerPrices,(IF('Pricing Inputs'!$AT$3=2,7,IF('Pricing Inputs'!$AT$3=1,6,8))),FALSE())))</f>
        <v> </v>
      </c>
      <c r="P350" s="376" t="str">
        <f aca="false">IF(A350="N/A"," ",(VLOOKUP(A350,GasCurves,15,FALSE())))</f>
        <v> </v>
      </c>
    </row>
    <row r="351" customFormat="false" ht="12.75" hidden="false" customHeight="false" outlineLevel="0" collapsed="false">
      <c r="A351" s="368" t="str">
        <f aca="false">Calculations!A318</f>
        <v>N/A</v>
      </c>
      <c r="B351" s="369" t="str">
        <f aca="false">IF(A351="N/A"," ",IF(ISERROR(L351),B339*Inputs!$F$19,L351))</f>
        <v> </v>
      </c>
      <c r="C351" s="370" t="str">
        <f aca="false">IF(A351="N/A"," ",(IF(AND(MONTH(A351)&gt;=6,MONTH(A351)&lt;=8,OR($K$37="REGION 2",$K$37="REGION 2A",$K$37="REGION 2B",$K$37="REGION 3",$K$37="REGION 3A",$K$37="REGION 3B",$K$37="REGION 4",$K$37="REGION 4B",$K$37="REGION 4C",$K$37="REGION 5",$K$37="REGION 5A")),((0.059228/(B351/100))-(0.4980013/(SQRT(B351/100)))+2.137988),HLOOKUP(MONTH(A351),ScalarTable,28))))</f>
        <v> </v>
      </c>
      <c r="D351" s="371" t="str">
        <f aca="false">IF(A351="N/A"," ",C351*B351)</f>
        <v> </v>
      </c>
      <c r="E351" s="369" t="str">
        <f aca="false">IF(A351="N/A"," ",IF(ISERROR(M351),E339*Inputs!$F$19,M351))</f>
        <v> </v>
      </c>
      <c r="F351" s="371" t="str">
        <f aca="false">IF(A351="N/A"," ",E351*C351)</f>
        <v> </v>
      </c>
      <c r="G351" s="369" t="str">
        <f aca="false">IF(A351="N/A"," ",IF(ISERROR(N351),G339*Inputs!$F$19,N351))</f>
        <v> </v>
      </c>
      <c r="H351" s="371" t="str">
        <f aca="false">IF(A351="N/A"," ",G351*C351)</f>
        <v> </v>
      </c>
      <c r="I351" s="371" t="str">
        <f aca="false">IF(A351="N/A"," ",IF(ISERROR(O351),I339*Inputs!$F$19,O351))</f>
        <v> </v>
      </c>
      <c r="J351" s="372" t="str">
        <f aca="false">IF(A351="N/A"," ",IF(ISERROR(P351),J339*Inputs!$F$23,P351))</f>
        <v> </v>
      </c>
      <c r="L351" s="374" t="str">
        <f aca="false">IF(A351="N/A"," ",VLOOKUP(A351,PeakPowerCurves,(IF('Pricing Inputs'!$AT$3=2,3,IF('Pricing Inputs'!$AT$3=1,2,4))),FALSE()))</f>
        <v> </v>
      </c>
      <c r="M351" s="374" t="str">
        <f aca="false">IF(A351="N/A"," ",VLOOKUP(A351,SatSunPeakPwr,(IF('Pricing Inputs'!$AT$3=2,3,IF('Pricing Inputs'!$AT$3=1,2,4))),FALSE()))</f>
        <v> </v>
      </c>
      <c r="N351" s="374" t="str">
        <f aca="false">IF(A351="N/A"," ",VLOOKUP(A351,SatSunPeakPwr,(IF('Pricing Inputs'!$AT$3=2,7,IF('Pricing Inputs'!$AT$3=1,6,8))),FALSE()))</f>
        <v> </v>
      </c>
      <c r="O351" s="375" t="str">
        <f aca="false">IF(A351="N/A"," ",(VLOOKUP(A351,OPPowerPrices,(IF('Pricing Inputs'!$AT$3=2,7,IF('Pricing Inputs'!$AT$3=1,6,8))),FALSE())))</f>
        <v> </v>
      </c>
      <c r="P351" s="376" t="str">
        <f aca="false">IF(A351="N/A"," ",(VLOOKUP(A351,GasCurves,15,FALSE())))</f>
        <v> </v>
      </c>
    </row>
    <row r="352" customFormat="false" ht="12.75" hidden="false" customHeight="false" outlineLevel="0" collapsed="false">
      <c r="A352" s="368" t="str">
        <f aca="false">Calculations!A319</f>
        <v>N/A</v>
      </c>
      <c r="B352" s="369" t="str">
        <f aca="false">IF(A352="N/A"," ",IF(ISERROR(L352),B340*Inputs!$F$19,L352))</f>
        <v> </v>
      </c>
      <c r="C352" s="370" t="str">
        <f aca="false">IF(A352="N/A"," ",(IF(AND(MONTH(A352)&gt;=6,MONTH(A352)&lt;=8,OR($K$37="REGION 2",$K$37="REGION 2A",$K$37="REGION 2B",$K$37="REGION 3",$K$37="REGION 3A",$K$37="REGION 3B",$K$37="REGION 4",$K$37="REGION 4B",$K$37="REGION 4C",$K$37="REGION 5",$K$37="REGION 5A")),((0.059228/(B352/100))-(0.4980013/(SQRT(B352/100)))+2.137988),HLOOKUP(MONTH(A352),ScalarTable,28))))</f>
        <v> </v>
      </c>
      <c r="D352" s="371" t="str">
        <f aca="false">IF(A352="N/A"," ",C352*B352)</f>
        <v> </v>
      </c>
      <c r="E352" s="369" t="str">
        <f aca="false">IF(A352="N/A"," ",IF(ISERROR(M352),E340*Inputs!$F$19,M352))</f>
        <v> </v>
      </c>
      <c r="F352" s="371" t="str">
        <f aca="false">IF(A352="N/A"," ",E352*C352)</f>
        <v> </v>
      </c>
      <c r="G352" s="369" t="str">
        <f aca="false">IF(A352="N/A"," ",IF(ISERROR(N352),G340*Inputs!$F$19,N352))</f>
        <v> </v>
      </c>
      <c r="H352" s="371" t="str">
        <f aca="false">IF(A352="N/A"," ",G352*C352)</f>
        <v> </v>
      </c>
      <c r="I352" s="371" t="str">
        <f aca="false">IF(A352="N/A"," ",IF(ISERROR(O352),I340*Inputs!$F$19,O352))</f>
        <v> </v>
      </c>
      <c r="J352" s="372" t="str">
        <f aca="false">IF(A352="N/A"," ",IF(ISERROR(P352),J340*Inputs!$F$23,P352))</f>
        <v> </v>
      </c>
      <c r="L352" s="374" t="str">
        <f aca="false">IF(A352="N/A"," ",VLOOKUP(A352,PeakPowerCurves,(IF('Pricing Inputs'!$AT$3=2,3,IF('Pricing Inputs'!$AT$3=1,2,4))),FALSE()))</f>
        <v> </v>
      </c>
      <c r="M352" s="374" t="str">
        <f aca="false">IF(A352="N/A"," ",VLOOKUP(A352,SatSunPeakPwr,(IF('Pricing Inputs'!$AT$3=2,3,IF('Pricing Inputs'!$AT$3=1,2,4))),FALSE()))</f>
        <v> </v>
      </c>
      <c r="N352" s="374" t="str">
        <f aca="false">IF(A352="N/A"," ",VLOOKUP(A352,SatSunPeakPwr,(IF('Pricing Inputs'!$AT$3=2,7,IF('Pricing Inputs'!$AT$3=1,6,8))),FALSE()))</f>
        <v> </v>
      </c>
      <c r="O352" s="375" t="str">
        <f aca="false">IF(A352="N/A"," ",(VLOOKUP(A352,OPPowerPrices,(IF('Pricing Inputs'!$AT$3=2,7,IF('Pricing Inputs'!$AT$3=1,6,8))),FALSE())))</f>
        <v> </v>
      </c>
      <c r="P352" s="376" t="str">
        <f aca="false">IF(A352="N/A"," ",(VLOOKUP(A352,GasCurves,15,FALSE())))</f>
        <v> </v>
      </c>
    </row>
    <row r="353" customFormat="false" ht="12.75" hidden="false" customHeight="false" outlineLevel="0" collapsed="false">
      <c r="A353" s="368" t="str">
        <f aca="false">Calculations!A320</f>
        <v>N/A</v>
      </c>
      <c r="B353" s="369" t="str">
        <f aca="false">IF(A353="N/A"," ",IF(ISERROR(L353),B341*Inputs!$F$19,L353))</f>
        <v> </v>
      </c>
      <c r="C353" s="370" t="str">
        <f aca="false">IF(A353="N/A"," ",(IF(AND(MONTH(A353)&gt;=6,MONTH(A353)&lt;=8,OR($K$37="REGION 2",$K$37="REGION 2A",$K$37="REGION 2B",$K$37="REGION 3",$K$37="REGION 3A",$K$37="REGION 3B",$K$37="REGION 4",$K$37="REGION 4B",$K$37="REGION 4C",$K$37="REGION 5",$K$37="REGION 5A")),((0.059228/(B353/100))-(0.4980013/(SQRT(B353/100)))+2.137988),HLOOKUP(MONTH(A353),ScalarTable,28))))</f>
        <v> </v>
      </c>
      <c r="D353" s="371" t="str">
        <f aca="false">IF(A353="N/A"," ",C353*B353)</f>
        <v> </v>
      </c>
      <c r="E353" s="369" t="str">
        <f aca="false">IF(A353="N/A"," ",IF(ISERROR(M353),E341*Inputs!$F$19,M353))</f>
        <v> </v>
      </c>
      <c r="F353" s="371" t="str">
        <f aca="false">IF(A353="N/A"," ",E353*C353)</f>
        <v> </v>
      </c>
      <c r="G353" s="369" t="str">
        <f aca="false">IF(A353="N/A"," ",IF(ISERROR(N353),G341*Inputs!$F$19,N353))</f>
        <v> </v>
      </c>
      <c r="H353" s="371" t="str">
        <f aca="false">IF(A353="N/A"," ",G353*C353)</f>
        <v> </v>
      </c>
      <c r="I353" s="371" t="str">
        <f aca="false">IF(A353="N/A"," ",IF(ISERROR(O353),I341*Inputs!$F$19,O353))</f>
        <v> </v>
      </c>
      <c r="J353" s="372" t="str">
        <f aca="false">IF(A353="N/A"," ",IF(ISERROR(P353),J341*Inputs!$F$23,P353))</f>
        <v> </v>
      </c>
      <c r="L353" s="374" t="str">
        <f aca="false">IF(A353="N/A"," ",VLOOKUP(A353,PeakPowerCurves,(IF('Pricing Inputs'!$AT$3=2,3,IF('Pricing Inputs'!$AT$3=1,2,4))),FALSE()))</f>
        <v> </v>
      </c>
      <c r="M353" s="374" t="str">
        <f aca="false">IF(A353="N/A"," ",VLOOKUP(A353,SatSunPeakPwr,(IF('Pricing Inputs'!$AT$3=2,3,IF('Pricing Inputs'!$AT$3=1,2,4))),FALSE()))</f>
        <v> </v>
      </c>
      <c r="N353" s="374" t="str">
        <f aca="false">IF(A353="N/A"," ",VLOOKUP(A353,SatSunPeakPwr,(IF('Pricing Inputs'!$AT$3=2,7,IF('Pricing Inputs'!$AT$3=1,6,8))),FALSE()))</f>
        <v> </v>
      </c>
      <c r="O353" s="375" t="str">
        <f aca="false">IF(A353="N/A"," ",(VLOOKUP(A353,OPPowerPrices,(IF('Pricing Inputs'!$AT$3=2,7,IF('Pricing Inputs'!$AT$3=1,6,8))),FALSE())))</f>
        <v> </v>
      </c>
      <c r="P353" s="376" t="str">
        <f aca="false">IF(A353="N/A"," ",(VLOOKUP(A353,GasCurves,15,FALSE())))</f>
        <v> </v>
      </c>
    </row>
    <row r="354" customFormat="false" ht="12.75" hidden="false" customHeight="false" outlineLevel="0" collapsed="false">
      <c r="A354" s="368" t="str">
        <f aca="false">Calculations!A321</f>
        <v>N/A</v>
      </c>
      <c r="B354" s="369" t="str">
        <f aca="false">IF(A354="N/A"," ",IF(ISERROR(L354),B342*Inputs!$F$19,L354))</f>
        <v> </v>
      </c>
      <c r="C354" s="370" t="str">
        <f aca="false">IF(A354="N/A"," ",(IF(AND(MONTH(A354)&gt;=6,MONTH(A354)&lt;=8,OR($K$37="REGION 2",$K$37="REGION 2A",$K$37="REGION 2B",$K$37="REGION 3",$K$37="REGION 3A",$K$37="REGION 3B",$K$37="REGION 4",$K$37="REGION 4B",$K$37="REGION 4C",$K$37="REGION 5",$K$37="REGION 5A")),((0.059228/(B354/100))-(0.4980013/(SQRT(B354/100)))+2.137988),HLOOKUP(MONTH(A354),ScalarTable,28))))</f>
        <v> </v>
      </c>
      <c r="D354" s="371" t="str">
        <f aca="false">IF(A354="N/A"," ",C354*B354)</f>
        <v> </v>
      </c>
      <c r="E354" s="369" t="str">
        <f aca="false">IF(A354="N/A"," ",IF(ISERROR(M354),E342*Inputs!$F$19,M354))</f>
        <v> </v>
      </c>
      <c r="F354" s="371" t="str">
        <f aca="false">IF(A354="N/A"," ",E354*C354)</f>
        <v> </v>
      </c>
      <c r="G354" s="369" t="str">
        <f aca="false">IF(A354="N/A"," ",IF(ISERROR(N354),G342*Inputs!$F$19,N354))</f>
        <v> </v>
      </c>
      <c r="H354" s="371" t="str">
        <f aca="false">IF(A354="N/A"," ",G354*C354)</f>
        <v> </v>
      </c>
      <c r="I354" s="371" t="str">
        <f aca="false">IF(A354="N/A"," ",IF(ISERROR(O354),I342*Inputs!$F$19,O354))</f>
        <v> </v>
      </c>
      <c r="J354" s="372" t="str">
        <f aca="false">IF(A354="N/A"," ",IF(ISERROR(P354),J342*Inputs!$F$23,P354))</f>
        <v> </v>
      </c>
      <c r="L354" s="374" t="str">
        <f aca="false">IF(A354="N/A"," ",VLOOKUP(A354,PeakPowerCurves,(IF('Pricing Inputs'!$AT$3=2,3,IF('Pricing Inputs'!$AT$3=1,2,4))),FALSE()))</f>
        <v> </v>
      </c>
      <c r="M354" s="374" t="str">
        <f aca="false">IF(A354="N/A"," ",VLOOKUP(A354,SatSunPeakPwr,(IF('Pricing Inputs'!$AT$3=2,3,IF('Pricing Inputs'!$AT$3=1,2,4))),FALSE()))</f>
        <v> </v>
      </c>
      <c r="N354" s="374" t="str">
        <f aca="false">IF(A354="N/A"," ",VLOOKUP(A354,SatSunPeakPwr,(IF('Pricing Inputs'!$AT$3=2,7,IF('Pricing Inputs'!$AT$3=1,6,8))),FALSE()))</f>
        <v> </v>
      </c>
      <c r="O354" s="375" t="str">
        <f aca="false">IF(A354="N/A"," ",(VLOOKUP(A354,OPPowerPrices,(IF('Pricing Inputs'!$AT$3=2,7,IF('Pricing Inputs'!$AT$3=1,6,8))),FALSE())))</f>
        <v> </v>
      </c>
      <c r="P354" s="376" t="str">
        <f aca="false">IF(A354="N/A"," ",(VLOOKUP(A354,GasCurves,15,FALSE())))</f>
        <v> </v>
      </c>
    </row>
    <row r="355" customFormat="false" ht="12.75" hidden="false" customHeight="false" outlineLevel="0" collapsed="false">
      <c r="A355" s="368" t="str">
        <f aca="false">Calculations!A322</f>
        <v>N/A</v>
      </c>
      <c r="B355" s="369" t="str">
        <f aca="false">IF(A355="N/A"," ",IF(ISERROR(L355),B343*Inputs!$F$19,L355))</f>
        <v> </v>
      </c>
      <c r="C355" s="370" t="str">
        <f aca="false">IF(A355="N/A"," ",(IF(AND(MONTH(A355)&gt;=6,MONTH(A355)&lt;=8,OR($K$37="REGION 2",$K$37="REGION 2A",$K$37="REGION 2B",$K$37="REGION 3",$K$37="REGION 3A",$K$37="REGION 3B",$K$37="REGION 4",$K$37="REGION 4B",$K$37="REGION 4C",$K$37="REGION 5",$K$37="REGION 5A")),((0.059228/(B355/100))-(0.4980013/(SQRT(B355/100)))+2.137988),HLOOKUP(MONTH(A355),ScalarTable,28))))</f>
        <v> </v>
      </c>
      <c r="D355" s="371" t="str">
        <f aca="false">IF(A355="N/A"," ",C355*B355)</f>
        <v> </v>
      </c>
      <c r="E355" s="369" t="str">
        <f aca="false">IF(A355="N/A"," ",IF(ISERROR(M355),E343*Inputs!$F$19,M355))</f>
        <v> </v>
      </c>
      <c r="F355" s="371" t="str">
        <f aca="false">IF(A355="N/A"," ",E355*C355)</f>
        <v> </v>
      </c>
      <c r="G355" s="369" t="str">
        <f aca="false">IF(A355="N/A"," ",IF(ISERROR(N355),G343*Inputs!$F$19,N355))</f>
        <v> </v>
      </c>
      <c r="H355" s="371" t="str">
        <f aca="false">IF(A355="N/A"," ",G355*C355)</f>
        <v> </v>
      </c>
      <c r="I355" s="371" t="str">
        <f aca="false">IF(A355="N/A"," ",IF(ISERROR(O355),I343*Inputs!$F$19,O355))</f>
        <v> </v>
      </c>
      <c r="J355" s="372" t="str">
        <f aca="false">IF(A355="N/A"," ",IF(ISERROR(P355),J343*Inputs!$F$23,P355))</f>
        <v> </v>
      </c>
      <c r="L355" s="374" t="str">
        <f aca="false">IF(A355="N/A"," ",VLOOKUP(A355,PeakPowerCurves,(IF('Pricing Inputs'!$AT$3=2,3,IF('Pricing Inputs'!$AT$3=1,2,4))),FALSE()))</f>
        <v> </v>
      </c>
      <c r="M355" s="374" t="str">
        <f aca="false">IF(A355="N/A"," ",VLOOKUP(A355,SatSunPeakPwr,(IF('Pricing Inputs'!$AT$3=2,3,IF('Pricing Inputs'!$AT$3=1,2,4))),FALSE()))</f>
        <v> </v>
      </c>
      <c r="N355" s="374" t="str">
        <f aca="false">IF(A355="N/A"," ",VLOOKUP(A355,SatSunPeakPwr,(IF('Pricing Inputs'!$AT$3=2,7,IF('Pricing Inputs'!$AT$3=1,6,8))),FALSE()))</f>
        <v> </v>
      </c>
      <c r="O355" s="375" t="str">
        <f aca="false">IF(A355="N/A"," ",(VLOOKUP(A355,OPPowerPrices,(IF('Pricing Inputs'!$AT$3=2,7,IF('Pricing Inputs'!$AT$3=1,6,8))),FALSE())))</f>
        <v> </v>
      </c>
      <c r="P355" s="376" t="str">
        <f aca="false">IF(A355="N/A"," ",(VLOOKUP(A355,GasCurves,15,FALSE())))</f>
        <v> </v>
      </c>
    </row>
    <row r="356" customFormat="false" ht="12.75" hidden="false" customHeight="false" outlineLevel="0" collapsed="false">
      <c r="A356" s="368" t="str">
        <f aca="false">Calculations!A323</f>
        <v>N/A</v>
      </c>
      <c r="B356" s="369" t="str">
        <f aca="false">IF(A356="N/A"," ",IF(ISERROR(L356),B344*Inputs!$F$19,L356))</f>
        <v> </v>
      </c>
      <c r="C356" s="370" t="str">
        <f aca="false">IF(A356="N/A"," ",(IF(AND(MONTH(A356)&gt;=6,MONTH(A356)&lt;=8,OR($K$37="REGION 2",$K$37="REGION 2A",$K$37="REGION 2B",$K$37="REGION 3",$K$37="REGION 3A",$K$37="REGION 3B",$K$37="REGION 4",$K$37="REGION 4B",$K$37="REGION 4C",$K$37="REGION 5",$K$37="REGION 5A")),((0.059228/(B356/100))-(0.4980013/(SQRT(B356/100)))+2.137988),HLOOKUP(MONTH(A356),ScalarTable,28))))</f>
        <v> </v>
      </c>
      <c r="D356" s="371" t="str">
        <f aca="false">IF(A356="N/A"," ",C356*B356)</f>
        <v> </v>
      </c>
      <c r="E356" s="369" t="str">
        <f aca="false">IF(A356="N/A"," ",IF(ISERROR(M356),E344*Inputs!$F$19,M356))</f>
        <v> </v>
      </c>
      <c r="F356" s="371" t="str">
        <f aca="false">IF(A356="N/A"," ",E356*C356)</f>
        <v> </v>
      </c>
      <c r="G356" s="369" t="str">
        <f aca="false">IF(A356="N/A"," ",IF(ISERROR(N356),G344*Inputs!$F$19,N356))</f>
        <v> </v>
      </c>
      <c r="H356" s="371" t="str">
        <f aca="false">IF(A356="N/A"," ",G356*C356)</f>
        <v> </v>
      </c>
      <c r="I356" s="371" t="str">
        <f aca="false">IF(A356="N/A"," ",IF(ISERROR(O356),I344*Inputs!$F$19,O356))</f>
        <v> </v>
      </c>
      <c r="J356" s="372" t="str">
        <f aca="false">IF(A356="N/A"," ",IF(ISERROR(P356),J344*Inputs!$F$23,P356))</f>
        <v> </v>
      </c>
      <c r="L356" s="374" t="str">
        <f aca="false">IF(A356="N/A"," ",VLOOKUP(A356,PeakPowerCurves,(IF('Pricing Inputs'!$AT$3=2,3,IF('Pricing Inputs'!$AT$3=1,2,4))),FALSE()))</f>
        <v> </v>
      </c>
      <c r="M356" s="374" t="str">
        <f aca="false">IF(A356="N/A"," ",VLOOKUP(A356,SatSunPeakPwr,(IF('Pricing Inputs'!$AT$3=2,3,IF('Pricing Inputs'!$AT$3=1,2,4))),FALSE()))</f>
        <v> </v>
      </c>
      <c r="N356" s="374" t="str">
        <f aca="false">IF(A356="N/A"," ",VLOOKUP(A356,SatSunPeakPwr,(IF('Pricing Inputs'!$AT$3=2,7,IF('Pricing Inputs'!$AT$3=1,6,8))),FALSE()))</f>
        <v> </v>
      </c>
      <c r="O356" s="375" t="str">
        <f aca="false">IF(A356="N/A"," ",(VLOOKUP(A356,OPPowerPrices,(IF('Pricing Inputs'!$AT$3=2,7,IF('Pricing Inputs'!$AT$3=1,6,8))),FALSE())))</f>
        <v> </v>
      </c>
      <c r="P356" s="376" t="str">
        <f aca="false">IF(A356="N/A"," ",(VLOOKUP(A356,GasCurves,15,FALSE())))</f>
        <v> </v>
      </c>
    </row>
    <row r="357" customFormat="false" ht="12.75" hidden="false" customHeight="false" outlineLevel="0" collapsed="false">
      <c r="A357" s="368" t="str">
        <f aca="false">Calculations!A324</f>
        <v>N/A</v>
      </c>
      <c r="B357" s="369" t="str">
        <f aca="false">IF(A357="N/A"," ",IF(ISERROR(L357),B345*Inputs!$F$19,L357))</f>
        <v> </v>
      </c>
      <c r="C357" s="370" t="str">
        <f aca="false">IF(A357="N/A"," ",(IF(AND(MONTH(A357)&gt;=6,MONTH(A357)&lt;=8,OR($K$37="REGION 2",$K$37="REGION 2A",$K$37="REGION 2B",$K$37="REGION 3",$K$37="REGION 3A",$K$37="REGION 3B",$K$37="REGION 4",$K$37="REGION 4B",$K$37="REGION 4C",$K$37="REGION 5",$K$37="REGION 5A")),((0.059228/(B357/100))-(0.4980013/(SQRT(B357/100)))+2.137988),HLOOKUP(MONTH(A357),ScalarTable,28))))</f>
        <v> </v>
      </c>
      <c r="D357" s="371" t="str">
        <f aca="false">IF(A357="N/A"," ",C357*B357)</f>
        <v> </v>
      </c>
      <c r="E357" s="369" t="str">
        <f aca="false">IF(A357="N/A"," ",IF(ISERROR(M357),E345*Inputs!$F$19,M357))</f>
        <v> </v>
      </c>
      <c r="F357" s="371" t="str">
        <f aca="false">IF(A357="N/A"," ",E357*C357)</f>
        <v> </v>
      </c>
      <c r="G357" s="369" t="str">
        <f aca="false">IF(A357="N/A"," ",IF(ISERROR(N357),G345*Inputs!$F$19,N357))</f>
        <v> </v>
      </c>
      <c r="H357" s="371" t="str">
        <f aca="false">IF(A357="N/A"," ",G357*C357)</f>
        <v> </v>
      </c>
      <c r="I357" s="371" t="str">
        <f aca="false">IF(A357="N/A"," ",IF(ISERROR(O357),I345*Inputs!$F$19,O357))</f>
        <v> </v>
      </c>
      <c r="J357" s="372" t="str">
        <f aca="false">IF(A357="N/A"," ",IF(ISERROR(P357),J345*Inputs!$F$23,P357))</f>
        <v> </v>
      </c>
      <c r="L357" s="374" t="str">
        <f aca="false">IF(A357="N/A"," ",VLOOKUP(A357,PeakPowerCurves,(IF('Pricing Inputs'!$AT$3=2,3,IF('Pricing Inputs'!$AT$3=1,2,4))),FALSE()))</f>
        <v> </v>
      </c>
      <c r="M357" s="374" t="str">
        <f aca="false">IF(A357="N/A"," ",VLOOKUP(A357,SatSunPeakPwr,(IF('Pricing Inputs'!$AT$3=2,3,IF('Pricing Inputs'!$AT$3=1,2,4))),FALSE()))</f>
        <v> </v>
      </c>
      <c r="N357" s="374" t="str">
        <f aca="false">IF(A357="N/A"," ",VLOOKUP(A357,SatSunPeakPwr,(IF('Pricing Inputs'!$AT$3=2,7,IF('Pricing Inputs'!$AT$3=1,6,8))),FALSE()))</f>
        <v> </v>
      </c>
      <c r="O357" s="375" t="str">
        <f aca="false">IF(A357="N/A"," ",(VLOOKUP(A357,OPPowerPrices,(IF('Pricing Inputs'!$AT$3=2,7,IF('Pricing Inputs'!$AT$3=1,6,8))),FALSE())))</f>
        <v> </v>
      </c>
      <c r="P357" s="376" t="str">
        <f aca="false">IF(A357="N/A"," ",(VLOOKUP(A357,GasCurves,15,FALSE())))</f>
        <v> </v>
      </c>
    </row>
    <row r="358" customFormat="false" ht="12.75" hidden="false" customHeight="false" outlineLevel="0" collapsed="false">
      <c r="A358" s="368" t="str">
        <f aca="false">Calculations!A325</f>
        <v>N/A</v>
      </c>
      <c r="B358" s="369" t="str">
        <f aca="false">IF(A358="N/A"," ",IF(ISERROR(L358),B346*Inputs!$F$19,L358))</f>
        <v> </v>
      </c>
      <c r="C358" s="370" t="str">
        <f aca="false">IF(A358="N/A"," ",(IF(AND(MONTH(A358)&gt;=6,MONTH(A358)&lt;=8,OR($K$37="REGION 2",$K$37="REGION 2A",$K$37="REGION 2B",$K$37="REGION 3",$K$37="REGION 3A",$K$37="REGION 3B",$K$37="REGION 4",$K$37="REGION 4B",$K$37="REGION 4C",$K$37="REGION 5",$K$37="REGION 5A")),((0.059228/(B358/100))-(0.4980013/(SQRT(B358/100)))+2.137988),HLOOKUP(MONTH(A358),ScalarTable,28))))</f>
        <v> </v>
      </c>
      <c r="D358" s="371" t="str">
        <f aca="false">IF(A358="N/A"," ",C358*B358)</f>
        <v> </v>
      </c>
      <c r="E358" s="369" t="str">
        <f aca="false">IF(A358="N/A"," ",IF(ISERROR(M358),E346*Inputs!$F$19,M358))</f>
        <v> </v>
      </c>
      <c r="F358" s="371" t="str">
        <f aca="false">IF(A358="N/A"," ",E358*C358)</f>
        <v> </v>
      </c>
      <c r="G358" s="369" t="str">
        <f aca="false">IF(A358="N/A"," ",IF(ISERROR(N358),G346*Inputs!$F$19,N358))</f>
        <v> </v>
      </c>
      <c r="H358" s="371" t="str">
        <f aca="false">IF(A358="N/A"," ",G358*C358)</f>
        <v> </v>
      </c>
      <c r="I358" s="371" t="str">
        <f aca="false">IF(A358="N/A"," ",IF(ISERROR(O358),I346*Inputs!$F$19,O358))</f>
        <v> </v>
      </c>
      <c r="J358" s="372" t="str">
        <f aca="false">IF(A358="N/A"," ",IF(ISERROR(P358),J346*Inputs!$F$23,P358))</f>
        <v> </v>
      </c>
      <c r="L358" s="374" t="str">
        <f aca="false">IF(A358="N/A"," ",VLOOKUP(A358,PeakPowerCurves,(IF('Pricing Inputs'!$AT$3=2,3,IF('Pricing Inputs'!$AT$3=1,2,4))),FALSE()))</f>
        <v> </v>
      </c>
      <c r="M358" s="374" t="str">
        <f aca="false">IF(A358="N/A"," ",VLOOKUP(A358,SatSunPeakPwr,(IF('Pricing Inputs'!$AT$3=2,3,IF('Pricing Inputs'!$AT$3=1,2,4))),FALSE()))</f>
        <v> </v>
      </c>
      <c r="N358" s="374" t="str">
        <f aca="false">IF(A358="N/A"," ",VLOOKUP(A358,SatSunPeakPwr,(IF('Pricing Inputs'!$AT$3=2,7,IF('Pricing Inputs'!$AT$3=1,6,8))),FALSE()))</f>
        <v> </v>
      </c>
      <c r="O358" s="375" t="str">
        <f aca="false">IF(A358="N/A"," ",(VLOOKUP(A358,OPPowerPrices,(IF('Pricing Inputs'!$AT$3=2,7,IF('Pricing Inputs'!$AT$3=1,6,8))),FALSE())))</f>
        <v> </v>
      </c>
      <c r="P358" s="376" t="str">
        <f aca="false">IF(A358="N/A"," ",(VLOOKUP(A358,GasCurves,15,FALSE())))</f>
        <v> </v>
      </c>
    </row>
    <row r="359" customFormat="false" ht="12.75" hidden="false" customHeight="false" outlineLevel="0" collapsed="false">
      <c r="A359" s="368" t="str">
        <f aca="false">Calculations!A326</f>
        <v>N/A</v>
      </c>
      <c r="B359" s="369" t="str">
        <f aca="false">IF(A359="N/A"," ",IF(ISERROR(L359),B347*Inputs!$F$19,L359))</f>
        <v> </v>
      </c>
      <c r="C359" s="370" t="str">
        <f aca="false">IF(A359="N/A"," ",(IF(AND(MONTH(A359)&gt;=6,MONTH(A359)&lt;=8,OR($K$37="REGION 2",$K$37="REGION 2A",$K$37="REGION 2B",$K$37="REGION 3",$K$37="REGION 3A",$K$37="REGION 3B",$K$37="REGION 4",$K$37="REGION 4B",$K$37="REGION 4C",$K$37="REGION 5",$K$37="REGION 5A")),((0.059228/(B359/100))-(0.4980013/(SQRT(B359/100)))+2.137988),HLOOKUP(MONTH(A359),ScalarTable,28))))</f>
        <v> </v>
      </c>
      <c r="D359" s="371" t="str">
        <f aca="false">IF(A359="N/A"," ",C359*B359)</f>
        <v> </v>
      </c>
      <c r="E359" s="369" t="str">
        <f aca="false">IF(A359="N/A"," ",IF(ISERROR(M359),E347*Inputs!$F$19,M359))</f>
        <v> </v>
      </c>
      <c r="F359" s="371" t="str">
        <f aca="false">IF(A359="N/A"," ",E359*C359)</f>
        <v> </v>
      </c>
      <c r="G359" s="369" t="str">
        <f aca="false">IF(A359="N/A"," ",IF(ISERROR(N359),G347*Inputs!$F$19,N359))</f>
        <v> </v>
      </c>
      <c r="H359" s="371" t="str">
        <f aca="false">IF(A359="N/A"," ",G359*C359)</f>
        <v> </v>
      </c>
      <c r="I359" s="371" t="str">
        <f aca="false">IF(A359="N/A"," ",IF(ISERROR(O359),I347*Inputs!$F$19,O359))</f>
        <v> </v>
      </c>
      <c r="J359" s="372" t="str">
        <f aca="false">IF(A359="N/A"," ",IF(ISERROR(P359),J347*Inputs!$F$23,P359))</f>
        <v> </v>
      </c>
      <c r="L359" s="374" t="str">
        <f aca="false">IF(A359="N/A"," ",VLOOKUP(A359,PeakPowerCurves,(IF('Pricing Inputs'!$AT$3=2,3,IF('Pricing Inputs'!$AT$3=1,2,4))),FALSE()))</f>
        <v> </v>
      </c>
      <c r="M359" s="374" t="str">
        <f aca="false">IF(A359="N/A"," ",VLOOKUP(A359,SatSunPeakPwr,(IF('Pricing Inputs'!$AT$3=2,3,IF('Pricing Inputs'!$AT$3=1,2,4))),FALSE()))</f>
        <v> </v>
      </c>
      <c r="N359" s="374" t="str">
        <f aca="false">IF(A359="N/A"," ",VLOOKUP(A359,SatSunPeakPwr,(IF('Pricing Inputs'!$AT$3=2,7,IF('Pricing Inputs'!$AT$3=1,6,8))),FALSE()))</f>
        <v> </v>
      </c>
      <c r="O359" s="375" t="str">
        <f aca="false">IF(A359="N/A"," ",(VLOOKUP(A359,OPPowerPrices,(IF('Pricing Inputs'!$AT$3=2,7,IF('Pricing Inputs'!$AT$3=1,6,8))),FALSE())))</f>
        <v> </v>
      </c>
      <c r="P359" s="376" t="str">
        <f aca="false">IF(A359="N/A"," ",(VLOOKUP(A359,GasCurves,15,FALSE())))</f>
        <v> </v>
      </c>
    </row>
    <row r="360" customFormat="false" ht="12.75" hidden="false" customHeight="false" outlineLevel="0" collapsed="false">
      <c r="A360" s="368" t="str">
        <f aca="false">Calculations!A327</f>
        <v>N/A</v>
      </c>
      <c r="B360" s="369" t="str">
        <f aca="false">IF(A360="N/A"," ",IF(ISERROR(L360),B348*Inputs!$F$19,L360))</f>
        <v> </v>
      </c>
      <c r="C360" s="370" t="str">
        <f aca="false">IF(A360="N/A"," ",(IF(AND(MONTH(A360)&gt;=6,MONTH(A360)&lt;=8,OR($K$37="REGION 2",$K$37="REGION 2A",$K$37="REGION 2B",$K$37="REGION 3",$K$37="REGION 3A",$K$37="REGION 3B",$K$37="REGION 4",$K$37="REGION 4B",$K$37="REGION 4C",$K$37="REGION 5",$K$37="REGION 5A")),((0.059228/(B360/100))-(0.4980013/(SQRT(B360/100)))+2.137988),HLOOKUP(MONTH(A360),ScalarTable,28))))</f>
        <v> </v>
      </c>
      <c r="D360" s="371" t="str">
        <f aca="false">IF(A360="N/A"," ",C360*B360)</f>
        <v> </v>
      </c>
      <c r="E360" s="369" t="str">
        <f aca="false">IF(A360="N/A"," ",IF(ISERROR(M360),E348*Inputs!$F$19,M360))</f>
        <v> </v>
      </c>
      <c r="F360" s="371" t="str">
        <f aca="false">IF(A360="N/A"," ",E360*C360)</f>
        <v> </v>
      </c>
      <c r="G360" s="369" t="str">
        <f aca="false">IF(A360="N/A"," ",IF(ISERROR(N360),G348*Inputs!$F$19,N360))</f>
        <v> </v>
      </c>
      <c r="H360" s="371" t="str">
        <f aca="false">IF(A360="N/A"," ",G360*C360)</f>
        <v> </v>
      </c>
      <c r="I360" s="371" t="str">
        <f aca="false">IF(A360="N/A"," ",IF(ISERROR(O360),I348*Inputs!$F$19,O360))</f>
        <v> </v>
      </c>
      <c r="J360" s="372" t="str">
        <f aca="false">IF(A360="N/A"," ",IF(ISERROR(P360),J348*Inputs!$F$23,P360))</f>
        <v> </v>
      </c>
      <c r="L360" s="374" t="str">
        <f aca="false">IF(A360="N/A"," ",VLOOKUP(A360,PeakPowerCurves,(IF('Pricing Inputs'!$AT$3=2,3,IF('Pricing Inputs'!$AT$3=1,2,4))),FALSE()))</f>
        <v> </v>
      </c>
      <c r="M360" s="374" t="str">
        <f aca="false">IF(A360="N/A"," ",VLOOKUP(A360,SatSunPeakPwr,(IF('Pricing Inputs'!$AT$3=2,3,IF('Pricing Inputs'!$AT$3=1,2,4))),FALSE()))</f>
        <v> </v>
      </c>
      <c r="N360" s="374" t="str">
        <f aca="false">IF(A360="N/A"," ",VLOOKUP(A360,SatSunPeakPwr,(IF('Pricing Inputs'!$AT$3=2,7,IF('Pricing Inputs'!$AT$3=1,6,8))),FALSE()))</f>
        <v> </v>
      </c>
      <c r="O360" s="375" t="str">
        <f aca="false">IF(A360="N/A"," ",(VLOOKUP(A360,OPPowerPrices,(IF('Pricing Inputs'!$AT$3=2,7,IF('Pricing Inputs'!$AT$3=1,6,8))),FALSE())))</f>
        <v> </v>
      </c>
      <c r="P360" s="376" t="str">
        <f aca="false">IF(A360="N/A"," ",(VLOOKUP(A360,GasCurves,15,FALSE())))</f>
        <v> </v>
      </c>
    </row>
    <row r="361" customFormat="false" ht="12.75" hidden="false" customHeight="false" outlineLevel="0" collapsed="false">
      <c r="A361" s="368" t="str">
        <f aca="false">Calculations!A328</f>
        <v>N/A</v>
      </c>
      <c r="B361" s="369" t="str">
        <f aca="false">IF(A361="N/A"," ",IF(ISERROR(L361),B349*Inputs!$F$19,L361))</f>
        <v> </v>
      </c>
      <c r="C361" s="370" t="str">
        <f aca="false">IF(A361="N/A"," ",(IF(AND(MONTH(A361)&gt;=6,MONTH(A361)&lt;=8,OR($K$37="REGION 2",$K$37="REGION 2A",$K$37="REGION 2B",$K$37="REGION 3",$K$37="REGION 3A",$K$37="REGION 3B",$K$37="REGION 4",$K$37="REGION 4B",$K$37="REGION 4C",$K$37="REGION 5",$K$37="REGION 5A")),((0.059228/(B361/100))-(0.4980013/(SQRT(B361/100)))+2.137988),HLOOKUP(MONTH(A361),ScalarTable,28))))</f>
        <v> </v>
      </c>
      <c r="D361" s="371" t="str">
        <f aca="false">IF(A361="N/A"," ",C361*B361)</f>
        <v> </v>
      </c>
      <c r="E361" s="369" t="str">
        <f aca="false">IF(A361="N/A"," ",IF(ISERROR(M361),E349*Inputs!$F$19,M361))</f>
        <v> </v>
      </c>
      <c r="F361" s="371" t="str">
        <f aca="false">IF(A361="N/A"," ",E361*C361)</f>
        <v> </v>
      </c>
      <c r="G361" s="369" t="str">
        <f aca="false">IF(A361="N/A"," ",IF(ISERROR(N361),G349*Inputs!$F$19,N361))</f>
        <v> </v>
      </c>
      <c r="H361" s="371" t="str">
        <f aca="false">IF(A361="N/A"," ",G361*C361)</f>
        <v> </v>
      </c>
      <c r="I361" s="371" t="str">
        <f aca="false">IF(A361="N/A"," ",IF(ISERROR(O361),I349*Inputs!$F$19,O361))</f>
        <v> </v>
      </c>
      <c r="J361" s="372" t="str">
        <f aca="false">IF(A361="N/A"," ",IF(ISERROR(P361),J349*Inputs!$F$23,P361))</f>
        <v> </v>
      </c>
      <c r="L361" s="374" t="str">
        <f aca="false">IF(A361="N/A"," ",VLOOKUP(A361,PeakPowerCurves,(IF('Pricing Inputs'!$AT$3=2,3,IF('Pricing Inputs'!$AT$3=1,2,4))),FALSE()))</f>
        <v> </v>
      </c>
      <c r="M361" s="374" t="str">
        <f aca="false">IF(A361="N/A"," ",VLOOKUP(A361,SatSunPeakPwr,(IF('Pricing Inputs'!$AT$3=2,3,IF('Pricing Inputs'!$AT$3=1,2,4))),FALSE()))</f>
        <v> </v>
      </c>
      <c r="N361" s="374" t="str">
        <f aca="false">IF(A361="N/A"," ",VLOOKUP(A361,SatSunPeakPwr,(IF('Pricing Inputs'!$AT$3=2,7,IF('Pricing Inputs'!$AT$3=1,6,8))),FALSE()))</f>
        <v> </v>
      </c>
      <c r="O361" s="375" t="str">
        <f aca="false">IF(A361="N/A"," ",(VLOOKUP(A361,OPPowerPrices,(IF('Pricing Inputs'!$AT$3=2,7,IF('Pricing Inputs'!$AT$3=1,6,8))),FALSE())))</f>
        <v> </v>
      </c>
      <c r="P361" s="376" t="str">
        <f aca="false">IF(A361="N/A"," ",(VLOOKUP(A361,GasCurves,15,FALSE())))</f>
        <v> </v>
      </c>
    </row>
    <row r="362" customFormat="false" ht="12.75" hidden="false" customHeight="false" outlineLevel="0" collapsed="false">
      <c r="A362" s="368" t="str">
        <f aca="false">Calculations!A329</f>
        <v>N/A</v>
      </c>
      <c r="B362" s="369" t="str">
        <f aca="false">IF(A362="N/A"," ",IF(ISERROR(L362),B350*Inputs!$F$19,L362))</f>
        <v> </v>
      </c>
      <c r="C362" s="370" t="str">
        <f aca="false">IF(A362="N/A"," ",(IF(AND(MONTH(A362)&gt;=6,MONTH(A362)&lt;=8,OR($K$37="REGION 2",$K$37="REGION 2A",$K$37="REGION 2B",$K$37="REGION 3",$K$37="REGION 3A",$K$37="REGION 3B",$K$37="REGION 4",$K$37="REGION 4B",$K$37="REGION 4C",$K$37="REGION 5",$K$37="REGION 5A")),((0.059228/(B362/100))-(0.4980013/(SQRT(B362/100)))+2.137988),HLOOKUP(MONTH(A362),ScalarTable,28))))</f>
        <v> </v>
      </c>
      <c r="D362" s="371" t="str">
        <f aca="false">IF(A362="N/A"," ",C362*B362)</f>
        <v> </v>
      </c>
      <c r="E362" s="369" t="str">
        <f aca="false">IF(A362="N/A"," ",IF(ISERROR(M362),E350*Inputs!$F$19,M362))</f>
        <v> </v>
      </c>
      <c r="F362" s="371" t="str">
        <f aca="false">IF(A362="N/A"," ",E362*C362)</f>
        <v> </v>
      </c>
      <c r="G362" s="369" t="str">
        <f aca="false">IF(A362="N/A"," ",IF(ISERROR(N362),G350*Inputs!$F$19,N362))</f>
        <v> </v>
      </c>
      <c r="H362" s="371" t="str">
        <f aca="false">IF(A362="N/A"," ",G362*C362)</f>
        <v> </v>
      </c>
      <c r="I362" s="371" t="str">
        <f aca="false">IF(A362="N/A"," ",IF(ISERROR(O362),I350*Inputs!$F$19,O362))</f>
        <v> </v>
      </c>
      <c r="J362" s="372" t="str">
        <f aca="false">IF(A362="N/A"," ",IF(ISERROR(P362),J350*Inputs!$F$23,P362))</f>
        <v> </v>
      </c>
      <c r="L362" s="374" t="str">
        <f aca="false">IF(A362="N/A"," ",VLOOKUP(A362,PeakPowerCurves,(IF('Pricing Inputs'!$AT$3=2,3,IF('Pricing Inputs'!$AT$3=1,2,4))),FALSE()))</f>
        <v> </v>
      </c>
      <c r="M362" s="374" t="str">
        <f aca="false">IF(A362="N/A"," ",VLOOKUP(A362,SatSunPeakPwr,(IF('Pricing Inputs'!$AT$3=2,3,IF('Pricing Inputs'!$AT$3=1,2,4))),FALSE()))</f>
        <v> </v>
      </c>
      <c r="N362" s="374" t="str">
        <f aca="false">IF(A362="N/A"," ",VLOOKUP(A362,SatSunPeakPwr,(IF('Pricing Inputs'!$AT$3=2,7,IF('Pricing Inputs'!$AT$3=1,6,8))),FALSE()))</f>
        <v> </v>
      </c>
      <c r="O362" s="375" t="str">
        <f aca="false">IF(A362="N/A"," ",(VLOOKUP(A362,OPPowerPrices,(IF('Pricing Inputs'!$AT$3=2,7,IF('Pricing Inputs'!$AT$3=1,6,8))),FALSE())))</f>
        <v> </v>
      </c>
      <c r="P362" s="376" t="str">
        <f aca="false">IF(A362="N/A"," ",(VLOOKUP(A362,GasCurves,15,FALSE())))</f>
        <v> </v>
      </c>
    </row>
    <row r="363" customFormat="false" ht="12.75" hidden="false" customHeight="false" outlineLevel="0" collapsed="false">
      <c r="A363" s="368" t="str">
        <f aca="false">Calculations!A330</f>
        <v>N/A</v>
      </c>
      <c r="B363" s="369" t="str">
        <f aca="false">IF(A363="N/A"," ",IF(ISERROR(L363),B351*Inputs!$F$19,L363))</f>
        <v> </v>
      </c>
      <c r="C363" s="370" t="str">
        <f aca="false">IF(A363="N/A"," ",(IF(AND(MONTH(A363)&gt;=6,MONTH(A363)&lt;=8,OR($K$37="REGION 2",$K$37="REGION 2A",$K$37="REGION 2B",$K$37="REGION 3",$K$37="REGION 3A",$K$37="REGION 3B",$K$37="REGION 4",$K$37="REGION 4B",$K$37="REGION 4C",$K$37="REGION 5",$K$37="REGION 5A")),((0.059228/(B363/100))-(0.4980013/(SQRT(B363/100)))+2.137988),HLOOKUP(MONTH(A363),ScalarTable,28))))</f>
        <v> </v>
      </c>
      <c r="D363" s="371" t="str">
        <f aca="false">IF(A363="N/A"," ",C363*B363)</f>
        <v> </v>
      </c>
      <c r="E363" s="369" t="str">
        <f aca="false">IF(A363="N/A"," ",IF(ISERROR(M363),E351*Inputs!$F$19,M363))</f>
        <v> </v>
      </c>
      <c r="F363" s="371" t="str">
        <f aca="false">IF(A363="N/A"," ",E363*C363)</f>
        <v> </v>
      </c>
      <c r="G363" s="369" t="str">
        <f aca="false">IF(A363="N/A"," ",IF(ISERROR(N363),G351*Inputs!$F$19,N363))</f>
        <v> </v>
      </c>
      <c r="H363" s="371" t="str">
        <f aca="false">IF(A363="N/A"," ",G363*C363)</f>
        <v> </v>
      </c>
      <c r="I363" s="371" t="str">
        <f aca="false">IF(A363="N/A"," ",IF(ISERROR(O363),I351*Inputs!$F$19,O363))</f>
        <v> </v>
      </c>
      <c r="J363" s="372" t="str">
        <f aca="false">IF(A363="N/A"," ",IF(ISERROR(P363),J351*Inputs!$F$23,P363))</f>
        <v> </v>
      </c>
      <c r="L363" s="374" t="str">
        <f aca="false">IF(A363="N/A"," ",VLOOKUP(A363,PeakPowerCurves,(IF('Pricing Inputs'!$AT$3=2,3,IF('Pricing Inputs'!$AT$3=1,2,4))),FALSE()))</f>
        <v> </v>
      </c>
      <c r="M363" s="374" t="str">
        <f aca="false">IF(A363="N/A"," ",VLOOKUP(A363,SatSunPeakPwr,(IF('Pricing Inputs'!$AT$3=2,3,IF('Pricing Inputs'!$AT$3=1,2,4))),FALSE()))</f>
        <v> </v>
      </c>
      <c r="N363" s="374" t="str">
        <f aca="false">IF(A363="N/A"," ",VLOOKUP(A363,SatSunPeakPwr,(IF('Pricing Inputs'!$AT$3=2,7,IF('Pricing Inputs'!$AT$3=1,6,8))),FALSE()))</f>
        <v> </v>
      </c>
      <c r="O363" s="375" t="str">
        <f aca="false">IF(A363="N/A"," ",(VLOOKUP(A363,OPPowerPrices,(IF('Pricing Inputs'!$AT$3=2,7,IF('Pricing Inputs'!$AT$3=1,6,8))),FALSE())))</f>
        <v> </v>
      </c>
      <c r="P363" s="376" t="str">
        <f aca="false">IF(A363="N/A"," ",(VLOOKUP(A363,GasCurves,15,FALSE())))</f>
        <v> </v>
      </c>
    </row>
    <row r="364" customFormat="false" ht="12.75" hidden="false" customHeight="false" outlineLevel="0" collapsed="false">
      <c r="A364" s="368" t="str">
        <f aca="false">Calculations!A331</f>
        <v>N/A</v>
      </c>
      <c r="B364" s="369" t="str">
        <f aca="false">IF(A364="N/A"," ",IF(ISERROR(L364),B352*Inputs!$F$19,L364))</f>
        <v> </v>
      </c>
      <c r="C364" s="370" t="str">
        <f aca="false">IF(A364="N/A"," ",(IF(AND(MONTH(A364)&gt;=6,MONTH(A364)&lt;=8,OR($K$37="REGION 2",$K$37="REGION 2A",$K$37="REGION 2B",$K$37="REGION 3",$K$37="REGION 3A",$K$37="REGION 3B",$K$37="REGION 4",$K$37="REGION 4B",$K$37="REGION 4C",$K$37="REGION 5",$K$37="REGION 5A")),((0.059228/(B364/100))-(0.4980013/(SQRT(B364/100)))+2.137988),HLOOKUP(MONTH(A364),ScalarTable,28))))</f>
        <v> </v>
      </c>
      <c r="D364" s="371" t="str">
        <f aca="false">IF(A364="N/A"," ",C364*B364)</f>
        <v> </v>
      </c>
      <c r="E364" s="369" t="str">
        <f aca="false">IF(A364="N/A"," ",IF(ISERROR(M364),E352*Inputs!$F$19,M364))</f>
        <v> </v>
      </c>
      <c r="F364" s="371" t="str">
        <f aca="false">IF(A364="N/A"," ",E364*C364)</f>
        <v> </v>
      </c>
      <c r="G364" s="369" t="str">
        <f aca="false">IF(A364="N/A"," ",IF(ISERROR(N364),G352*Inputs!$F$19,N364))</f>
        <v> </v>
      </c>
      <c r="H364" s="371" t="str">
        <f aca="false">IF(A364="N/A"," ",G364*C364)</f>
        <v> </v>
      </c>
      <c r="I364" s="371" t="str">
        <f aca="false">IF(A364="N/A"," ",IF(ISERROR(O364),I352*Inputs!$F$19,O364))</f>
        <v> </v>
      </c>
      <c r="J364" s="372" t="str">
        <f aca="false">IF(A364="N/A"," ",IF(ISERROR(P364),J352*Inputs!$F$23,P364))</f>
        <v> </v>
      </c>
      <c r="L364" s="374" t="str">
        <f aca="false">IF(A364="N/A"," ",VLOOKUP(A364,PeakPowerCurves,(IF('Pricing Inputs'!$AT$3=2,3,IF('Pricing Inputs'!$AT$3=1,2,4))),FALSE()))</f>
        <v> </v>
      </c>
      <c r="M364" s="374" t="str">
        <f aca="false">IF(A364="N/A"," ",VLOOKUP(A364,SatSunPeakPwr,(IF('Pricing Inputs'!$AT$3=2,3,IF('Pricing Inputs'!$AT$3=1,2,4))),FALSE()))</f>
        <v> </v>
      </c>
      <c r="N364" s="374" t="str">
        <f aca="false">IF(A364="N/A"," ",VLOOKUP(A364,SatSunPeakPwr,(IF('Pricing Inputs'!$AT$3=2,7,IF('Pricing Inputs'!$AT$3=1,6,8))),FALSE()))</f>
        <v> </v>
      </c>
      <c r="O364" s="375" t="str">
        <f aca="false">IF(A364="N/A"," ",(VLOOKUP(A364,OPPowerPrices,(IF('Pricing Inputs'!$AT$3=2,7,IF('Pricing Inputs'!$AT$3=1,6,8))),FALSE())))</f>
        <v> </v>
      </c>
      <c r="P364" s="376" t="str">
        <f aca="false">IF(A364="N/A"," ",(VLOOKUP(A364,GasCurves,15,FALSE())))</f>
        <v> </v>
      </c>
    </row>
    <row r="365" customFormat="false" ht="12.75" hidden="false" customHeight="false" outlineLevel="0" collapsed="false">
      <c r="A365" s="368" t="str">
        <f aca="false">Calculations!A332</f>
        <v>N/A</v>
      </c>
      <c r="B365" s="369" t="str">
        <f aca="false">IF(A365="N/A"," ",IF(ISERROR(L365),B353*Inputs!$F$19,L365))</f>
        <v> </v>
      </c>
      <c r="C365" s="370" t="str">
        <f aca="false">IF(A365="N/A"," ",(IF(AND(MONTH(A365)&gt;=6,MONTH(A365)&lt;=8,OR($K$37="REGION 2",$K$37="REGION 2A",$K$37="REGION 2B",$K$37="REGION 3",$K$37="REGION 3A",$K$37="REGION 3B",$K$37="REGION 4",$K$37="REGION 4B",$K$37="REGION 4C",$K$37="REGION 5",$K$37="REGION 5A")),((0.059228/(B365/100))-(0.4980013/(SQRT(B365/100)))+2.137988),HLOOKUP(MONTH(A365),ScalarTable,28))))</f>
        <v> </v>
      </c>
      <c r="D365" s="371" t="str">
        <f aca="false">IF(A365="N/A"," ",C365*B365)</f>
        <v> </v>
      </c>
      <c r="E365" s="369" t="str">
        <f aca="false">IF(A365="N/A"," ",IF(ISERROR(M365),E353*Inputs!$F$19,M365))</f>
        <v> </v>
      </c>
      <c r="F365" s="371" t="str">
        <f aca="false">IF(A365="N/A"," ",E365*C365)</f>
        <v> </v>
      </c>
      <c r="G365" s="369" t="str">
        <f aca="false">IF(A365="N/A"," ",IF(ISERROR(N365),G353*Inputs!$F$19,N365))</f>
        <v> </v>
      </c>
      <c r="H365" s="371" t="str">
        <f aca="false">IF(A365="N/A"," ",G365*C365)</f>
        <v> </v>
      </c>
      <c r="I365" s="371" t="str">
        <f aca="false">IF(A365="N/A"," ",IF(ISERROR(O365),I353*Inputs!$F$19,O365))</f>
        <v> </v>
      </c>
      <c r="J365" s="372" t="str">
        <f aca="false">IF(A365="N/A"," ",IF(ISERROR(P365),J353*Inputs!$F$23,P365))</f>
        <v> </v>
      </c>
      <c r="L365" s="374" t="str">
        <f aca="false">IF(A365="N/A"," ",VLOOKUP(A365,PeakPowerCurves,(IF('Pricing Inputs'!$AT$3=2,3,IF('Pricing Inputs'!$AT$3=1,2,4))),FALSE()))</f>
        <v> </v>
      </c>
      <c r="M365" s="374" t="str">
        <f aca="false">IF(A365="N/A"," ",VLOOKUP(A365,SatSunPeakPwr,(IF('Pricing Inputs'!$AT$3=2,3,IF('Pricing Inputs'!$AT$3=1,2,4))),FALSE()))</f>
        <v> </v>
      </c>
      <c r="N365" s="374" t="str">
        <f aca="false">IF(A365="N/A"," ",VLOOKUP(A365,SatSunPeakPwr,(IF('Pricing Inputs'!$AT$3=2,7,IF('Pricing Inputs'!$AT$3=1,6,8))),FALSE()))</f>
        <v> </v>
      </c>
      <c r="O365" s="375" t="str">
        <f aca="false">IF(A365="N/A"," ",(VLOOKUP(A365,OPPowerPrices,(IF('Pricing Inputs'!$AT$3=2,7,IF('Pricing Inputs'!$AT$3=1,6,8))),FALSE())))</f>
        <v> </v>
      </c>
      <c r="P365" s="376" t="str">
        <f aca="false">IF(A365="N/A"," ",(VLOOKUP(A365,GasCurves,15,FALSE())))</f>
        <v> </v>
      </c>
    </row>
    <row r="366" customFormat="false" ht="12.75" hidden="false" customHeight="false" outlineLevel="0" collapsed="false">
      <c r="A366" s="368" t="str">
        <f aca="false">Calculations!A333</f>
        <v>N/A</v>
      </c>
      <c r="B366" s="369" t="str">
        <f aca="false">IF(A366="N/A"," ",IF(ISERROR(L366),B354*Inputs!$F$19,L366))</f>
        <v> </v>
      </c>
      <c r="C366" s="370" t="str">
        <f aca="false">IF(A366="N/A"," ",(IF(AND(MONTH(A366)&gt;=6,MONTH(A366)&lt;=8,OR($K$37="REGION 2",$K$37="REGION 2A",$K$37="REGION 2B",$K$37="REGION 3",$K$37="REGION 3A",$K$37="REGION 3B",$K$37="REGION 4",$K$37="REGION 4B",$K$37="REGION 4C",$K$37="REGION 5",$K$37="REGION 5A")),((0.059228/(B366/100))-(0.4980013/(SQRT(B366/100)))+2.137988),HLOOKUP(MONTH(A366),ScalarTable,28))))</f>
        <v> </v>
      </c>
      <c r="D366" s="371" t="str">
        <f aca="false">IF(A366="N/A"," ",C366*B366)</f>
        <v> </v>
      </c>
      <c r="E366" s="369" t="str">
        <f aca="false">IF(A366="N/A"," ",IF(ISERROR(M366),E354*Inputs!$F$19,M366))</f>
        <v> </v>
      </c>
      <c r="F366" s="371" t="str">
        <f aca="false">IF(A366="N/A"," ",E366*C366)</f>
        <v> </v>
      </c>
      <c r="G366" s="369" t="str">
        <f aca="false">IF(A366="N/A"," ",IF(ISERROR(N366),G354*Inputs!$F$19,N366))</f>
        <v> </v>
      </c>
      <c r="H366" s="371" t="str">
        <f aca="false">IF(A366="N/A"," ",G366*C366)</f>
        <v> </v>
      </c>
      <c r="I366" s="371" t="str">
        <f aca="false">IF(A366="N/A"," ",IF(ISERROR(O366),I354*Inputs!$F$19,O366))</f>
        <v> </v>
      </c>
      <c r="J366" s="372" t="str">
        <f aca="false">IF(A366="N/A"," ",IF(ISERROR(P366),J354*Inputs!$F$23,P366))</f>
        <v> </v>
      </c>
      <c r="L366" s="374" t="str">
        <f aca="false">IF(A366="N/A"," ",VLOOKUP(A366,PeakPowerCurves,(IF('Pricing Inputs'!$AT$3=2,3,IF('Pricing Inputs'!$AT$3=1,2,4))),FALSE()))</f>
        <v> </v>
      </c>
      <c r="M366" s="374" t="str">
        <f aca="false">IF(A366="N/A"," ",VLOOKUP(A366,SatSunPeakPwr,(IF('Pricing Inputs'!$AT$3=2,3,IF('Pricing Inputs'!$AT$3=1,2,4))),FALSE()))</f>
        <v> </v>
      </c>
      <c r="N366" s="374" t="str">
        <f aca="false">IF(A366="N/A"," ",VLOOKUP(A366,SatSunPeakPwr,(IF('Pricing Inputs'!$AT$3=2,7,IF('Pricing Inputs'!$AT$3=1,6,8))),FALSE()))</f>
        <v> </v>
      </c>
      <c r="O366" s="375" t="str">
        <f aca="false">IF(A366="N/A"," ",(VLOOKUP(A366,OPPowerPrices,(IF('Pricing Inputs'!$AT$3=2,7,IF('Pricing Inputs'!$AT$3=1,6,8))),FALSE())))</f>
        <v> </v>
      </c>
      <c r="P366" s="376" t="str">
        <f aca="false">IF(A366="N/A"," ",(VLOOKUP(A366,GasCurves,15,FALSE())))</f>
        <v> </v>
      </c>
    </row>
    <row r="367" customFormat="false" ht="12.75" hidden="false" customHeight="false" outlineLevel="0" collapsed="false">
      <c r="A367" s="368" t="str">
        <f aca="false">Calculations!A334</f>
        <v>N/A</v>
      </c>
      <c r="B367" s="369" t="str">
        <f aca="false">IF(A367="N/A"," ",IF(ISERROR(L367),B355*Inputs!$F$19,L367))</f>
        <v> </v>
      </c>
      <c r="C367" s="370" t="str">
        <f aca="false">IF(A367="N/A"," ",(IF(AND(MONTH(A367)&gt;=6,MONTH(A367)&lt;=8,OR($K$37="REGION 2",$K$37="REGION 2A",$K$37="REGION 2B",$K$37="REGION 3",$K$37="REGION 3A",$K$37="REGION 3B",$K$37="REGION 4",$K$37="REGION 4B",$K$37="REGION 4C",$K$37="REGION 5",$K$37="REGION 5A")),((0.059228/(B367/100))-(0.4980013/(SQRT(B367/100)))+2.137988),HLOOKUP(MONTH(A367),ScalarTable,28))))</f>
        <v> </v>
      </c>
      <c r="D367" s="371" t="str">
        <f aca="false">IF(A367="N/A"," ",C367*B367)</f>
        <v> </v>
      </c>
      <c r="E367" s="369" t="str">
        <f aca="false">IF(A367="N/A"," ",IF(ISERROR(M367),E355*Inputs!$F$19,M367))</f>
        <v> </v>
      </c>
      <c r="F367" s="371" t="str">
        <f aca="false">IF(A367="N/A"," ",E367*C367)</f>
        <v> </v>
      </c>
      <c r="G367" s="369" t="str">
        <f aca="false">IF(A367="N/A"," ",IF(ISERROR(N367),G355*Inputs!$F$19,N367))</f>
        <v> </v>
      </c>
      <c r="H367" s="371" t="str">
        <f aca="false">IF(A367="N/A"," ",G367*C367)</f>
        <v> </v>
      </c>
      <c r="I367" s="371" t="str">
        <f aca="false">IF(A367="N/A"," ",IF(ISERROR(O367),I355*Inputs!$F$19,O367))</f>
        <v> </v>
      </c>
      <c r="J367" s="372" t="str">
        <f aca="false">IF(A367="N/A"," ",IF(ISERROR(P367),J355*Inputs!$F$23,P367))</f>
        <v> </v>
      </c>
      <c r="L367" s="374" t="str">
        <f aca="false">IF(A367="N/A"," ",VLOOKUP(A367,PeakPowerCurves,(IF('Pricing Inputs'!$AT$3=2,3,IF('Pricing Inputs'!$AT$3=1,2,4))),FALSE()))</f>
        <v> </v>
      </c>
      <c r="M367" s="374" t="str">
        <f aca="false">IF(A367="N/A"," ",VLOOKUP(A367,SatSunPeakPwr,(IF('Pricing Inputs'!$AT$3=2,3,IF('Pricing Inputs'!$AT$3=1,2,4))),FALSE()))</f>
        <v> </v>
      </c>
      <c r="N367" s="374" t="str">
        <f aca="false">IF(A367="N/A"," ",VLOOKUP(A367,SatSunPeakPwr,(IF('Pricing Inputs'!$AT$3=2,7,IF('Pricing Inputs'!$AT$3=1,6,8))),FALSE()))</f>
        <v> </v>
      </c>
      <c r="O367" s="375" t="str">
        <f aca="false">IF(A367="N/A"," ",(VLOOKUP(A367,OPPowerPrices,(IF('Pricing Inputs'!$AT$3=2,7,IF('Pricing Inputs'!$AT$3=1,6,8))),FALSE())))</f>
        <v> </v>
      </c>
      <c r="P367" s="376" t="str">
        <f aca="false">IF(A367="N/A"," ",(VLOOKUP(A367,GasCurves,15,FALSE())))</f>
        <v> </v>
      </c>
    </row>
    <row r="368" customFormat="false" ht="12.75" hidden="false" customHeight="false" outlineLevel="0" collapsed="false">
      <c r="A368" s="368" t="str">
        <f aca="false">Calculations!A335</f>
        <v>N/A</v>
      </c>
      <c r="B368" s="369" t="str">
        <f aca="false">IF(A368="N/A"," ",IF(ISERROR(L368),B356*Inputs!$F$19,L368))</f>
        <v> </v>
      </c>
      <c r="C368" s="370" t="str">
        <f aca="false">IF(A368="N/A"," ",(IF(AND(MONTH(A368)&gt;=6,MONTH(A368)&lt;=8,OR($K$37="REGION 2",$K$37="REGION 2A",$K$37="REGION 2B",$K$37="REGION 3",$K$37="REGION 3A",$K$37="REGION 3B",$K$37="REGION 4",$K$37="REGION 4B",$K$37="REGION 4C",$K$37="REGION 5",$K$37="REGION 5A")),((0.059228/(B368/100))-(0.4980013/(SQRT(B368/100)))+2.137988),HLOOKUP(MONTH(A368),ScalarTable,28))))</f>
        <v> </v>
      </c>
      <c r="D368" s="371" t="str">
        <f aca="false">IF(A368="N/A"," ",C368*B368)</f>
        <v> </v>
      </c>
      <c r="E368" s="369" t="str">
        <f aca="false">IF(A368="N/A"," ",IF(ISERROR(M368),E356*Inputs!$F$19,M368))</f>
        <v> </v>
      </c>
      <c r="F368" s="371" t="str">
        <f aca="false">IF(A368="N/A"," ",E368*C368)</f>
        <v> </v>
      </c>
      <c r="G368" s="369" t="str">
        <f aca="false">IF(A368="N/A"," ",IF(ISERROR(N368),G356*Inputs!$F$19,N368))</f>
        <v> </v>
      </c>
      <c r="H368" s="371" t="str">
        <f aca="false">IF(A368="N/A"," ",G368*C368)</f>
        <v> </v>
      </c>
      <c r="I368" s="371" t="str">
        <f aca="false">IF(A368="N/A"," ",IF(ISERROR(O368),I356*Inputs!$F$19,O368))</f>
        <v> </v>
      </c>
      <c r="J368" s="372" t="str">
        <f aca="false">IF(A368="N/A"," ",IF(ISERROR(P368),J356*Inputs!$F$23,P368))</f>
        <v> </v>
      </c>
      <c r="L368" s="374" t="str">
        <f aca="false">IF(A368="N/A"," ",VLOOKUP(A368,PeakPowerCurves,(IF('Pricing Inputs'!$AT$3=2,3,IF('Pricing Inputs'!$AT$3=1,2,4))),FALSE()))</f>
        <v> </v>
      </c>
      <c r="M368" s="374" t="str">
        <f aca="false">IF(A368="N/A"," ",VLOOKUP(A368,SatSunPeakPwr,(IF('Pricing Inputs'!$AT$3=2,3,IF('Pricing Inputs'!$AT$3=1,2,4))),FALSE()))</f>
        <v> </v>
      </c>
      <c r="N368" s="374" t="str">
        <f aca="false">IF(A368="N/A"," ",VLOOKUP(A368,SatSunPeakPwr,(IF('Pricing Inputs'!$AT$3=2,7,IF('Pricing Inputs'!$AT$3=1,6,8))),FALSE()))</f>
        <v> </v>
      </c>
      <c r="O368" s="375" t="str">
        <f aca="false">IF(A368="N/A"," ",(VLOOKUP(A368,OPPowerPrices,(IF('Pricing Inputs'!$AT$3=2,7,IF('Pricing Inputs'!$AT$3=1,6,8))),FALSE())))</f>
        <v> </v>
      </c>
      <c r="P368" s="376" t="str">
        <f aca="false">IF(A368="N/A"," ",(VLOOKUP(A368,GasCurves,15,FALSE())))</f>
        <v> </v>
      </c>
    </row>
    <row r="369" customFormat="false" ht="12.75" hidden="false" customHeight="false" outlineLevel="0" collapsed="false">
      <c r="A369" s="368" t="str">
        <f aca="false">Calculations!A336</f>
        <v>N/A</v>
      </c>
      <c r="B369" s="369" t="str">
        <f aca="false">IF(A369="N/A"," ",IF(ISERROR(L369),B357*Inputs!$F$19,L369))</f>
        <v> </v>
      </c>
      <c r="C369" s="370" t="str">
        <f aca="false">IF(A369="N/A"," ",(IF(AND(MONTH(A369)&gt;=6,MONTH(A369)&lt;=8,OR($K$37="REGION 2",$K$37="REGION 2A",$K$37="REGION 2B",$K$37="REGION 3",$K$37="REGION 3A",$K$37="REGION 3B",$K$37="REGION 4",$K$37="REGION 4B",$K$37="REGION 4C",$K$37="REGION 5",$K$37="REGION 5A")),((0.059228/(B369/100))-(0.4980013/(SQRT(B369/100)))+2.137988),HLOOKUP(MONTH(A369),ScalarTable,28))))</f>
        <v> </v>
      </c>
      <c r="D369" s="371" t="str">
        <f aca="false">IF(A369="N/A"," ",C369*B369)</f>
        <v> </v>
      </c>
      <c r="E369" s="369" t="str">
        <f aca="false">IF(A369="N/A"," ",IF(ISERROR(M369),E357*Inputs!$F$19,M369))</f>
        <v> </v>
      </c>
      <c r="F369" s="371" t="str">
        <f aca="false">IF(A369="N/A"," ",E369*C369)</f>
        <v> </v>
      </c>
      <c r="G369" s="369" t="str">
        <f aca="false">IF(A369="N/A"," ",IF(ISERROR(N369),G357*Inputs!$F$19,N369))</f>
        <v> </v>
      </c>
      <c r="H369" s="371" t="str">
        <f aca="false">IF(A369="N/A"," ",G369*C369)</f>
        <v> </v>
      </c>
      <c r="I369" s="371" t="str">
        <f aca="false">IF(A369="N/A"," ",IF(ISERROR(O369),I357*Inputs!$F$19,O369))</f>
        <v> </v>
      </c>
      <c r="J369" s="372" t="str">
        <f aca="false">IF(A369="N/A"," ",IF(ISERROR(P369),J357*Inputs!$F$23,P369))</f>
        <v> </v>
      </c>
      <c r="L369" s="374" t="str">
        <f aca="false">IF(A369="N/A"," ",VLOOKUP(A369,PeakPowerCurves,(IF('Pricing Inputs'!$AT$3=2,3,IF('Pricing Inputs'!$AT$3=1,2,4))),FALSE()))</f>
        <v> </v>
      </c>
      <c r="M369" s="374" t="str">
        <f aca="false">IF(A369="N/A"," ",VLOOKUP(A369,SatSunPeakPwr,(IF('Pricing Inputs'!$AT$3=2,3,IF('Pricing Inputs'!$AT$3=1,2,4))),FALSE()))</f>
        <v> </v>
      </c>
      <c r="N369" s="374" t="str">
        <f aca="false">IF(A369="N/A"," ",VLOOKUP(A369,SatSunPeakPwr,(IF('Pricing Inputs'!$AT$3=2,7,IF('Pricing Inputs'!$AT$3=1,6,8))),FALSE()))</f>
        <v> </v>
      </c>
      <c r="O369" s="375" t="str">
        <f aca="false">IF(A369="N/A"," ",(VLOOKUP(A369,OPPowerPrices,(IF('Pricing Inputs'!$AT$3=2,7,IF('Pricing Inputs'!$AT$3=1,6,8))),FALSE())))</f>
        <v> </v>
      </c>
      <c r="P369" s="376" t="str">
        <f aca="false">IF(A369="N/A"," ",(VLOOKUP(A369,GasCurves,15,FALSE())))</f>
        <v> </v>
      </c>
    </row>
    <row r="370" customFormat="false" ht="12.75" hidden="false" customHeight="false" outlineLevel="0" collapsed="false">
      <c r="A370" s="368" t="str">
        <f aca="false">Calculations!A337</f>
        <v>N/A</v>
      </c>
      <c r="B370" s="369" t="str">
        <f aca="false">IF(A370="N/A"," ",IF(ISERROR(L370),B358*Inputs!$F$19,L370))</f>
        <v> </v>
      </c>
      <c r="C370" s="370" t="str">
        <f aca="false">IF(A370="N/A"," ",(IF(AND(MONTH(A370)&gt;=6,MONTH(A370)&lt;=8,OR($K$37="REGION 2",$K$37="REGION 2A",$K$37="REGION 2B",$K$37="REGION 3",$K$37="REGION 3A",$K$37="REGION 3B",$K$37="REGION 4",$K$37="REGION 4B",$K$37="REGION 4C",$K$37="REGION 5",$K$37="REGION 5A")),((0.059228/(B370/100))-(0.4980013/(SQRT(B370/100)))+2.137988),HLOOKUP(MONTH(A370),ScalarTable,28))))</f>
        <v> </v>
      </c>
      <c r="D370" s="371" t="str">
        <f aca="false">IF(A370="N/A"," ",C370*B370)</f>
        <v> </v>
      </c>
      <c r="E370" s="369" t="str">
        <f aca="false">IF(A370="N/A"," ",IF(ISERROR(M370),E358*Inputs!$F$19,M370))</f>
        <v> </v>
      </c>
      <c r="F370" s="371" t="str">
        <f aca="false">IF(A370="N/A"," ",E370*C370)</f>
        <v> </v>
      </c>
      <c r="G370" s="369" t="str">
        <f aca="false">IF(A370="N/A"," ",IF(ISERROR(N370),G358*Inputs!$F$19,N370))</f>
        <v> </v>
      </c>
      <c r="H370" s="371" t="str">
        <f aca="false">IF(A370="N/A"," ",G370*C370)</f>
        <v> </v>
      </c>
      <c r="I370" s="371" t="str">
        <f aca="false">IF(A370="N/A"," ",IF(ISERROR(O370),I358*Inputs!$F$19,O370))</f>
        <v> </v>
      </c>
      <c r="J370" s="372" t="str">
        <f aca="false">IF(A370="N/A"," ",IF(ISERROR(P370),J358*Inputs!$F$23,P370))</f>
        <v> </v>
      </c>
      <c r="L370" s="374" t="str">
        <f aca="false">IF(A370="N/A"," ",VLOOKUP(A370,PeakPowerCurves,(IF('Pricing Inputs'!$AT$3=2,3,IF('Pricing Inputs'!$AT$3=1,2,4))),FALSE()))</f>
        <v> </v>
      </c>
      <c r="M370" s="374" t="str">
        <f aca="false">IF(A370="N/A"," ",VLOOKUP(A370,SatSunPeakPwr,(IF('Pricing Inputs'!$AT$3=2,3,IF('Pricing Inputs'!$AT$3=1,2,4))),FALSE()))</f>
        <v> </v>
      </c>
      <c r="N370" s="374" t="str">
        <f aca="false">IF(A370="N/A"," ",VLOOKUP(A370,SatSunPeakPwr,(IF('Pricing Inputs'!$AT$3=2,7,IF('Pricing Inputs'!$AT$3=1,6,8))),FALSE()))</f>
        <v> </v>
      </c>
      <c r="O370" s="375" t="str">
        <f aca="false">IF(A370="N/A"," ",(VLOOKUP(A370,OPPowerPrices,(IF('Pricing Inputs'!$AT$3=2,7,IF('Pricing Inputs'!$AT$3=1,6,8))),FALSE())))</f>
        <v> </v>
      </c>
      <c r="P370" s="376" t="str">
        <f aca="false">IF(A370="N/A"," ",(VLOOKUP(A370,GasCurves,15,FALSE())))</f>
        <v> </v>
      </c>
    </row>
    <row r="371" customFormat="false" ht="12.75" hidden="false" customHeight="false" outlineLevel="0" collapsed="false">
      <c r="A371" s="368" t="str">
        <f aca="false">Calculations!A338</f>
        <v>N/A</v>
      </c>
      <c r="B371" s="369" t="str">
        <f aca="false">IF(A371="N/A"," ",IF(ISERROR(L371),B359*Inputs!$F$19,L371))</f>
        <v> </v>
      </c>
      <c r="C371" s="370" t="str">
        <f aca="false">IF(A371="N/A"," ",(IF(AND(MONTH(A371)&gt;=6,MONTH(A371)&lt;=8,OR($K$37="REGION 2",$K$37="REGION 2A",$K$37="REGION 2B",$K$37="REGION 3",$K$37="REGION 3A",$K$37="REGION 3B",$K$37="REGION 4",$K$37="REGION 4B",$K$37="REGION 4C",$K$37="REGION 5",$K$37="REGION 5A")),((0.059228/(B371/100))-(0.4980013/(SQRT(B371/100)))+2.137988),HLOOKUP(MONTH(A371),ScalarTable,28))))</f>
        <v> </v>
      </c>
      <c r="D371" s="371" t="str">
        <f aca="false">IF(A371="N/A"," ",C371*B371)</f>
        <v> </v>
      </c>
      <c r="E371" s="369" t="str">
        <f aca="false">IF(A371="N/A"," ",IF(ISERROR(M371),E359*Inputs!$F$19,M371))</f>
        <v> </v>
      </c>
      <c r="F371" s="371" t="str">
        <f aca="false">IF(A371="N/A"," ",E371*C371)</f>
        <v> </v>
      </c>
      <c r="G371" s="369" t="str">
        <f aca="false">IF(A371="N/A"," ",IF(ISERROR(N371),G359*Inputs!$F$19,N371))</f>
        <v> </v>
      </c>
      <c r="H371" s="371" t="str">
        <f aca="false">IF(A371="N/A"," ",G371*C371)</f>
        <v> </v>
      </c>
      <c r="I371" s="371" t="str">
        <f aca="false">IF(A371="N/A"," ",IF(ISERROR(O371),I359*Inputs!$F$19,O371))</f>
        <v> </v>
      </c>
      <c r="J371" s="372" t="str">
        <f aca="false">IF(A371="N/A"," ",IF(ISERROR(P371),J359*Inputs!$F$23,P371))</f>
        <v> </v>
      </c>
      <c r="L371" s="374" t="str">
        <f aca="false">IF(A371="N/A"," ",VLOOKUP(A371,PeakPowerCurves,(IF('Pricing Inputs'!$AT$3=2,3,IF('Pricing Inputs'!$AT$3=1,2,4))),FALSE()))</f>
        <v> </v>
      </c>
      <c r="M371" s="374" t="str">
        <f aca="false">IF(A371="N/A"," ",VLOOKUP(A371,SatSunPeakPwr,(IF('Pricing Inputs'!$AT$3=2,3,IF('Pricing Inputs'!$AT$3=1,2,4))),FALSE()))</f>
        <v> </v>
      </c>
      <c r="N371" s="374" t="str">
        <f aca="false">IF(A371="N/A"," ",VLOOKUP(A371,SatSunPeakPwr,(IF('Pricing Inputs'!$AT$3=2,7,IF('Pricing Inputs'!$AT$3=1,6,8))),FALSE()))</f>
        <v> </v>
      </c>
      <c r="O371" s="375" t="str">
        <f aca="false">IF(A371="N/A"," ",(VLOOKUP(A371,OPPowerPrices,(IF('Pricing Inputs'!$AT$3=2,7,IF('Pricing Inputs'!$AT$3=1,6,8))),FALSE())))</f>
        <v> </v>
      </c>
      <c r="P371" s="376" t="str">
        <f aca="false">IF(A371="N/A"," ",(VLOOKUP(A371,GasCurves,15,FALSE())))</f>
        <v> </v>
      </c>
    </row>
    <row r="372" customFormat="false" ht="12.75" hidden="false" customHeight="false" outlineLevel="0" collapsed="false">
      <c r="A372" s="368" t="str">
        <f aca="false">Calculations!A339</f>
        <v>N/A</v>
      </c>
      <c r="B372" s="369" t="str">
        <f aca="false">IF(A372="N/A"," ",IF(ISERROR(L372),B360*Inputs!$F$19,L372))</f>
        <v> </v>
      </c>
      <c r="C372" s="370" t="str">
        <f aca="false">IF(A372="N/A"," ",(IF(AND(MONTH(A372)&gt;=6,MONTH(A372)&lt;=8,OR($K$37="REGION 2",$K$37="REGION 2A",$K$37="REGION 2B",$K$37="REGION 3",$K$37="REGION 3A",$K$37="REGION 3B",$K$37="REGION 4",$K$37="REGION 4B",$K$37="REGION 4C",$K$37="REGION 5",$K$37="REGION 5A")),((0.059228/(B372/100))-(0.4980013/(SQRT(B372/100)))+2.137988),HLOOKUP(MONTH(A372),ScalarTable,28))))</f>
        <v> </v>
      </c>
      <c r="D372" s="371" t="str">
        <f aca="false">IF(A372="N/A"," ",C372*B372)</f>
        <v> </v>
      </c>
      <c r="E372" s="369" t="str">
        <f aca="false">IF(A372="N/A"," ",IF(ISERROR(M372),E360*Inputs!$F$19,M372))</f>
        <v> </v>
      </c>
      <c r="F372" s="371" t="str">
        <f aca="false">IF(A372="N/A"," ",E372*C372)</f>
        <v> </v>
      </c>
      <c r="G372" s="369" t="str">
        <f aca="false">IF(A372="N/A"," ",IF(ISERROR(N372),G360*Inputs!$F$19,N372))</f>
        <v> </v>
      </c>
      <c r="H372" s="371" t="str">
        <f aca="false">IF(A372="N/A"," ",G372*C372)</f>
        <v> </v>
      </c>
      <c r="I372" s="371" t="str">
        <f aca="false">IF(A372="N/A"," ",IF(ISERROR(O372),I360*Inputs!$F$19,O372))</f>
        <v> </v>
      </c>
      <c r="J372" s="372" t="str">
        <f aca="false">IF(A372="N/A"," ",IF(ISERROR(P372),J360*Inputs!$F$23,P372))</f>
        <v> </v>
      </c>
      <c r="L372" s="374" t="str">
        <f aca="false">IF(A372="N/A"," ",VLOOKUP(A372,PeakPowerCurves,(IF('Pricing Inputs'!$AT$3=2,3,IF('Pricing Inputs'!$AT$3=1,2,4))),FALSE()))</f>
        <v> </v>
      </c>
      <c r="M372" s="374" t="str">
        <f aca="false">IF(A372="N/A"," ",VLOOKUP(A372,SatSunPeakPwr,(IF('Pricing Inputs'!$AT$3=2,3,IF('Pricing Inputs'!$AT$3=1,2,4))),FALSE()))</f>
        <v> </v>
      </c>
      <c r="N372" s="374" t="str">
        <f aca="false">IF(A372="N/A"," ",VLOOKUP(A372,SatSunPeakPwr,(IF('Pricing Inputs'!$AT$3=2,7,IF('Pricing Inputs'!$AT$3=1,6,8))),FALSE()))</f>
        <v> </v>
      </c>
      <c r="O372" s="375" t="str">
        <f aca="false">IF(A372="N/A"," ",(VLOOKUP(A372,OPPowerPrices,(IF('Pricing Inputs'!$AT$3=2,7,IF('Pricing Inputs'!$AT$3=1,6,8))),FALSE())))</f>
        <v> </v>
      </c>
      <c r="P372" s="376" t="str">
        <f aca="false">IF(A372="N/A"," ",(VLOOKUP(A372,GasCurves,15,FALSE())))</f>
        <v> </v>
      </c>
    </row>
    <row r="373" customFormat="false" ht="12.75" hidden="false" customHeight="false" outlineLevel="0" collapsed="false">
      <c r="A373" s="368" t="str">
        <f aca="false">Calculations!A340</f>
        <v>N/A</v>
      </c>
      <c r="B373" s="369" t="str">
        <f aca="false">IF(A373="N/A"," ",IF(ISERROR(L373),B361*Inputs!$F$19,L373))</f>
        <v> </v>
      </c>
      <c r="C373" s="370" t="str">
        <f aca="false">IF(A373="N/A"," ",(IF(AND(MONTH(A373)&gt;=6,MONTH(A373)&lt;=8,OR($K$37="REGION 2",$K$37="REGION 2A",$K$37="REGION 2B",$K$37="REGION 3",$K$37="REGION 3A",$K$37="REGION 3B",$K$37="REGION 4",$K$37="REGION 4B",$K$37="REGION 4C",$K$37="REGION 5",$K$37="REGION 5A")),((0.059228/(B373/100))-(0.4980013/(SQRT(B373/100)))+2.137988),HLOOKUP(MONTH(A373),ScalarTable,28))))</f>
        <v> </v>
      </c>
      <c r="D373" s="371" t="str">
        <f aca="false">IF(A373="N/A"," ",C373*B373)</f>
        <v> </v>
      </c>
      <c r="E373" s="369" t="str">
        <f aca="false">IF(A373="N/A"," ",IF(ISERROR(M373),E361*Inputs!$F$19,M373))</f>
        <v> </v>
      </c>
      <c r="F373" s="371" t="str">
        <f aca="false">IF(A373="N/A"," ",E373*C373)</f>
        <v> </v>
      </c>
      <c r="G373" s="369" t="str">
        <f aca="false">IF(A373="N/A"," ",IF(ISERROR(N373),G361*Inputs!$F$19,N373))</f>
        <v> </v>
      </c>
      <c r="H373" s="371" t="str">
        <f aca="false">IF(A373="N/A"," ",G373*C373)</f>
        <v> </v>
      </c>
      <c r="I373" s="371" t="str">
        <f aca="false">IF(A373="N/A"," ",IF(ISERROR(O373),I361*Inputs!$F$19,O373))</f>
        <v> </v>
      </c>
      <c r="J373" s="372" t="str">
        <f aca="false">IF(A373="N/A"," ",IF(ISERROR(P373),J361*Inputs!$F$23,P373))</f>
        <v> </v>
      </c>
      <c r="L373" s="374" t="str">
        <f aca="false">IF(A373="N/A"," ",VLOOKUP(A373,PeakPowerCurves,(IF('Pricing Inputs'!$AT$3=2,3,IF('Pricing Inputs'!$AT$3=1,2,4))),FALSE()))</f>
        <v> </v>
      </c>
      <c r="M373" s="374" t="str">
        <f aca="false">IF(A373="N/A"," ",VLOOKUP(A373,SatSunPeakPwr,(IF('Pricing Inputs'!$AT$3=2,3,IF('Pricing Inputs'!$AT$3=1,2,4))),FALSE()))</f>
        <v> </v>
      </c>
      <c r="N373" s="374" t="str">
        <f aca="false">IF(A373="N/A"," ",VLOOKUP(A373,SatSunPeakPwr,(IF('Pricing Inputs'!$AT$3=2,7,IF('Pricing Inputs'!$AT$3=1,6,8))),FALSE()))</f>
        <v> </v>
      </c>
      <c r="O373" s="375" t="str">
        <f aca="false">IF(A373="N/A"," ",(VLOOKUP(A373,OPPowerPrices,(IF('Pricing Inputs'!$AT$3=2,7,IF('Pricing Inputs'!$AT$3=1,6,8))),FALSE())))</f>
        <v> </v>
      </c>
      <c r="P373" s="376" t="str">
        <f aca="false">IF(A373="N/A"," ",(VLOOKUP(A373,GasCurves,15,FALSE())))</f>
        <v> </v>
      </c>
    </row>
    <row r="374" customFormat="false" ht="12.75" hidden="false" customHeight="false" outlineLevel="0" collapsed="false">
      <c r="A374" s="368" t="str">
        <f aca="false">Calculations!A341</f>
        <v>N/A</v>
      </c>
      <c r="B374" s="369" t="str">
        <f aca="false">IF(A374="N/A"," ",IF(ISERROR(L374),B362*Inputs!$F$19,L374))</f>
        <v> </v>
      </c>
      <c r="C374" s="370" t="str">
        <f aca="false">IF(A374="N/A"," ",(IF(AND(MONTH(A374)&gt;=6,MONTH(A374)&lt;=8,OR($K$37="REGION 2",$K$37="REGION 2A",$K$37="REGION 2B",$K$37="REGION 3",$K$37="REGION 3A",$K$37="REGION 3B",$K$37="REGION 4",$K$37="REGION 4B",$K$37="REGION 4C",$K$37="REGION 5",$K$37="REGION 5A")),((0.059228/(B374/100))-(0.4980013/(SQRT(B374/100)))+2.137988),HLOOKUP(MONTH(A374),ScalarTable,28))))</f>
        <v> </v>
      </c>
      <c r="D374" s="371" t="str">
        <f aca="false">IF(A374="N/A"," ",C374*B374)</f>
        <v> </v>
      </c>
      <c r="E374" s="369" t="str">
        <f aca="false">IF(A374="N/A"," ",IF(ISERROR(M374),E362*Inputs!$F$19,M374))</f>
        <v> </v>
      </c>
      <c r="F374" s="371" t="str">
        <f aca="false">IF(A374="N/A"," ",E374*C374)</f>
        <v> </v>
      </c>
      <c r="G374" s="369" t="str">
        <f aca="false">IF(A374="N/A"," ",IF(ISERROR(N374),G362*Inputs!$F$19,N374))</f>
        <v> </v>
      </c>
      <c r="H374" s="371" t="str">
        <f aca="false">IF(A374="N/A"," ",G374*C374)</f>
        <v> </v>
      </c>
      <c r="I374" s="371" t="str">
        <f aca="false">IF(A374="N/A"," ",IF(ISERROR(O374),I362*Inputs!$F$19,O374))</f>
        <v> </v>
      </c>
      <c r="J374" s="372" t="str">
        <f aca="false">IF(A374="N/A"," ",IF(ISERROR(P374),J362*Inputs!$F$23,P374))</f>
        <v> </v>
      </c>
      <c r="L374" s="374" t="str">
        <f aca="false">IF(A374="N/A"," ",VLOOKUP(A374,PeakPowerCurves,(IF('Pricing Inputs'!$AT$3=2,3,IF('Pricing Inputs'!$AT$3=1,2,4))),FALSE()))</f>
        <v> </v>
      </c>
      <c r="M374" s="374" t="str">
        <f aca="false">IF(A374="N/A"," ",VLOOKUP(A374,SatSunPeakPwr,(IF('Pricing Inputs'!$AT$3=2,3,IF('Pricing Inputs'!$AT$3=1,2,4))),FALSE()))</f>
        <v> </v>
      </c>
      <c r="N374" s="374" t="str">
        <f aca="false">IF(A374="N/A"," ",VLOOKUP(A374,SatSunPeakPwr,(IF('Pricing Inputs'!$AT$3=2,7,IF('Pricing Inputs'!$AT$3=1,6,8))),FALSE()))</f>
        <v> </v>
      </c>
      <c r="O374" s="375" t="str">
        <f aca="false">IF(A374="N/A"," ",(VLOOKUP(A374,OPPowerPrices,(IF('Pricing Inputs'!$AT$3=2,7,IF('Pricing Inputs'!$AT$3=1,6,8))),FALSE())))</f>
        <v> </v>
      </c>
      <c r="P374" s="376" t="str">
        <f aca="false">IF(A374="N/A"," ",(VLOOKUP(A374,GasCurves,15,FALSE())))</f>
        <v> </v>
      </c>
    </row>
    <row r="375" customFormat="false" ht="12.75" hidden="false" customHeight="false" outlineLevel="0" collapsed="false">
      <c r="A375" s="368" t="str">
        <f aca="false">Calculations!A342</f>
        <v>N/A</v>
      </c>
      <c r="B375" s="369" t="str">
        <f aca="false">IF(A375="N/A"," ",IF(ISERROR(L375),B363*Inputs!$F$19,L375))</f>
        <v> </v>
      </c>
      <c r="C375" s="370" t="str">
        <f aca="false">IF(A375="N/A"," ",(IF(AND(MONTH(A375)&gt;=6,MONTH(A375)&lt;=8,OR($K$37="REGION 2",$K$37="REGION 2A",$K$37="REGION 2B",$K$37="REGION 3",$K$37="REGION 3A",$K$37="REGION 3B",$K$37="REGION 4",$K$37="REGION 4B",$K$37="REGION 4C",$K$37="REGION 5",$K$37="REGION 5A")),((0.059228/(B375/100))-(0.4980013/(SQRT(B375/100)))+2.137988),HLOOKUP(MONTH(A375),ScalarTable,28))))</f>
        <v> </v>
      </c>
      <c r="D375" s="371" t="str">
        <f aca="false">IF(A375="N/A"," ",C375*B375)</f>
        <v> </v>
      </c>
      <c r="E375" s="369" t="str">
        <f aca="false">IF(A375="N/A"," ",IF(ISERROR(M375),E363*Inputs!$F$19,M375))</f>
        <v> </v>
      </c>
      <c r="F375" s="371" t="str">
        <f aca="false">IF(A375="N/A"," ",E375*C375)</f>
        <v> </v>
      </c>
      <c r="G375" s="369" t="str">
        <f aca="false">IF(A375="N/A"," ",IF(ISERROR(N375),G363*Inputs!$F$19,N375))</f>
        <v> </v>
      </c>
      <c r="H375" s="371" t="str">
        <f aca="false">IF(A375="N/A"," ",G375*C375)</f>
        <v> </v>
      </c>
      <c r="I375" s="371" t="str">
        <f aca="false">IF(A375="N/A"," ",IF(ISERROR(O375),I363*Inputs!$F$19,O375))</f>
        <v> </v>
      </c>
      <c r="J375" s="372" t="str">
        <f aca="false">IF(A375="N/A"," ",IF(ISERROR(P375),J363*Inputs!$F$23,P375))</f>
        <v> </v>
      </c>
      <c r="L375" s="374" t="str">
        <f aca="false">IF(A375="N/A"," ",VLOOKUP(A375,PeakPowerCurves,(IF('Pricing Inputs'!$AT$3=2,3,IF('Pricing Inputs'!$AT$3=1,2,4))),FALSE()))</f>
        <v> </v>
      </c>
      <c r="M375" s="374" t="str">
        <f aca="false">IF(A375="N/A"," ",VLOOKUP(A375,SatSunPeakPwr,(IF('Pricing Inputs'!$AT$3=2,3,IF('Pricing Inputs'!$AT$3=1,2,4))),FALSE()))</f>
        <v> </v>
      </c>
      <c r="N375" s="374" t="str">
        <f aca="false">IF(A375="N/A"," ",VLOOKUP(A375,SatSunPeakPwr,(IF('Pricing Inputs'!$AT$3=2,7,IF('Pricing Inputs'!$AT$3=1,6,8))),FALSE()))</f>
        <v> </v>
      </c>
      <c r="O375" s="375" t="str">
        <f aca="false">IF(A375="N/A"," ",(VLOOKUP(A375,OPPowerPrices,(IF('Pricing Inputs'!$AT$3=2,7,IF('Pricing Inputs'!$AT$3=1,6,8))),FALSE())))</f>
        <v> </v>
      </c>
      <c r="P375" s="376" t="str">
        <f aca="false">IF(A375="N/A"," ",(VLOOKUP(A375,GasCurves,15,FALSE())))</f>
        <v> </v>
      </c>
    </row>
    <row r="376" customFormat="false" ht="12.75" hidden="false" customHeight="false" outlineLevel="0" collapsed="false">
      <c r="A376" s="368" t="str">
        <f aca="false">Calculations!A343</f>
        <v>N/A</v>
      </c>
      <c r="B376" s="369" t="str">
        <f aca="false">IF(A376="N/A"," ",IF(ISERROR(L376),B364*Inputs!$F$19,L376))</f>
        <v> </v>
      </c>
      <c r="C376" s="370" t="str">
        <f aca="false">IF(A376="N/A"," ",(IF(AND(MONTH(A376)&gt;=6,MONTH(A376)&lt;=8,OR($K$37="REGION 2",$K$37="REGION 2A",$K$37="REGION 2B",$K$37="REGION 3",$K$37="REGION 3A",$K$37="REGION 3B",$K$37="REGION 4",$K$37="REGION 4B",$K$37="REGION 4C",$K$37="REGION 5",$K$37="REGION 5A")),((0.059228/(B376/100))-(0.4980013/(SQRT(B376/100)))+2.137988),HLOOKUP(MONTH(A376),ScalarTable,28))))</f>
        <v> </v>
      </c>
      <c r="D376" s="371" t="str">
        <f aca="false">IF(A376="N/A"," ",C376*B376)</f>
        <v> </v>
      </c>
      <c r="E376" s="369" t="str">
        <f aca="false">IF(A376="N/A"," ",IF(ISERROR(M376),E364*Inputs!$F$19,M376))</f>
        <v> </v>
      </c>
      <c r="F376" s="371" t="str">
        <f aca="false">IF(A376="N/A"," ",E376*C376)</f>
        <v> </v>
      </c>
      <c r="G376" s="369" t="str">
        <f aca="false">IF(A376="N/A"," ",IF(ISERROR(N376),G364*Inputs!$F$19,N376))</f>
        <v> </v>
      </c>
      <c r="H376" s="371" t="str">
        <f aca="false">IF(A376="N/A"," ",G376*C376)</f>
        <v> </v>
      </c>
      <c r="I376" s="371" t="str">
        <f aca="false">IF(A376="N/A"," ",IF(ISERROR(O376),I364*Inputs!$F$19,O376))</f>
        <v> </v>
      </c>
      <c r="J376" s="372" t="str">
        <f aca="false">IF(A376="N/A"," ",IF(ISERROR(P376),J364*Inputs!$F$23,P376))</f>
        <v> </v>
      </c>
      <c r="L376" s="374" t="str">
        <f aca="false">IF(A376="N/A"," ",VLOOKUP(A376,PeakPowerCurves,(IF('Pricing Inputs'!$AT$3=2,3,IF('Pricing Inputs'!$AT$3=1,2,4))),FALSE()))</f>
        <v> </v>
      </c>
      <c r="M376" s="374" t="str">
        <f aca="false">IF(A376="N/A"," ",VLOOKUP(A376,SatSunPeakPwr,(IF('Pricing Inputs'!$AT$3=2,3,IF('Pricing Inputs'!$AT$3=1,2,4))),FALSE()))</f>
        <v> </v>
      </c>
      <c r="N376" s="374" t="str">
        <f aca="false">IF(A376="N/A"," ",VLOOKUP(A376,SatSunPeakPwr,(IF('Pricing Inputs'!$AT$3=2,7,IF('Pricing Inputs'!$AT$3=1,6,8))),FALSE()))</f>
        <v> </v>
      </c>
      <c r="O376" s="375" t="str">
        <f aca="false">IF(A376="N/A"," ",(VLOOKUP(A376,OPPowerPrices,(IF('Pricing Inputs'!$AT$3=2,7,IF('Pricing Inputs'!$AT$3=1,6,8))),FALSE())))</f>
        <v> </v>
      </c>
      <c r="P376" s="376" t="str">
        <f aca="false">IF(A376="N/A"," ",(VLOOKUP(A376,GasCurves,15,FALSE())))</f>
        <v> </v>
      </c>
    </row>
    <row r="377" customFormat="false" ht="12.75" hidden="false" customHeight="false" outlineLevel="0" collapsed="false">
      <c r="A377" s="368" t="str">
        <f aca="false">Calculations!A344</f>
        <v>N/A</v>
      </c>
      <c r="B377" s="369" t="str">
        <f aca="false">IF(A377="N/A"," ",IF(ISERROR(L377),B365*Inputs!$F$19,L377))</f>
        <v> </v>
      </c>
      <c r="C377" s="370" t="str">
        <f aca="false">IF(A377="N/A"," ",(IF(AND(MONTH(A377)&gt;=6,MONTH(A377)&lt;=8,OR($K$37="REGION 2",$K$37="REGION 2A",$K$37="REGION 2B",$K$37="REGION 3",$K$37="REGION 3A",$K$37="REGION 3B",$K$37="REGION 4",$K$37="REGION 4B",$K$37="REGION 4C",$K$37="REGION 5",$K$37="REGION 5A")),((0.059228/(B377/100))-(0.4980013/(SQRT(B377/100)))+2.137988),HLOOKUP(MONTH(A377),ScalarTable,28))))</f>
        <v> </v>
      </c>
      <c r="D377" s="371" t="str">
        <f aca="false">IF(A377="N/A"," ",C377*B377)</f>
        <v> </v>
      </c>
      <c r="E377" s="369" t="str">
        <f aca="false">IF(A377="N/A"," ",IF(ISERROR(M377),E365*Inputs!$F$19,M377))</f>
        <v> </v>
      </c>
      <c r="F377" s="371" t="str">
        <f aca="false">IF(A377="N/A"," ",E377*C377)</f>
        <v> </v>
      </c>
      <c r="G377" s="369" t="str">
        <f aca="false">IF(A377="N/A"," ",IF(ISERROR(N377),G365*Inputs!$F$19,N377))</f>
        <v> </v>
      </c>
      <c r="H377" s="371" t="str">
        <f aca="false">IF(A377="N/A"," ",G377*C377)</f>
        <v> </v>
      </c>
      <c r="I377" s="371" t="str">
        <f aca="false">IF(A377="N/A"," ",IF(ISERROR(O377),I365*Inputs!$F$19,O377))</f>
        <v> </v>
      </c>
      <c r="J377" s="372" t="str">
        <f aca="false">IF(A377="N/A"," ",IF(ISERROR(P377),J365*Inputs!$F$23,P377))</f>
        <v> </v>
      </c>
      <c r="L377" s="374" t="str">
        <f aca="false">IF(A377="N/A"," ",VLOOKUP(A377,PeakPowerCurves,(IF('Pricing Inputs'!$AT$3=2,3,IF('Pricing Inputs'!$AT$3=1,2,4))),FALSE()))</f>
        <v> </v>
      </c>
      <c r="M377" s="374" t="str">
        <f aca="false">IF(A377="N/A"," ",VLOOKUP(A377,SatSunPeakPwr,(IF('Pricing Inputs'!$AT$3=2,3,IF('Pricing Inputs'!$AT$3=1,2,4))),FALSE()))</f>
        <v> </v>
      </c>
      <c r="N377" s="374" t="str">
        <f aca="false">IF(A377="N/A"," ",VLOOKUP(A377,SatSunPeakPwr,(IF('Pricing Inputs'!$AT$3=2,7,IF('Pricing Inputs'!$AT$3=1,6,8))),FALSE()))</f>
        <v> </v>
      </c>
      <c r="O377" s="375" t="str">
        <f aca="false">IF(A377="N/A"," ",(VLOOKUP(A377,OPPowerPrices,(IF('Pricing Inputs'!$AT$3=2,7,IF('Pricing Inputs'!$AT$3=1,6,8))),FALSE())))</f>
        <v> </v>
      </c>
      <c r="P377" s="376" t="str">
        <f aca="false">IF(A377="N/A"," ",(VLOOKUP(A377,GasCurves,15,FALSE())))</f>
        <v> </v>
      </c>
    </row>
    <row r="378" customFormat="false" ht="12.75" hidden="false" customHeight="false" outlineLevel="0" collapsed="false">
      <c r="A378" s="368" t="str">
        <f aca="false">Calculations!A345</f>
        <v>N/A</v>
      </c>
      <c r="B378" s="369" t="str">
        <f aca="false">IF(A378="N/A"," ",IF(ISERROR(L378),B366*Inputs!$F$19,L378))</f>
        <v> </v>
      </c>
      <c r="C378" s="370" t="str">
        <f aca="false">IF(A378="N/A"," ",(IF(AND(MONTH(A378)&gt;=6,MONTH(A378)&lt;=8,OR($K$37="REGION 2",$K$37="REGION 2A",$K$37="REGION 2B",$K$37="REGION 3",$K$37="REGION 3A",$K$37="REGION 3B",$K$37="REGION 4",$K$37="REGION 4B",$K$37="REGION 4C",$K$37="REGION 5",$K$37="REGION 5A")),((0.059228/(B378/100))-(0.4980013/(SQRT(B378/100)))+2.137988),HLOOKUP(MONTH(A378),ScalarTable,28))))</f>
        <v> </v>
      </c>
      <c r="D378" s="371" t="str">
        <f aca="false">IF(A378="N/A"," ",C378*B378)</f>
        <v> </v>
      </c>
      <c r="E378" s="369" t="str">
        <f aca="false">IF(A378="N/A"," ",IF(ISERROR(M378),E366*Inputs!$F$19,M378))</f>
        <v> </v>
      </c>
      <c r="F378" s="371" t="str">
        <f aca="false">IF(A378="N/A"," ",E378*C378)</f>
        <v> </v>
      </c>
      <c r="G378" s="369" t="str">
        <f aca="false">IF(A378="N/A"," ",IF(ISERROR(N378),G366*Inputs!$F$19,N378))</f>
        <v> </v>
      </c>
      <c r="H378" s="371" t="str">
        <f aca="false">IF(A378="N/A"," ",G378*C378)</f>
        <v> </v>
      </c>
      <c r="I378" s="371" t="str">
        <f aca="false">IF(A378="N/A"," ",IF(ISERROR(O378),I366*Inputs!$F$19,O378))</f>
        <v> </v>
      </c>
      <c r="J378" s="372" t="str">
        <f aca="false">IF(A378="N/A"," ",IF(ISERROR(P378),J366*Inputs!$F$23,P378))</f>
        <v> </v>
      </c>
      <c r="L378" s="374" t="str">
        <f aca="false">IF(A378="N/A"," ",VLOOKUP(A378,PeakPowerCurves,(IF('Pricing Inputs'!$AT$3=2,3,IF('Pricing Inputs'!$AT$3=1,2,4))),FALSE()))</f>
        <v> </v>
      </c>
      <c r="M378" s="374" t="str">
        <f aca="false">IF(A378="N/A"," ",VLOOKUP(A378,SatSunPeakPwr,(IF('Pricing Inputs'!$AT$3=2,3,IF('Pricing Inputs'!$AT$3=1,2,4))),FALSE()))</f>
        <v> </v>
      </c>
      <c r="N378" s="374" t="str">
        <f aca="false">IF(A378="N/A"," ",VLOOKUP(A378,SatSunPeakPwr,(IF('Pricing Inputs'!$AT$3=2,7,IF('Pricing Inputs'!$AT$3=1,6,8))),FALSE()))</f>
        <v> </v>
      </c>
      <c r="O378" s="375" t="str">
        <f aca="false">IF(A378="N/A"," ",(VLOOKUP(A378,OPPowerPrices,(IF('Pricing Inputs'!$AT$3=2,7,IF('Pricing Inputs'!$AT$3=1,6,8))),FALSE())))</f>
        <v> </v>
      </c>
      <c r="P378" s="376" t="str">
        <f aca="false">IF(A378="N/A"," ",(VLOOKUP(A378,GasCurves,15,FALSE())))</f>
        <v> </v>
      </c>
    </row>
    <row r="379" customFormat="false" ht="12.75" hidden="false" customHeight="false" outlineLevel="0" collapsed="false">
      <c r="A379" s="368" t="str">
        <f aca="false">Calculations!A346</f>
        <v>N/A</v>
      </c>
      <c r="B379" s="369" t="str">
        <f aca="false">IF(A379="N/A"," ",IF(ISERROR(L379),B367*Inputs!$F$19,L379))</f>
        <v> </v>
      </c>
      <c r="C379" s="370" t="str">
        <f aca="false">IF(A379="N/A"," ",(IF(AND(MONTH(A379)&gt;=6,MONTH(A379)&lt;=8,OR($K$37="REGION 2",$K$37="REGION 2A",$K$37="REGION 2B",$K$37="REGION 3",$K$37="REGION 3A",$K$37="REGION 3B",$K$37="REGION 4",$K$37="REGION 4B",$K$37="REGION 4C",$K$37="REGION 5",$K$37="REGION 5A")),((0.059228/(B379/100))-(0.4980013/(SQRT(B379/100)))+2.137988),HLOOKUP(MONTH(A379),ScalarTable,28))))</f>
        <v> </v>
      </c>
      <c r="D379" s="371" t="str">
        <f aca="false">IF(A379="N/A"," ",C379*B379)</f>
        <v> </v>
      </c>
      <c r="E379" s="369" t="str">
        <f aca="false">IF(A379="N/A"," ",IF(ISERROR(M379),E367*Inputs!$F$19,M379))</f>
        <v> </v>
      </c>
      <c r="F379" s="371" t="str">
        <f aca="false">IF(A379="N/A"," ",E379*C379)</f>
        <v> </v>
      </c>
      <c r="G379" s="369" t="str">
        <f aca="false">IF(A379="N/A"," ",IF(ISERROR(N379),G367*Inputs!$F$19,N379))</f>
        <v> </v>
      </c>
      <c r="H379" s="371" t="str">
        <f aca="false">IF(A379="N/A"," ",G379*C379)</f>
        <v> </v>
      </c>
      <c r="I379" s="371" t="str">
        <f aca="false">IF(A379="N/A"," ",IF(ISERROR(O379),I367*Inputs!$F$19,O379))</f>
        <v> </v>
      </c>
      <c r="J379" s="372" t="str">
        <f aca="false">IF(A379="N/A"," ",IF(ISERROR(P379),J367*Inputs!$F$23,P379))</f>
        <v> </v>
      </c>
      <c r="L379" s="374" t="str">
        <f aca="false">IF(A379="N/A"," ",VLOOKUP(A379,PeakPowerCurves,(IF('Pricing Inputs'!$AT$3=2,3,IF('Pricing Inputs'!$AT$3=1,2,4))),FALSE()))</f>
        <v> </v>
      </c>
      <c r="M379" s="374" t="str">
        <f aca="false">IF(A379="N/A"," ",VLOOKUP(A379,SatSunPeakPwr,(IF('Pricing Inputs'!$AT$3=2,3,IF('Pricing Inputs'!$AT$3=1,2,4))),FALSE()))</f>
        <v> </v>
      </c>
      <c r="N379" s="374" t="str">
        <f aca="false">IF(A379="N/A"," ",VLOOKUP(A379,SatSunPeakPwr,(IF('Pricing Inputs'!$AT$3=2,7,IF('Pricing Inputs'!$AT$3=1,6,8))),FALSE()))</f>
        <v> </v>
      </c>
      <c r="O379" s="375" t="str">
        <f aca="false">IF(A379="N/A"," ",(VLOOKUP(A379,OPPowerPrices,(IF('Pricing Inputs'!$AT$3=2,7,IF('Pricing Inputs'!$AT$3=1,6,8))),FALSE())))</f>
        <v> </v>
      </c>
      <c r="P379" s="376" t="str">
        <f aca="false">IF(A379="N/A"," ",(VLOOKUP(A379,GasCurves,15,FALSE())))</f>
        <v> </v>
      </c>
    </row>
    <row r="380" customFormat="false" ht="12.75" hidden="false" customHeight="false" outlineLevel="0" collapsed="false">
      <c r="A380" s="368" t="str">
        <f aca="false">Calculations!A347</f>
        <v>N/A</v>
      </c>
      <c r="B380" s="369" t="str">
        <f aca="false">IF(A380="N/A"," ",IF(ISERROR(L380),B368*Inputs!$F$19,L380))</f>
        <v> </v>
      </c>
      <c r="C380" s="370" t="str">
        <f aca="false">IF(A380="N/A"," ",(IF(AND(MONTH(A380)&gt;=6,MONTH(A380)&lt;=8,OR($K$37="REGION 2",$K$37="REGION 2A",$K$37="REGION 2B",$K$37="REGION 3",$K$37="REGION 3A",$K$37="REGION 3B",$K$37="REGION 4",$K$37="REGION 4B",$K$37="REGION 4C",$K$37="REGION 5",$K$37="REGION 5A")),((0.059228/(B380/100))-(0.4980013/(SQRT(B380/100)))+2.137988),HLOOKUP(MONTH(A380),ScalarTable,28))))</f>
        <v> </v>
      </c>
      <c r="D380" s="371" t="str">
        <f aca="false">IF(A380="N/A"," ",C380*B380)</f>
        <v> </v>
      </c>
      <c r="E380" s="369" t="str">
        <f aca="false">IF(A380="N/A"," ",IF(ISERROR(M380),E368*Inputs!$F$19,M380))</f>
        <v> </v>
      </c>
      <c r="F380" s="371" t="str">
        <f aca="false">IF(A380="N/A"," ",E380*C380)</f>
        <v> </v>
      </c>
      <c r="G380" s="369" t="str">
        <f aca="false">IF(A380="N/A"," ",IF(ISERROR(N380),G368*Inputs!$F$19,N380))</f>
        <v> </v>
      </c>
      <c r="H380" s="371" t="str">
        <f aca="false">IF(A380="N/A"," ",G380*C380)</f>
        <v> </v>
      </c>
      <c r="I380" s="371" t="str">
        <f aca="false">IF(A380="N/A"," ",IF(ISERROR(O380),I368*Inputs!$F$19,O380))</f>
        <v> </v>
      </c>
      <c r="J380" s="372" t="str">
        <f aca="false">IF(A380="N/A"," ",IF(ISERROR(P380),J368*Inputs!$F$23,P380))</f>
        <v> </v>
      </c>
      <c r="L380" s="374" t="str">
        <f aca="false">IF(A380="N/A"," ",VLOOKUP(A380,PeakPowerCurves,(IF('Pricing Inputs'!$AT$3=2,3,IF('Pricing Inputs'!$AT$3=1,2,4))),FALSE()))</f>
        <v> </v>
      </c>
      <c r="M380" s="374" t="str">
        <f aca="false">IF(A380="N/A"," ",VLOOKUP(A380,SatSunPeakPwr,(IF('Pricing Inputs'!$AT$3=2,3,IF('Pricing Inputs'!$AT$3=1,2,4))),FALSE()))</f>
        <v> </v>
      </c>
      <c r="N380" s="374" t="str">
        <f aca="false">IF(A380="N/A"," ",VLOOKUP(A380,SatSunPeakPwr,(IF('Pricing Inputs'!$AT$3=2,7,IF('Pricing Inputs'!$AT$3=1,6,8))),FALSE()))</f>
        <v> </v>
      </c>
      <c r="O380" s="375" t="str">
        <f aca="false">IF(A380="N/A"," ",(VLOOKUP(A380,OPPowerPrices,(IF('Pricing Inputs'!$AT$3=2,7,IF('Pricing Inputs'!$AT$3=1,6,8))),FALSE())))</f>
        <v> </v>
      </c>
      <c r="P380" s="376" t="str">
        <f aca="false">IF(A380="N/A"," ",(VLOOKUP(A380,GasCurves,15,FALSE())))</f>
        <v> </v>
      </c>
    </row>
    <row r="381" customFormat="false" ht="12.75" hidden="false" customHeight="false" outlineLevel="0" collapsed="false">
      <c r="A381" s="368" t="str">
        <f aca="false">Calculations!A348</f>
        <v>N/A</v>
      </c>
      <c r="B381" s="369" t="str">
        <f aca="false">IF(A381="N/A"," ",IF(ISERROR(L381),B369*Inputs!$F$19,L381))</f>
        <v> </v>
      </c>
      <c r="C381" s="370" t="str">
        <f aca="false">IF(A381="N/A"," ",(IF(AND(MONTH(A381)&gt;=6,MONTH(A381)&lt;=8,OR($K$37="REGION 2",$K$37="REGION 2A",$K$37="REGION 2B",$K$37="REGION 3",$K$37="REGION 3A",$K$37="REGION 3B",$K$37="REGION 4",$K$37="REGION 4B",$K$37="REGION 4C",$K$37="REGION 5",$K$37="REGION 5A")),((0.059228/(B381/100))-(0.4980013/(SQRT(B381/100)))+2.137988),HLOOKUP(MONTH(A381),ScalarTable,28))))</f>
        <v> </v>
      </c>
      <c r="D381" s="371" t="str">
        <f aca="false">IF(A381="N/A"," ",C381*B381)</f>
        <v> </v>
      </c>
      <c r="E381" s="369" t="str">
        <f aca="false">IF(A381="N/A"," ",IF(ISERROR(M381),E369*Inputs!$F$19,M381))</f>
        <v> </v>
      </c>
      <c r="F381" s="371" t="str">
        <f aca="false">IF(A381="N/A"," ",E381*C381)</f>
        <v> </v>
      </c>
      <c r="G381" s="369" t="str">
        <f aca="false">IF(A381="N/A"," ",IF(ISERROR(N381),G369*Inputs!$F$19,N381))</f>
        <v> </v>
      </c>
      <c r="H381" s="371" t="str">
        <f aca="false">IF(A381="N/A"," ",G381*C381)</f>
        <v> </v>
      </c>
      <c r="I381" s="371" t="str">
        <f aca="false">IF(A381="N/A"," ",IF(ISERROR(O381),I369*Inputs!$F$19,O381))</f>
        <v> </v>
      </c>
      <c r="J381" s="372" t="str">
        <f aca="false">IF(A381="N/A"," ",IF(ISERROR(P381),J369*Inputs!$F$23,P381))</f>
        <v> </v>
      </c>
      <c r="L381" s="374" t="str">
        <f aca="false">IF(A381="N/A"," ",VLOOKUP(A381,PeakPowerCurves,(IF('Pricing Inputs'!$AT$3=2,3,IF('Pricing Inputs'!$AT$3=1,2,4))),FALSE()))</f>
        <v> </v>
      </c>
      <c r="M381" s="374" t="str">
        <f aca="false">IF(A381="N/A"," ",VLOOKUP(A381,SatSunPeakPwr,(IF('Pricing Inputs'!$AT$3=2,3,IF('Pricing Inputs'!$AT$3=1,2,4))),FALSE()))</f>
        <v> </v>
      </c>
      <c r="N381" s="374" t="str">
        <f aca="false">IF(A381="N/A"," ",VLOOKUP(A381,SatSunPeakPwr,(IF('Pricing Inputs'!$AT$3=2,7,IF('Pricing Inputs'!$AT$3=1,6,8))),FALSE()))</f>
        <v> </v>
      </c>
      <c r="O381" s="375" t="str">
        <f aca="false">IF(A381="N/A"," ",(VLOOKUP(A381,OPPowerPrices,(IF('Pricing Inputs'!$AT$3=2,7,IF('Pricing Inputs'!$AT$3=1,6,8))),FALSE())))</f>
        <v> </v>
      </c>
      <c r="P381" s="376" t="str">
        <f aca="false">IF(A381="N/A"," ",(VLOOKUP(A381,GasCurves,15,FALSE())))</f>
        <v> </v>
      </c>
    </row>
    <row r="382" customFormat="false" ht="12.75" hidden="false" customHeight="false" outlineLevel="0" collapsed="false">
      <c r="A382" s="368" t="str">
        <f aca="false">Calculations!A349</f>
        <v>N/A</v>
      </c>
      <c r="B382" s="369" t="str">
        <f aca="false">IF(A382="N/A"," ",IF(ISERROR(L382),B370*Inputs!$F$19,L382))</f>
        <v> </v>
      </c>
      <c r="C382" s="370" t="str">
        <f aca="false">IF(A382="N/A"," ",(IF(AND(MONTH(A382)&gt;=6,MONTH(A382)&lt;=8,OR($K$37="REGION 2",$K$37="REGION 2A",$K$37="REGION 2B",$K$37="REGION 3",$K$37="REGION 3A",$K$37="REGION 3B",$K$37="REGION 4",$K$37="REGION 4B",$K$37="REGION 4C",$K$37="REGION 5",$K$37="REGION 5A")),((0.059228/(B382/100))-(0.4980013/(SQRT(B382/100)))+2.137988),HLOOKUP(MONTH(A382),ScalarTable,28))))</f>
        <v> </v>
      </c>
      <c r="D382" s="371" t="str">
        <f aca="false">IF(A382="N/A"," ",C382*B382)</f>
        <v> </v>
      </c>
      <c r="E382" s="369" t="str">
        <f aca="false">IF(A382="N/A"," ",IF(ISERROR(M382),E370*Inputs!$F$19,M382))</f>
        <v> </v>
      </c>
      <c r="F382" s="371" t="str">
        <f aca="false">IF(A382="N/A"," ",E382*C382)</f>
        <v> </v>
      </c>
      <c r="G382" s="369" t="str">
        <f aca="false">IF(A382="N/A"," ",IF(ISERROR(N382),G370*Inputs!$F$19,N382))</f>
        <v> </v>
      </c>
      <c r="H382" s="371" t="str">
        <f aca="false">IF(A382="N/A"," ",G382*C382)</f>
        <v> </v>
      </c>
      <c r="I382" s="371" t="str">
        <f aca="false">IF(A382="N/A"," ",IF(ISERROR(O382),I370*Inputs!$F$19,O382))</f>
        <v> </v>
      </c>
      <c r="J382" s="372" t="str">
        <f aca="false">IF(A382="N/A"," ",IF(ISERROR(P382),J370*Inputs!$F$23,P382))</f>
        <v> </v>
      </c>
      <c r="L382" s="374" t="str">
        <f aca="false">IF(A382="N/A"," ",VLOOKUP(A382,PeakPowerCurves,(IF('Pricing Inputs'!$AT$3=2,3,IF('Pricing Inputs'!$AT$3=1,2,4))),FALSE()))</f>
        <v> </v>
      </c>
      <c r="M382" s="374" t="str">
        <f aca="false">IF(A382="N/A"," ",VLOOKUP(A382,SatSunPeakPwr,(IF('Pricing Inputs'!$AT$3=2,3,IF('Pricing Inputs'!$AT$3=1,2,4))),FALSE()))</f>
        <v> </v>
      </c>
      <c r="N382" s="374" t="str">
        <f aca="false">IF(A382="N/A"," ",VLOOKUP(A382,SatSunPeakPwr,(IF('Pricing Inputs'!$AT$3=2,7,IF('Pricing Inputs'!$AT$3=1,6,8))),FALSE()))</f>
        <v> </v>
      </c>
      <c r="O382" s="375" t="str">
        <f aca="false">IF(A382="N/A"," ",(VLOOKUP(A382,OPPowerPrices,(IF('Pricing Inputs'!$AT$3=2,7,IF('Pricing Inputs'!$AT$3=1,6,8))),FALSE())))</f>
        <v> </v>
      </c>
      <c r="P382" s="376" t="str">
        <f aca="false">IF(A382="N/A"," ",(VLOOKUP(A382,GasCurves,15,FALSE())))</f>
        <v> </v>
      </c>
    </row>
    <row r="383" customFormat="false" ht="12.75" hidden="false" customHeight="false" outlineLevel="0" collapsed="false">
      <c r="A383" s="368" t="str">
        <f aca="false">Calculations!A350</f>
        <v>N/A</v>
      </c>
      <c r="B383" s="369" t="str">
        <f aca="false">IF(A383="N/A"," ",IF(ISERROR(L383),B371*Inputs!$F$19,L383))</f>
        <v> </v>
      </c>
      <c r="C383" s="370" t="str">
        <f aca="false">IF(A383="N/A"," ",(IF(AND(MONTH(A383)&gt;=6,MONTH(A383)&lt;=8,OR($K$37="REGION 2",$K$37="REGION 2A",$K$37="REGION 2B",$K$37="REGION 3",$K$37="REGION 3A",$K$37="REGION 3B",$K$37="REGION 4",$K$37="REGION 4B",$K$37="REGION 4C",$K$37="REGION 5",$K$37="REGION 5A")),((0.059228/(B383/100))-(0.4980013/(SQRT(B383/100)))+2.137988),HLOOKUP(MONTH(A383),ScalarTable,28))))</f>
        <v> </v>
      </c>
      <c r="D383" s="371" t="str">
        <f aca="false">IF(A383="N/A"," ",C383*B383)</f>
        <v> </v>
      </c>
      <c r="E383" s="369" t="str">
        <f aca="false">IF(A383="N/A"," ",IF(ISERROR(M383),E371*Inputs!$F$19,M383))</f>
        <v> </v>
      </c>
      <c r="F383" s="371" t="str">
        <f aca="false">IF(A383="N/A"," ",E383*C383)</f>
        <v> </v>
      </c>
      <c r="G383" s="369" t="str">
        <f aca="false">IF(A383="N/A"," ",IF(ISERROR(N383),G371*Inputs!$F$19,N383))</f>
        <v> </v>
      </c>
      <c r="H383" s="371" t="str">
        <f aca="false">IF(A383="N/A"," ",G383*C383)</f>
        <v> </v>
      </c>
      <c r="I383" s="371" t="str">
        <f aca="false">IF(A383="N/A"," ",IF(ISERROR(O383),I371*Inputs!$F$19,O383))</f>
        <v> </v>
      </c>
      <c r="J383" s="372" t="str">
        <f aca="false">IF(A383="N/A"," ",IF(ISERROR(P383),J371*Inputs!$F$23,P383))</f>
        <v> </v>
      </c>
      <c r="L383" s="374" t="str">
        <f aca="false">IF(A383="N/A"," ",VLOOKUP(A383,PeakPowerCurves,(IF('Pricing Inputs'!$AT$3=2,3,IF('Pricing Inputs'!$AT$3=1,2,4))),FALSE()))</f>
        <v> </v>
      </c>
      <c r="M383" s="374" t="str">
        <f aca="false">IF(A383="N/A"," ",VLOOKUP(A383,SatSunPeakPwr,(IF('Pricing Inputs'!$AT$3=2,3,IF('Pricing Inputs'!$AT$3=1,2,4))),FALSE()))</f>
        <v> </v>
      </c>
      <c r="N383" s="374" t="str">
        <f aca="false">IF(A383="N/A"," ",VLOOKUP(A383,SatSunPeakPwr,(IF('Pricing Inputs'!$AT$3=2,7,IF('Pricing Inputs'!$AT$3=1,6,8))),FALSE()))</f>
        <v> </v>
      </c>
      <c r="O383" s="375" t="str">
        <f aca="false">IF(A383="N/A"," ",(VLOOKUP(A383,OPPowerPrices,(IF('Pricing Inputs'!$AT$3=2,7,IF('Pricing Inputs'!$AT$3=1,6,8))),FALSE())))</f>
        <v> </v>
      </c>
      <c r="P383" s="376" t="str">
        <f aca="false">IF(A383="N/A"," ",(VLOOKUP(A383,GasCurves,15,FALSE())))</f>
        <v> </v>
      </c>
    </row>
    <row r="384" customFormat="false" ht="12.75" hidden="false" customHeight="false" outlineLevel="0" collapsed="false">
      <c r="A384" s="368" t="str">
        <f aca="false">Calculations!A351</f>
        <v>N/A</v>
      </c>
      <c r="B384" s="369" t="str">
        <f aca="false">IF(A384="N/A"," ",IF(ISERROR(L384),B372*Inputs!$F$19,L384))</f>
        <v> </v>
      </c>
      <c r="C384" s="370" t="str">
        <f aca="false">IF(A384="N/A"," ",(IF(AND(MONTH(A384)&gt;=6,MONTH(A384)&lt;=8,OR($K$37="REGION 2",$K$37="REGION 2A",$K$37="REGION 2B",$K$37="REGION 3",$K$37="REGION 3A",$K$37="REGION 3B",$K$37="REGION 4",$K$37="REGION 4B",$K$37="REGION 4C",$K$37="REGION 5",$K$37="REGION 5A")),((0.059228/(B384/100))-(0.4980013/(SQRT(B384/100)))+2.137988),HLOOKUP(MONTH(A384),ScalarTable,28))))</f>
        <v> </v>
      </c>
      <c r="D384" s="371" t="str">
        <f aca="false">IF(A384="N/A"," ",C384*B384)</f>
        <v> </v>
      </c>
      <c r="E384" s="369" t="str">
        <f aca="false">IF(A384="N/A"," ",IF(ISERROR(M384),E372*Inputs!$F$19,M384))</f>
        <v> </v>
      </c>
      <c r="F384" s="371" t="str">
        <f aca="false">IF(A384="N/A"," ",E384*C384)</f>
        <v> </v>
      </c>
      <c r="G384" s="369" t="str">
        <f aca="false">IF(A384="N/A"," ",IF(ISERROR(N384),G372*Inputs!$F$19,N384))</f>
        <v> </v>
      </c>
      <c r="H384" s="371" t="str">
        <f aca="false">IF(A384="N/A"," ",G384*C384)</f>
        <v> </v>
      </c>
      <c r="I384" s="371" t="str">
        <f aca="false">IF(A384="N/A"," ",IF(ISERROR(O384),I372*Inputs!$F$19,O384))</f>
        <v> </v>
      </c>
      <c r="J384" s="372" t="str">
        <f aca="false">IF(A384="N/A"," ",IF(ISERROR(P384),J372*Inputs!$F$23,P384))</f>
        <v> </v>
      </c>
      <c r="L384" s="374" t="str">
        <f aca="false">IF(A384="N/A"," ",VLOOKUP(A384,PeakPowerCurves,(IF('Pricing Inputs'!$AT$3=2,3,IF('Pricing Inputs'!$AT$3=1,2,4))),FALSE()))</f>
        <v> </v>
      </c>
      <c r="M384" s="374" t="str">
        <f aca="false">IF(A384="N/A"," ",VLOOKUP(A384,SatSunPeakPwr,(IF('Pricing Inputs'!$AT$3=2,3,IF('Pricing Inputs'!$AT$3=1,2,4))),FALSE()))</f>
        <v> </v>
      </c>
      <c r="N384" s="374" t="str">
        <f aca="false">IF(A384="N/A"," ",VLOOKUP(A384,SatSunPeakPwr,(IF('Pricing Inputs'!$AT$3=2,7,IF('Pricing Inputs'!$AT$3=1,6,8))),FALSE()))</f>
        <v> </v>
      </c>
      <c r="O384" s="375" t="str">
        <f aca="false">IF(A384="N/A"," ",(VLOOKUP(A384,OPPowerPrices,(IF('Pricing Inputs'!$AT$3=2,7,IF('Pricing Inputs'!$AT$3=1,6,8))),FALSE())))</f>
        <v> </v>
      </c>
      <c r="P384" s="376" t="str">
        <f aca="false">IF(A384="N/A"," ",(VLOOKUP(A384,GasCurves,15,FALSE())))</f>
        <v> </v>
      </c>
    </row>
    <row r="385" customFormat="false" ht="12.75" hidden="false" customHeight="false" outlineLevel="0" collapsed="false">
      <c r="A385" s="368" t="str">
        <f aca="false">Calculations!A352</f>
        <v>N/A</v>
      </c>
      <c r="B385" s="369" t="str">
        <f aca="false">IF(A385="N/A"," ",IF(ISERROR(L385),B373*Inputs!$F$19,L385))</f>
        <v> </v>
      </c>
      <c r="C385" s="370" t="str">
        <f aca="false">IF(A385="N/A"," ",(IF(AND(MONTH(A385)&gt;=6,MONTH(A385)&lt;=8,OR($K$37="REGION 2",$K$37="REGION 2A",$K$37="REGION 2B",$K$37="REGION 3",$K$37="REGION 3A",$K$37="REGION 3B",$K$37="REGION 4",$K$37="REGION 4B",$K$37="REGION 4C",$K$37="REGION 5",$K$37="REGION 5A")),((0.059228/(B385/100))-(0.4980013/(SQRT(B385/100)))+2.137988),HLOOKUP(MONTH(A385),ScalarTable,28))))</f>
        <v> </v>
      </c>
      <c r="D385" s="371" t="str">
        <f aca="false">IF(A385="N/A"," ",C385*B385)</f>
        <v> </v>
      </c>
      <c r="E385" s="369" t="str">
        <f aca="false">IF(A385="N/A"," ",IF(ISERROR(M385),E373*Inputs!$F$19,M385))</f>
        <v> </v>
      </c>
      <c r="F385" s="371" t="str">
        <f aca="false">IF(A385="N/A"," ",E385*C385)</f>
        <v> </v>
      </c>
      <c r="G385" s="369" t="str">
        <f aca="false">IF(A385="N/A"," ",IF(ISERROR(N385),G373*Inputs!$F$19,N385))</f>
        <v> </v>
      </c>
      <c r="H385" s="371" t="str">
        <f aca="false">IF(A385="N/A"," ",G385*C385)</f>
        <v> </v>
      </c>
      <c r="I385" s="371" t="str">
        <f aca="false">IF(A385="N/A"," ",IF(ISERROR(O385),I373*Inputs!$F$19,O385))</f>
        <v> </v>
      </c>
      <c r="J385" s="372" t="str">
        <f aca="false">IF(A385="N/A"," ",IF(ISERROR(P385),J373*Inputs!$F$23,P385))</f>
        <v> </v>
      </c>
      <c r="L385" s="374" t="str">
        <f aca="false">IF(A385="N/A"," ",VLOOKUP(A385,PeakPowerCurves,(IF('Pricing Inputs'!$AT$3=2,3,IF('Pricing Inputs'!$AT$3=1,2,4))),FALSE()))</f>
        <v> </v>
      </c>
      <c r="M385" s="374" t="str">
        <f aca="false">IF(A385="N/A"," ",VLOOKUP(A385,SatSunPeakPwr,(IF('Pricing Inputs'!$AT$3=2,3,IF('Pricing Inputs'!$AT$3=1,2,4))),FALSE()))</f>
        <v> </v>
      </c>
      <c r="N385" s="374" t="str">
        <f aca="false">IF(A385="N/A"," ",VLOOKUP(A385,SatSunPeakPwr,(IF('Pricing Inputs'!$AT$3=2,7,IF('Pricing Inputs'!$AT$3=1,6,8))),FALSE()))</f>
        <v> </v>
      </c>
      <c r="O385" s="375" t="str">
        <f aca="false">IF(A385="N/A"," ",(VLOOKUP(A385,OPPowerPrices,(IF('Pricing Inputs'!$AT$3=2,7,IF('Pricing Inputs'!$AT$3=1,6,8))),FALSE())))</f>
        <v> </v>
      </c>
      <c r="P385" s="376" t="str">
        <f aca="false">IF(A385="N/A"," ",(VLOOKUP(A385,GasCurves,15,FALSE())))</f>
        <v> </v>
      </c>
    </row>
    <row r="386" customFormat="false" ht="12.75" hidden="false" customHeight="false" outlineLevel="0" collapsed="false">
      <c r="A386" s="368" t="str">
        <f aca="false">Calculations!A353</f>
        <v>N/A</v>
      </c>
      <c r="B386" s="369" t="str">
        <f aca="false">IF(A386="N/A"," ",IF(ISERROR(L386),B374*Inputs!$F$19,L386))</f>
        <v> </v>
      </c>
      <c r="C386" s="370" t="str">
        <f aca="false">IF(A386="N/A"," ",(IF(AND(MONTH(A386)&gt;=6,MONTH(A386)&lt;=8,OR($K$37="REGION 2",$K$37="REGION 2A",$K$37="REGION 2B",$K$37="REGION 3",$K$37="REGION 3A",$K$37="REGION 3B",$K$37="REGION 4",$K$37="REGION 4B",$K$37="REGION 4C",$K$37="REGION 5",$K$37="REGION 5A")),((0.059228/(B386/100))-(0.4980013/(SQRT(B386/100)))+2.137988),HLOOKUP(MONTH(A386),ScalarTable,28))))</f>
        <v> </v>
      </c>
      <c r="D386" s="371" t="str">
        <f aca="false">IF(A386="N/A"," ",C386*B386)</f>
        <v> </v>
      </c>
      <c r="E386" s="369" t="str">
        <f aca="false">IF(A386="N/A"," ",IF(ISERROR(M386),E374*Inputs!$F$19,M386))</f>
        <v> </v>
      </c>
      <c r="F386" s="371" t="str">
        <f aca="false">IF(A386="N/A"," ",E386*C386)</f>
        <v> </v>
      </c>
      <c r="G386" s="369" t="str">
        <f aca="false">IF(A386="N/A"," ",IF(ISERROR(N386),G374*Inputs!$F$19,N386))</f>
        <v> </v>
      </c>
      <c r="H386" s="371" t="str">
        <f aca="false">IF(A386="N/A"," ",G386*C386)</f>
        <v> </v>
      </c>
      <c r="I386" s="371" t="str">
        <f aca="false">IF(A386="N/A"," ",IF(ISERROR(O386),I374*Inputs!$F$19,O386))</f>
        <v> </v>
      </c>
      <c r="J386" s="372" t="str">
        <f aca="false">IF(A386="N/A"," ",IF(ISERROR(P386),J374*Inputs!$F$23,P386))</f>
        <v> </v>
      </c>
      <c r="L386" s="374" t="str">
        <f aca="false">IF(A386="N/A"," ",VLOOKUP(A386,PeakPowerCurves,(IF('Pricing Inputs'!$AT$3=2,3,IF('Pricing Inputs'!$AT$3=1,2,4))),FALSE()))</f>
        <v> </v>
      </c>
      <c r="M386" s="374" t="str">
        <f aca="false">IF(A386="N/A"," ",VLOOKUP(A386,SatSunPeakPwr,(IF('Pricing Inputs'!$AT$3=2,3,IF('Pricing Inputs'!$AT$3=1,2,4))),FALSE()))</f>
        <v> </v>
      </c>
      <c r="N386" s="374" t="str">
        <f aca="false">IF(A386="N/A"," ",VLOOKUP(A386,SatSunPeakPwr,(IF('Pricing Inputs'!$AT$3=2,7,IF('Pricing Inputs'!$AT$3=1,6,8))),FALSE()))</f>
        <v> </v>
      </c>
      <c r="O386" s="375" t="str">
        <f aca="false">IF(A386="N/A"," ",(VLOOKUP(A386,OPPowerPrices,(IF('Pricing Inputs'!$AT$3=2,7,IF('Pricing Inputs'!$AT$3=1,6,8))),FALSE())))</f>
        <v> </v>
      </c>
      <c r="P386" s="376" t="str">
        <f aca="false">IF(A386="N/A"," ",(VLOOKUP(A386,GasCurves,15,FALSE())))</f>
        <v> </v>
      </c>
    </row>
    <row r="387" customFormat="false" ht="12.75" hidden="false" customHeight="false" outlineLevel="0" collapsed="false">
      <c r="A387" s="368" t="str">
        <f aca="false">Calculations!A354</f>
        <v>N/A</v>
      </c>
      <c r="B387" s="369" t="str">
        <f aca="false">IF(A387="N/A"," ",IF(ISERROR(L387),B375*Inputs!$F$19,L387))</f>
        <v> </v>
      </c>
      <c r="C387" s="370" t="str">
        <f aca="false">IF(A387="N/A"," ",(IF(AND(MONTH(A387)&gt;=6,MONTH(A387)&lt;=8,OR($K$37="REGION 2",$K$37="REGION 2A",$K$37="REGION 2B",$K$37="REGION 3",$K$37="REGION 3A",$K$37="REGION 3B",$K$37="REGION 4",$K$37="REGION 4B",$K$37="REGION 4C",$K$37="REGION 5",$K$37="REGION 5A")),((0.059228/(B387/100))-(0.4980013/(SQRT(B387/100)))+2.137988),HLOOKUP(MONTH(A387),ScalarTable,28))))</f>
        <v> </v>
      </c>
      <c r="D387" s="371" t="str">
        <f aca="false">IF(A387="N/A"," ",C387*B387)</f>
        <v> </v>
      </c>
      <c r="E387" s="369" t="str">
        <f aca="false">IF(A387="N/A"," ",IF(ISERROR(M387),E375*Inputs!$F$19,M387))</f>
        <v> </v>
      </c>
      <c r="F387" s="371" t="str">
        <f aca="false">IF(A387="N/A"," ",E387*C387)</f>
        <v> </v>
      </c>
      <c r="G387" s="369" t="str">
        <f aca="false">IF(A387="N/A"," ",IF(ISERROR(N387),G375*Inputs!$F$19,N387))</f>
        <v> </v>
      </c>
      <c r="H387" s="371" t="str">
        <f aca="false">IF(A387="N/A"," ",G387*C387)</f>
        <v> </v>
      </c>
      <c r="I387" s="371" t="str">
        <f aca="false">IF(A387="N/A"," ",IF(ISERROR(O387),I375*Inputs!$F$19,O387))</f>
        <v> </v>
      </c>
      <c r="J387" s="372" t="str">
        <f aca="false">IF(A387="N/A"," ",IF(ISERROR(P387),J375*Inputs!$F$23,P387))</f>
        <v> </v>
      </c>
      <c r="L387" s="374" t="str">
        <f aca="false">IF(A387="N/A"," ",VLOOKUP(A387,PeakPowerCurves,(IF('Pricing Inputs'!$AT$3=2,3,IF('Pricing Inputs'!$AT$3=1,2,4))),FALSE()))</f>
        <v> </v>
      </c>
      <c r="M387" s="374" t="str">
        <f aca="false">IF(A387="N/A"," ",VLOOKUP(A387,SatSunPeakPwr,(IF('Pricing Inputs'!$AT$3=2,3,IF('Pricing Inputs'!$AT$3=1,2,4))),FALSE()))</f>
        <v> </v>
      </c>
      <c r="N387" s="374" t="str">
        <f aca="false">IF(A387="N/A"," ",VLOOKUP(A387,SatSunPeakPwr,(IF('Pricing Inputs'!$AT$3=2,7,IF('Pricing Inputs'!$AT$3=1,6,8))),FALSE()))</f>
        <v> </v>
      </c>
      <c r="O387" s="375" t="str">
        <f aca="false">IF(A387="N/A"," ",(VLOOKUP(A387,OPPowerPrices,(IF('Pricing Inputs'!$AT$3=2,7,IF('Pricing Inputs'!$AT$3=1,6,8))),FALSE())))</f>
        <v> </v>
      </c>
      <c r="P387" s="376" t="str">
        <f aca="false">IF(A387="N/A"," ",(VLOOKUP(A387,GasCurves,15,FALSE())))</f>
        <v> </v>
      </c>
    </row>
    <row r="388" customFormat="false" ht="12.75" hidden="false" customHeight="false" outlineLevel="0" collapsed="false">
      <c r="A388" s="368" t="str">
        <f aca="false">Calculations!A355</f>
        <v>N/A</v>
      </c>
      <c r="B388" s="369" t="str">
        <f aca="false">IF(A388="N/A"," ",IF(ISERROR(L388),B376*Inputs!$F$19,L388))</f>
        <v> </v>
      </c>
      <c r="C388" s="370" t="str">
        <f aca="false">IF(A388="N/A"," ",(IF(AND(MONTH(A388)&gt;=6,MONTH(A388)&lt;=8,OR($K$37="REGION 2",$K$37="REGION 2A",$K$37="REGION 2B",$K$37="REGION 3",$K$37="REGION 3A",$K$37="REGION 3B",$K$37="REGION 4",$K$37="REGION 4B",$K$37="REGION 4C",$K$37="REGION 5",$K$37="REGION 5A")),((0.059228/(B388/100))-(0.4980013/(SQRT(B388/100)))+2.137988),HLOOKUP(MONTH(A388),ScalarTable,28))))</f>
        <v> </v>
      </c>
      <c r="D388" s="371" t="str">
        <f aca="false">IF(A388="N/A"," ",C388*B388)</f>
        <v> </v>
      </c>
      <c r="E388" s="369" t="str">
        <f aca="false">IF(A388="N/A"," ",IF(ISERROR(M388),E376*Inputs!$F$19,M388))</f>
        <v> </v>
      </c>
      <c r="F388" s="371" t="str">
        <f aca="false">IF(A388="N/A"," ",E388*C388)</f>
        <v> </v>
      </c>
      <c r="G388" s="369" t="str">
        <f aca="false">IF(A388="N/A"," ",IF(ISERROR(N388),G376*Inputs!$F$19,N388))</f>
        <v> </v>
      </c>
      <c r="H388" s="371" t="str">
        <f aca="false">IF(A388="N/A"," ",G388*C388)</f>
        <v> </v>
      </c>
      <c r="I388" s="371" t="str">
        <f aca="false">IF(A388="N/A"," ",IF(ISERROR(O388),I376*Inputs!$F$19,O388))</f>
        <v> </v>
      </c>
      <c r="J388" s="372" t="str">
        <f aca="false">IF(A388="N/A"," ",IF(ISERROR(P388),J376*Inputs!$F$23,P388))</f>
        <v> </v>
      </c>
      <c r="L388" s="374" t="str">
        <f aca="false">IF(A388="N/A"," ",VLOOKUP(A388,PeakPowerCurves,(IF('Pricing Inputs'!$AT$3=2,3,IF('Pricing Inputs'!$AT$3=1,2,4))),FALSE()))</f>
        <v> </v>
      </c>
      <c r="M388" s="374" t="str">
        <f aca="false">IF(A388="N/A"," ",VLOOKUP(A388,SatSunPeakPwr,(IF('Pricing Inputs'!$AT$3=2,3,IF('Pricing Inputs'!$AT$3=1,2,4))),FALSE()))</f>
        <v> </v>
      </c>
      <c r="N388" s="374" t="str">
        <f aca="false">IF(A388="N/A"," ",VLOOKUP(A388,SatSunPeakPwr,(IF('Pricing Inputs'!$AT$3=2,7,IF('Pricing Inputs'!$AT$3=1,6,8))),FALSE()))</f>
        <v> </v>
      </c>
      <c r="O388" s="375" t="str">
        <f aca="false">IF(A388="N/A"," ",(VLOOKUP(A388,OPPowerPrices,(IF('Pricing Inputs'!$AT$3=2,7,IF('Pricing Inputs'!$AT$3=1,6,8))),FALSE())))</f>
        <v> </v>
      </c>
      <c r="P388" s="376" t="str">
        <f aca="false">IF(A388="N/A"," ",(VLOOKUP(A388,GasCurves,15,FALSE())))</f>
        <v> </v>
      </c>
    </row>
    <row r="389" customFormat="false" ht="12.75" hidden="false" customHeight="false" outlineLevel="0" collapsed="false">
      <c r="A389" s="368" t="str">
        <f aca="false">Calculations!A356</f>
        <v>N/A</v>
      </c>
      <c r="B389" s="369" t="str">
        <f aca="false">IF(A389="N/A"," ",IF(ISERROR(L389),B377*Inputs!$F$19,L389))</f>
        <v> </v>
      </c>
      <c r="C389" s="370" t="str">
        <f aca="false">IF(A389="N/A"," ",(IF(AND(MONTH(A389)&gt;=6,MONTH(A389)&lt;=8,OR($K$37="REGION 2",$K$37="REGION 2A",$K$37="REGION 2B",$K$37="REGION 3",$K$37="REGION 3A",$K$37="REGION 3B",$K$37="REGION 4",$K$37="REGION 4B",$K$37="REGION 4C",$K$37="REGION 5",$K$37="REGION 5A")),((0.059228/(B389/100))-(0.4980013/(SQRT(B389/100)))+2.137988),HLOOKUP(MONTH(A389),ScalarTable,28))))</f>
        <v> </v>
      </c>
      <c r="D389" s="371" t="str">
        <f aca="false">IF(A389="N/A"," ",C389*B389)</f>
        <v> </v>
      </c>
      <c r="E389" s="369" t="str">
        <f aca="false">IF(A389="N/A"," ",IF(ISERROR(M389),E377*Inputs!$F$19,M389))</f>
        <v> </v>
      </c>
      <c r="F389" s="371" t="str">
        <f aca="false">IF(A389="N/A"," ",E389*C389)</f>
        <v> </v>
      </c>
      <c r="G389" s="369" t="str">
        <f aca="false">IF(A389="N/A"," ",IF(ISERROR(N389),G377*Inputs!$F$19,N389))</f>
        <v> </v>
      </c>
      <c r="H389" s="371" t="str">
        <f aca="false">IF(A389="N/A"," ",G389*C389)</f>
        <v> </v>
      </c>
      <c r="I389" s="371" t="str">
        <f aca="false">IF(A389="N/A"," ",IF(ISERROR(O389),I377*Inputs!$F$19,O389))</f>
        <v> </v>
      </c>
      <c r="J389" s="372" t="str">
        <f aca="false">IF(A389="N/A"," ",IF(ISERROR(P389),J377*Inputs!$F$23,P389))</f>
        <v> </v>
      </c>
      <c r="L389" s="374" t="str">
        <f aca="false">IF(A389="N/A"," ",VLOOKUP(A389,PeakPowerCurves,(IF('Pricing Inputs'!$AT$3=2,3,IF('Pricing Inputs'!$AT$3=1,2,4))),FALSE()))</f>
        <v> </v>
      </c>
      <c r="M389" s="374" t="str">
        <f aca="false">IF(A389="N/A"," ",VLOOKUP(A389,SatSunPeakPwr,(IF('Pricing Inputs'!$AT$3=2,3,IF('Pricing Inputs'!$AT$3=1,2,4))),FALSE()))</f>
        <v> </v>
      </c>
      <c r="N389" s="374" t="str">
        <f aca="false">IF(A389="N/A"," ",VLOOKUP(A389,SatSunPeakPwr,(IF('Pricing Inputs'!$AT$3=2,7,IF('Pricing Inputs'!$AT$3=1,6,8))),FALSE()))</f>
        <v> </v>
      </c>
      <c r="O389" s="375" t="str">
        <f aca="false">IF(A389="N/A"," ",(VLOOKUP(A389,OPPowerPrices,(IF('Pricing Inputs'!$AT$3=2,7,IF('Pricing Inputs'!$AT$3=1,6,8))),FALSE())))</f>
        <v> </v>
      </c>
      <c r="P389" s="376" t="str">
        <f aca="false">IF(A389="N/A"," ",(VLOOKUP(A389,GasCurves,15,FALSE())))</f>
        <v> </v>
      </c>
    </row>
    <row r="390" customFormat="false" ht="12.75" hidden="false" customHeight="false" outlineLevel="0" collapsed="false">
      <c r="A390" s="368" t="str">
        <f aca="false">Calculations!A357</f>
        <v>N/A</v>
      </c>
      <c r="B390" s="369" t="str">
        <f aca="false">IF(A390="N/A"," ",IF(ISERROR(L390),B378*Inputs!$F$19,L390))</f>
        <v> </v>
      </c>
      <c r="C390" s="370" t="str">
        <f aca="false">IF(A390="N/A"," ",(IF(AND(MONTH(A390)&gt;=6,MONTH(A390)&lt;=8,OR($K$37="REGION 2",$K$37="REGION 2A",$K$37="REGION 2B",$K$37="REGION 3",$K$37="REGION 3A",$K$37="REGION 3B",$K$37="REGION 4",$K$37="REGION 4B",$K$37="REGION 4C",$K$37="REGION 5",$K$37="REGION 5A")),((0.059228/(B390/100))-(0.4980013/(SQRT(B390/100)))+2.137988),HLOOKUP(MONTH(A390),ScalarTable,28))))</f>
        <v> </v>
      </c>
      <c r="D390" s="371" t="str">
        <f aca="false">IF(A390="N/A"," ",C390*B390)</f>
        <v> </v>
      </c>
      <c r="E390" s="369" t="str">
        <f aca="false">IF(A390="N/A"," ",IF(ISERROR(M390),E378*Inputs!$F$19,M390))</f>
        <v> </v>
      </c>
      <c r="F390" s="371" t="str">
        <f aca="false">IF(A390="N/A"," ",E390*C390)</f>
        <v> </v>
      </c>
      <c r="G390" s="369" t="str">
        <f aca="false">IF(A390="N/A"," ",IF(ISERROR(N390),G378*Inputs!$F$19,N390))</f>
        <v> </v>
      </c>
      <c r="H390" s="371" t="str">
        <f aca="false">IF(A390="N/A"," ",G390*C390)</f>
        <v> </v>
      </c>
      <c r="I390" s="371" t="str">
        <f aca="false">IF(A390="N/A"," ",IF(ISERROR(O390),I378*Inputs!$F$19,O390))</f>
        <v> </v>
      </c>
      <c r="J390" s="372" t="str">
        <f aca="false">IF(A390="N/A"," ",IF(ISERROR(P390),J378*Inputs!$F$23,P390))</f>
        <v> </v>
      </c>
      <c r="L390" s="374" t="str">
        <f aca="false">IF(A390="N/A"," ",VLOOKUP(A390,PeakPowerCurves,(IF('Pricing Inputs'!$AT$3=2,3,IF('Pricing Inputs'!$AT$3=1,2,4))),FALSE()))</f>
        <v> </v>
      </c>
      <c r="M390" s="374" t="str">
        <f aca="false">IF(A390="N/A"," ",VLOOKUP(A390,SatSunPeakPwr,(IF('Pricing Inputs'!$AT$3=2,3,IF('Pricing Inputs'!$AT$3=1,2,4))),FALSE()))</f>
        <v> </v>
      </c>
      <c r="N390" s="374" t="str">
        <f aca="false">IF(A390="N/A"," ",VLOOKUP(A390,SatSunPeakPwr,(IF('Pricing Inputs'!$AT$3=2,7,IF('Pricing Inputs'!$AT$3=1,6,8))),FALSE()))</f>
        <v> </v>
      </c>
      <c r="O390" s="375" t="str">
        <f aca="false">IF(A390="N/A"," ",(VLOOKUP(A390,OPPowerPrices,(IF('Pricing Inputs'!$AT$3=2,7,IF('Pricing Inputs'!$AT$3=1,6,8))),FALSE())))</f>
        <v> </v>
      </c>
      <c r="P390" s="376" t="str">
        <f aca="false">IF(A390="N/A"," ",(VLOOKUP(A390,GasCurves,15,FALSE())))</f>
        <v> </v>
      </c>
    </row>
    <row r="391" customFormat="false" ht="12.75" hidden="false" customHeight="false" outlineLevel="0" collapsed="false">
      <c r="A391" s="368" t="str">
        <f aca="false">Calculations!A358</f>
        <v>N/A</v>
      </c>
      <c r="B391" s="369" t="str">
        <f aca="false">IF(A391="N/A"," ",IF(ISERROR(L391),B379*Inputs!$F$19,L391))</f>
        <v> </v>
      </c>
      <c r="C391" s="370" t="str">
        <f aca="false">IF(A391="N/A"," ",(IF(AND(MONTH(A391)&gt;=6,MONTH(A391)&lt;=8,OR($K$37="REGION 2",$K$37="REGION 2A",$K$37="REGION 2B",$K$37="REGION 3",$K$37="REGION 3A",$K$37="REGION 3B",$K$37="REGION 4",$K$37="REGION 4B",$K$37="REGION 4C",$K$37="REGION 5",$K$37="REGION 5A")),((0.059228/(B391/100))-(0.4980013/(SQRT(B391/100)))+2.137988),HLOOKUP(MONTH(A391),ScalarTable,28))))</f>
        <v> </v>
      </c>
      <c r="D391" s="371" t="str">
        <f aca="false">IF(A391="N/A"," ",C391*B391)</f>
        <v> </v>
      </c>
      <c r="E391" s="369" t="str">
        <f aca="false">IF(A391="N/A"," ",IF(ISERROR(M391),E379*Inputs!$F$19,M391))</f>
        <v> </v>
      </c>
      <c r="F391" s="371" t="str">
        <f aca="false">IF(A391="N/A"," ",E391*C391)</f>
        <v> </v>
      </c>
      <c r="G391" s="369" t="str">
        <f aca="false">IF(A391="N/A"," ",IF(ISERROR(N391),G379*Inputs!$F$19,N391))</f>
        <v> </v>
      </c>
      <c r="H391" s="371" t="str">
        <f aca="false">IF(A391="N/A"," ",G391*C391)</f>
        <v> </v>
      </c>
      <c r="I391" s="371" t="str">
        <f aca="false">IF(A391="N/A"," ",IF(ISERROR(O391),I379*Inputs!$F$19,O391))</f>
        <v> </v>
      </c>
      <c r="J391" s="372" t="str">
        <f aca="false">IF(A391="N/A"," ",IF(ISERROR(P391),J379*Inputs!$F$23,P391))</f>
        <v> </v>
      </c>
      <c r="L391" s="374" t="str">
        <f aca="false">IF(A391="N/A"," ",VLOOKUP(A391,PeakPowerCurves,(IF('Pricing Inputs'!$AT$3=2,3,IF('Pricing Inputs'!$AT$3=1,2,4))),FALSE()))</f>
        <v> </v>
      </c>
      <c r="M391" s="374" t="str">
        <f aca="false">IF(A391="N/A"," ",VLOOKUP(A391,SatSunPeakPwr,(IF('Pricing Inputs'!$AT$3=2,3,IF('Pricing Inputs'!$AT$3=1,2,4))),FALSE()))</f>
        <v> </v>
      </c>
      <c r="N391" s="374" t="str">
        <f aca="false">IF(A391="N/A"," ",VLOOKUP(A391,SatSunPeakPwr,(IF('Pricing Inputs'!$AT$3=2,7,IF('Pricing Inputs'!$AT$3=1,6,8))),FALSE()))</f>
        <v> </v>
      </c>
      <c r="O391" s="375" t="str">
        <f aca="false">IF(A391="N/A"," ",(VLOOKUP(A391,OPPowerPrices,(IF('Pricing Inputs'!$AT$3=2,7,IF('Pricing Inputs'!$AT$3=1,6,8))),FALSE())))</f>
        <v> </v>
      </c>
      <c r="P391" s="376" t="str">
        <f aca="false">IF(A391="N/A"," ",(VLOOKUP(A391,GasCurves,15,FALSE())))</f>
        <v> </v>
      </c>
    </row>
    <row r="392" customFormat="false" ht="12.75" hidden="false" customHeight="false" outlineLevel="0" collapsed="false">
      <c r="A392" s="368" t="str">
        <f aca="false">Calculations!A359</f>
        <v>N/A</v>
      </c>
      <c r="B392" s="369" t="str">
        <f aca="false">IF(A392="N/A"," ",IF(ISERROR(L392),B380*Inputs!$F$19,L392))</f>
        <v> </v>
      </c>
      <c r="C392" s="370" t="str">
        <f aca="false">IF(A392="N/A"," ",(IF(AND(MONTH(A392)&gt;=6,MONTH(A392)&lt;=8,OR($K$37="REGION 2",$K$37="REGION 2A",$K$37="REGION 2B",$K$37="REGION 3",$K$37="REGION 3A",$K$37="REGION 3B",$K$37="REGION 4",$K$37="REGION 4B",$K$37="REGION 4C",$K$37="REGION 5",$K$37="REGION 5A")),((0.059228/(B392/100))-(0.4980013/(SQRT(B392/100)))+2.137988),HLOOKUP(MONTH(A392),ScalarTable,28))))</f>
        <v> </v>
      </c>
      <c r="D392" s="371" t="str">
        <f aca="false">IF(A392="N/A"," ",C392*B392)</f>
        <v> </v>
      </c>
      <c r="E392" s="369" t="str">
        <f aca="false">IF(A392="N/A"," ",IF(ISERROR(M392),E380*Inputs!$F$19,M392))</f>
        <v> </v>
      </c>
      <c r="F392" s="371" t="str">
        <f aca="false">IF(A392="N/A"," ",E392*C392)</f>
        <v> </v>
      </c>
      <c r="G392" s="369" t="str">
        <f aca="false">IF(A392="N/A"," ",IF(ISERROR(N392),G380*Inputs!$F$19,N392))</f>
        <v> </v>
      </c>
      <c r="H392" s="371" t="str">
        <f aca="false">IF(A392="N/A"," ",G392*C392)</f>
        <v> </v>
      </c>
      <c r="I392" s="371" t="str">
        <f aca="false">IF(A392="N/A"," ",IF(ISERROR(O392),I380*Inputs!$F$19,O392))</f>
        <v> </v>
      </c>
      <c r="J392" s="372" t="str">
        <f aca="false">IF(A392="N/A"," ",IF(ISERROR(P392),J380*Inputs!$F$23,P392))</f>
        <v> </v>
      </c>
      <c r="L392" s="374" t="str">
        <f aca="false">IF(A392="N/A"," ",VLOOKUP(A392,PeakPowerCurves,(IF('Pricing Inputs'!$AT$3=2,3,IF('Pricing Inputs'!$AT$3=1,2,4))),FALSE()))</f>
        <v> </v>
      </c>
      <c r="M392" s="374" t="str">
        <f aca="false">IF(A392="N/A"," ",VLOOKUP(A392,SatSunPeakPwr,(IF('Pricing Inputs'!$AT$3=2,3,IF('Pricing Inputs'!$AT$3=1,2,4))),FALSE()))</f>
        <v> </v>
      </c>
      <c r="N392" s="374" t="str">
        <f aca="false">IF(A392="N/A"," ",VLOOKUP(A392,SatSunPeakPwr,(IF('Pricing Inputs'!$AT$3=2,7,IF('Pricing Inputs'!$AT$3=1,6,8))),FALSE()))</f>
        <v> </v>
      </c>
      <c r="O392" s="375" t="str">
        <f aca="false">IF(A392="N/A"," ",(VLOOKUP(A392,OPPowerPrices,(IF('Pricing Inputs'!$AT$3=2,7,IF('Pricing Inputs'!$AT$3=1,6,8))),FALSE())))</f>
        <v> </v>
      </c>
      <c r="P392" s="376" t="str">
        <f aca="false">IF(A392="N/A"," ",(VLOOKUP(A392,GasCurves,15,FALSE())))</f>
        <v> </v>
      </c>
    </row>
    <row r="393" customFormat="false" ht="12.75" hidden="false" customHeight="false" outlineLevel="0" collapsed="false">
      <c r="A393" s="368" t="str">
        <f aca="false">Calculations!A360</f>
        <v>N/A</v>
      </c>
      <c r="B393" s="369" t="str">
        <f aca="false">IF(A393="N/A"," ",IF(ISERROR(L393),B381*Inputs!$F$19,L393))</f>
        <v> </v>
      </c>
      <c r="C393" s="370" t="str">
        <f aca="false">IF(A393="N/A"," ",(IF(AND(MONTH(A393)&gt;=6,MONTH(A393)&lt;=8,OR($K$37="REGION 2",$K$37="REGION 2A",$K$37="REGION 2B",$K$37="REGION 3",$K$37="REGION 3A",$K$37="REGION 3B",$K$37="REGION 4",$K$37="REGION 4B",$K$37="REGION 4C",$K$37="REGION 5",$K$37="REGION 5A")),((0.059228/(B393/100))-(0.4980013/(SQRT(B393/100)))+2.137988),HLOOKUP(MONTH(A393),ScalarTable,28))))</f>
        <v> </v>
      </c>
      <c r="D393" s="371" t="str">
        <f aca="false">IF(A393="N/A"," ",C393*B393)</f>
        <v> </v>
      </c>
      <c r="E393" s="369" t="str">
        <f aca="false">IF(A393="N/A"," ",IF(ISERROR(M393),E381*Inputs!$F$19,M393))</f>
        <v> </v>
      </c>
      <c r="F393" s="371" t="str">
        <f aca="false">IF(A393="N/A"," ",E393*C393)</f>
        <v> </v>
      </c>
      <c r="G393" s="369" t="str">
        <f aca="false">IF(A393="N/A"," ",IF(ISERROR(N393),G381*Inputs!$F$19,N393))</f>
        <v> </v>
      </c>
      <c r="H393" s="371" t="str">
        <f aca="false">IF(A393="N/A"," ",G393*C393)</f>
        <v> </v>
      </c>
      <c r="I393" s="371" t="str">
        <f aca="false">IF(A393="N/A"," ",IF(ISERROR(O393),I381*Inputs!$F$19,O393))</f>
        <v> </v>
      </c>
      <c r="J393" s="372" t="str">
        <f aca="false">IF(A393="N/A"," ",IF(ISERROR(P393),J381*Inputs!$F$23,P393))</f>
        <v> </v>
      </c>
      <c r="L393" s="374" t="str">
        <f aca="false">IF(A393="N/A"," ",VLOOKUP(A393,PeakPowerCurves,(IF('Pricing Inputs'!$AT$3=2,3,IF('Pricing Inputs'!$AT$3=1,2,4))),FALSE()))</f>
        <v> </v>
      </c>
      <c r="M393" s="374" t="str">
        <f aca="false">IF(A393="N/A"," ",VLOOKUP(A393,SatSunPeakPwr,(IF('Pricing Inputs'!$AT$3=2,3,IF('Pricing Inputs'!$AT$3=1,2,4))),FALSE()))</f>
        <v> </v>
      </c>
      <c r="N393" s="374" t="str">
        <f aca="false">IF(A393="N/A"," ",VLOOKUP(A393,SatSunPeakPwr,(IF('Pricing Inputs'!$AT$3=2,7,IF('Pricing Inputs'!$AT$3=1,6,8))),FALSE()))</f>
        <v> </v>
      </c>
      <c r="O393" s="375" t="str">
        <f aca="false">IF(A393="N/A"," ",(VLOOKUP(A393,OPPowerPrices,(IF('Pricing Inputs'!$AT$3=2,7,IF('Pricing Inputs'!$AT$3=1,6,8))),FALSE())))</f>
        <v> </v>
      </c>
      <c r="P393" s="376" t="str">
        <f aca="false">IF(A393="N/A"," ",(VLOOKUP(A393,GasCurves,15,FALSE())))</f>
        <v> </v>
      </c>
    </row>
    <row r="394" customFormat="false" ht="12.75" hidden="false" customHeight="false" outlineLevel="0" collapsed="false">
      <c r="A394" s="368" t="str">
        <f aca="false">Calculations!A361</f>
        <v>N/A</v>
      </c>
      <c r="B394" s="369" t="str">
        <f aca="false">IF(A394="N/A"," ",IF(ISERROR(L394),B382*Inputs!$F$19,L394))</f>
        <v> </v>
      </c>
      <c r="C394" s="370" t="str">
        <f aca="false">IF(A394="N/A"," ",(IF(AND(MONTH(A394)&gt;=6,MONTH(A394)&lt;=8,OR($K$37="REGION 2",$K$37="REGION 2A",$K$37="REGION 2B",$K$37="REGION 3",$K$37="REGION 3A",$K$37="REGION 3B",$K$37="REGION 4",$K$37="REGION 4B",$K$37="REGION 4C",$K$37="REGION 5",$K$37="REGION 5A")),((0.059228/(B394/100))-(0.4980013/(SQRT(B394/100)))+2.137988),HLOOKUP(MONTH(A394),ScalarTable,28))))</f>
        <v> </v>
      </c>
      <c r="D394" s="371" t="str">
        <f aca="false">IF(A394="N/A"," ",C394*B394)</f>
        <v> </v>
      </c>
      <c r="E394" s="369" t="str">
        <f aca="false">IF(A394="N/A"," ",IF(ISERROR(M394),E382*Inputs!$F$19,M394))</f>
        <v> </v>
      </c>
      <c r="F394" s="371" t="str">
        <f aca="false">IF(A394="N/A"," ",E394*C394)</f>
        <v> </v>
      </c>
      <c r="G394" s="369" t="str">
        <f aca="false">IF(A394="N/A"," ",IF(ISERROR(N394),G382*Inputs!$F$19,N394))</f>
        <v> </v>
      </c>
      <c r="H394" s="371" t="str">
        <f aca="false">IF(A394="N/A"," ",G394*C394)</f>
        <v> </v>
      </c>
      <c r="I394" s="371" t="str">
        <f aca="false">IF(A394="N/A"," ",IF(ISERROR(O394),I382*Inputs!$F$19,O394))</f>
        <v> </v>
      </c>
      <c r="J394" s="372" t="str">
        <f aca="false">IF(A394="N/A"," ",IF(ISERROR(P394),J382*Inputs!$F$23,P394))</f>
        <v> </v>
      </c>
      <c r="L394" s="374" t="str">
        <f aca="false">IF(A394="N/A"," ",VLOOKUP(A394,PeakPowerCurves,(IF('Pricing Inputs'!$AT$3=2,3,IF('Pricing Inputs'!$AT$3=1,2,4))),FALSE()))</f>
        <v> </v>
      </c>
      <c r="M394" s="374" t="str">
        <f aca="false">IF(A394="N/A"," ",VLOOKUP(A394,SatSunPeakPwr,(IF('Pricing Inputs'!$AT$3=2,3,IF('Pricing Inputs'!$AT$3=1,2,4))),FALSE()))</f>
        <v> </v>
      </c>
      <c r="N394" s="374" t="str">
        <f aca="false">IF(A394="N/A"," ",VLOOKUP(A394,SatSunPeakPwr,(IF('Pricing Inputs'!$AT$3=2,7,IF('Pricing Inputs'!$AT$3=1,6,8))),FALSE()))</f>
        <v> </v>
      </c>
      <c r="O394" s="375" t="str">
        <f aca="false">IF(A394="N/A"," ",(VLOOKUP(A394,OPPowerPrices,(IF('Pricing Inputs'!$AT$3=2,7,IF('Pricing Inputs'!$AT$3=1,6,8))),FALSE())))</f>
        <v> </v>
      </c>
      <c r="P394" s="376" t="str">
        <f aca="false">IF(A394="N/A"," ",(VLOOKUP(A394,GasCurves,15,FALSE())))</f>
        <v> </v>
      </c>
    </row>
    <row r="395" customFormat="false" ht="12.75" hidden="false" customHeight="false" outlineLevel="0" collapsed="false">
      <c r="A395" s="368" t="str">
        <f aca="false">Calculations!A362</f>
        <v>N/A</v>
      </c>
      <c r="B395" s="369" t="str">
        <f aca="false">IF(A395="N/A"," ",IF(ISERROR(L395),B383*Inputs!$F$19,L395))</f>
        <v> </v>
      </c>
      <c r="C395" s="370" t="str">
        <f aca="false">IF(A395="N/A"," ",(IF(AND(MONTH(A395)&gt;=6,MONTH(A395)&lt;=8,OR($K$37="REGION 2",$K$37="REGION 2A",$K$37="REGION 2B",$K$37="REGION 3",$K$37="REGION 3A",$K$37="REGION 3B",$K$37="REGION 4",$K$37="REGION 4B",$K$37="REGION 4C",$K$37="REGION 5",$K$37="REGION 5A")),((0.059228/(B395/100))-(0.4980013/(SQRT(B395/100)))+2.137988),HLOOKUP(MONTH(A395),ScalarTable,28))))</f>
        <v> </v>
      </c>
      <c r="D395" s="371" t="str">
        <f aca="false">IF(A395="N/A"," ",C395*B395)</f>
        <v> </v>
      </c>
      <c r="E395" s="369" t="str">
        <f aca="false">IF(A395="N/A"," ",IF(ISERROR(M395),E383*Inputs!$F$19,M395))</f>
        <v> </v>
      </c>
      <c r="F395" s="371" t="str">
        <f aca="false">IF(A395="N/A"," ",E395*C395)</f>
        <v> </v>
      </c>
      <c r="G395" s="369" t="str">
        <f aca="false">IF(A395="N/A"," ",IF(ISERROR(N395),G383*Inputs!$F$19,N395))</f>
        <v> </v>
      </c>
      <c r="H395" s="371" t="str">
        <f aca="false">IF(A395="N/A"," ",G395*C395)</f>
        <v> </v>
      </c>
      <c r="I395" s="371" t="str">
        <f aca="false">IF(A395="N/A"," ",IF(ISERROR(O395),I383*Inputs!$F$19,O395))</f>
        <v> </v>
      </c>
      <c r="J395" s="372" t="str">
        <f aca="false">IF(A395="N/A"," ",IF(ISERROR(P395),J383*Inputs!$F$23,P395))</f>
        <v> </v>
      </c>
      <c r="L395" s="374" t="str">
        <f aca="false">IF(A395="N/A"," ",VLOOKUP(A395,PeakPowerCurves,(IF('Pricing Inputs'!$AT$3=2,3,IF('Pricing Inputs'!$AT$3=1,2,4))),FALSE()))</f>
        <v> </v>
      </c>
      <c r="M395" s="374" t="str">
        <f aca="false">IF(A395="N/A"," ",VLOOKUP(A395,SatSunPeakPwr,(IF('Pricing Inputs'!$AT$3=2,3,IF('Pricing Inputs'!$AT$3=1,2,4))),FALSE()))</f>
        <v> </v>
      </c>
      <c r="N395" s="374" t="str">
        <f aca="false">IF(A395="N/A"," ",VLOOKUP(A395,SatSunPeakPwr,(IF('Pricing Inputs'!$AT$3=2,7,IF('Pricing Inputs'!$AT$3=1,6,8))),FALSE()))</f>
        <v> </v>
      </c>
      <c r="O395" s="375" t="str">
        <f aca="false">IF(A395="N/A"," ",(VLOOKUP(A395,OPPowerPrices,(IF('Pricing Inputs'!$AT$3=2,7,IF('Pricing Inputs'!$AT$3=1,6,8))),FALSE())))</f>
        <v> </v>
      </c>
      <c r="P395" s="376" t="str">
        <f aca="false">IF(A395="N/A"," ",(VLOOKUP(A395,GasCurves,15,FALSE())))</f>
        <v> </v>
      </c>
    </row>
    <row r="396" customFormat="false" ht="12.75" hidden="false" customHeight="false" outlineLevel="0" collapsed="false">
      <c r="A396" s="368" t="str">
        <f aca="false">Calculations!A363</f>
        <v>N/A</v>
      </c>
      <c r="B396" s="369" t="str">
        <f aca="false">IF(A396="N/A"," ",IF(ISERROR(L396),B384*Inputs!$F$19,L396))</f>
        <v> </v>
      </c>
      <c r="C396" s="370" t="str">
        <f aca="false">IF(A396="N/A"," ",(IF(AND(MONTH(A396)&gt;=6,MONTH(A396)&lt;=8,OR($K$37="REGION 2",$K$37="REGION 2A",$K$37="REGION 2B",$K$37="REGION 3",$K$37="REGION 3A",$K$37="REGION 3B",$K$37="REGION 4",$K$37="REGION 4B",$K$37="REGION 4C",$K$37="REGION 5",$K$37="REGION 5A")),((0.059228/(B396/100))-(0.4980013/(SQRT(B396/100)))+2.137988),HLOOKUP(MONTH(A396),ScalarTable,28))))</f>
        <v> </v>
      </c>
      <c r="D396" s="371" t="str">
        <f aca="false">IF(A396="N/A"," ",C396*B396)</f>
        <v> </v>
      </c>
      <c r="E396" s="369" t="str">
        <f aca="false">IF(A396="N/A"," ",IF(ISERROR(M396),E384*Inputs!$F$19,M396))</f>
        <v> </v>
      </c>
      <c r="F396" s="371" t="str">
        <f aca="false">IF(A396="N/A"," ",E396*C396)</f>
        <v> </v>
      </c>
      <c r="G396" s="369" t="str">
        <f aca="false">IF(A396="N/A"," ",IF(ISERROR(N396),G384*Inputs!$F$19,N396))</f>
        <v> </v>
      </c>
      <c r="H396" s="371" t="str">
        <f aca="false">IF(A396="N/A"," ",G396*C396)</f>
        <v> </v>
      </c>
      <c r="I396" s="371" t="str">
        <f aca="false">IF(A396="N/A"," ",IF(ISERROR(O396),I384*Inputs!$F$19,O396))</f>
        <v> </v>
      </c>
      <c r="J396" s="372" t="str">
        <f aca="false">IF(A396="N/A"," ",IF(ISERROR(P396),J384*Inputs!$F$23,P396))</f>
        <v> </v>
      </c>
      <c r="L396" s="374" t="str">
        <f aca="false">IF(A396="N/A"," ",VLOOKUP(A396,PeakPowerCurves,(IF('Pricing Inputs'!$AT$3=2,3,IF('Pricing Inputs'!$AT$3=1,2,4))),FALSE()))</f>
        <v> </v>
      </c>
      <c r="M396" s="374" t="str">
        <f aca="false">IF(A396="N/A"," ",VLOOKUP(A396,SatSunPeakPwr,(IF('Pricing Inputs'!$AT$3=2,3,IF('Pricing Inputs'!$AT$3=1,2,4))),FALSE()))</f>
        <v> </v>
      </c>
      <c r="N396" s="374" t="str">
        <f aca="false">IF(A396="N/A"," ",VLOOKUP(A396,SatSunPeakPwr,(IF('Pricing Inputs'!$AT$3=2,7,IF('Pricing Inputs'!$AT$3=1,6,8))),FALSE()))</f>
        <v> </v>
      </c>
      <c r="O396" s="375" t="str">
        <f aca="false">IF(A396="N/A"," ",(VLOOKUP(A396,OPPowerPrices,(IF('Pricing Inputs'!$AT$3=2,7,IF('Pricing Inputs'!$AT$3=1,6,8))),FALSE())))</f>
        <v> </v>
      </c>
      <c r="P396" s="376" t="str">
        <f aca="false">IF(A396="N/A"," ",(VLOOKUP(A396,GasCurves,15,FALSE())))</f>
        <v> </v>
      </c>
    </row>
    <row r="397" customFormat="false" ht="12.75" hidden="false" customHeight="false" outlineLevel="0" collapsed="false">
      <c r="A397" s="368" t="str">
        <f aca="false">Calculations!A364</f>
        <v>N/A</v>
      </c>
      <c r="B397" s="369" t="str">
        <f aca="false">IF(A397="N/A"," ",IF(ISERROR(L397),B385*Inputs!$F$19,L397))</f>
        <v> </v>
      </c>
      <c r="C397" s="370" t="str">
        <f aca="false">IF(A397="N/A"," ",(IF(AND(MONTH(A397)&gt;=6,MONTH(A397)&lt;=8,OR($K$37="REGION 2",$K$37="REGION 2A",$K$37="REGION 2B",$K$37="REGION 3",$K$37="REGION 3A",$K$37="REGION 3B",$K$37="REGION 4",$K$37="REGION 4B",$K$37="REGION 4C",$K$37="REGION 5",$K$37="REGION 5A")),((0.059228/(B397/100))-(0.4980013/(SQRT(B397/100)))+2.137988),HLOOKUP(MONTH(A397),ScalarTable,28))))</f>
        <v> </v>
      </c>
      <c r="D397" s="371" t="str">
        <f aca="false">IF(A397="N/A"," ",C397*B397)</f>
        <v> </v>
      </c>
      <c r="E397" s="369" t="str">
        <f aca="false">IF(A397="N/A"," ",IF(ISERROR(M397),E385*Inputs!$F$19,M397))</f>
        <v> </v>
      </c>
      <c r="F397" s="371" t="str">
        <f aca="false">IF(A397="N/A"," ",E397*C397)</f>
        <v> </v>
      </c>
      <c r="G397" s="369" t="str">
        <f aca="false">IF(A397="N/A"," ",IF(ISERROR(N397),G385*Inputs!$F$19,N397))</f>
        <v> </v>
      </c>
      <c r="H397" s="371" t="str">
        <f aca="false">IF(A397="N/A"," ",G397*C397)</f>
        <v> </v>
      </c>
      <c r="I397" s="371" t="str">
        <f aca="false">IF(A397="N/A"," ",IF(ISERROR(O397),I385*Inputs!$F$19,O397))</f>
        <v> </v>
      </c>
      <c r="J397" s="372" t="str">
        <f aca="false">IF(A397="N/A"," ",IF(ISERROR(P397),J385*Inputs!$F$23,P397))</f>
        <v> </v>
      </c>
      <c r="L397" s="374" t="str">
        <f aca="false">IF(A397="N/A"," ",VLOOKUP(A397,PeakPowerCurves,(IF('Pricing Inputs'!$AT$3=2,3,IF('Pricing Inputs'!$AT$3=1,2,4))),FALSE()))</f>
        <v> </v>
      </c>
      <c r="M397" s="374" t="str">
        <f aca="false">IF(A397="N/A"," ",VLOOKUP(A397,SatSunPeakPwr,(IF('Pricing Inputs'!$AT$3=2,3,IF('Pricing Inputs'!$AT$3=1,2,4))),FALSE()))</f>
        <v> </v>
      </c>
      <c r="N397" s="374" t="str">
        <f aca="false">IF(A397="N/A"," ",VLOOKUP(A397,SatSunPeakPwr,(IF('Pricing Inputs'!$AT$3=2,7,IF('Pricing Inputs'!$AT$3=1,6,8))),FALSE()))</f>
        <v> </v>
      </c>
      <c r="O397" s="375" t="str">
        <f aca="false">IF(A397="N/A"," ",(VLOOKUP(A397,OPPowerPrices,(IF('Pricing Inputs'!$AT$3=2,7,IF('Pricing Inputs'!$AT$3=1,6,8))),FALSE())))</f>
        <v> </v>
      </c>
      <c r="P397" s="376" t="str">
        <f aca="false">IF(A397="N/A"," ",(VLOOKUP(A397,GasCurves,15,FALSE())))</f>
        <v> </v>
      </c>
    </row>
    <row r="398" customFormat="false" ht="12.75" hidden="false" customHeight="false" outlineLevel="0" collapsed="false">
      <c r="A398" s="368" t="str">
        <f aca="false">Calculations!A365</f>
        <v>N/A</v>
      </c>
      <c r="B398" s="369" t="str">
        <f aca="false">IF(A398="N/A"," ",IF(ISERROR(L398),B386*Inputs!$F$19,L398))</f>
        <v> </v>
      </c>
      <c r="C398" s="370" t="str">
        <f aca="false">IF(A398="N/A"," ",(IF(AND(MONTH(A398)&gt;=6,MONTH(A398)&lt;=8,OR($K$37="REGION 2",$K$37="REGION 2A",$K$37="REGION 2B",$K$37="REGION 3",$K$37="REGION 3A",$K$37="REGION 3B",$K$37="REGION 4",$K$37="REGION 4B",$K$37="REGION 4C",$K$37="REGION 5",$K$37="REGION 5A")),((0.059228/(B398/100))-(0.4980013/(SQRT(B398/100)))+2.137988),HLOOKUP(MONTH(A398),ScalarTable,28))))</f>
        <v> </v>
      </c>
      <c r="D398" s="371" t="str">
        <f aca="false">IF(A398="N/A"," ",C398*B398)</f>
        <v> </v>
      </c>
      <c r="E398" s="369" t="str">
        <f aca="false">IF(A398="N/A"," ",IF(ISERROR(M398),E386*Inputs!$F$19,M398))</f>
        <v> </v>
      </c>
      <c r="F398" s="371" t="str">
        <f aca="false">IF(A398="N/A"," ",E398*C398)</f>
        <v> </v>
      </c>
      <c r="G398" s="369" t="str">
        <f aca="false">IF(A398="N/A"," ",IF(ISERROR(N398),G386*Inputs!$F$19,N398))</f>
        <v> </v>
      </c>
      <c r="H398" s="371" t="str">
        <f aca="false">IF(A398="N/A"," ",G398*C398)</f>
        <v> </v>
      </c>
      <c r="I398" s="371" t="str">
        <f aca="false">IF(A398="N/A"," ",IF(ISERROR(O398),I386*Inputs!$F$19,O398))</f>
        <v> </v>
      </c>
      <c r="J398" s="372" t="str">
        <f aca="false">IF(A398="N/A"," ",IF(ISERROR(P398),J386*Inputs!$F$23,P398))</f>
        <v> </v>
      </c>
      <c r="L398" s="374" t="str">
        <f aca="false">IF(A398="N/A"," ",VLOOKUP(A398,PeakPowerCurves,(IF('Pricing Inputs'!$AT$3=2,3,IF('Pricing Inputs'!$AT$3=1,2,4))),FALSE()))</f>
        <v> </v>
      </c>
      <c r="M398" s="374" t="str">
        <f aca="false">IF(A398="N/A"," ",VLOOKUP(A398,SatSunPeakPwr,(IF('Pricing Inputs'!$AT$3=2,3,IF('Pricing Inputs'!$AT$3=1,2,4))),FALSE()))</f>
        <v> </v>
      </c>
      <c r="N398" s="374" t="str">
        <f aca="false">IF(A398="N/A"," ",VLOOKUP(A398,SatSunPeakPwr,(IF('Pricing Inputs'!$AT$3=2,7,IF('Pricing Inputs'!$AT$3=1,6,8))),FALSE()))</f>
        <v> </v>
      </c>
      <c r="O398" s="375" t="str">
        <f aca="false">IF(A398="N/A"," ",(VLOOKUP(A398,OPPowerPrices,(IF('Pricing Inputs'!$AT$3=2,7,IF('Pricing Inputs'!$AT$3=1,6,8))),FALSE())))</f>
        <v> </v>
      </c>
      <c r="P398" s="376" t="str">
        <f aca="false">IF(A398="N/A"," ",(VLOOKUP(A398,GasCurves,15,FALSE())))</f>
        <v> </v>
      </c>
    </row>
    <row r="399" customFormat="false" ht="12.75" hidden="false" customHeight="false" outlineLevel="0" collapsed="false">
      <c r="A399" s="368" t="str">
        <f aca="false">Calculations!A366</f>
        <v>N/A</v>
      </c>
      <c r="B399" s="369" t="str">
        <f aca="false">IF(A399="N/A"," ",IF(ISERROR(L399),B387*Inputs!$F$19,L399))</f>
        <v> </v>
      </c>
      <c r="C399" s="370" t="str">
        <f aca="false">IF(A399="N/A"," ",(IF(AND(MONTH(A399)&gt;=6,MONTH(A399)&lt;=8,OR($K$37="REGION 2",$K$37="REGION 2A",$K$37="REGION 2B",$K$37="REGION 3",$K$37="REGION 3A",$K$37="REGION 3B",$K$37="REGION 4",$K$37="REGION 4B",$K$37="REGION 4C",$K$37="REGION 5",$K$37="REGION 5A")),((0.059228/(B399/100))-(0.4980013/(SQRT(B399/100)))+2.137988),HLOOKUP(MONTH(A399),ScalarTable,28))))</f>
        <v> </v>
      </c>
      <c r="D399" s="371" t="str">
        <f aca="false">IF(A399="N/A"," ",C399*B399)</f>
        <v> </v>
      </c>
      <c r="E399" s="369" t="str">
        <f aca="false">IF(A399="N/A"," ",IF(ISERROR(M399),E387*Inputs!$F$19,M399))</f>
        <v> </v>
      </c>
      <c r="F399" s="371" t="str">
        <f aca="false">IF(A399="N/A"," ",E399*C399)</f>
        <v> </v>
      </c>
      <c r="G399" s="369" t="str">
        <f aca="false">IF(A399="N/A"," ",IF(ISERROR(N399),G387*Inputs!$F$19,N399))</f>
        <v> </v>
      </c>
      <c r="H399" s="371" t="str">
        <f aca="false">IF(A399="N/A"," ",G399*C399)</f>
        <v> </v>
      </c>
      <c r="I399" s="371" t="str">
        <f aca="false">IF(A399="N/A"," ",IF(ISERROR(O399),I387*Inputs!$F$19,O399))</f>
        <v> </v>
      </c>
      <c r="J399" s="372" t="str">
        <f aca="false">IF(A399="N/A"," ",IF(ISERROR(P399),J387*Inputs!$F$23,P399))</f>
        <v> </v>
      </c>
      <c r="L399" s="374" t="str">
        <f aca="false">IF(A399="N/A"," ",VLOOKUP(A399,PeakPowerCurves,(IF('Pricing Inputs'!$AT$3=2,3,IF('Pricing Inputs'!$AT$3=1,2,4))),FALSE()))</f>
        <v> </v>
      </c>
      <c r="M399" s="374" t="str">
        <f aca="false">IF(A399="N/A"," ",VLOOKUP(A399,SatSunPeakPwr,(IF('Pricing Inputs'!$AT$3=2,3,IF('Pricing Inputs'!$AT$3=1,2,4))),FALSE()))</f>
        <v> </v>
      </c>
      <c r="N399" s="374" t="str">
        <f aca="false">IF(A399="N/A"," ",VLOOKUP(A399,SatSunPeakPwr,(IF('Pricing Inputs'!$AT$3=2,7,IF('Pricing Inputs'!$AT$3=1,6,8))),FALSE()))</f>
        <v> </v>
      </c>
      <c r="O399" s="375" t="str">
        <f aca="false">IF(A399="N/A"," ",(VLOOKUP(A399,OPPowerPrices,(IF('Pricing Inputs'!$AT$3=2,7,IF('Pricing Inputs'!$AT$3=1,6,8))),FALSE())))</f>
        <v> </v>
      </c>
      <c r="P399" s="376" t="str">
        <f aca="false">IF(A399="N/A"," ",(VLOOKUP(A399,GasCurves,15,FALSE())))</f>
        <v> </v>
      </c>
    </row>
    <row r="400" customFormat="false" ht="12.75" hidden="false" customHeight="false" outlineLevel="0" collapsed="false">
      <c r="A400" s="368" t="str">
        <f aca="false">Calculations!A367</f>
        <v>N/A</v>
      </c>
      <c r="B400" s="369" t="str">
        <f aca="false">IF(A400="N/A"," ",IF(ISERROR(L400),B388*Inputs!$F$19,L400))</f>
        <v> </v>
      </c>
      <c r="C400" s="370" t="str">
        <f aca="false">IF(A400="N/A"," ",(IF(AND(MONTH(A400)&gt;=6,MONTH(A400)&lt;=8,OR($K$37="REGION 2",$K$37="REGION 2A",$K$37="REGION 2B",$K$37="REGION 3",$K$37="REGION 3A",$K$37="REGION 3B",$K$37="REGION 4",$K$37="REGION 4B",$K$37="REGION 4C",$K$37="REGION 5",$K$37="REGION 5A")),((0.059228/(B400/100))-(0.4980013/(SQRT(B400/100)))+2.137988),HLOOKUP(MONTH(A400),ScalarTable,28))))</f>
        <v> </v>
      </c>
      <c r="D400" s="371" t="str">
        <f aca="false">IF(A400="N/A"," ",C400*B400)</f>
        <v> </v>
      </c>
      <c r="E400" s="369" t="str">
        <f aca="false">IF(A400="N/A"," ",IF(ISERROR(M400),E388*Inputs!$F$19,M400))</f>
        <v> </v>
      </c>
      <c r="F400" s="371" t="str">
        <f aca="false">IF(A400="N/A"," ",E400*C400)</f>
        <v> </v>
      </c>
      <c r="G400" s="369" t="str">
        <f aca="false">IF(A400="N/A"," ",IF(ISERROR(N400),G388*Inputs!$F$19,N400))</f>
        <v> </v>
      </c>
      <c r="H400" s="371" t="str">
        <f aca="false">IF(A400="N/A"," ",G400*C400)</f>
        <v> </v>
      </c>
      <c r="I400" s="371" t="str">
        <f aca="false">IF(A400="N/A"," ",IF(ISERROR(O400),I388*Inputs!$F$19,O400))</f>
        <v> </v>
      </c>
      <c r="J400" s="372" t="str">
        <f aca="false">IF(A400="N/A"," ",IF(ISERROR(P400),J388*Inputs!$F$23,P400))</f>
        <v> </v>
      </c>
      <c r="L400" s="374" t="str">
        <f aca="false">IF(A400="N/A"," ",VLOOKUP(A400,PeakPowerCurves,(IF('Pricing Inputs'!$AT$3=2,3,IF('Pricing Inputs'!$AT$3=1,2,4))),FALSE()))</f>
        <v> </v>
      </c>
      <c r="M400" s="374" t="str">
        <f aca="false">IF(A400="N/A"," ",VLOOKUP(A400,SatSunPeakPwr,(IF('Pricing Inputs'!$AT$3=2,3,IF('Pricing Inputs'!$AT$3=1,2,4))),FALSE()))</f>
        <v> </v>
      </c>
      <c r="N400" s="374" t="str">
        <f aca="false">IF(A400="N/A"," ",VLOOKUP(A400,SatSunPeakPwr,(IF('Pricing Inputs'!$AT$3=2,7,IF('Pricing Inputs'!$AT$3=1,6,8))),FALSE()))</f>
        <v> </v>
      </c>
      <c r="O400" s="375" t="str">
        <f aca="false">IF(A400="N/A"," ",(VLOOKUP(A400,OPPowerPrices,(IF('Pricing Inputs'!$AT$3=2,7,IF('Pricing Inputs'!$AT$3=1,6,8))),FALSE())))</f>
        <v> </v>
      </c>
      <c r="P400" s="376" t="str">
        <f aca="false">IF(A400="N/A"," ",(VLOOKUP(A400,GasCurves,15,FALSE())))</f>
        <v> </v>
      </c>
    </row>
    <row r="401" customFormat="false" ht="12.75" hidden="false" customHeight="false" outlineLevel="0" collapsed="false">
      <c r="A401" s="368" t="str">
        <f aca="false">Calculations!A368</f>
        <v>N/A</v>
      </c>
      <c r="B401" s="369" t="str">
        <f aca="false">IF(A401="N/A"," ",IF(ISERROR(L401),B389*Inputs!$F$19,L401))</f>
        <v> </v>
      </c>
      <c r="C401" s="370" t="str">
        <f aca="false">IF(A401="N/A"," ",(IF(AND(MONTH(A401)&gt;=6,MONTH(A401)&lt;=8,OR($K$37="REGION 2",$K$37="REGION 2A",$K$37="REGION 2B",$K$37="REGION 3",$K$37="REGION 3A",$K$37="REGION 3B",$K$37="REGION 4",$K$37="REGION 4B",$K$37="REGION 4C",$K$37="REGION 5",$K$37="REGION 5A")),((0.059228/(B401/100))-(0.4980013/(SQRT(B401/100)))+2.137988),HLOOKUP(MONTH(A401),ScalarTable,28))))</f>
        <v> </v>
      </c>
      <c r="D401" s="371" t="str">
        <f aca="false">IF(A401="N/A"," ",C401*B401)</f>
        <v> </v>
      </c>
      <c r="E401" s="369" t="str">
        <f aca="false">IF(A401="N/A"," ",IF(ISERROR(M401),E389*Inputs!$F$19,M401))</f>
        <v> </v>
      </c>
      <c r="F401" s="371" t="str">
        <f aca="false">IF(A401="N/A"," ",E401*C401)</f>
        <v> </v>
      </c>
      <c r="G401" s="369" t="str">
        <f aca="false">IF(A401="N/A"," ",IF(ISERROR(N401),G389*Inputs!$F$19,N401))</f>
        <v> </v>
      </c>
      <c r="H401" s="371" t="str">
        <f aca="false">IF(A401="N/A"," ",G401*C401)</f>
        <v> </v>
      </c>
      <c r="I401" s="371" t="str">
        <f aca="false">IF(A401="N/A"," ",IF(ISERROR(O401),I389*Inputs!$F$19,O401))</f>
        <v> </v>
      </c>
      <c r="J401" s="372" t="str">
        <f aca="false">IF(A401="N/A"," ",IF(ISERROR(P401),J389*Inputs!$F$23,P401))</f>
        <v> </v>
      </c>
      <c r="L401" s="374" t="str">
        <f aca="false">IF(A401="N/A"," ",VLOOKUP(A401,PeakPowerCurves,(IF('Pricing Inputs'!$AT$3=2,3,IF('Pricing Inputs'!$AT$3=1,2,4))),FALSE()))</f>
        <v> </v>
      </c>
      <c r="M401" s="374" t="str">
        <f aca="false">IF(A401="N/A"," ",VLOOKUP(A401,SatSunPeakPwr,(IF('Pricing Inputs'!$AT$3=2,3,IF('Pricing Inputs'!$AT$3=1,2,4))),FALSE()))</f>
        <v> </v>
      </c>
      <c r="N401" s="374" t="str">
        <f aca="false">IF(A401="N/A"," ",VLOOKUP(A401,SatSunPeakPwr,(IF('Pricing Inputs'!$AT$3=2,7,IF('Pricing Inputs'!$AT$3=1,6,8))),FALSE()))</f>
        <v> </v>
      </c>
      <c r="O401" s="375" t="str">
        <f aca="false">IF(A401="N/A"," ",(VLOOKUP(A401,OPPowerPrices,(IF('Pricing Inputs'!$AT$3=2,7,IF('Pricing Inputs'!$AT$3=1,6,8))),FALSE())))</f>
        <v> </v>
      </c>
      <c r="P401" s="376" t="str">
        <f aca="false">IF(A401="N/A"," ",(VLOOKUP(A401,GasCurves,15,FALSE())))</f>
        <v> </v>
      </c>
    </row>
    <row r="402" customFormat="false" ht="12.75" hidden="false" customHeight="false" outlineLevel="0" collapsed="false">
      <c r="A402" s="368" t="str">
        <f aca="false">Calculations!A369</f>
        <v>N/A</v>
      </c>
      <c r="B402" s="369" t="str">
        <f aca="false">IF(A402="N/A"," ",IF(ISERROR(L402),B390*Inputs!$F$19,L402))</f>
        <v> </v>
      </c>
      <c r="C402" s="370" t="str">
        <f aca="false">IF(A402="N/A"," ",(IF(AND(MONTH(A402)&gt;=6,MONTH(A402)&lt;=8,OR($K$37="REGION 2",$K$37="REGION 2A",$K$37="REGION 2B",$K$37="REGION 3",$K$37="REGION 3A",$K$37="REGION 3B",$K$37="REGION 4",$K$37="REGION 4B",$K$37="REGION 4C",$K$37="REGION 5",$K$37="REGION 5A")),((0.059228/(B402/100))-(0.4980013/(SQRT(B402/100)))+2.137988),HLOOKUP(MONTH(A402),ScalarTable,28))))</f>
        <v> </v>
      </c>
      <c r="D402" s="371" t="str">
        <f aca="false">IF(A402="N/A"," ",C402*B402)</f>
        <v> </v>
      </c>
      <c r="E402" s="369" t="str">
        <f aca="false">IF(A402="N/A"," ",IF(ISERROR(M402),E390*Inputs!$F$19,M402))</f>
        <v> </v>
      </c>
      <c r="F402" s="371" t="str">
        <f aca="false">IF(A402="N/A"," ",E402*C402)</f>
        <v> </v>
      </c>
      <c r="G402" s="369" t="str">
        <f aca="false">IF(A402="N/A"," ",IF(ISERROR(N402),G390*Inputs!$F$19,N402))</f>
        <v> </v>
      </c>
      <c r="H402" s="371" t="str">
        <f aca="false">IF(A402="N/A"," ",G402*C402)</f>
        <v> </v>
      </c>
      <c r="I402" s="371" t="str">
        <f aca="false">IF(A402="N/A"," ",IF(ISERROR(O402),I390*Inputs!$F$19,O402))</f>
        <v> </v>
      </c>
      <c r="J402" s="372" t="str">
        <f aca="false">IF(A402="N/A"," ",IF(ISERROR(P402),J390*Inputs!$F$23,P402))</f>
        <v> </v>
      </c>
      <c r="L402" s="374" t="str">
        <f aca="false">IF(A402="N/A"," ",VLOOKUP(A402,PeakPowerCurves,(IF('Pricing Inputs'!$AT$3=2,3,IF('Pricing Inputs'!$AT$3=1,2,4))),FALSE()))</f>
        <v> </v>
      </c>
      <c r="M402" s="374" t="str">
        <f aca="false">IF(A402="N/A"," ",VLOOKUP(A402,SatSunPeakPwr,(IF('Pricing Inputs'!$AT$3=2,3,IF('Pricing Inputs'!$AT$3=1,2,4))),FALSE()))</f>
        <v> </v>
      </c>
      <c r="N402" s="374" t="str">
        <f aca="false">IF(A402="N/A"," ",VLOOKUP(A402,SatSunPeakPwr,(IF('Pricing Inputs'!$AT$3=2,7,IF('Pricing Inputs'!$AT$3=1,6,8))),FALSE()))</f>
        <v> </v>
      </c>
      <c r="O402" s="375" t="str">
        <f aca="false">IF(A402="N/A"," ",(VLOOKUP(A402,OPPowerPrices,(IF('Pricing Inputs'!$AT$3=2,7,IF('Pricing Inputs'!$AT$3=1,6,8))),FALSE())))</f>
        <v> </v>
      </c>
      <c r="P402" s="376" t="str">
        <f aca="false">IF(A402="N/A"," ",(VLOOKUP(A402,GasCurves,15,FALSE())))</f>
        <v> </v>
      </c>
    </row>
    <row r="403" customFormat="false" ht="12.75" hidden="false" customHeight="false" outlineLevel="0" collapsed="false">
      <c r="A403" s="368" t="str">
        <f aca="false">Calculations!A370</f>
        <v>N/A</v>
      </c>
      <c r="B403" s="369" t="str">
        <f aca="false">IF(A403="N/A"," ",IF(ISERROR(L403),B391*Inputs!$F$19,L403))</f>
        <v> </v>
      </c>
      <c r="C403" s="370" t="str">
        <f aca="false">IF(A403="N/A"," ",(IF(AND(MONTH(A403)&gt;=6,MONTH(A403)&lt;=8,OR($K$37="REGION 2",$K$37="REGION 2A",$K$37="REGION 2B",$K$37="REGION 3",$K$37="REGION 3A",$K$37="REGION 3B",$K$37="REGION 4",$K$37="REGION 4B",$K$37="REGION 4C",$K$37="REGION 5",$K$37="REGION 5A")),((0.059228/(B403/100))-(0.4980013/(SQRT(B403/100)))+2.137988),HLOOKUP(MONTH(A403),ScalarTable,28))))</f>
        <v> </v>
      </c>
      <c r="D403" s="371" t="str">
        <f aca="false">IF(A403="N/A"," ",C403*B403)</f>
        <v> </v>
      </c>
      <c r="E403" s="369" t="str">
        <f aca="false">IF(A403="N/A"," ",IF(ISERROR(M403),E391*Inputs!$F$19,M403))</f>
        <v> </v>
      </c>
      <c r="F403" s="371" t="str">
        <f aca="false">IF(A403="N/A"," ",E403*C403)</f>
        <v> </v>
      </c>
      <c r="G403" s="369" t="str">
        <f aca="false">IF(A403="N/A"," ",IF(ISERROR(N403),G391*Inputs!$F$19,N403))</f>
        <v> </v>
      </c>
      <c r="H403" s="371" t="str">
        <f aca="false">IF(A403="N/A"," ",G403*C403)</f>
        <v> </v>
      </c>
      <c r="I403" s="371" t="str">
        <f aca="false">IF(A403="N/A"," ",IF(ISERROR(O403),I391*Inputs!$F$19,O403))</f>
        <v> </v>
      </c>
      <c r="J403" s="372" t="str">
        <f aca="false">IF(A403="N/A"," ",IF(ISERROR(P403),J391*Inputs!$F$23,P403))</f>
        <v> </v>
      </c>
      <c r="L403" s="374" t="str">
        <f aca="false">IF(A403="N/A"," ",VLOOKUP(A403,PeakPowerCurves,(IF('Pricing Inputs'!$AT$3=2,3,IF('Pricing Inputs'!$AT$3=1,2,4))),FALSE()))</f>
        <v> </v>
      </c>
      <c r="M403" s="374" t="str">
        <f aca="false">IF(A403="N/A"," ",VLOOKUP(A403,SatSunPeakPwr,(IF('Pricing Inputs'!$AT$3=2,3,IF('Pricing Inputs'!$AT$3=1,2,4))),FALSE()))</f>
        <v> </v>
      </c>
      <c r="N403" s="374" t="str">
        <f aca="false">IF(A403="N/A"," ",VLOOKUP(A403,SatSunPeakPwr,(IF('Pricing Inputs'!$AT$3=2,7,IF('Pricing Inputs'!$AT$3=1,6,8))),FALSE()))</f>
        <v> </v>
      </c>
      <c r="O403" s="375" t="str">
        <f aca="false">IF(A403="N/A"," ",(VLOOKUP(A403,OPPowerPrices,(IF('Pricing Inputs'!$AT$3=2,7,IF('Pricing Inputs'!$AT$3=1,6,8))),FALSE())))</f>
        <v> </v>
      </c>
      <c r="P403" s="376" t="str">
        <f aca="false">IF(A403="N/A"," ",(VLOOKUP(A403,GasCurves,15,FALSE())))</f>
        <v> </v>
      </c>
    </row>
    <row r="404" customFormat="false" ht="12.75" hidden="false" customHeight="false" outlineLevel="0" collapsed="false">
      <c r="A404" s="368" t="str">
        <f aca="false">Calculations!A371</f>
        <v>N/A</v>
      </c>
      <c r="B404" s="369" t="str">
        <f aca="false">IF(A404="N/A"," ",IF(ISERROR(L404),B392*Inputs!$F$19,L404))</f>
        <v> </v>
      </c>
      <c r="C404" s="370" t="str">
        <f aca="false">IF(A404="N/A"," ",(IF(AND(MONTH(A404)&gt;=6,MONTH(A404)&lt;=8,OR($K$37="REGION 2",$K$37="REGION 2A",$K$37="REGION 2B",$K$37="REGION 3",$K$37="REGION 3A",$K$37="REGION 3B",$K$37="REGION 4",$K$37="REGION 4B",$K$37="REGION 4C",$K$37="REGION 5",$K$37="REGION 5A")),((0.059228/(B404/100))-(0.4980013/(SQRT(B404/100)))+2.137988),HLOOKUP(MONTH(A404),ScalarTable,28))))</f>
        <v> </v>
      </c>
      <c r="D404" s="371" t="str">
        <f aca="false">IF(A404="N/A"," ",C404*B404)</f>
        <v> </v>
      </c>
      <c r="E404" s="369" t="str">
        <f aca="false">IF(A404="N/A"," ",IF(ISERROR(M404),E392*Inputs!$F$19,M404))</f>
        <v> </v>
      </c>
      <c r="F404" s="371" t="str">
        <f aca="false">IF(A404="N/A"," ",E404*C404)</f>
        <v> </v>
      </c>
      <c r="G404" s="369" t="str">
        <f aca="false">IF(A404="N/A"," ",IF(ISERROR(N404),G392*Inputs!$F$19,N404))</f>
        <v> </v>
      </c>
      <c r="H404" s="371" t="str">
        <f aca="false">IF(A404="N/A"," ",G404*C404)</f>
        <v> </v>
      </c>
      <c r="I404" s="371" t="str">
        <f aca="false">IF(A404="N/A"," ",IF(ISERROR(O404),I392*Inputs!$F$19,O404))</f>
        <v> </v>
      </c>
      <c r="J404" s="372" t="str">
        <f aca="false">IF(A404="N/A"," ",IF(ISERROR(P404),J392*Inputs!$F$23,P404))</f>
        <v> </v>
      </c>
      <c r="L404" s="374" t="str">
        <f aca="false">IF(A404="N/A"," ",VLOOKUP(A404,PeakPowerCurves,(IF('Pricing Inputs'!$AT$3=2,3,IF('Pricing Inputs'!$AT$3=1,2,4))),FALSE()))</f>
        <v> </v>
      </c>
      <c r="M404" s="374" t="str">
        <f aca="false">IF(A404="N/A"," ",VLOOKUP(A404,SatSunPeakPwr,(IF('Pricing Inputs'!$AT$3=2,3,IF('Pricing Inputs'!$AT$3=1,2,4))),FALSE()))</f>
        <v> </v>
      </c>
      <c r="N404" s="374" t="str">
        <f aca="false">IF(A404="N/A"," ",VLOOKUP(A404,SatSunPeakPwr,(IF('Pricing Inputs'!$AT$3=2,7,IF('Pricing Inputs'!$AT$3=1,6,8))),FALSE()))</f>
        <v> </v>
      </c>
      <c r="O404" s="375" t="str">
        <f aca="false">IF(A404="N/A"," ",(VLOOKUP(A404,OPPowerPrices,(IF('Pricing Inputs'!$AT$3=2,7,IF('Pricing Inputs'!$AT$3=1,6,8))),FALSE())))</f>
        <v> </v>
      </c>
      <c r="P404" s="376" t="str">
        <f aca="false">IF(A404="N/A"," ",(VLOOKUP(A404,GasCurves,15,FALSE())))</f>
        <v> </v>
      </c>
    </row>
    <row r="405" customFormat="false" ht="12.75" hidden="false" customHeight="false" outlineLevel="0" collapsed="false">
      <c r="A405" s="368" t="str">
        <f aca="false">Calculations!A372</f>
        <v>N/A</v>
      </c>
      <c r="B405" s="369" t="str">
        <f aca="false">IF(A405="N/A"," ",IF(ISERROR(L405),B393*Inputs!$F$19,L405))</f>
        <v> </v>
      </c>
      <c r="C405" s="370" t="str">
        <f aca="false">IF(A405="N/A"," ",(IF(AND(MONTH(A405)&gt;=6,MONTH(A405)&lt;=8,OR($K$37="REGION 2",$K$37="REGION 2A",$K$37="REGION 2B",$K$37="REGION 3",$K$37="REGION 3A",$K$37="REGION 3B",$K$37="REGION 4",$K$37="REGION 4B",$K$37="REGION 4C",$K$37="REGION 5",$K$37="REGION 5A")),((0.059228/(B405/100))-(0.4980013/(SQRT(B405/100)))+2.137988),HLOOKUP(MONTH(A405),ScalarTable,28))))</f>
        <v> </v>
      </c>
      <c r="D405" s="371" t="str">
        <f aca="false">IF(A405="N/A"," ",C405*B405)</f>
        <v> </v>
      </c>
      <c r="E405" s="369" t="str">
        <f aca="false">IF(A405="N/A"," ",IF(ISERROR(M405),E393*Inputs!$F$19,M405))</f>
        <v> </v>
      </c>
      <c r="F405" s="371" t="str">
        <f aca="false">IF(A405="N/A"," ",E405*C405)</f>
        <v> </v>
      </c>
      <c r="G405" s="369" t="str">
        <f aca="false">IF(A405="N/A"," ",IF(ISERROR(N405),G393*Inputs!$F$19,N405))</f>
        <v> </v>
      </c>
      <c r="H405" s="371" t="str">
        <f aca="false">IF(A405="N/A"," ",G405*C405)</f>
        <v> </v>
      </c>
      <c r="I405" s="371" t="str">
        <f aca="false">IF(A405="N/A"," ",IF(ISERROR(O405),I393*Inputs!$F$19,O405))</f>
        <v> </v>
      </c>
      <c r="J405" s="372" t="str">
        <f aca="false">IF(A405="N/A"," ",IF(ISERROR(P405),J393*Inputs!$F$23,P405))</f>
        <v> </v>
      </c>
      <c r="L405" s="374" t="str">
        <f aca="false">IF(A405="N/A"," ",VLOOKUP(A405,PeakPowerCurves,(IF('Pricing Inputs'!$AT$3=2,3,IF('Pricing Inputs'!$AT$3=1,2,4))),FALSE()))</f>
        <v> </v>
      </c>
      <c r="M405" s="374" t="str">
        <f aca="false">IF(A405="N/A"," ",VLOOKUP(A405,SatSunPeakPwr,(IF('Pricing Inputs'!$AT$3=2,3,IF('Pricing Inputs'!$AT$3=1,2,4))),FALSE()))</f>
        <v> </v>
      </c>
      <c r="N405" s="374" t="str">
        <f aca="false">IF(A405="N/A"," ",VLOOKUP(A405,SatSunPeakPwr,(IF('Pricing Inputs'!$AT$3=2,7,IF('Pricing Inputs'!$AT$3=1,6,8))),FALSE()))</f>
        <v> </v>
      </c>
      <c r="O405" s="375" t="str">
        <f aca="false">IF(A405="N/A"," ",(VLOOKUP(A405,OPPowerPrices,(IF('Pricing Inputs'!$AT$3=2,7,IF('Pricing Inputs'!$AT$3=1,6,8))),FALSE())))</f>
        <v> </v>
      </c>
      <c r="P405" s="376" t="str">
        <f aca="false">IF(A405="N/A"," ",(VLOOKUP(A405,GasCurves,15,FALSE())))</f>
        <v> </v>
      </c>
    </row>
    <row r="406" customFormat="false" ht="12.75" hidden="false" customHeight="false" outlineLevel="0" collapsed="false">
      <c r="A406" s="368" t="str">
        <f aca="false">Calculations!A373</f>
        <v>N/A</v>
      </c>
      <c r="B406" s="369" t="str">
        <f aca="false">IF(A406="N/A"," ",IF(ISERROR(L406),B394*Inputs!$F$19,L406))</f>
        <v> </v>
      </c>
      <c r="C406" s="370" t="str">
        <f aca="false">IF(A406="N/A"," ",(IF(AND(MONTH(A406)&gt;=6,MONTH(A406)&lt;=8,OR($K$37="REGION 2",$K$37="REGION 2A",$K$37="REGION 2B",$K$37="REGION 3",$K$37="REGION 3A",$K$37="REGION 3B",$K$37="REGION 4",$K$37="REGION 4B",$K$37="REGION 4C",$K$37="REGION 5",$K$37="REGION 5A")),((0.059228/(B406/100))-(0.4980013/(SQRT(B406/100)))+2.137988),HLOOKUP(MONTH(A406),ScalarTable,28))))</f>
        <v> </v>
      </c>
      <c r="D406" s="371" t="str">
        <f aca="false">IF(A406="N/A"," ",C406*B406)</f>
        <v> </v>
      </c>
      <c r="E406" s="369" t="str">
        <f aca="false">IF(A406="N/A"," ",IF(ISERROR(M406),E394*Inputs!$F$19,M406))</f>
        <v> </v>
      </c>
      <c r="F406" s="371" t="str">
        <f aca="false">IF(A406="N/A"," ",E406*C406)</f>
        <v> </v>
      </c>
      <c r="G406" s="369" t="str">
        <f aca="false">IF(A406="N/A"," ",IF(ISERROR(N406),G394*Inputs!$F$19,N406))</f>
        <v> </v>
      </c>
      <c r="H406" s="371" t="str">
        <f aca="false">IF(A406="N/A"," ",G406*C406)</f>
        <v> </v>
      </c>
      <c r="I406" s="371" t="str">
        <f aca="false">IF(A406="N/A"," ",IF(ISERROR(O406),I394*Inputs!$F$19,O406))</f>
        <v> </v>
      </c>
      <c r="J406" s="372" t="str">
        <f aca="false">IF(A406="N/A"," ",IF(ISERROR(P406),J394*Inputs!$F$23,P406))</f>
        <v> </v>
      </c>
      <c r="L406" s="374" t="str">
        <f aca="false">IF(A406="N/A"," ",VLOOKUP(A406,PeakPowerCurves,(IF('Pricing Inputs'!$AT$3=2,3,IF('Pricing Inputs'!$AT$3=1,2,4))),FALSE()))</f>
        <v> </v>
      </c>
      <c r="M406" s="374" t="str">
        <f aca="false">IF(A406="N/A"," ",VLOOKUP(A406,SatSunPeakPwr,(IF('Pricing Inputs'!$AT$3=2,3,IF('Pricing Inputs'!$AT$3=1,2,4))),FALSE()))</f>
        <v> </v>
      </c>
      <c r="N406" s="374" t="str">
        <f aca="false">IF(A406="N/A"," ",VLOOKUP(A406,SatSunPeakPwr,(IF('Pricing Inputs'!$AT$3=2,7,IF('Pricing Inputs'!$AT$3=1,6,8))),FALSE()))</f>
        <v> </v>
      </c>
      <c r="O406" s="375" t="str">
        <f aca="false">IF(A406="N/A"," ",(VLOOKUP(A406,OPPowerPrices,(IF('Pricing Inputs'!$AT$3=2,7,IF('Pricing Inputs'!$AT$3=1,6,8))),FALSE())))</f>
        <v> </v>
      </c>
      <c r="P406" s="376" t="str">
        <f aca="false">IF(A406="N/A"," ",(VLOOKUP(A406,GasCurves,15,FALSE())))</f>
        <v> </v>
      </c>
    </row>
    <row r="407" customFormat="false" ht="12.75" hidden="false" customHeight="false" outlineLevel="0" collapsed="false">
      <c r="A407" s="368" t="str">
        <f aca="false">Calculations!A374</f>
        <v>N/A</v>
      </c>
      <c r="B407" s="369" t="str">
        <f aca="false">IF(A407="N/A"," ",IF(ISERROR(L407),B395*Inputs!$F$19,L407))</f>
        <v> </v>
      </c>
      <c r="C407" s="370" t="str">
        <f aca="false">IF(A407="N/A"," ",(IF(AND(MONTH(A407)&gt;=6,MONTH(A407)&lt;=8,OR($K$37="REGION 2",$K$37="REGION 2A",$K$37="REGION 2B",$K$37="REGION 3",$K$37="REGION 3A",$K$37="REGION 3B",$K$37="REGION 4",$K$37="REGION 4B",$K$37="REGION 4C",$K$37="REGION 5",$K$37="REGION 5A")),((0.059228/(B407/100))-(0.4980013/(SQRT(B407/100)))+2.137988),HLOOKUP(MONTH(A407),ScalarTable,28))))</f>
        <v> </v>
      </c>
      <c r="D407" s="371" t="str">
        <f aca="false">IF(A407="N/A"," ",C407*B407)</f>
        <v> </v>
      </c>
      <c r="E407" s="369" t="str">
        <f aca="false">IF(A407="N/A"," ",IF(ISERROR(M407),E395*Inputs!$F$19,M407))</f>
        <v> </v>
      </c>
      <c r="F407" s="371" t="str">
        <f aca="false">IF(A407="N/A"," ",E407*C407)</f>
        <v> </v>
      </c>
      <c r="G407" s="369" t="str">
        <f aca="false">IF(A407="N/A"," ",IF(ISERROR(N407),G395*Inputs!$F$19,N407))</f>
        <v> </v>
      </c>
      <c r="H407" s="371" t="str">
        <f aca="false">IF(A407="N/A"," ",G407*C407)</f>
        <v> </v>
      </c>
      <c r="I407" s="371" t="str">
        <f aca="false">IF(A407="N/A"," ",IF(ISERROR(O407),I395*Inputs!$F$19,O407))</f>
        <v> </v>
      </c>
      <c r="J407" s="372" t="str">
        <f aca="false">IF(A407="N/A"," ",IF(ISERROR(P407),J395*Inputs!$F$23,P407))</f>
        <v> </v>
      </c>
      <c r="L407" s="374" t="str">
        <f aca="false">IF(A407="N/A"," ",VLOOKUP(A407,PeakPowerCurves,(IF('Pricing Inputs'!$AT$3=2,3,IF('Pricing Inputs'!$AT$3=1,2,4))),FALSE()))</f>
        <v> </v>
      </c>
      <c r="M407" s="374" t="str">
        <f aca="false">IF(A407="N/A"," ",VLOOKUP(A407,SatSunPeakPwr,(IF('Pricing Inputs'!$AT$3=2,3,IF('Pricing Inputs'!$AT$3=1,2,4))),FALSE()))</f>
        <v> </v>
      </c>
      <c r="N407" s="374" t="str">
        <f aca="false">IF(A407="N/A"," ",VLOOKUP(A407,SatSunPeakPwr,(IF('Pricing Inputs'!$AT$3=2,7,IF('Pricing Inputs'!$AT$3=1,6,8))),FALSE()))</f>
        <v> </v>
      </c>
      <c r="O407" s="375" t="str">
        <f aca="false">IF(A407="N/A"," ",(VLOOKUP(A407,OPPowerPrices,(IF('Pricing Inputs'!$AT$3=2,7,IF('Pricing Inputs'!$AT$3=1,6,8))),FALSE())))</f>
        <v> </v>
      </c>
      <c r="P407" s="376" t="str">
        <f aca="false">IF(A407="N/A"," ",(VLOOKUP(A407,GasCurves,15,FALSE())))</f>
        <v> </v>
      </c>
    </row>
    <row r="408" customFormat="false" ht="12.75" hidden="false" customHeight="false" outlineLevel="0" collapsed="false">
      <c r="A408" s="368" t="str">
        <f aca="false">Calculations!A375</f>
        <v>N/A</v>
      </c>
      <c r="B408" s="369" t="str">
        <f aca="false">IF(A408="N/A"," ",IF(ISERROR(L408),B396*Inputs!$F$19,L408))</f>
        <v> </v>
      </c>
      <c r="C408" s="370" t="str">
        <f aca="false">IF(A408="N/A"," ",(IF(AND(MONTH(A408)&gt;=6,MONTH(A408)&lt;=8,OR($K$37="REGION 2",$K$37="REGION 2A",$K$37="REGION 2B",$K$37="REGION 3",$K$37="REGION 3A",$K$37="REGION 3B",$K$37="REGION 4",$K$37="REGION 4B",$K$37="REGION 4C",$K$37="REGION 5",$K$37="REGION 5A")),((0.059228/(B408/100))-(0.4980013/(SQRT(B408/100)))+2.137988),HLOOKUP(MONTH(A408),ScalarTable,28))))</f>
        <v> </v>
      </c>
      <c r="D408" s="371" t="str">
        <f aca="false">IF(A408="N/A"," ",C408*B408)</f>
        <v> </v>
      </c>
      <c r="E408" s="369" t="str">
        <f aca="false">IF(A408="N/A"," ",IF(ISERROR(M408),E396*Inputs!$F$19,M408))</f>
        <v> </v>
      </c>
      <c r="F408" s="371" t="str">
        <f aca="false">IF(A408="N/A"," ",E408*C408)</f>
        <v> </v>
      </c>
      <c r="G408" s="369" t="str">
        <f aca="false">IF(A408="N/A"," ",IF(ISERROR(N408),G396*Inputs!$F$19,N408))</f>
        <v> </v>
      </c>
      <c r="H408" s="371" t="str">
        <f aca="false">IF(A408="N/A"," ",G408*C408)</f>
        <v> </v>
      </c>
      <c r="I408" s="371" t="str">
        <f aca="false">IF(A408="N/A"," ",IF(ISERROR(O408),I396*Inputs!$F$19,O408))</f>
        <v> </v>
      </c>
      <c r="J408" s="372" t="str">
        <f aca="false">IF(A408="N/A"," ",IF(ISERROR(P408),J396*Inputs!$F$23,P408))</f>
        <v> </v>
      </c>
      <c r="L408" s="374" t="str">
        <f aca="false">IF(A408="N/A"," ",VLOOKUP(A408,PeakPowerCurves,(IF('Pricing Inputs'!$AT$3=2,3,IF('Pricing Inputs'!$AT$3=1,2,4))),FALSE()))</f>
        <v> </v>
      </c>
      <c r="M408" s="374" t="str">
        <f aca="false">IF(A408="N/A"," ",VLOOKUP(A408,SatSunPeakPwr,(IF('Pricing Inputs'!$AT$3=2,3,IF('Pricing Inputs'!$AT$3=1,2,4))),FALSE()))</f>
        <v> </v>
      </c>
      <c r="N408" s="374" t="str">
        <f aca="false">IF(A408="N/A"," ",VLOOKUP(A408,SatSunPeakPwr,(IF('Pricing Inputs'!$AT$3=2,7,IF('Pricing Inputs'!$AT$3=1,6,8))),FALSE()))</f>
        <v> </v>
      </c>
      <c r="O408" s="375" t="str">
        <f aca="false">IF(A408="N/A"," ",(VLOOKUP(A408,OPPowerPrices,(IF('Pricing Inputs'!$AT$3=2,7,IF('Pricing Inputs'!$AT$3=1,6,8))),FALSE())))</f>
        <v> </v>
      </c>
      <c r="P408" s="376" t="str">
        <f aca="false">IF(A408="N/A"," ",(VLOOKUP(A408,GasCurves,15,FALSE())))</f>
        <v> </v>
      </c>
    </row>
    <row r="409" customFormat="false" ht="12.75" hidden="false" customHeight="false" outlineLevel="0" collapsed="false">
      <c r="A409" s="368" t="str">
        <f aca="false">Calculations!A376</f>
        <v>N/A</v>
      </c>
      <c r="B409" s="369" t="str">
        <f aca="false">IF(A409="N/A"," ",IF(ISERROR(L409),B397*Inputs!$F$19,L409))</f>
        <v> </v>
      </c>
      <c r="C409" s="370" t="str">
        <f aca="false">IF(A409="N/A"," ",(IF(AND(MONTH(A409)&gt;=6,MONTH(A409)&lt;=8,OR($K$37="REGION 2",$K$37="REGION 2A",$K$37="REGION 2B",$K$37="REGION 3",$K$37="REGION 3A",$K$37="REGION 3B",$K$37="REGION 4",$K$37="REGION 4B",$K$37="REGION 4C",$K$37="REGION 5",$K$37="REGION 5A")),((0.059228/(B409/100))-(0.4980013/(SQRT(B409/100)))+2.137988),HLOOKUP(MONTH(A409),ScalarTable,28))))</f>
        <v> </v>
      </c>
      <c r="D409" s="371" t="str">
        <f aca="false">IF(A409="N/A"," ",C409*B409)</f>
        <v> </v>
      </c>
      <c r="E409" s="369" t="str">
        <f aca="false">IF(A409="N/A"," ",IF(ISERROR(M409),E397*Inputs!$F$19,M409))</f>
        <v> </v>
      </c>
      <c r="F409" s="371" t="str">
        <f aca="false">IF(A409="N/A"," ",E409*C409)</f>
        <v> </v>
      </c>
      <c r="G409" s="369" t="str">
        <f aca="false">IF(A409="N/A"," ",IF(ISERROR(N409),G397*Inputs!$F$19,N409))</f>
        <v> </v>
      </c>
      <c r="H409" s="371" t="str">
        <f aca="false">IF(A409="N/A"," ",G409*C409)</f>
        <v> </v>
      </c>
      <c r="I409" s="371" t="str">
        <f aca="false">IF(A409="N/A"," ",IF(ISERROR(O409),I397*Inputs!$F$19,O409))</f>
        <v> </v>
      </c>
      <c r="J409" s="372" t="str">
        <f aca="false">IF(A409="N/A"," ",IF(ISERROR(P409),J397*Inputs!$F$23,P409))</f>
        <v> </v>
      </c>
      <c r="L409" s="374" t="str">
        <f aca="false">IF(A409="N/A"," ",VLOOKUP(A409,PeakPowerCurves,(IF('Pricing Inputs'!$AT$3=2,3,IF('Pricing Inputs'!$AT$3=1,2,4))),FALSE()))</f>
        <v> </v>
      </c>
      <c r="M409" s="374" t="str">
        <f aca="false">IF(A409="N/A"," ",VLOOKUP(A409,SatSunPeakPwr,(IF('Pricing Inputs'!$AT$3=2,3,IF('Pricing Inputs'!$AT$3=1,2,4))),FALSE()))</f>
        <v> </v>
      </c>
      <c r="N409" s="374" t="str">
        <f aca="false">IF(A409="N/A"," ",VLOOKUP(A409,SatSunPeakPwr,(IF('Pricing Inputs'!$AT$3=2,7,IF('Pricing Inputs'!$AT$3=1,6,8))),FALSE()))</f>
        <v> </v>
      </c>
      <c r="O409" s="375" t="str">
        <f aca="false">IF(A409="N/A"," ",(VLOOKUP(A409,OPPowerPrices,(IF('Pricing Inputs'!$AT$3=2,7,IF('Pricing Inputs'!$AT$3=1,6,8))),FALSE())))</f>
        <v> </v>
      </c>
      <c r="P409" s="376" t="str">
        <f aca="false">IF(A409="N/A"," ",(VLOOKUP(A409,GasCurves,15,FALSE())))</f>
        <v> </v>
      </c>
    </row>
    <row r="410" customFormat="false" ht="12.75" hidden="false" customHeight="false" outlineLevel="0" collapsed="false">
      <c r="A410" s="368" t="str">
        <f aca="false">Calculations!A377</f>
        <v>N/A</v>
      </c>
      <c r="B410" s="369" t="str">
        <f aca="false">IF(A410="N/A"," ",IF(ISERROR(L410),B398*Inputs!$F$19,L410))</f>
        <v> </v>
      </c>
      <c r="C410" s="370" t="str">
        <f aca="false">IF(A410="N/A"," ",(IF(AND(MONTH(A410)&gt;=6,MONTH(A410)&lt;=8,OR($K$37="REGION 2",$K$37="REGION 2A",$K$37="REGION 2B",$K$37="REGION 3",$K$37="REGION 3A",$K$37="REGION 3B",$K$37="REGION 4",$K$37="REGION 4B",$K$37="REGION 4C",$K$37="REGION 5",$K$37="REGION 5A")),((0.059228/(B410/100))-(0.4980013/(SQRT(B410/100)))+2.137988),HLOOKUP(MONTH(A410),ScalarTable,28))))</f>
        <v> </v>
      </c>
      <c r="D410" s="371" t="str">
        <f aca="false">IF(A410="N/A"," ",C410*B410)</f>
        <v> </v>
      </c>
      <c r="E410" s="369" t="str">
        <f aca="false">IF(A410="N/A"," ",IF(ISERROR(M410),E398*Inputs!$F$19,M410))</f>
        <v> </v>
      </c>
      <c r="F410" s="371" t="str">
        <f aca="false">IF(A410="N/A"," ",E410*C410)</f>
        <v> </v>
      </c>
      <c r="G410" s="369" t="str">
        <f aca="false">IF(A410="N/A"," ",IF(ISERROR(N410),G398*Inputs!$F$19,N410))</f>
        <v> </v>
      </c>
      <c r="H410" s="371" t="str">
        <f aca="false">IF(A410="N/A"," ",G410*C410)</f>
        <v> </v>
      </c>
      <c r="I410" s="371" t="str">
        <f aca="false">IF(A410="N/A"," ",IF(ISERROR(O410),I398*Inputs!$F$19,O410))</f>
        <v> </v>
      </c>
      <c r="J410" s="372" t="str">
        <f aca="false">IF(A410="N/A"," ",IF(ISERROR(P410),J398*Inputs!$F$23,P410))</f>
        <v> </v>
      </c>
      <c r="L410" s="374" t="str">
        <f aca="false">IF(A410="N/A"," ",VLOOKUP(A410,PeakPowerCurves,(IF('Pricing Inputs'!$AT$3=2,3,IF('Pricing Inputs'!$AT$3=1,2,4))),FALSE()))</f>
        <v> </v>
      </c>
      <c r="M410" s="374" t="str">
        <f aca="false">IF(A410="N/A"," ",VLOOKUP(A410,SatSunPeakPwr,(IF('Pricing Inputs'!$AT$3=2,3,IF('Pricing Inputs'!$AT$3=1,2,4))),FALSE()))</f>
        <v> </v>
      </c>
      <c r="N410" s="374" t="str">
        <f aca="false">IF(A410="N/A"," ",VLOOKUP(A410,SatSunPeakPwr,(IF('Pricing Inputs'!$AT$3=2,7,IF('Pricing Inputs'!$AT$3=1,6,8))),FALSE()))</f>
        <v> </v>
      </c>
      <c r="O410" s="375" t="str">
        <f aca="false">IF(A410="N/A"," ",(VLOOKUP(A410,OPPowerPrices,(IF('Pricing Inputs'!$AT$3=2,7,IF('Pricing Inputs'!$AT$3=1,6,8))),FALSE())))</f>
        <v> </v>
      </c>
      <c r="P410" s="376" t="str">
        <f aca="false">IF(A410="N/A"," ",(VLOOKUP(A410,GasCurves,15,FALSE())))</f>
        <v> </v>
      </c>
    </row>
    <row r="411" customFormat="false" ht="12.75" hidden="false" customHeight="false" outlineLevel="0" collapsed="false">
      <c r="A411" s="368" t="str">
        <f aca="false">Calculations!A378</f>
        <v>N/A</v>
      </c>
      <c r="B411" s="369" t="str">
        <f aca="false">IF(A411="N/A"," ",IF(ISERROR(L411),B399*Inputs!$F$19,L411))</f>
        <v> </v>
      </c>
      <c r="C411" s="370" t="str">
        <f aca="false">IF(A411="N/A"," ",(IF(AND(MONTH(A411)&gt;=6,MONTH(A411)&lt;=8,OR($K$37="REGION 2",$K$37="REGION 2A",$K$37="REGION 2B",$K$37="REGION 3",$K$37="REGION 3A",$K$37="REGION 3B",$K$37="REGION 4",$K$37="REGION 4B",$K$37="REGION 4C",$K$37="REGION 5",$K$37="REGION 5A")),((0.059228/(B411/100))-(0.4980013/(SQRT(B411/100)))+2.137988),HLOOKUP(MONTH(A411),ScalarTable,28))))</f>
        <v> </v>
      </c>
      <c r="D411" s="371" t="str">
        <f aca="false">IF(A411="N/A"," ",C411*B411)</f>
        <v> </v>
      </c>
      <c r="E411" s="369" t="str">
        <f aca="false">IF(A411="N/A"," ",IF(ISERROR(M411),E399*Inputs!$F$19,M411))</f>
        <v> </v>
      </c>
      <c r="F411" s="371" t="str">
        <f aca="false">IF(A411="N/A"," ",E411*C411)</f>
        <v> </v>
      </c>
      <c r="G411" s="369" t="str">
        <f aca="false">IF(A411="N/A"," ",IF(ISERROR(N411),G399*Inputs!$F$19,N411))</f>
        <v> </v>
      </c>
      <c r="H411" s="371" t="str">
        <f aca="false">IF(A411="N/A"," ",G411*C411)</f>
        <v> </v>
      </c>
      <c r="I411" s="371" t="str">
        <f aca="false">IF(A411="N/A"," ",IF(ISERROR(O411),I399*Inputs!$F$19,O411))</f>
        <v> </v>
      </c>
      <c r="J411" s="372" t="str">
        <f aca="false">IF(A411="N/A"," ",IF(ISERROR(P411),J399*Inputs!$F$23,P411))</f>
        <v> </v>
      </c>
      <c r="L411" s="374" t="str">
        <f aca="false">IF(A411="N/A"," ",VLOOKUP(A411,PeakPowerCurves,(IF('Pricing Inputs'!$AT$3=2,3,IF('Pricing Inputs'!$AT$3=1,2,4))),FALSE()))</f>
        <v> </v>
      </c>
      <c r="M411" s="374" t="str">
        <f aca="false">IF(A411="N/A"," ",VLOOKUP(A411,SatSunPeakPwr,(IF('Pricing Inputs'!$AT$3=2,3,IF('Pricing Inputs'!$AT$3=1,2,4))),FALSE()))</f>
        <v> </v>
      </c>
      <c r="N411" s="374" t="str">
        <f aca="false">IF(A411="N/A"," ",VLOOKUP(A411,SatSunPeakPwr,(IF('Pricing Inputs'!$AT$3=2,7,IF('Pricing Inputs'!$AT$3=1,6,8))),FALSE()))</f>
        <v> </v>
      </c>
      <c r="O411" s="375" t="str">
        <f aca="false">IF(A411="N/A"," ",(VLOOKUP(A411,OPPowerPrices,(IF('Pricing Inputs'!$AT$3=2,7,IF('Pricing Inputs'!$AT$3=1,6,8))),FALSE())))</f>
        <v> </v>
      </c>
      <c r="P411" s="376" t="str">
        <f aca="false">IF(A411="N/A"," ",(VLOOKUP(A411,GasCurves,15,FALSE())))</f>
        <v> </v>
      </c>
    </row>
    <row r="412" customFormat="false" ht="12.75" hidden="false" customHeight="false" outlineLevel="0" collapsed="false">
      <c r="A412" s="368" t="str">
        <f aca="false">Calculations!A379</f>
        <v>N/A</v>
      </c>
      <c r="B412" s="369" t="str">
        <f aca="false">IF(A412="N/A"," ",IF(ISERROR(L412),B400*Inputs!$F$19,L412))</f>
        <v> </v>
      </c>
      <c r="C412" s="370" t="str">
        <f aca="false">IF(A412="N/A"," ",(IF(AND(MONTH(A412)&gt;=6,MONTH(A412)&lt;=8,OR($K$37="REGION 2",$K$37="REGION 2A",$K$37="REGION 2B",$K$37="REGION 3",$K$37="REGION 3A",$K$37="REGION 3B",$K$37="REGION 4",$K$37="REGION 4B",$K$37="REGION 4C",$K$37="REGION 5",$K$37="REGION 5A")),((0.059228/(B412/100))-(0.4980013/(SQRT(B412/100)))+2.137988),HLOOKUP(MONTH(A412),ScalarTable,28))))</f>
        <v> </v>
      </c>
      <c r="D412" s="371" t="str">
        <f aca="false">IF(A412="N/A"," ",C412*B412)</f>
        <v> </v>
      </c>
      <c r="E412" s="369" t="str">
        <f aca="false">IF(A412="N/A"," ",IF(ISERROR(M412),E400*Inputs!$F$19,M412))</f>
        <v> </v>
      </c>
      <c r="F412" s="371" t="str">
        <f aca="false">IF(A412="N/A"," ",E412*C412)</f>
        <v> </v>
      </c>
      <c r="G412" s="369" t="str">
        <f aca="false">IF(A412="N/A"," ",IF(ISERROR(N412),G400*Inputs!$F$19,N412))</f>
        <v> </v>
      </c>
      <c r="H412" s="371" t="str">
        <f aca="false">IF(A412="N/A"," ",G412*C412)</f>
        <v> </v>
      </c>
      <c r="I412" s="371" t="str">
        <f aca="false">IF(A412="N/A"," ",IF(ISERROR(O412),I400*Inputs!$F$19,O412))</f>
        <v> </v>
      </c>
      <c r="J412" s="372" t="str">
        <f aca="false">IF(A412="N/A"," ",IF(ISERROR(P412),J400*Inputs!$F$23,P412))</f>
        <v> </v>
      </c>
      <c r="L412" s="374" t="str">
        <f aca="false">IF(A412="N/A"," ",VLOOKUP(A412,PeakPowerCurves,(IF('Pricing Inputs'!$AT$3=2,3,IF('Pricing Inputs'!$AT$3=1,2,4))),FALSE()))</f>
        <v> </v>
      </c>
      <c r="M412" s="374" t="str">
        <f aca="false">IF(A412="N/A"," ",VLOOKUP(A412,SatSunPeakPwr,(IF('Pricing Inputs'!$AT$3=2,3,IF('Pricing Inputs'!$AT$3=1,2,4))),FALSE()))</f>
        <v> </v>
      </c>
      <c r="N412" s="374" t="str">
        <f aca="false">IF(A412="N/A"," ",VLOOKUP(A412,SatSunPeakPwr,(IF('Pricing Inputs'!$AT$3=2,7,IF('Pricing Inputs'!$AT$3=1,6,8))),FALSE()))</f>
        <v> </v>
      </c>
      <c r="O412" s="375" t="str">
        <f aca="false">IF(A412="N/A"," ",(VLOOKUP(A412,OPPowerPrices,(IF('Pricing Inputs'!$AT$3=2,7,IF('Pricing Inputs'!$AT$3=1,6,8))),FALSE())))</f>
        <v> </v>
      </c>
      <c r="P412" s="376" t="str">
        <f aca="false">IF(A412="N/A"," ",(VLOOKUP(A412,GasCurves,15,FALSE())))</f>
        <v> </v>
      </c>
    </row>
    <row r="413" customFormat="false" ht="12.75" hidden="false" customHeight="false" outlineLevel="0" collapsed="false">
      <c r="A413" s="368" t="str">
        <f aca="false">Calculations!A380</f>
        <v>N/A</v>
      </c>
      <c r="B413" s="369" t="str">
        <f aca="false">IF(A413="N/A"," ",IF(ISERROR(L413),B401*Inputs!$F$19,L413))</f>
        <v> </v>
      </c>
      <c r="C413" s="370" t="str">
        <f aca="false">IF(A413="N/A"," ",(IF(AND(MONTH(A413)&gt;=6,MONTH(A413)&lt;=8,OR($K$37="REGION 2",$K$37="REGION 2A",$K$37="REGION 2B",$K$37="REGION 3",$K$37="REGION 3A",$K$37="REGION 3B",$K$37="REGION 4",$K$37="REGION 4B",$K$37="REGION 4C",$K$37="REGION 5",$K$37="REGION 5A")),((0.059228/(B413/100))-(0.4980013/(SQRT(B413/100)))+2.137988),HLOOKUP(MONTH(A413),ScalarTable,28))))</f>
        <v> </v>
      </c>
      <c r="D413" s="371" t="str">
        <f aca="false">IF(A413="N/A"," ",C413*B413)</f>
        <v> </v>
      </c>
      <c r="E413" s="369" t="str">
        <f aca="false">IF(A413="N/A"," ",IF(ISERROR(M413),E401*Inputs!$F$19,M413))</f>
        <v> </v>
      </c>
      <c r="F413" s="371" t="str">
        <f aca="false">IF(A413="N/A"," ",E413*C413)</f>
        <v> </v>
      </c>
      <c r="G413" s="369" t="str">
        <f aca="false">IF(A413="N/A"," ",IF(ISERROR(N413),G401*Inputs!$F$19,N413))</f>
        <v> </v>
      </c>
      <c r="H413" s="371" t="str">
        <f aca="false">IF(A413="N/A"," ",G413*C413)</f>
        <v> </v>
      </c>
      <c r="I413" s="371" t="str">
        <f aca="false">IF(A413="N/A"," ",IF(ISERROR(O413),I401*Inputs!$F$19,O413))</f>
        <v> </v>
      </c>
      <c r="J413" s="372" t="str">
        <f aca="false">IF(A413="N/A"," ",IF(ISERROR(P413),J401*Inputs!$F$23,P413))</f>
        <v> </v>
      </c>
      <c r="L413" s="374" t="str">
        <f aca="false">IF(A413="N/A"," ",VLOOKUP(A413,PeakPowerCurves,(IF('Pricing Inputs'!$AT$3=2,3,IF('Pricing Inputs'!$AT$3=1,2,4))),FALSE()))</f>
        <v> </v>
      </c>
      <c r="M413" s="374" t="str">
        <f aca="false">IF(A413="N/A"," ",VLOOKUP(A413,SatSunPeakPwr,(IF('Pricing Inputs'!$AT$3=2,3,IF('Pricing Inputs'!$AT$3=1,2,4))),FALSE()))</f>
        <v> </v>
      </c>
      <c r="N413" s="374" t="str">
        <f aca="false">IF(A413="N/A"," ",VLOOKUP(A413,SatSunPeakPwr,(IF('Pricing Inputs'!$AT$3=2,7,IF('Pricing Inputs'!$AT$3=1,6,8))),FALSE()))</f>
        <v> </v>
      </c>
      <c r="O413" s="375" t="str">
        <f aca="false">IF(A413="N/A"," ",(VLOOKUP(A413,OPPowerPrices,(IF('Pricing Inputs'!$AT$3=2,7,IF('Pricing Inputs'!$AT$3=1,6,8))),FALSE())))</f>
        <v> </v>
      </c>
      <c r="P413" s="376" t="str">
        <f aca="false">IF(A413="N/A"," ",(VLOOKUP(A413,GasCurves,15,FALSE())))</f>
        <v> </v>
      </c>
    </row>
    <row r="414" customFormat="false" ht="12.75" hidden="false" customHeight="false" outlineLevel="0" collapsed="false">
      <c r="A414" s="368" t="str">
        <f aca="false">Calculations!A381</f>
        <v>N/A</v>
      </c>
      <c r="B414" s="369" t="str">
        <f aca="false">IF(A414="N/A"," ",IF(ISERROR(L414),B402*Inputs!$F$19,L414))</f>
        <v> </v>
      </c>
      <c r="C414" s="370" t="str">
        <f aca="false">IF(A414="N/A"," ",(IF(AND(MONTH(A414)&gt;=6,MONTH(A414)&lt;=8,OR($K$37="REGION 2",$K$37="REGION 2A",$K$37="REGION 2B",$K$37="REGION 3",$K$37="REGION 3A",$K$37="REGION 3B",$K$37="REGION 4",$K$37="REGION 4B",$K$37="REGION 4C",$K$37="REGION 5",$K$37="REGION 5A")),((0.059228/(B414/100))-(0.4980013/(SQRT(B414/100)))+2.137988),HLOOKUP(MONTH(A414),ScalarTable,28))))</f>
        <v> </v>
      </c>
      <c r="D414" s="371" t="str">
        <f aca="false">IF(A414="N/A"," ",C414*B414)</f>
        <v> </v>
      </c>
      <c r="E414" s="369" t="str">
        <f aca="false">IF(A414="N/A"," ",IF(ISERROR(M414),E402*Inputs!$F$19,M414))</f>
        <v> </v>
      </c>
      <c r="F414" s="371" t="str">
        <f aca="false">IF(A414="N/A"," ",E414*C414)</f>
        <v> </v>
      </c>
      <c r="G414" s="369" t="str">
        <f aca="false">IF(A414="N/A"," ",IF(ISERROR(N414),G402*Inputs!$F$19,N414))</f>
        <v> </v>
      </c>
      <c r="H414" s="371" t="str">
        <f aca="false">IF(A414="N/A"," ",G414*C414)</f>
        <v> </v>
      </c>
      <c r="I414" s="371" t="str">
        <f aca="false">IF(A414="N/A"," ",IF(ISERROR(O414),I402*Inputs!$F$19,O414))</f>
        <v> </v>
      </c>
      <c r="J414" s="372" t="str">
        <f aca="false">IF(A414="N/A"," ",IF(ISERROR(P414),J402*Inputs!$F$23,P414))</f>
        <v> </v>
      </c>
      <c r="L414" s="374" t="str">
        <f aca="false">IF(A414="N/A"," ",VLOOKUP(A414,PeakPowerCurves,(IF('Pricing Inputs'!$AT$3=2,3,IF('Pricing Inputs'!$AT$3=1,2,4))),FALSE()))</f>
        <v> </v>
      </c>
      <c r="M414" s="374" t="str">
        <f aca="false">IF(A414="N/A"," ",VLOOKUP(A414,SatSunPeakPwr,(IF('Pricing Inputs'!$AT$3=2,3,IF('Pricing Inputs'!$AT$3=1,2,4))),FALSE()))</f>
        <v> </v>
      </c>
      <c r="N414" s="374" t="str">
        <f aca="false">IF(A414="N/A"," ",VLOOKUP(A414,SatSunPeakPwr,(IF('Pricing Inputs'!$AT$3=2,7,IF('Pricing Inputs'!$AT$3=1,6,8))),FALSE()))</f>
        <v> </v>
      </c>
      <c r="O414" s="375" t="str">
        <f aca="false">IF(A414="N/A"," ",(VLOOKUP(A414,OPPowerPrices,(IF('Pricing Inputs'!$AT$3=2,7,IF('Pricing Inputs'!$AT$3=1,6,8))),FALSE())))</f>
        <v> </v>
      </c>
      <c r="P414" s="376" t="str">
        <f aca="false">IF(A414="N/A"," ",(VLOOKUP(A414,GasCurves,15,FALSE())))</f>
        <v> </v>
      </c>
    </row>
    <row r="415" customFormat="false" ht="12.75" hidden="false" customHeight="false" outlineLevel="0" collapsed="false">
      <c r="A415" s="368" t="str">
        <f aca="false">Calculations!A382</f>
        <v>N/A</v>
      </c>
      <c r="B415" s="369" t="str">
        <f aca="false">IF(A415="N/A"," ",IF(ISERROR(L415),B403*Inputs!$F$19,L415))</f>
        <v> </v>
      </c>
      <c r="C415" s="370" t="str">
        <f aca="false">IF(A415="N/A"," ",(IF(AND(MONTH(A415)&gt;=6,MONTH(A415)&lt;=8,OR($K$37="REGION 2",$K$37="REGION 2A",$K$37="REGION 2B",$K$37="REGION 3",$K$37="REGION 3A",$K$37="REGION 3B",$K$37="REGION 4",$K$37="REGION 4B",$K$37="REGION 4C",$K$37="REGION 5",$K$37="REGION 5A")),((0.059228/(B415/100))-(0.4980013/(SQRT(B415/100)))+2.137988),HLOOKUP(MONTH(A415),ScalarTable,28))))</f>
        <v> </v>
      </c>
      <c r="D415" s="371" t="str">
        <f aca="false">IF(A415="N/A"," ",C415*B415)</f>
        <v> </v>
      </c>
      <c r="E415" s="369" t="str">
        <f aca="false">IF(A415="N/A"," ",IF(ISERROR(M415),E403*Inputs!$F$19,M415))</f>
        <v> </v>
      </c>
      <c r="F415" s="371" t="str">
        <f aca="false">IF(A415="N/A"," ",E415*C415)</f>
        <v> </v>
      </c>
      <c r="G415" s="369" t="str">
        <f aca="false">IF(A415="N/A"," ",IF(ISERROR(N415),G403*Inputs!$F$19,N415))</f>
        <v> </v>
      </c>
      <c r="H415" s="371" t="str">
        <f aca="false">IF(A415="N/A"," ",G415*C415)</f>
        <v> </v>
      </c>
      <c r="I415" s="371" t="str">
        <f aca="false">IF(A415="N/A"," ",IF(ISERROR(O415),I403*Inputs!$F$19,O415))</f>
        <v> </v>
      </c>
      <c r="J415" s="372" t="str">
        <f aca="false">IF(A415="N/A"," ",IF(ISERROR(P415),J403*Inputs!$F$23,P415))</f>
        <v> </v>
      </c>
      <c r="L415" s="374" t="str">
        <f aca="false">IF(A415="N/A"," ",VLOOKUP(A415,PeakPowerCurves,(IF('Pricing Inputs'!$AT$3=2,3,IF('Pricing Inputs'!$AT$3=1,2,4))),FALSE()))</f>
        <v> </v>
      </c>
      <c r="M415" s="374" t="str">
        <f aca="false">IF(A415="N/A"," ",VLOOKUP(A415,SatSunPeakPwr,(IF('Pricing Inputs'!$AT$3=2,3,IF('Pricing Inputs'!$AT$3=1,2,4))),FALSE()))</f>
        <v> </v>
      </c>
      <c r="N415" s="374" t="str">
        <f aca="false">IF(A415="N/A"," ",VLOOKUP(A415,SatSunPeakPwr,(IF('Pricing Inputs'!$AT$3=2,7,IF('Pricing Inputs'!$AT$3=1,6,8))),FALSE()))</f>
        <v> </v>
      </c>
      <c r="O415" s="375" t="str">
        <f aca="false">IF(A415="N/A"," ",(VLOOKUP(A415,OPPowerPrices,(IF('Pricing Inputs'!$AT$3=2,7,IF('Pricing Inputs'!$AT$3=1,6,8))),FALSE())))</f>
        <v> </v>
      </c>
      <c r="P415" s="376" t="str">
        <f aca="false">IF(A415="N/A"," ",(VLOOKUP(A415,GasCurves,15,FALSE())))</f>
        <v> </v>
      </c>
    </row>
    <row r="416" customFormat="false" ht="12.75" hidden="false" customHeight="false" outlineLevel="0" collapsed="false">
      <c r="A416" s="368" t="str">
        <f aca="false">Calculations!A383</f>
        <v>N/A</v>
      </c>
      <c r="B416" s="369" t="str">
        <f aca="false">IF(A416="N/A"," ",IF(ISERROR(L416),B404*Inputs!$F$19,L416))</f>
        <v> </v>
      </c>
      <c r="C416" s="370" t="str">
        <f aca="false">IF(A416="N/A"," ",(IF(AND(MONTH(A416)&gt;=6,MONTH(A416)&lt;=8,OR($K$37="REGION 2",$K$37="REGION 2A",$K$37="REGION 2B",$K$37="REGION 3",$K$37="REGION 3A",$K$37="REGION 3B",$K$37="REGION 4",$K$37="REGION 4B",$K$37="REGION 4C",$K$37="REGION 5",$K$37="REGION 5A")),((0.059228/(B416/100))-(0.4980013/(SQRT(B416/100)))+2.137988),HLOOKUP(MONTH(A416),ScalarTable,28))))</f>
        <v> </v>
      </c>
      <c r="D416" s="371" t="str">
        <f aca="false">IF(A416="N/A"," ",C416*B416)</f>
        <v> </v>
      </c>
      <c r="E416" s="369" t="str">
        <f aca="false">IF(A416="N/A"," ",IF(ISERROR(M416),E404*Inputs!$F$19,M416))</f>
        <v> </v>
      </c>
      <c r="F416" s="371" t="str">
        <f aca="false">IF(A416="N/A"," ",E416*C416)</f>
        <v> </v>
      </c>
      <c r="G416" s="369" t="str">
        <f aca="false">IF(A416="N/A"," ",IF(ISERROR(N416),G404*Inputs!$F$19,N416))</f>
        <v> </v>
      </c>
      <c r="H416" s="371" t="str">
        <f aca="false">IF(A416="N/A"," ",G416*C416)</f>
        <v> </v>
      </c>
      <c r="I416" s="371" t="str">
        <f aca="false">IF(A416="N/A"," ",IF(ISERROR(O416),I404*Inputs!$F$19,O416))</f>
        <v> </v>
      </c>
      <c r="J416" s="372" t="str">
        <f aca="false">IF(A416="N/A"," ",IF(ISERROR(P416),J404*Inputs!$F$23,P416))</f>
        <v> </v>
      </c>
      <c r="L416" s="374" t="str">
        <f aca="false">IF(A416="N/A"," ",VLOOKUP(A416,PeakPowerCurves,(IF('Pricing Inputs'!$AT$3=2,3,IF('Pricing Inputs'!$AT$3=1,2,4))),FALSE()))</f>
        <v> </v>
      </c>
      <c r="M416" s="374" t="str">
        <f aca="false">IF(A416="N/A"," ",VLOOKUP(A416,SatSunPeakPwr,(IF('Pricing Inputs'!$AT$3=2,3,IF('Pricing Inputs'!$AT$3=1,2,4))),FALSE()))</f>
        <v> </v>
      </c>
      <c r="N416" s="374" t="str">
        <f aca="false">IF(A416="N/A"," ",VLOOKUP(A416,SatSunPeakPwr,(IF('Pricing Inputs'!$AT$3=2,7,IF('Pricing Inputs'!$AT$3=1,6,8))),FALSE()))</f>
        <v> </v>
      </c>
      <c r="O416" s="375" t="str">
        <f aca="false">IF(A416="N/A"," ",(VLOOKUP(A416,OPPowerPrices,(IF('Pricing Inputs'!$AT$3=2,7,IF('Pricing Inputs'!$AT$3=1,6,8))),FALSE())))</f>
        <v> </v>
      </c>
      <c r="P416" s="376" t="str">
        <f aca="false">IF(A416="N/A"," ",(VLOOKUP(A416,GasCurves,15,FALSE())))</f>
        <v> </v>
      </c>
    </row>
    <row r="417" customFormat="false" ht="12.75" hidden="false" customHeight="false" outlineLevel="0" collapsed="false">
      <c r="A417" s="368" t="str">
        <f aca="false">Calculations!A384</f>
        <v>N/A</v>
      </c>
      <c r="B417" s="369" t="str">
        <f aca="false">IF(A417="N/A"," ",IF(ISERROR(L417),B405*Inputs!$F$19,L417))</f>
        <v> </v>
      </c>
      <c r="C417" s="370" t="str">
        <f aca="false">IF(A417="N/A"," ",(IF(AND(MONTH(A417)&gt;=6,MONTH(A417)&lt;=8,OR($K$37="REGION 2",$K$37="REGION 2A",$K$37="REGION 2B",$K$37="REGION 3",$K$37="REGION 3A",$K$37="REGION 3B",$K$37="REGION 4",$K$37="REGION 4B",$K$37="REGION 4C",$K$37="REGION 5",$K$37="REGION 5A")),((0.059228/(B417/100))-(0.4980013/(SQRT(B417/100)))+2.137988),HLOOKUP(MONTH(A417),ScalarTable,28))))</f>
        <v> </v>
      </c>
      <c r="D417" s="371" t="str">
        <f aca="false">IF(A417="N/A"," ",C417*B417)</f>
        <v> </v>
      </c>
      <c r="E417" s="369" t="str">
        <f aca="false">IF(A417="N/A"," ",IF(ISERROR(M417),E405*Inputs!$F$19,M417))</f>
        <v> </v>
      </c>
      <c r="F417" s="371" t="str">
        <f aca="false">IF(A417="N/A"," ",E417*C417)</f>
        <v> </v>
      </c>
      <c r="G417" s="369" t="str">
        <f aca="false">IF(A417="N/A"," ",IF(ISERROR(N417),G405*Inputs!$F$19,N417))</f>
        <v> </v>
      </c>
      <c r="H417" s="371" t="str">
        <f aca="false">IF(A417="N/A"," ",G417*C417)</f>
        <v> </v>
      </c>
      <c r="I417" s="371" t="str">
        <f aca="false">IF(A417="N/A"," ",IF(ISERROR(O417),I405*Inputs!$F$19,O417))</f>
        <v> </v>
      </c>
      <c r="J417" s="372" t="str">
        <f aca="false">IF(A417="N/A"," ",IF(ISERROR(P417),J405*Inputs!$F$23,P417))</f>
        <v> </v>
      </c>
      <c r="L417" s="374" t="str">
        <f aca="false">IF(A417="N/A"," ",VLOOKUP(A417,PeakPowerCurves,(IF('Pricing Inputs'!$AT$3=2,3,IF('Pricing Inputs'!$AT$3=1,2,4))),FALSE()))</f>
        <v> </v>
      </c>
      <c r="M417" s="374" t="str">
        <f aca="false">IF(A417="N/A"," ",VLOOKUP(A417,SatSunPeakPwr,(IF('Pricing Inputs'!$AT$3=2,3,IF('Pricing Inputs'!$AT$3=1,2,4))),FALSE()))</f>
        <v> </v>
      </c>
      <c r="N417" s="374" t="str">
        <f aca="false">IF(A417="N/A"," ",VLOOKUP(A417,SatSunPeakPwr,(IF('Pricing Inputs'!$AT$3=2,7,IF('Pricing Inputs'!$AT$3=1,6,8))),FALSE()))</f>
        <v> </v>
      </c>
      <c r="O417" s="375" t="str">
        <f aca="false">IF(A417="N/A"," ",(VLOOKUP(A417,OPPowerPrices,(IF('Pricing Inputs'!$AT$3=2,7,IF('Pricing Inputs'!$AT$3=1,6,8))),FALSE())))</f>
        <v> </v>
      </c>
      <c r="P417" s="376" t="str">
        <f aca="false">IF(A417="N/A"," ",(VLOOKUP(A417,GasCurves,15,FALSE())))</f>
        <v> </v>
      </c>
    </row>
    <row r="418" customFormat="false" ht="12.75" hidden="false" customHeight="false" outlineLevel="0" collapsed="false">
      <c r="A418" s="368" t="str">
        <f aca="false">Calculations!A385</f>
        <v>N/A</v>
      </c>
      <c r="B418" s="369" t="str">
        <f aca="false">IF(A418="N/A"," ",IF(ISERROR(L418),B406*Inputs!$F$19,L418))</f>
        <v> </v>
      </c>
      <c r="C418" s="370" t="str">
        <f aca="false">IF(A418="N/A"," ",(IF(AND(MONTH(A418)&gt;=6,MONTH(A418)&lt;=8,OR($K$37="REGION 2",$K$37="REGION 2A",$K$37="REGION 2B",$K$37="REGION 3",$K$37="REGION 3A",$K$37="REGION 3B",$K$37="REGION 4",$K$37="REGION 4B",$K$37="REGION 4C",$K$37="REGION 5",$K$37="REGION 5A")),((0.059228/(B418/100))-(0.4980013/(SQRT(B418/100)))+2.137988),HLOOKUP(MONTH(A418),ScalarTable,28))))</f>
        <v> </v>
      </c>
      <c r="D418" s="371" t="str">
        <f aca="false">IF(A418="N/A"," ",C418*B418)</f>
        <v> </v>
      </c>
      <c r="E418" s="369" t="str">
        <f aca="false">IF(A418="N/A"," ",IF(ISERROR(M418),E406*Inputs!$F$19,M418))</f>
        <v> </v>
      </c>
      <c r="F418" s="371" t="str">
        <f aca="false">IF(A418="N/A"," ",E418*C418)</f>
        <v> </v>
      </c>
      <c r="G418" s="369" t="str">
        <f aca="false">IF(A418="N/A"," ",IF(ISERROR(N418),G406*Inputs!$F$19,N418))</f>
        <v> </v>
      </c>
      <c r="H418" s="371" t="str">
        <f aca="false">IF(A418="N/A"," ",G418*C418)</f>
        <v> </v>
      </c>
      <c r="I418" s="371" t="str">
        <f aca="false">IF(A418="N/A"," ",IF(ISERROR(O418),I406*Inputs!$F$19,O418))</f>
        <v> </v>
      </c>
      <c r="J418" s="372" t="str">
        <f aca="false">IF(A418="N/A"," ",IF(ISERROR(P418),J406*Inputs!$F$23,P418))</f>
        <v> </v>
      </c>
      <c r="L418" s="374" t="str">
        <f aca="false">IF(A418="N/A"," ",VLOOKUP(A418,PeakPowerCurves,(IF('Pricing Inputs'!$AT$3=2,3,IF('Pricing Inputs'!$AT$3=1,2,4))),FALSE()))</f>
        <v> </v>
      </c>
      <c r="M418" s="374" t="str">
        <f aca="false">IF(A418="N/A"," ",VLOOKUP(A418,SatSunPeakPwr,(IF('Pricing Inputs'!$AT$3=2,3,IF('Pricing Inputs'!$AT$3=1,2,4))),FALSE()))</f>
        <v> </v>
      </c>
      <c r="N418" s="374" t="str">
        <f aca="false">IF(A418="N/A"," ",VLOOKUP(A418,SatSunPeakPwr,(IF('Pricing Inputs'!$AT$3=2,7,IF('Pricing Inputs'!$AT$3=1,6,8))),FALSE()))</f>
        <v> </v>
      </c>
      <c r="O418" s="375" t="str">
        <f aca="false">IF(A418="N/A"," ",(VLOOKUP(A418,OPPowerPrices,(IF('Pricing Inputs'!$AT$3=2,7,IF('Pricing Inputs'!$AT$3=1,6,8))),FALSE())))</f>
        <v> </v>
      </c>
      <c r="P418" s="376" t="str">
        <f aca="false">IF(A418="N/A"," ",(VLOOKUP(A418,GasCurves,15,FALSE())))</f>
        <v> </v>
      </c>
    </row>
    <row r="419" customFormat="false" ht="12.75" hidden="false" customHeight="false" outlineLevel="0" collapsed="false">
      <c r="A419" s="368" t="str">
        <f aca="false">Calculations!A386</f>
        <v>N/A</v>
      </c>
      <c r="B419" s="369" t="str">
        <f aca="false">IF(A419="N/A"," ",IF(ISERROR(L419),B407*Inputs!$F$19,L419))</f>
        <v> </v>
      </c>
      <c r="C419" s="370" t="str">
        <f aca="false">IF(A419="N/A"," ",(IF(AND(MONTH(A419)&gt;=6,MONTH(A419)&lt;=8,OR($K$37="REGION 2",$K$37="REGION 2A",$K$37="REGION 2B",$K$37="REGION 3",$K$37="REGION 3A",$K$37="REGION 3B",$K$37="REGION 4",$K$37="REGION 4B",$K$37="REGION 4C",$K$37="REGION 5",$K$37="REGION 5A")),((0.059228/(B419/100))-(0.4980013/(SQRT(B419/100)))+2.137988),HLOOKUP(MONTH(A419),ScalarTable,28))))</f>
        <v> </v>
      </c>
      <c r="D419" s="371" t="str">
        <f aca="false">IF(A419="N/A"," ",C419*B419)</f>
        <v> </v>
      </c>
      <c r="E419" s="369" t="str">
        <f aca="false">IF(A419="N/A"," ",IF(ISERROR(M419),E407*Inputs!$F$19,M419))</f>
        <v> </v>
      </c>
      <c r="F419" s="371" t="str">
        <f aca="false">IF(A419="N/A"," ",E419*C419)</f>
        <v> </v>
      </c>
      <c r="G419" s="369" t="str">
        <f aca="false">IF(A419="N/A"," ",IF(ISERROR(N419),G407*Inputs!$F$19,N419))</f>
        <v> </v>
      </c>
      <c r="H419" s="371" t="str">
        <f aca="false">IF(A419="N/A"," ",G419*C419)</f>
        <v> </v>
      </c>
      <c r="I419" s="371" t="str">
        <f aca="false">IF(A419="N/A"," ",IF(ISERROR(O419),I407*Inputs!$F$19,O419))</f>
        <v> </v>
      </c>
      <c r="J419" s="372" t="str">
        <f aca="false">IF(A419="N/A"," ",IF(ISERROR(P419),J407*Inputs!$F$23,P419))</f>
        <v> </v>
      </c>
      <c r="L419" s="374" t="str">
        <f aca="false">IF(A419="N/A"," ",VLOOKUP(A419,PeakPowerCurves,(IF('Pricing Inputs'!$AT$3=2,3,IF('Pricing Inputs'!$AT$3=1,2,4))),FALSE()))</f>
        <v> </v>
      </c>
      <c r="M419" s="374" t="str">
        <f aca="false">IF(A419="N/A"," ",VLOOKUP(A419,SatSunPeakPwr,(IF('Pricing Inputs'!$AT$3=2,3,IF('Pricing Inputs'!$AT$3=1,2,4))),FALSE()))</f>
        <v> </v>
      </c>
      <c r="N419" s="374" t="str">
        <f aca="false">IF(A419="N/A"," ",VLOOKUP(A419,SatSunPeakPwr,(IF('Pricing Inputs'!$AT$3=2,7,IF('Pricing Inputs'!$AT$3=1,6,8))),FALSE()))</f>
        <v> </v>
      </c>
      <c r="O419" s="375" t="str">
        <f aca="false">IF(A419="N/A"," ",(VLOOKUP(A419,OPPowerPrices,(IF('Pricing Inputs'!$AT$3=2,7,IF('Pricing Inputs'!$AT$3=1,6,8))),FALSE())))</f>
        <v> </v>
      </c>
      <c r="P419" s="376" t="str">
        <f aca="false">IF(A419="N/A"," ",(VLOOKUP(A419,GasCurves,15,FALSE())))</f>
        <v> </v>
      </c>
    </row>
    <row r="420" customFormat="false" ht="12.75" hidden="false" customHeight="false" outlineLevel="0" collapsed="false">
      <c r="A420" s="368" t="str">
        <f aca="false">Calculations!A387</f>
        <v>N/A</v>
      </c>
      <c r="B420" s="369" t="str">
        <f aca="false">IF(A420="N/A"," ",IF(ISERROR(L420),B408*Inputs!$F$19,L420))</f>
        <v> </v>
      </c>
      <c r="C420" s="370" t="str">
        <f aca="false">IF(A420="N/A"," ",(IF(AND(MONTH(A420)&gt;=6,MONTH(A420)&lt;=8,OR($K$37="REGION 2",$K$37="REGION 2A",$K$37="REGION 2B",$K$37="REGION 3",$K$37="REGION 3A",$K$37="REGION 3B",$K$37="REGION 4",$K$37="REGION 4B",$K$37="REGION 4C",$K$37="REGION 5",$K$37="REGION 5A")),((0.059228/(B420/100))-(0.4980013/(SQRT(B420/100)))+2.137988),HLOOKUP(MONTH(A420),ScalarTable,28))))</f>
        <v> </v>
      </c>
      <c r="D420" s="371" t="str">
        <f aca="false">IF(A420="N/A"," ",C420*B420)</f>
        <v> </v>
      </c>
      <c r="E420" s="369" t="str">
        <f aca="false">IF(A420="N/A"," ",IF(ISERROR(M420),E408*Inputs!$F$19,M420))</f>
        <v> </v>
      </c>
      <c r="F420" s="371" t="str">
        <f aca="false">IF(A420="N/A"," ",E420*C420)</f>
        <v> </v>
      </c>
      <c r="G420" s="369" t="str">
        <f aca="false">IF(A420="N/A"," ",IF(ISERROR(N420),G408*Inputs!$F$19,N420))</f>
        <v> </v>
      </c>
      <c r="H420" s="371" t="str">
        <f aca="false">IF(A420="N/A"," ",G420*C420)</f>
        <v> </v>
      </c>
      <c r="I420" s="371" t="str">
        <f aca="false">IF(A420="N/A"," ",IF(ISERROR(O420),I408*Inputs!$F$19,O420))</f>
        <v> </v>
      </c>
      <c r="J420" s="372" t="str">
        <f aca="false">IF(A420="N/A"," ",IF(ISERROR(P420),J408*Inputs!$F$23,P420))</f>
        <v> </v>
      </c>
      <c r="L420" s="374" t="str">
        <f aca="false">IF(A420="N/A"," ",VLOOKUP(A420,PeakPowerCurves,(IF('Pricing Inputs'!$AT$3=2,3,IF('Pricing Inputs'!$AT$3=1,2,4))),FALSE()))</f>
        <v> </v>
      </c>
      <c r="M420" s="374" t="str">
        <f aca="false">IF(A420="N/A"," ",VLOOKUP(A420,SatSunPeakPwr,(IF('Pricing Inputs'!$AT$3=2,3,IF('Pricing Inputs'!$AT$3=1,2,4))),FALSE()))</f>
        <v> </v>
      </c>
      <c r="N420" s="374" t="str">
        <f aca="false">IF(A420="N/A"," ",VLOOKUP(A420,SatSunPeakPwr,(IF('Pricing Inputs'!$AT$3=2,7,IF('Pricing Inputs'!$AT$3=1,6,8))),FALSE()))</f>
        <v> </v>
      </c>
      <c r="O420" s="375" t="str">
        <f aca="false">IF(A420="N/A"," ",(VLOOKUP(A420,OPPowerPrices,(IF('Pricing Inputs'!$AT$3=2,7,IF('Pricing Inputs'!$AT$3=1,6,8))),FALSE())))</f>
        <v> </v>
      </c>
      <c r="P420" s="376" t="str">
        <f aca="false">IF(A420="N/A"," ",(VLOOKUP(A420,GasCurves,15,FALSE())))</f>
        <v> </v>
      </c>
    </row>
    <row r="421" customFormat="false" ht="12.75" hidden="false" customHeight="false" outlineLevel="0" collapsed="false">
      <c r="A421" s="368"/>
    </row>
    <row r="422" customFormat="false" ht="12.75" hidden="false" customHeight="false" outlineLevel="0" collapsed="false">
      <c r="A422" s="368"/>
    </row>
    <row r="423" customFormat="false" ht="12.75" hidden="false" customHeight="false" outlineLevel="0" collapsed="false">
      <c r="A423" s="368"/>
    </row>
    <row r="424" customFormat="false" ht="12.75" hidden="false" customHeight="false" outlineLevel="0" collapsed="false">
      <c r="A424" s="368"/>
    </row>
    <row r="425" customFormat="false" ht="12.75" hidden="false" customHeight="false" outlineLevel="0" collapsed="false">
      <c r="A425" s="368"/>
    </row>
    <row r="426" customFormat="false" ht="12.75" hidden="false" customHeight="false" outlineLevel="0" collapsed="false">
      <c r="A426" s="368"/>
    </row>
    <row r="427" customFormat="false" ht="12.75" hidden="false" customHeight="false" outlineLevel="0" collapsed="false">
      <c r="A427" s="368"/>
    </row>
    <row r="428" customFormat="false" ht="12.75" hidden="false" customHeight="false" outlineLevel="0" collapsed="false">
      <c r="A428" s="368"/>
    </row>
    <row r="429" customFormat="false" ht="12.75" hidden="false" customHeight="false" outlineLevel="0" collapsed="false">
      <c r="A429" s="368"/>
    </row>
    <row r="430" customFormat="false" ht="12.75" hidden="false" customHeight="false" outlineLevel="0" collapsed="false">
      <c r="A430" s="368"/>
    </row>
    <row r="431" customFormat="false" ht="12.75" hidden="false" customHeight="false" outlineLevel="0" collapsed="false">
      <c r="A431" s="368"/>
    </row>
    <row r="432" customFormat="false" ht="12.75" hidden="false" customHeight="false" outlineLevel="0" collapsed="false">
      <c r="A432" s="323"/>
    </row>
    <row r="433" customFormat="false" ht="12.75" hidden="false" customHeight="false" outlineLevel="0" collapsed="false">
      <c r="A433" s="323"/>
    </row>
    <row r="434" customFormat="false" ht="12.75" hidden="false" customHeight="false" outlineLevel="0" collapsed="false">
      <c r="A434" s="323"/>
    </row>
    <row r="435" customFormat="false" ht="12.75" hidden="false" customHeight="false" outlineLevel="0" collapsed="false">
      <c r="A435" s="323"/>
    </row>
    <row r="436" customFormat="false" ht="12.75" hidden="false" customHeight="false" outlineLevel="0" collapsed="false">
      <c r="A436" s="323"/>
    </row>
    <row r="437" customFormat="false" ht="12.75" hidden="false" customHeight="false" outlineLevel="0" collapsed="false">
      <c r="A437" s="323"/>
    </row>
    <row r="438" customFormat="false" ht="12.75" hidden="false" customHeight="false" outlineLevel="0" collapsed="false">
      <c r="A438" s="323"/>
    </row>
    <row r="439" customFormat="false" ht="12.75" hidden="false" customHeight="false" outlineLevel="0" collapsed="false">
      <c r="A439" s="323"/>
    </row>
    <row r="440" customFormat="false" ht="12.75" hidden="false" customHeight="false" outlineLevel="0" collapsed="false">
      <c r="A440" s="323"/>
    </row>
    <row r="441" customFormat="false" ht="12.75" hidden="false" customHeight="false" outlineLevel="0" collapsed="false">
      <c r="A441" s="323"/>
    </row>
    <row r="442" customFormat="false" ht="12.75" hidden="false" customHeight="false" outlineLevel="0" collapsed="false">
      <c r="A442" s="323"/>
    </row>
    <row r="443" customFormat="false" ht="12.75" hidden="false" customHeight="false" outlineLevel="0" collapsed="false">
      <c r="A443" s="323"/>
    </row>
    <row r="444" customFormat="false" ht="12.75" hidden="false" customHeight="false" outlineLevel="0" collapsed="false">
      <c r="A444" s="323"/>
    </row>
    <row r="445" customFormat="false" ht="12.75" hidden="false" customHeight="false" outlineLevel="0" collapsed="false">
      <c r="A445" s="323"/>
    </row>
    <row r="446" customFormat="false" ht="12.75" hidden="false" customHeight="false" outlineLevel="0" collapsed="false">
      <c r="A446" s="323"/>
    </row>
    <row r="447" customFormat="false" ht="12.75" hidden="false" customHeight="false" outlineLevel="0" collapsed="false">
      <c r="A447" s="323"/>
    </row>
    <row r="448" customFormat="false" ht="12.75" hidden="false" customHeight="false" outlineLevel="0" collapsed="false">
      <c r="A448" s="323"/>
    </row>
    <row r="449" customFormat="false" ht="12.75" hidden="false" customHeight="false" outlineLevel="0" collapsed="false">
      <c r="A449" s="323"/>
    </row>
    <row r="450" customFormat="false" ht="12.75" hidden="false" customHeight="false" outlineLevel="0" collapsed="false">
      <c r="A450" s="323"/>
    </row>
    <row r="451" customFormat="false" ht="12.75" hidden="false" customHeight="false" outlineLevel="0" collapsed="false">
      <c r="A451" s="323"/>
    </row>
    <row r="452" customFormat="false" ht="12.75" hidden="false" customHeight="false" outlineLevel="0" collapsed="false">
      <c r="A452" s="323"/>
    </row>
    <row r="453" customFormat="false" ht="12.75" hidden="false" customHeight="false" outlineLevel="0" collapsed="false">
      <c r="A453" s="323"/>
    </row>
    <row r="454" customFormat="false" ht="12.75" hidden="false" customHeight="false" outlineLevel="0" collapsed="false">
      <c r="A454" s="323"/>
    </row>
    <row r="455" customFormat="false" ht="12.75" hidden="false" customHeight="false" outlineLevel="0" collapsed="false">
      <c r="A455" s="323"/>
    </row>
    <row r="456" customFormat="false" ht="12.75" hidden="false" customHeight="false" outlineLevel="0" collapsed="false">
      <c r="A456" s="323"/>
    </row>
    <row r="457" customFormat="false" ht="12.75" hidden="false" customHeight="false" outlineLevel="0" collapsed="false">
      <c r="A457" s="323"/>
    </row>
    <row r="458" customFormat="false" ht="12.75" hidden="false" customHeight="false" outlineLevel="0" collapsed="false">
      <c r="A458" s="323"/>
    </row>
    <row r="459" customFormat="false" ht="12.75" hidden="false" customHeight="false" outlineLevel="0" collapsed="false">
      <c r="A459" s="323"/>
    </row>
    <row r="460" customFormat="false" ht="12.75" hidden="false" customHeight="false" outlineLevel="0" collapsed="false">
      <c r="A460" s="323"/>
    </row>
    <row r="461" customFormat="false" ht="12.75" hidden="false" customHeight="false" outlineLevel="0" collapsed="false">
      <c r="A461" s="323"/>
    </row>
    <row r="462" customFormat="false" ht="12.75" hidden="false" customHeight="false" outlineLevel="0" collapsed="false">
      <c r="A462" s="323"/>
    </row>
    <row r="463" customFormat="false" ht="12.75" hidden="false" customHeight="false" outlineLevel="0" collapsed="false">
      <c r="A463" s="323"/>
    </row>
    <row r="464" customFormat="false" ht="12.75" hidden="false" customHeight="false" outlineLevel="0" collapsed="false">
      <c r="A464" s="323"/>
    </row>
    <row r="465" customFormat="false" ht="12.75" hidden="false" customHeight="false" outlineLevel="0" collapsed="false">
      <c r="A465" s="323"/>
    </row>
    <row r="466" customFormat="false" ht="12.75" hidden="false" customHeight="false" outlineLevel="0" collapsed="false">
      <c r="A466" s="323"/>
    </row>
    <row r="467" customFormat="false" ht="12.75" hidden="false" customHeight="false" outlineLevel="0" collapsed="false">
      <c r="A467" s="323"/>
    </row>
    <row r="468" customFormat="false" ht="12.75" hidden="false" customHeight="false" outlineLevel="0" collapsed="false">
      <c r="A468" s="323"/>
    </row>
    <row r="469" customFormat="false" ht="12.75" hidden="false" customHeight="false" outlineLevel="0" collapsed="false">
      <c r="A469" s="323"/>
    </row>
    <row r="470" customFormat="false" ht="12.75" hidden="false" customHeight="false" outlineLevel="0" collapsed="false">
      <c r="A470" s="323"/>
    </row>
    <row r="471" customFormat="false" ht="12.75" hidden="false" customHeight="false" outlineLevel="0" collapsed="false">
      <c r="A471" s="323"/>
    </row>
    <row r="472" customFormat="false" ht="12.75" hidden="false" customHeight="false" outlineLevel="0" collapsed="false">
      <c r="A472" s="323"/>
    </row>
    <row r="473" customFormat="false" ht="12.75" hidden="false" customHeight="false" outlineLevel="0" collapsed="false">
      <c r="A473" s="323"/>
    </row>
    <row r="474" customFormat="false" ht="12.75" hidden="false" customHeight="false" outlineLevel="0" collapsed="false">
      <c r="A474" s="323"/>
    </row>
    <row r="475" customFormat="false" ht="12.75" hidden="false" customHeight="false" outlineLevel="0" collapsed="false">
      <c r="A475" s="323"/>
    </row>
    <row r="476" customFormat="false" ht="12.75" hidden="false" customHeight="false" outlineLevel="0" collapsed="false">
      <c r="A476" s="323"/>
    </row>
    <row r="477" customFormat="false" ht="12.75" hidden="false" customHeight="false" outlineLevel="0" collapsed="false">
      <c r="A477" s="323"/>
    </row>
    <row r="478" customFormat="false" ht="12.75" hidden="false" customHeight="false" outlineLevel="0" collapsed="false">
      <c r="A478" s="323"/>
    </row>
    <row r="479" customFormat="false" ht="12.75" hidden="false" customHeight="false" outlineLevel="0" collapsed="false">
      <c r="A479" s="323"/>
    </row>
    <row r="480" customFormat="false" ht="12.75" hidden="false" customHeight="false" outlineLevel="0" collapsed="false">
      <c r="A480" s="323"/>
    </row>
    <row r="481" customFormat="false" ht="12.75" hidden="false" customHeight="false" outlineLevel="0" collapsed="false">
      <c r="A481" s="323"/>
    </row>
    <row r="482" customFormat="false" ht="12.75" hidden="false" customHeight="false" outlineLevel="0" collapsed="false">
      <c r="A482" s="323"/>
    </row>
    <row r="483" customFormat="false" ht="12.75" hidden="false" customHeight="false" outlineLevel="0" collapsed="false">
      <c r="A483" s="323"/>
    </row>
    <row r="484" customFormat="false" ht="12.75" hidden="false" customHeight="false" outlineLevel="0" collapsed="false">
      <c r="A484" s="323"/>
    </row>
    <row r="485" customFormat="false" ht="12.75" hidden="false" customHeight="false" outlineLevel="0" collapsed="false">
      <c r="A485" s="323"/>
    </row>
    <row r="486" customFormat="false" ht="12.75" hidden="false" customHeight="false" outlineLevel="0" collapsed="false">
      <c r="A486" s="323"/>
    </row>
    <row r="487" customFormat="false" ht="12.75" hidden="false" customHeight="false" outlineLevel="0" collapsed="false">
      <c r="A487" s="323"/>
    </row>
    <row r="488" customFormat="false" ht="12.75" hidden="false" customHeight="false" outlineLevel="0" collapsed="false">
      <c r="A488" s="323"/>
    </row>
    <row r="489" customFormat="false" ht="12.75" hidden="false" customHeight="false" outlineLevel="0" collapsed="false">
      <c r="A489" s="323"/>
    </row>
    <row r="490" customFormat="false" ht="12.75" hidden="false" customHeight="false" outlineLevel="0" collapsed="false">
      <c r="A490" s="323"/>
    </row>
    <row r="491" customFormat="false" ht="12.75" hidden="false" customHeight="false" outlineLevel="0" collapsed="false">
      <c r="A491" s="323"/>
    </row>
    <row r="492" customFormat="false" ht="12.75" hidden="false" customHeight="false" outlineLevel="0" collapsed="false">
      <c r="A492" s="323"/>
    </row>
    <row r="493" customFormat="false" ht="12.75" hidden="false" customHeight="false" outlineLevel="0" collapsed="false">
      <c r="A493" s="323"/>
    </row>
    <row r="494" customFormat="false" ht="12.75" hidden="false" customHeight="false" outlineLevel="0" collapsed="false">
      <c r="A494" s="323"/>
    </row>
    <row r="495" customFormat="false" ht="12.75" hidden="false" customHeight="false" outlineLevel="0" collapsed="false">
      <c r="A495" s="323"/>
    </row>
    <row r="496" customFormat="false" ht="12.75" hidden="false" customHeight="false" outlineLevel="0" collapsed="false">
      <c r="A496" s="323"/>
    </row>
    <row r="497" customFormat="false" ht="12.75" hidden="false" customHeight="false" outlineLevel="0" collapsed="false">
      <c r="A497" s="323"/>
    </row>
    <row r="498" customFormat="false" ht="12.75" hidden="false" customHeight="false" outlineLevel="0" collapsed="false">
      <c r="A498" s="323"/>
    </row>
    <row r="499" customFormat="false" ht="12.75" hidden="false" customHeight="false" outlineLevel="0" collapsed="false">
      <c r="A499" s="323"/>
    </row>
    <row r="500" customFormat="false" ht="12.75" hidden="false" customHeight="false" outlineLevel="0" collapsed="false">
      <c r="A500" s="323"/>
    </row>
    <row r="501" customFormat="false" ht="12.75" hidden="false" customHeight="false" outlineLevel="0" collapsed="false">
      <c r="A501" s="323"/>
    </row>
    <row r="502" customFormat="false" ht="12.75" hidden="false" customHeight="false" outlineLevel="0" collapsed="false">
      <c r="A502" s="323"/>
    </row>
    <row r="503" customFormat="false" ht="12.75" hidden="false" customHeight="false" outlineLevel="0" collapsed="false">
      <c r="A503" s="323"/>
    </row>
    <row r="504" customFormat="false" ht="12.75" hidden="false" customHeight="false" outlineLevel="0" collapsed="false">
      <c r="A504" s="323"/>
    </row>
    <row r="505" customFormat="false" ht="12.75" hidden="false" customHeight="false" outlineLevel="0" collapsed="false">
      <c r="A505" s="323"/>
    </row>
    <row r="506" customFormat="false" ht="12.75" hidden="false" customHeight="false" outlineLevel="0" collapsed="false">
      <c r="A506" s="323"/>
    </row>
    <row r="507" customFormat="false" ht="12.75" hidden="false" customHeight="false" outlineLevel="0" collapsed="false">
      <c r="A507" s="323"/>
    </row>
    <row r="508" customFormat="false" ht="12.75" hidden="false" customHeight="false" outlineLevel="0" collapsed="false">
      <c r="A508" s="323"/>
    </row>
    <row r="509" customFormat="false" ht="12.75" hidden="false" customHeight="false" outlineLevel="0" collapsed="false">
      <c r="A509" s="323"/>
    </row>
    <row r="510" customFormat="false" ht="12.75" hidden="false" customHeight="false" outlineLevel="0" collapsed="false">
      <c r="A510" s="323"/>
    </row>
    <row r="511" customFormat="false" ht="12.75" hidden="false" customHeight="false" outlineLevel="0" collapsed="false">
      <c r="A511" s="323"/>
    </row>
    <row r="512" customFormat="false" ht="12.75" hidden="false" customHeight="false" outlineLevel="0" collapsed="false">
      <c r="A512" s="323"/>
    </row>
    <row r="513" customFormat="false" ht="12.75" hidden="false" customHeight="false" outlineLevel="0" collapsed="false">
      <c r="A513" s="323"/>
    </row>
    <row r="514" customFormat="false" ht="12.75" hidden="false" customHeight="false" outlineLevel="0" collapsed="false">
      <c r="A514" s="323"/>
    </row>
    <row r="515" customFormat="false" ht="12.75" hidden="false" customHeight="false" outlineLevel="0" collapsed="false">
      <c r="A515" s="323"/>
    </row>
    <row r="516" customFormat="false" ht="12.75" hidden="false" customHeight="false" outlineLevel="0" collapsed="false">
      <c r="A516" s="323"/>
    </row>
    <row r="517" customFormat="false" ht="12.75" hidden="false" customHeight="false" outlineLevel="0" collapsed="false">
      <c r="A517" s="323"/>
    </row>
    <row r="518" customFormat="false" ht="12.75" hidden="false" customHeight="false" outlineLevel="0" collapsed="false">
      <c r="A518" s="323"/>
    </row>
    <row r="519" customFormat="false" ht="12.75" hidden="false" customHeight="false" outlineLevel="0" collapsed="false">
      <c r="A519" s="323"/>
    </row>
    <row r="520" customFormat="false" ht="12.75" hidden="false" customHeight="false" outlineLevel="0" collapsed="false">
      <c r="A520" s="323"/>
    </row>
    <row r="521" customFormat="false" ht="12.75" hidden="false" customHeight="false" outlineLevel="0" collapsed="false">
      <c r="A521" s="323"/>
    </row>
    <row r="522" customFormat="false" ht="12.75" hidden="false" customHeight="false" outlineLevel="0" collapsed="false">
      <c r="A522" s="323"/>
    </row>
    <row r="523" customFormat="false" ht="12.75" hidden="false" customHeight="false" outlineLevel="0" collapsed="false">
      <c r="A523" s="323"/>
    </row>
    <row r="524" customFormat="false" ht="12.75" hidden="false" customHeight="false" outlineLevel="0" collapsed="false">
      <c r="A524" s="323"/>
    </row>
    <row r="525" customFormat="false" ht="12.75" hidden="false" customHeight="false" outlineLevel="0" collapsed="false">
      <c r="A525" s="323"/>
    </row>
    <row r="526" customFormat="false" ht="12.75" hidden="false" customHeight="false" outlineLevel="0" collapsed="false">
      <c r="A526" s="323"/>
    </row>
    <row r="527" customFormat="false" ht="12.75" hidden="false" customHeight="false" outlineLevel="0" collapsed="false">
      <c r="A527" s="323"/>
    </row>
    <row r="528" customFormat="false" ht="12.75" hidden="false" customHeight="false" outlineLevel="0" collapsed="false">
      <c r="A528" s="323"/>
    </row>
    <row r="529" customFormat="false" ht="12.75" hidden="false" customHeight="false" outlineLevel="0" collapsed="false">
      <c r="A529" s="323"/>
    </row>
    <row r="530" customFormat="false" ht="12.75" hidden="false" customHeight="false" outlineLevel="0" collapsed="false">
      <c r="A530" s="323"/>
    </row>
    <row r="531" customFormat="false" ht="12.75" hidden="false" customHeight="false" outlineLevel="0" collapsed="false">
      <c r="A531" s="323"/>
    </row>
    <row r="532" customFormat="false" ht="12.75" hidden="false" customHeight="false" outlineLevel="0" collapsed="false">
      <c r="A532" s="323"/>
    </row>
    <row r="533" customFormat="false" ht="12.75" hidden="false" customHeight="false" outlineLevel="0" collapsed="false">
      <c r="A533" s="323"/>
    </row>
    <row r="534" customFormat="false" ht="12.75" hidden="false" customHeight="false" outlineLevel="0" collapsed="false">
      <c r="A534" s="323"/>
    </row>
    <row r="535" customFormat="false" ht="12.75" hidden="false" customHeight="false" outlineLevel="0" collapsed="false">
      <c r="A535" s="323"/>
    </row>
    <row r="536" customFormat="false" ht="12.75" hidden="false" customHeight="false" outlineLevel="0" collapsed="false">
      <c r="A536" s="323"/>
    </row>
    <row r="537" customFormat="false" ht="12.75" hidden="false" customHeight="false" outlineLevel="0" collapsed="false">
      <c r="A537" s="323"/>
    </row>
    <row r="538" customFormat="false" ht="12.75" hidden="false" customHeight="false" outlineLevel="0" collapsed="false">
      <c r="A538" s="323"/>
    </row>
    <row r="539" customFormat="false" ht="12.75" hidden="false" customHeight="false" outlineLevel="0" collapsed="false">
      <c r="A539" s="323"/>
    </row>
    <row r="540" customFormat="false" ht="12.75" hidden="false" customHeight="false" outlineLevel="0" collapsed="false">
      <c r="A540" s="323"/>
    </row>
    <row r="541" customFormat="false" ht="12.75" hidden="false" customHeight="false" outlineLevel="0" collapsed="false">
      <c r="A541" s="323"/>
    </row>
    <row r="542" customFormat="false" ht="12.75" hidden="false" customHeight="false" outlineLevel="0" collapsed="false">
      <c r="A542" s="323"/>
    </row>
    <row r="543" customFormat="false" ht="12.75" hidden="false" customHeight="false" outlineLevel="0" collapsed="false">
      <c r="A543" s="323"/>
    </row>
    <row r="544" customFormat="false" ht="12.75" hidden="false" customHeight="false" outlineLevel="0" collapsed="false">
      <c r="A544" s="323"/>
    </row>
    <row r="545" customFormat="false" ht="12.75" hidden="false" customHeight="false" outlineLevel="0" collapsed="false">
      <c r="A545" s="323"/>
    </row>
    <row r="546" customFormat="false" ht="12.75" hidden="false" customHeight="false" outlineLevel="0" collapsed="false">
      <c r="A546" s="323"/>
    </row>
    <row r="547" customFormat="false" ht="12.75" hidden="false" customHeight="false" outlineLevel="0" collapsed="false">
      <c r="A547" s="323"/>
    </row>
    <row r="548" customFormat="false" ht="12.75" hidden="false" customHeight="false" outlineLevel="0" collapsed="false">
      <c r="A548" s="323"/>
    </row>
    <row r="549" customFormat="false" ht="12.75" hidden="false" customHeight="false" outlineLevel="0" collapsed="false">
      <c r="A549" s="323"/>
    </row>
    <row r="550" customFormat="false" ht="12.75" hidden="false" customHeight="false" outlineLevel="0" collapsed="false">
      <c r="A550" s="323"/>
    </row>
    <row r="551" customFormat="false" ht="12.75" hidden="false" customHeight="false" outlineLevel="0" collapsed="false">
      <c r="A551" s="323"/>
    </row>
    <row r="552" customFormat="false" ht="12.75" hidden="false" customHeight="false" outlineLevel="0" collapsed="false">
      <c r="A552" s="323"/>
    </row>
    <row r="553" customFormat="false" ht="12.75" hidden="false" customHeight="false" outlineLevel="0" collapsed="false">
      <c r="A553" s="323"/>
    </row>
    <row r="554" customFormat="false" ht="12.75" hidden="false" customHeight="false" outlineLevel="0" collapsed="false">
      <c r="A554" s="323"/>
    </row>
    <row r="555" customFormat="false" ht="12.75" hidden="false" customHeight="false" outlineLevel="0" collapsed="false">
      <c r="A555" s="323"/>
    </row>
    <row r="556" customFormat="false" ht="12.75" hidden="false" customHeight="false" outlineLevel="0" collapsed="false">
      <c r="A556" s="323"/>
    </row>
    <row r="557" customFormat="false" ht="12.75" hidden="false" customHeight="false" outlineLevel="0" collapsed="false">
      <c r="A557" s="323"/>
    </row>
    <row r="558" customFormat="false" ht="12.75" hidden="false" customHeight="false" outlineLevel="0" collapsed="false">
      <c r="A558" s="323"/>
    </row>
    <row r="559" customFormat="false" ht="12.75" hidden="false" customHeight="false" outlineLevel="0" collapsed="false">
      <c r="A559" s="323"/>
    </row>
    <row r="560" customFormat="false" ht="12.75" hidden="false" customHeight="false" outlineLevel="0" collapsed="false">
      <c r="A560" s="323"/>
    </row>
    <row r="561" customFormat="false" ht="12.75" hidden="false" customHeight="false" outlineLevel="0" collapsed="false">
      <c r="A561" s="323"/>
    </row>
    <row r="562" customFormat="false" ht="12.75" hidden="false" customHeight="false" outlineLevel="0" collapsed="false">
      <c r="A562" s="323"/>
    </row>
    <row r="563" customFormat="false" ht="12.75" hidden="false" customHeight="false" outlineLevel="0" collapsed="false">
      <c r="A563" s="323"/>
    </row>
    <row r="564" customFormat="false" ht="12.75" hidden="false" customHeight="false" outlineLevel="0" collapsed="false">
      <c r="A564" s="323"/>
    </row>
    <row r="565" customFormat="false" ht="12.75" hidden="false" customHeight="false" outlineLevel="0" collapsed="false">
      <c r="A565" s="323"/>
    </row>
    <row r="566" customFormat="false" ht="12.75" hidden="false" customHeight="false" outlineLevel="0" collapsed="false">
      <c r="A566" s="323"/>
    </row>
    <row r="567" customFormat="false" ht="12.75" hidden="false" customHeight="false" outlineLevel="0" collapsed="false">
      <c r="A567" s="323"/>
    </row>
    <row r="568" customFormat="false" ht="12.75" hidden="false" customHeight="false" outlineLevel="0" collapsed="false">
      <c r="A568" s="323"/>
    </row>
    <row r="569" customFormat="false" ht="12.75" hidden="false" customHeight="false" outlineLevel="0" collapsed="false">
      <c r="A569" s="323"/>
    </row>
    <row r="570" customFormat="false" ht="12.75" hidden="false" customHeight="false" outlineLevel="0" collapsed="false">
      <c r="A570" s="323"/>
    </row>
    <row r="571" customFormat="false" ht="12.75" hidden="false" customHeight="false" outlineLevel="0" collapsed="false">
      <c r="A571" s="323"/>
    </row>
    <row r="572" customFormat="false" ht="12.75" hidden="false" customHeight="false" outlineLevel="0" collapsed="false">
      <c r="A572" s="323"/>
    </row>
    <row r="573" customFormat="false" ht="12.75" hidden="false" customHeight="false" outlineLevel="0" collapsed="false">
      <c r="A573" s="323"/>
    </row>
    <row r="574" customFormat="false" ht="12.75" hidden="false" customHeight="false" outlineLevel="0" collapsed="false">
      <c r="A574" s="323"/>
    </row>
    <row r="575" customFormat="false" ht="12.75" hidden="false" customHeight="false" outlineLevel="0" collapsed="false">
      <c r="A575" s="323"/>
    </row>
    <row r="576" customFormat="false" ht="12.75" hidden="false" customHeight="false" outlineLevel="0" collapsed="false">
      <c r="A576" s="323"/>
    </row>
    <row r="577" customFormat="false" ht="12.75" hidden="false" customHeight="false" outlineLevel="0" collapsed="false">
      <c r="A577" s="323"/>
    </row>
    <row r="578" customFormat="false" ht="12.75" hidden="false" customHeight="false" outlineLevel="0" collapsed="false">
      <c r="A578" s="323"/>
    </row>
    <row r="579" customFormat="false" ht="12.75" hidden="false" customHeight="false" outlineLevel="0" collapsed="false">
      <c r="A579" s="323"/>
    </row>
    <row r="580" customFormat="false" ht="12.75" hidden="false" customHeight="false" outlineLevel="0" collapsed="false">
      <c r="A580" s="323"/>
    </row>
    <row r="581" customFormat="false" ht="12.75" hidden="false" customHeight="false" outlineLevel="0" collapsed="false">
      <c r="A581" s="323"/>
    </row>
    <row r="582" customFormat="false" ht="12.75" hidden="false" customHeight="false" outlineLevel="0" collapsed="false">
      <c r="A582" s="323"/>
    </row>
    <row r="583" customFormat="false" ht="12.75" hidden="false" customHeight="false" outlineLevel="0" collapsed="false">
      <c r="A583" s="323"/>
    </row>
    <row r="584" customFormat="false" ht="12.75" hidden="false" customHeight="false" outlineLevel="0" collapsed="false">
      <c r="A584" s="323"/>
    </row>
    <row r="585" customFormat="false" ht="12.75" hidden="false" customHeight="false" outlineLevel="0" collapsed="false">
      <c r="A585" s="323"/>
    </row>
    <row r="586" customFormat="false" ht="12.75" hidden="false" customHeight="false" outlineLevel="0" collapsed="false">
      <c r="A586" s="323"/>
    </row>
    <row r="587" customFormat="false" ht="12.75" hidden="false" customHeight="false" outlineLevel="0" collapsed="false">
      <c r="A587" s="323"/>
    </row>
    <row r="588" customFormat="false" ht="12.75" hidden="false" customHeight="false" outlineLevel="0" collapsed="false">
      <c r="A588" s="323"/>
    </row>
    <row r="589" customFormat="false" ht="12.75" hidden="false" customHeight="false" outlineLevel="0" collapsed="false">
      <c r="A589" s="323"/>
    </row>
    <row r="590" customFormat="false" ht="12.75" hidden="false" customHeight="false" outlineLevel="0" collapsed="false">
      <c r="A590" s="323"/>
    </row>
    <row r="591" customFormat="false" ht="12.75" hidden="false" customHeight="false" outlineLevel="0" collapsed="false">
      <c r="A591" s="323"/>
    </row>
    <row r="592" customFormat="false" ht="12.75" hidden="false" customHeight="false" outlineLevel="0" collapsed="false">
      <c r="A592" s="323"/>
    </row>
    <row r="593" customFormat="false" ht="12.75" hidden="false" customHeight="false" outlineLevel="0" collapsed="false">
      <c r="A593" s="323"/>
    </row>
    <row r="594" customFormat="false" ht="12.75" hidden="false" customHeight="false" outlineLevel="0" collapsed="false">
      <c r="A594" s="323"/>
    </row>
    <row r="595" customFormat="false" ht="12.75" hidden="false" customHeight="false" outlineLevel="0" collapsed="false">
      <c r="A595" s="323"/>
    </row>
    <row r="596" customFormat="false" ht="12.75" hidden="false" customHeight="false" outlineLevel="0" collapsed="false">
      <c r="A596" s="323"/>
    </row>
    <row r="597" customFormat="false" ht="12.75" hidden="false" customHeight="false" outlineLevel="0" collapsed="false">
      <c r="A597" s="323"/>
    </row>
    <row r="598" customFormat="false" ht="12.75" hidden="false" customHeight="false" outlineLevel="0" collapsed="false">
      <c r="A598" s="323"/>
    </row>
    <row r="599" customFormat="false" ht="12.75" hidden="false" customHeight="false" outlineLevel="0" collapsed="false">
      <c r="A599" s="323"/>
    </row>
    <row r="600" customFormat="false" ht="12.75" hidden="false" customHeight="false" outlineLevel="0" collapsed="false">
      <c r="A600" s="323"/>
    </row>
    <row r="601" customFormat="false" ht="12.75" hidden="false" customHeight="false" outlineLevel="0" collapsed="false">
      <c r="A601" s="323"/>
    </row>
    <row r="602" customFormat="false" ht="12.75" hidden="false" customHeight="false" outlineLevel="0" collapsed="false">
      <c r="A602" s="323"/>
    </row>
    <row r="603" customFormat="false" ht="12.75" hidden="false" customHeight="false" outlineLevel="0" collapsed="false">
      <c r="A603" s="323"/>
    </row>
    <row r="604" customFormat="false" ht="12.75" hidden="false" customHeight="false" outlineLevel="0" collapsed="false">
      <c r="A604" s="323"/>
    </row>
    <row r="605" customFormat="false" ht="12.75" hidden="false" customHeight="false" outlineLevel="0" collapsed="false">
      <c r="A605" s="323"/>
    </row>
    <row r="606" customFormat="false" ht="12.75" hidden="false" customHeight="false" outlineLevel="0" collapsed="false">
      <c r="A606" s="323"/>
    </row>
    <row r="607" customFormat="false" ht="12.75" hidden="false" customHeight="false" outlineLevel="0" collapsed="false">
      <c r="A607" s="323"/>
    </row>
    <row r="608" customFormat="false" ht="12.75" hidden="false" customHeight="false" outlineLevel="0" collapsed="false">
      <c r="A608" s="323"/>
    </row>
    <row r="609" customFormat="false" ht="12.75" hidden="false" customHeight="false" outlineLevel="0" collapsed="false">
      <c r="A609" s="323"/>
    </row>
    <row r="610" customFormat="false" ht="12.75" hidden="false" customHeight="false" outlineLevel="0" collapsed="false">
      <c r="A610" s="323"/>
    </row>
    <row r="611" customFormat="false" ht="12.75" hidden="false" customHeight="false" outlineLevel="0" collapsed="false">
      <c r="A611" s="323"/>
    </row>
    <row r="612" customFormat="false" ht="12.75" hidden="false" customHeight="false" outlineLevel="0" collapsed="false">
      <c r="A612" s="323"/>
    </row>
    <row r="613" customFormat="false" ht="12.75" hidden="false" customHeight="false" outlineLevel="0" collapsed="false">
      <c r="A613" s="323"/>
    </row>
    <row r="614" customFormat="false" ht="12.75" hidden="false" customHeight="false" outlineLevel="0" collapsed="false">
      <c r="A614" s="323"/>
    </row>
    <row r="615" customFormat="false" ht="12.75" hidden="false" customHeight="false" outlineLevel="0" collapsed="false">
      <c r="A615" s="323"/>
    </row>
    <row r="616" customFormat="false" ht="12.75" hidden="false" customHeight="false" outlineLevel="0" collapsed="false">
      <c r="A616" s="323"/>
    </row>
    <row r="617" customFormat="false" ht="12.75" hidden="false" customHeight="false" outlineLevel="0" collapsed="false">
      <c r="A617" s="323"/>
    </row>
    <row r="618" customFormat="false" ht="12.75" hidden="false" customHeight="false" outlineLevel="0" collapsed="false">
      <c r="A618" s="323"/>
    </row>
    <row r="619" customFormat="false" ht="12.75" hidden="false" customHeight="false" outlineLevel="0" collapsed="false">
      <c r="A619" s="323"/>
    </row>
    <row r="620" customFormat="false" ht="12.75" hidden="false" customHeight="false" outlineLevel="0" collapsed="false">
      <c r="A620" s="323"/>
    </row>
    <row r="621" customFormat="false" ht="12.75" hidden="false" customHeight="false" outlineLevel="0" collapsed="false">
      <c r="A621" s="323"/>
    </row>
    <row r="622" customFormat="false" ht="12.75" hidden="false" customHeight="false" outlineLevel="0" collapsed="false">
      <c r="A622" s="323"/>
    </row>
    <row r="623" customFormat="false" ht="12.75" hidden="false" customHeight="false" outlineLevel="0" collapsed="false">
      <c r="A623" s="323"/>
    </row>
    <row r="624" customFormat="false" ht="12.75" hidden="false" customHeight="false" outlineLevel="0" collapsed="false">
      <c r="A624" s="323"/>
    </row>
    <row r="625" customFormat="false" ht="12.75" hidden="false" customHeight="false" outlineLevel="0" collapsed="false">
      <c r="A625" s="323"/>
    </row>
    <row r="626" customFormat="false" ht="12.75" hidden="false" customHeight="false" outlineLevel="0" collapsed="false">
      <c r="A626" s="323"/>
    </row>
    <row r="627" customFormat="false" ht="12.75" hidden="false" customHeight="false" outlineLevel="0" collapsed="false">
      <c r="A627" s="323"/>
    </row>
    <row r="628" customFormat="false" ht="12.75" hidden="false" customHeight="false" outlineLevel="0" collapsed="false">
      <c r="A628" s="323"/>
    </row>
    <row r="629" customFormat="false" ht="12.75" hidden="false" customHeight="false" outlineLevel="0" collapsed="false">
      <c r="A629" s="323"/>
    </row>
    <row r="630" customFormat="false" ht="12.75" hidden="false" customHeight="false" outlineLevel="0" collapsed="false">
      <c r="A630" s="323"/>
    </row>
    <row r="631" customFormat="false" ht="12.75" hidden="false" customHeight="false" outlineLevel="0" collapsed="false">
      <c r="A631" s="323"/>
    </row>
    <row r="632" customFormat="false" ht="12.75" hidden="false" customHeight="false" outlineLevel="0" collapsed="false">
      <c r="A632" s="323"/>
    </row>
    <row r="633" customFormat="false" ht="12.75" hidden="false" customHeight="false" outlineLevel="0" collapsed="false">
      <c r="A633" s="323"/>
    </row>
    <row r="634" customFormat="false" ht="12.75" hidden="false" customHeight="false" outlineLevel="0" collapsed="false">
      <c r="A634" s="323"/>
    </row>
    <row r="635" customFormat="false" ht="12.75" hidden="false" customHeight="false" outlineLevel="0" collapsed="false">
      <c r="A635" s="323"/>
    </row>
    <row r="636" customFormat="false" ht="12.75" hidden="false" customHeight="false" outlineLevel="0" collapsed="false">
      <c r="A636" s="323"/>
    </row>
    <row r="637" customFormat="false" ht="12.75" hidden="false" customHeight="false" outlineLevel="0" collapsed="false">
      <c r="A637" s="323"/>
    </row>
    <row r="638" customFormat="false" ht="12.75" hidden="false" customHeight="false" outlineLevel="0" collapsed="false">
      <c r="A638" s="323"/>
    </row>
    <row r="639" customFormat="false" ht="12.75" hidden="false" customHeight="false" outlineLevel="0" collapsed="false">
      <c r="A639" s="323"/>
    </row>
    <row r="640" customFormat="false" ht="12.75" hidden="false" customHeight="false" outlineLevel="0" collapsed="false">
      <c r="A640" s="323"/>
    </row>
    <row r="641" customFormat="false" ht="12.75" hidden="false" customHeight="false" outlineLevel="0" collapsed="false">
      <c r="A641" s="323"/>
    </row>
    <row r="642" customFormat="false" ht="12.75" hidden="false" customHeight="false" outlineLevel="0" collapsed="false">
      <c r="A642" s="323"/>
    </row>
    <row r="643" customFormat="false" ht="12.75" hidden="false" customHeight="false" outlineLevel="0" collapsed="false">
      <c r="A643" s="323"/>
    </row>
    <row r="644" customFormat="false" ht="12.75" hidden="false" customHeight="false" outlineLevel="0" collapsed="false">
      <c r="A644" s="323"/>
    </row>
    <row r="645" customFormat="false" ht="12.75" hidden="false" customHeight="false" outlineLevel="0" collapsed="false">
      <c r="A645" s="323"/>
    </row>
    <row r="646" customFormat="false" ht="12.75" hidden="false" customHeight="false" outlineLevel="0" collapsed="false">
      <c r="A646" s="323"/>
    </row>
    <row r="647" customFormat="false" ht="12.75" hidden="false" customHeight="false" outlineLevel="0" collapsed="false">
      <c r="A647" s="323"/>
    </row>
    <row r="648" customFormat="false" ht="12.75" hidden="false" customHeight="false" outlineLevel="0" collapsed="false">
      <c r="A648" s="323"/>
    </row>
    <row r="649" customFormat="false" ht="12.75" hidden="false" customHeight="false" outlineLevel="0" collapsed="false">
      <c r="A649" s="323"/>
    </row>
    <row r="650" customFormat="false" ht="12.75" hidden="false" customHeight="false" outlineLevel="0" collapsed="false">
      <c r="A650" s="323"/>
    </row>
    <row r="651" customFormat="false" ht="12.75" hidden="false" customHeight="false" outlineLevel="0" collapsed="false">
      <c r="A651" s="323"/>
    </row>
    <row r="652" customFormat="false" ht="12.75" hidden="false" customHeight="false" outlineLevel="0" collapsed="false">
      <c r="A652" s="323"/>
    </row>
    <row r="653" customFormat="false" ht="12.75" hidden="false" customHeight="false" outlineLevel="0" collapsed="false">
      <c r="A653" s="323"/>
    </row>
    <row r="654" customFormat="false" ht="12.75" hidden="false" customHeight="false" outlineLevel="0" collapsed="false">
      <c r="A654" s="323"/>
    </row>
    <row r="655" customFormat="false" ht="12.75" hidden="false" customHeight="false" outlineLevel="0" collapsed="false">
      <c r="A655" s="323"/>
    </row>
    <row r="656" customFormat="false" ht="12.75" hidden="false" customHeight="false" outlineLevel="0" collapsed="false">
      <c r="A656" s="323"/>
    </row>
    <row r="657" customFormat="false" ht="12.75" hidden="false" customHeight="false" outlineLevel="0" collapsed="false">
      <c r="A657" s="323"/>
    </row>
    <row r="658" customFormat="false" ht="12.75" hidden="false" customHeight="false" outlineLevel="0" collapsed="false">
      <c r="A658" s="323"/>
    </row>
    <row r="659" customFormat="false" ht="12.75" hidden="false" customHeight="false" outlineLevel="0" collapsed="false">
      <c r="A659" s="323"/>
    </row>
    <row r="660" customFormat="false" ht="12.75" hidden="false" customHeight="false" outlineLevel="0" collapsed="false">
      <c r="A660" s="323"/>
    </row>
    <row r="661" customFormat="false" ht="12.75" hidden="false" customHeight="false" outlineLevel="0" collapsed="false">
      <c r="A661" s="323"/>
    </row>
    <row r="662" customFormat="false" ht="12.75" hidden="false" customHeight="false" outlineLevel="0" collapsed="false">
      <c r="A662" s="323"/>
    </row>
    <row r="663" customFormat="false" ht="12.75" hidden="false" customHeight="false" outlineLevel="0" collapsed="false">
      <c r="A663" s="323"/>
    </row>
    <row r="664" customFormat="false" ht="12.75" hidden="false" customHeight="false" outlineLevel="0" collapsed="false">
      <c r="A664" s="323"/>
    </row>
    <row r="665" customFormat="false" ht="12.75" hidden="false" customHeight="false" outlineLevel="0" collapsed="false">
      <c r="A665" s="323"/>
    </row>
    <row r="666" customFormat="false" ht="12.75" hidden="false" customHeight="false" outlineLevel="0" collapsed="false">
      <c r="A666" s="323"/>
    </row>
    <row r="667" customFormat="false" ht="12.75" hidden="false" customHeight="false" outlineLevel="0" collapsed="false">
      <c r="A667" s="323"/>
    </row>
    <row r="668" customFormat="false" ht="12.75" hidden="false" customHeight="false" outlineLevel="0" collapsed="false">
      <c r="A668" s="323"/>
    </row>
    <row r="669" customFormat="false" ht="12.75" hidden="false" customHeight="false" outlineLevel="0" collapsed="false">
      <c r="A669" s="323"/>
    </row>
    <row r="670" customFormat="false" ht="12.75" hidden="false" customHeight="false" outlineLevel="0" collapsed="false">
      <c r="A670" s="323"/>
    </row>
    <row r="671" customFormat="false" ht="12.75" hidden="false" customHeight="false" outlineLevel="0" collapsed="false">
      <c r="A671" s="323"/>
    </row>
    <row r="672" customFormat="false" ht="12.75" hidden="false" customHeight="false" outlineLevel="0" collapsed="false">
      <c r="A672" s="323"/>
    </row>
    <row r="673" customFormat="false" ht="12.75" hidden="false" customHeight="false" outlineLevel="0" collapsed="false">
      <c r="A673" s="323"/>
    </row>
    <row r="674" customFormat="false" ht="12.75" hidden="false" customHeight="false" outlineLevel="0" collapsed="false">
      <c r="A674" s="323"/>
    </row>
    <row r="675" customFormat="false" ht="12.75" hidden="false" customHeight="false" outlineLevel="0" collapsed="false">
      <c r="A675" s="323"/>
    </row>
    <row r="676" customFormat="false" ht="12.75" hidden="false" customHeight="false" outlineLevel="0" collapsed="false">
      <c r="A676" s="323"/>
    </row>
    <row r="677" customFormat="false" ht="12.75" hidden="false" customHeight="false" outlineLevel="0" collapsed="false">
      <c r="A677" s="323"/>
    </row>
    <row r="678" customFormat="false" ht="12.75" hidden="false" customHeight="false" outlineLevel="0" collapsed="false">
      <c r="A678" s="323"/>
    </row>
    <row r="679" customFormat="false" ht="12.75" hidden="false" customHeight="false" outlineLevel="0" collapsed="false">
      <c r="A679" s="323"/>
    </row>
    <row r="680" customFormat="false" ht="12.75" hidden="false" customHeight="false" outlineLevel="0" collapsed="false">
      <c r="A680" s="323"/>
    </row>
    <row r="681" customFormat="false" ht="12.75" hidden="false" customHeight="false" outlineLevel="0" collapsed="false">
      <c r="A681" s="323"/>
    </row>
    <row r="682" customFormat="false" ht="12.75" hidden="false" customHeight="false" outlineLevel="0" collapsed="false">
      <c r="A682" s="323"/>
    </row>
    <row r="683" customFormat="false" ht="12.75" hidden="false" customHeight="false" outlineLevel="0" collapsed="false">
      <c r="A683" s="323"/>
    </row>
    <row r="684" customFormat="false" ht="12.75" hidden="false" customHeight="false" outlineLevel="0" collapsed="false">
      <c r="A684" s="323"/>
    </row>
    <row r="685" customFormat="false" ht="12.75" hidden="false" customHeight="false" outlineLevel="0" collapsed="false">
      <c r="A685" s="323"/>
    </row>
    <row r="686" customFormat="false" ht="12.75" hidden="false" customHeight="false" outlineLevel="0" collapsed="false">
      <c r="A686" s="323"/>
    </row>
    <row r="687" customFormat="false" ht="12.75" hidden="false" customHeight="false" outlineLevel="0" collapsed="false">
      <c r="A687" s="323"/>
    </row>
    <row r="688" customFormat="false" ht="12.75" hidden="false" customHeight="false" outlineLevel="0" collapsed="false">
      <c r="A688" s="323"/>
    </row>
    <row r="689" customFormat="false" ht="12.75" hidden="false" customHeight="false" outlineLevel="0" collapsed="false">
      <c r="A689" s="323"/>
    </row>
    <row r="690" customFormat="false" ht="12.75" hidden="false" customHeight="false" outlineLevel="0" collapsed="false">
      <c r="A690" s="323"/>
    </row>
    <row r="691" customFormat="false" ht="12.75" hidden="false" customHeight="false" outlineLevel="0" collapsed="false">
      <c r="A691" s="323"/>
    </row>
    <row r="692" customFormat="false" ht="12.75" hidden="false" customHeight="false" outlineLevel="0" collapsed="false">
      <c r="A692" s="323"/>
    </row>
    <row r="693" customFormat="false" ht="12.75" hidden="false" customHeight="false" outlineLevel="0" collapsed="false">
      <c r="A693" s="323"/>
    </row>
    <row r="694" customFormat="false" ht="12.75" hidden="false" customHeight="false" outlineLevel="0" collapsed="false">
      <c r="A694" s="323"/>
    </row>
    <row r="695" customFormat="false" ht="12.75" hidden="false" customHeight="false" outlineLevel="0" collapsed="false">
      <c r="A695" s="323"/>
    </row>
    <row r="696" customFormat="false" ht="12.75" hidden="false" customHeight="false" outlineLevel="0" collapsed="false">
      <c r="A696" s="323"/>
    </row>
    <row r="697" customFormat="false" ht="12.75" hidden="false" customHeight="false" outlineLevel="0" collapsed="false">
      <c r="A697" s="323"/>
    </row>
    <row r="698" customFormat="false" ht="12.75" hidden="false" customHeight="false" outlineLevel="0" collapsed="false">
      <c r="A698" s="323"/>
    </row>
    <row r="699" customFormat="false" ht="12.75" hidden="false" customHeight="false" outlineLevel="0" collapsed="false">
      <c r="A699" s="323"/>
    </row>
    <row r="700" customFormat="false" ht="12.75" hidden="false" customHeight="false" outlineLevel="0" collapsed="false">
      <c r="A700" s="323"/>
    </row>
    <row r="701" customFormat="false" ht="12.75" hidden="false" customHeight="false" outlineLevel="0" collapsed="false">
      <c r="A701" s="323"/>
    </row>
    <row r="702" customFormat="false" ht="12.75" hidden="false" customHeight="false" outlineLevel="0" collapsed="false">
      <c r="A702" s="323"/>
    </row>
    <row r="703" customFormat="false" ht="12.75" hidden="false" customHeight="false" outlineLevel="0" collapsed="false">
      <c r="A703" s="323"/>
    </row>
    <row r="704" customFormat="false" ht="12.75" hidden="false" customHeight="false" outlineLevel="0" collapsed="false">
      <c r="A704" s="323"/>
    </row>
    <row r="705" customFormat="false" ht="12.75" hidden="false" customHeight="false" outlineLevel="0" collapsed="false">
      <c r="A705" s="323"/>
    </row>
    <row r="706" customFormat="false" ht="12.75" hidden="false" customHeight="false" outlineLevel="0" collapsed="false">
      <c r="A706" s="323"/>
    </row>
    <row r="707" customFormat="false" ht="12.75" hidden="false" customHeight="false" outlineLevel="0" collapsed="false">
      <c r="A707" s="323"/>
    </row>
    <row r="708" customFormat="false" ht="12.75" hidden="false" customHeight="false" outlineLevel="0" collapsed="false">
      <c r="A708" s="323"/>
    </row>
    <row r="709" customFormat="false" ht="12.75" hidden="false" customHeight="false" outlineLevel="0" collapsed="false">
      <c r="A709" s="323"/>
    </row>
    <row r="710" customFormat="false" ht="12.75" hidden="false" customHeight="false" outlineLevel="0" collapsed="false">
      <c r="A710" s="323"/>
    </row>
    <row r="711" customFormat="false" ht="12.75" hidden="false" customHeight="false" outlineLevel="0" collapsed="false">
      <c r="A711" s="323"/>
    </row>
    <row r="712" customFormat="false" ht="12.75" hidden="false" customHeight="false" outlineLevel="0" collapsed="false">
      <c r="A712" s="323"/>
    </row>
    <row r="713" customFormat="false" ht="12.75" hidden="false" customHeight="false" outlineLevel="0" collapsed="false">
      <c r="A713" s="323"/>
    </row>
    <row r="714" customFormat="false" ht="12.75" hidden="false" customHeight="false" outlineLevel="0" collapsed="false">
      <c r="A714" s="323"/>
    </row>
    <row r="715" customFormat="false" ht="12.75" hidden="false" customHeight="false" outlineLevel="0" collapsed="false">
      <c r="A715" s="323"/>
    </row>
    <row r="716" customFormat="false" ht="12.75" hidden="false" customHeight="false" outlineLevel="0" collapsed="false">
      <c r="A716" s="323"/>
    </row>
    <row r="717" customFormat="false" ht="12.75" hidden="false" customHeight="false" outlineLevel="0" collapsed="false">
      <c r="A717" s="323"/>
    </row>
    <row r="718" customFormat="false" ht="12.75" hidden="false" customHeight="false" outlineLevel="0" collapsed="false">
      <c r="A718" s="323"/>
    </row>
    <row r="719" customFormat="false" ht="12.75" hidden="false" customHeight="false" outlineLevel="0" collapsed="false">
      <c r="A719" s="323"/>
    </row>
    <row r="720" customFormat="false" ht="12.75" hidden="false" customHeight="false" outlineLevel="0" collapsed="false">
      <c r="A720" s="323"/>
    </row>
    <row r="721" customFormat="false" ht="12.75" hidden="false" customHeight="false" outlineLevel="0" collapsed="false">
      <c r="A721" s="323"/>
    </row>
    <row r="722" customFormat="false" ht="12.75" hidden="false" customHeight="false" outlineLevel="0" collapsed="false">
      <c r="A722" s="323"/>
    </row>
    <row r="723" customFormat="false" ht="12.75" hidden="false" customHeight="false" outlineLevel="0" collapsed="false">
      <c r="A723" s="323"/>
    </row>
    <row r="724" customFormat="false" ht="12.75" hidden="false" customHeight="false" outlineLevel="0" collapsed="false">
      <c r="A724" s="323"/>
    </row>
    <row r="725" customFormat="false" ht="12.75" hidden="false" customHeight="false" outlineLevel="0" collapsed="false">
      <c r="A725" s="323"/>
    </row>
    <row r="726" customFormat="false" ht="12.75" hidden="false" customHeight="false" outlineLevel="0" collapsed="false">
      <c r="A726" s="323"/>
    </row>
    <row r="727" customFormat="false" ht="12.75" hidden="false" customHeight="false" outlineLevel="0" collapsed="false">
      <c r="A727" s="323"/>
    </row>
    <row r="728" customFormat="false" ht="12.75" hidden="false" customHeight="false" outlineLevel="0" collapsed="false">
      <c r="A728" s="323"/>
    </row>
    <row r="729" customFormat="false" ht="12.75" hidden="false" customHeight="false" outlineLevel="0" collapsed="false">
      <c r="A729" s="323"/>
    </row>
    <row r="730" customFormat="false" ht="12.75" hidden="false" customHeight="false" outlineLevel="0" collapsed="false">
      <c r="A730" s="323"/>
    </row>
    <row r="731" customFormat="false" ht="12.75" hidden="false" customHeight="false" outlineLevel="0" collapsed="false">
      <c r="A731" s="323"/>
    </row>
    <row r="732" customFormat="false" ht="12.75" hidden="false" customHeight="false" outlineLevel="0" collapsed="false">
      <c r="A732" s="323"/>
    </row>
    <row r="733" customFormat="false" ht="12.75" hidden="false" customHeight="false" outlineLevel="0" collapsed="false">
      <c r="A733" s="323"/>
    </row>
    <row r="734" customFormat="false" ht="12.75" hidden="false" customHeight="false" outlineLevel="0" collapsed="false">
      <c r="A734" s="323"/>
    </row>
    <row r="735" customFormat="false" ht="12.75" hidden="false" customHeight="false" outlineLevel="0" collapsed="false">
      <c r="A735" s="323"/>
    </row>
    <row r="736" customFormat="false" ht="12.75" hidden="false" customHeight="false" outlineLevel="0" collapsed="false">
      <c r="A736" s="323"/>
    </row>
    <row r="737" customFormat="false" ht="12.75" hidden="false" customHeight="false" outlineLevel="0" collapsed="false">
      <c r="A737" s="323"/>
    </row>
    <row r="738" customFormat="false" ht="12.75" hidden="false" customHeight="false" outlineLevel="0" collapsed="false">
      <c r="A738" s="323"/>
    </row>
    <row r="739" customFormat="false" ht="12.75" hidden="false" customHeight="false" outlineLevel="0" collapsed="false">
      <c r="A739" s="323"/>
    </row>
    <row r="740" customFormat="false" ht="12.75" hidden="false" customHeight="false" outlineLevel="0" collapsed="false">
      <c r="A740" s="323"/>
    </row>
    <row r="741" customFormat="false" ht="12.75" hidden="false" customHeight="false" outlineLevel="0" collapsed="false">
      <c r="A741" s="323"/>
    </row>
    <row r="742" customFormat="false" ht="12.75" hidden="false" customHeight="false" outlineLevel="0" collapsed="false">
      <c r="A742" s="323"/>
    </row>
    <row r="743" customFormat="false" ht="12.75" hidden="false" customHeight="false" outlineLevel="0" collapsed="false">
      <c r="A743" s="323"/>
    </row>
    <row r="744" customFormat="false" ht="12.75" hidden="false" customHeight="false" outlineLevel="0" collapsed="false">
      <c r="A744" s="323"/>
    </row>
    <row r="745" customFormat="false" ht="12.75" hidden="false" customHeight="false" outlineLevel="0" collapsed="false">
      <c r="A745" s="323"/>
    </row>
    <row r="746" customFormat="false" ht="12.75" hidden="false" customHeight="false" outlineLevel="0" collapsed="false">
      <c r="A746" s="323"/>
    </row>
    <row r="747" customFormat="false" ht="12.75" hidden="false" customHeight="false" outlineLevel="0" collapsed="false">
      <c r="A747" s="323"/>
    </row>
    <row r="748" customFormat="false" ht="12.75" hidden="false" customHeight="false" outlineLevel="0" collapsed="false">
      <c r="A748" s="323"/>
    </row>
    <row r="749" customFormat="false" ht="12.75" hidden="false" customHeight="false" outlineLevel="0" collapsed="false">
      <c r="A749" s="323"/>
    </row>
    <row r="750" customFormat="false" ht="12.75" hidden="false" customHeight="false" outlineLevel="0" collapsed="false">
      <c r="A750" s="323"/>
    </row>
    <row r="751" customFormat="false" ht="12.75" hidden="false" customHeight="false" outlineLevel="0" collapsed="false">
      <c r="A751" s="323"/>
    </row>
    <row r="752" customFormat="false" ht="12.75" hidden="false" customHeight="false" outlineLevel="0" collapsed="false">
      <c r="A752" s="323"/>
    </row>
    <row r="753" customFormat="false" ht="12.75" hidden="false" customHeight="false" outlineLevel="0" collapsed="false">
      <c r="A753" s="323"/>
    </row>
    <row r="754" customFormat="false" ht="12.75" hidden="false" customHeight="false" outlineLevel="0" collapsed="false">
      <c r="A754" s="323"/>
    </row>
    <row r="755" customFormat="false" ht="12.75" hidden="false" customHeight="false" outlineLevel="0" collapsed="false">
      <c r="A755" s="323"/>
    </row>
    <row r="756" customFormat="false" ht="12.75" hidden="false" customHeight="false" outlineLevel="0" collapsed="false">
      <c r="A756" s="323"/>
    </row>
    <row r="757" customFormat="false" ht="12.75" hidden="false" customHeight="false" outlineLevel="0" collapsed="false">
      <c r="A757" s="323"/>
    </row>
    <row r="758" customFormat="false" ht="12.75" hidden="false" customHeight="false" outlineLevel="0" collapsed="false">
      <c r="A758" s="323"/>
    </row>
    <row r="759" customFormat="false" ht="12.75" hidden="false" customHeight="false" outlineLevel="0" collapsed="false">
      <c r="A759" s="323"/>
    </row>
    <row r="760" customFormat="false" ht="12.75" hidden="false" customHeight="false" outlineLevel="0" collapsed="false">
      <c r="A760" s="323"/>
    </row>
    <row r="761" customFormat="false" ht="12.75" hidden="false" customHeight="false" outlineLevel="0" collapsed="false">
      <c r="A761" s="323"/>
    </row>
    <row r="762" customFormat="false" ht="12.75" hidden="false" customHeight="false" outlineLevel="0" collapsed="false">
      <c r="A762" s="323"/>
    </row>
    <row r="763" customFormat="false" ht="12.75" hidden="false" customHeight="false" outlineLevel="0" collapsed="false">
      <c r="A763" s="323"/>
    </row>
    <row r="764" customFormat="false" ht="12.75" hidden="false" customHeight="false" outlineLevel="0" collapsed="false">
      <c r="A764" s="323"/>
    </row>
    <row r="765" customFormat="false" ht="12.75" hidden="false" customHeight="false" outlineLevel="0" collapsed="false">
      <c r="A765" s="323"/>
    </row>
    <row r="766" customFormat="false" ht="12.75" hidden="false" customHeight="false" outlineLevel="0" collapsed="false">
      <c r="A766" s="323"/>
    </row>
    <row r="767" customFormat="false" ht="12.75" hidden="false" customHeight="false" outlineLevel="0" collapsed="false">
      <c r="A767" s="323"/>
    </row>
    <row r="768" customFormat="false" ht="12.75" hidden="false" customHeight="false" outlineLevel="0" collapsed="false">
      <c r="A768" s="323"/>
    </row>
    <row r="769" customFormat="false" ht="12.75" hidden="false" customHeight="false" outlineLevel="0" collapsed="false">
      <c r="A769" s="323"/>
    </row>
    <row r="770" customFormat="false" ht="12.75" hidden="false" customHeight="false" outlineLevel="0" collapsed="false">
      <c r="A770" s="323"/>
    </row>
    <row r="771" customFormat="false" ht="12.75" hidden="false" customHeight="false" outlineLevel="0" collapsed="false">
      <c r="A771" s="323"/>
    </row>
    <row r="772" customFormat="false" ht="12.75" hidden="false" customHeight="false" outlineLevel="0" collapsed="false">
      <c r="A772" s="323"/>
    </row>
    <row r="773" customFormat="false" ht="12.75" hidden="false" customHeight="false" outlineLevel="0" collapsed="false">
      <c r="A773" s="323"/>
    </row>
    <row r="774" customFormat="false" ht="12.75" hidden="false" customHeight="false" outlineLevel="0" collapsed="false">
      <c r="A774" s="323"/>
    </row>
    <row r="775" customFormat="false" ht="12.75" hidden="false" customHeight="false" outlineLevel="0" collapsed="false">
      <c r="A775" s="323"/>
    </row>
    <row r="776" customFormat="false" ht="12.75" hidden="false" customHeight="false" outlineLevel="0" collapsed="false">
      <c r="A776" s="323"/>
    </row>
    <row r="777" customFormat="false" ht="12.75" hidden="false" customHeight="false" outlineLevel="0" collapsed="false">
      <c r="A777" s="323"/>
    </row>
    <row r="778" customFormat="false" ht="12.75" hidden="false" customHeight="false" outlineLevel="0" collapsed="false">
      <c r="A778" s="323"/>
    </row>
    <row r="779" customFormat="false" ht="12.75" hidden="false" customHeight="false" outlineLevel="0" collapsed="false">
      <c r="A779" s="323"/>
    </row>
    <row r="780" customFormat="false" ht="12.75" hidden="false" customHeight="false" outlineLevel="0" collapsed="false">
      <c r="A780" s="323"/>
    </row>
    <row r="781" customFormat="false" ht="12.75" hidden="false" customHeight="false" outlineLevel="0" collapsed="false">
      <c r="A781" s="323"/>
    </row>
    <row r="782" customFormat="false" ht="12.75" hidden="false" customHeight="false" outlineLevel="0" collapsed="false">
      <c r="A782" s="323"/>
    </row>
    <row r="783" customFormat="false" ht="12.75" hidden="false" customHeight="false" outlineLevel="0" collapsed="false">
      <c r="A783" s="323"/>
    </row>
    <row r="784" customFormat="false" ht="12.75" hidden="false" customHeight="false" outlineLevel="0" collapsed="false">
      <c r="A784" s="323"/>
    </row>
    <row r="785" customFormat="false" ht="12.75" hidden="false" customHeight="false" outlineLevel="0" collapsed="false">
      <c r="A785" s="323"/>
    </row>
    <row r="786" customFormat="false" ht="12.75" hidden="false" customHeight="false" outlineLevel="0" collapsed="false">
      <c r="A786" s="323"/>
    </row>
    <row r="787" customFormat="false" ht="12.75" hidden="false" customHeight="false" outlineLevel="0" collapsed="false">
      <c r="A787" s="323"/>
    </row>
    <row r="788" customFormat="false" ht="12.75" hidden="false" customHeight="false" outlineLevel="0" collapsed="false">
      <c r="A788" s="323"/>
    </row>
    <row r="789" customFormat="false" ht="12.75" hidden="false" customHeight="false" outlineLevel="0" collapsed="false">
      <c r="A789" s="323"/>
    </row>
    <row r="790" customFormat="false" ht="12.75" hidden="false" customHeight="false" outlineLevel="0" collapsed="false">
      <c r="A790" s="323"/>
    </row>
    <row r="791" customFormat="false" ht="12.75" hidden="false" customHeight="false" outlineLevel="0" collapsed="false">
      <c r="A791" s="323"/>
    </row>
    <row r="792" customFormat="false" ht="12.75" hidden="false" customHeight="false" outlineLevel="0" collapsed="false">
      <c r="A792" s="323"/>
    </row>
    <row r="793" customFormat="false" ht="12.75" hidden="false" customHeight="false" outlineLevel="0" collapsed="false">
      <c r="A793" s="323"/>
    </row>
    <row r="794" customFormat="false" ht="12.75" hidden="false" customHeight="false" outlineLevel="0" collapsed="false">
      <c r="A794" s="323"/>
    </row>
    <row r="795" customFormat="false" ht="12.75" hidden="false" customHeight="false" outlineLevel="0" collapsed="false">
      <c r="A795" s="323"/>
    </row>
    <row r="796" customFormat="false" ht="12.75" hidden="false" customHeight="false" outlineLevel="0" collapsed="false">
      <c r="A796" s="323"/>
    </row>
    <row r="797" customFormat="false" ht="12.75" hidden="false" customHeight="false" outlineLevel="0" collapsed="false">
      <c r="A797" s="323"/>
    </row>
    <row r="798" customFormat="false" ht="12.75" hidden="false" customHeight="false" outlineLevel="0" collapsed="false">
      <c r="A798" s="323"/>
    </row>
    <row r="799" customFormat="false" ht="12.75" hidden="false" customHeight="false" outlineLevel="0" collapsed="false">
      <c r="A799" s="323"/>
    </row>
    <row r="800" customFormat="false" ht="12.75" hidden="false" customHeight="false" outlineLevel="0" collapsed="false">
      <c r="A800" s="323"/>
    </row>
    <row r="801" customFormat="false" ht="12.75" hidden="false" customHeight="false" outlineLevel="0" collapsed="false">
      <c r="A801" s="323"/>
    </row>
    <row r="802" customFormat="false" ht="12.75" hidden="false" customHeight="false" outlineLevel="0" collapsed="false">
      <c r="A802" s="323"/>
    </row>
    <row r="803" customFormat="false" ht="12.75" hidden="false" customHeight="false" outlineLevel="0" collapsed="false">
      <c r="A803" s="323"/>
    </row>
    <row r="804" customFormat="false" ht="12.75" hidden="false" customHeight="false" outlineLevel="0" collapsed="false">
      <c r="A804" s="323"/>
    </row>
    <row r="805" customFormat="false" ht="12.75" hidden="false" customHeight="false" outlineLevel="0" collapsed="false">
      <c r="A805" s="323"/>
    </row>
    <row r="806" customFormat="false" ht="12.75" hidden="false" customHeight="false" outlineLevel="0" collapsed="false">
      <c r="A806" s="323"/>
    </row>
    <row r="807" customFormat="false" ht="12.75" hidden="false" customHeight="false" outlineLevel="0" collapsed="false">
      <c r="A807" s="323"/>
    </row>
    <row r="808" customFormat="false" ht="12.75" hidden="false" customHeight="false" outlineLevel="0" collapsed="false">
      <c r="A808" s="323"/>
    </row>
    <row r="809" customFormat="false" ht="12.75" hidden="false" customHeight="false" outlineLevel="0" collapsed="false">
      <c r="A809" s="323"/>
    </row>
    <row r="810" customFormat="false" ht="12.75" hidden="false" customHeight="false" outlineLevel="0" collapsed="false">
      <c r="A810" s="323"/>
    </row>
    <row r="811" customFormat="false" ht="12.75" hidden="false" customHeight="false" outlineLevel="0" collapsed="false">
      <c r="A811" s="323"/>
    </row>
    <row r="812" customFormat="false" ht="12.75" hidden="false" customHeight="false" outlineLevel="0" collapsed="false">
      <c r="A812" s="323"/>
    </row>
    <row r="813" customFormat="false" ht="12.75" hidden="false" customHeight="false" outlineLevel="0" collapsed="false">
      <c r="A813" s="323"/>
    </row>
    <row r="814" customFormat="false" ht="12.75" hidden="false" customHeight="false" outlineLevel="0" collapsed="false">
      <c r="A814" s="323"/>
    </row>
    <row r="815" customFormat="false" ht="12.75" hidden="false" customHeight="false" outlineLevel="0" collapsed="false">
      <c r="A815" s="323"/>
    </row>
    <row r="816" customFormat="false" ht="12.75" hidden="false" customHeight="false" outlineLevel="0" collapsed="false">
      <c r="A816" s="323"/>
    </row>
    <row r="817" customFormat="false" ht="12.75" hidden="false" customHeight="false" outlineLevel="0" collapsed="false">
      <c r="A817" s="323"/>
    </row>
    <row r="818" customFormat="false" ht="12.75" hidden="false" customHeight="false" outlineLevel="0" collapsed="false">
      <c r="A818" s="323"/>
    </row>
    <row r="819" customFormat="false" ht="12.75" hidden="false" customHeight="false" outlineLevel="0" collapsed="false">
      <c r="A819" s="323"/>
    </row>
    <row r="820" customFormat="false" ht="12.75" hidden="false" customHeight="false" outlineLevel="0" collapsed="false">
      <c r="A820" s="323"/>
    </row>
    <row r="821" customFormat="false" ht="12.75" hidden="false" customHeight="false" outlineLevel="0" collapsed="false">
      <c r="A821" s="323"/>
    </row>
    <row r="822" customFormat="false" ht="12.75" hidden="false" customHeight="false" outlineLevel="0" collapsed="false">
      <c r="A822" s="323"/>
    </row>
    <row r="823" customFormat="false" ht="12.75" hidden="false" customHeight="false" outlineLevel="0" collapsed="false">
      <c r="A823" s="323"/>
    </row>
    <row r="824" customFormat="false" ht="12.75" hidden="false" customHeight="false" outlineLevel="0" collapsed="false">
      <c r="A824" s="323"/>
    </row>
    <row r="825" customFormat="false" ht="12.75" hidden="false" customHeight="false" outlineLevel="0" collapsed="false">
      <c r="A825" s="323"/>
    </row>
    <row r="826" customFormat="false" ht="12.75" hidden="false" customHeight="false" outlineLevel="0" collapsed="false">
      <c r="A826" s="323"/>
    </row>
    <row r="827" customFormat="false" ht="12.75" hidden="false" customHeight="false" outlineLevel="0" collapsed="false">
      <c r="A827" s="323"/>
    </row>
    <row r="828" customFormat="false" ht="12.75" hidden="false" customHeight="false" outlineLevel="0" collapsed="false">
      <c r="A828" s="323"/>
    </row>
    <row r="829" customFormat="false" ht="12.75" hidden="false" customHeight="false" outlineLevel="0" collapsed="false">
      <c r="A829" s="323"/>
    </row>
    <row r="830" customFormat="false" ht="12.75" hidden="false" customHeight="false" outlineLevel="0" collapsed="false">
      <c r="A830" s="323"/>
    </row>
    <row r="831" customFormat="false" ht="12.75" hidden="false" customHeight="false" outlineLevel="0" collapsed="false">
      <c r="A831" s="323"/>
    </row>
    <row r="832" customFormat="false" ht="12.75" hidden="false" customHeight="false" outlineLevel="0" collapsed="false">
      <c r="A832" s="323"/>
    </row>
    <row r="833" customFormat="false" ht="12.75" hidden="false" customHeight="false" outlineLevel="0" collapsed="false">
      <c r="A833" s="323"/>
    </row>
    <row r="834" customFormat="false" ht="12.75" hidden="false" customHeight="false" outlineLevel="0" collapsed="false">
      <c r="A834" s="323"/>
    </row>
    <row r="835" customFormat="false" ht="12.75" hidden="false" customHeight="false" outlineLevel="0" collapsed="false">
      <c r="A835" s="323"/>
    </row>
    <row r="836" customFormat="false" ht="12.75" hidden="false" customHeight="false" outlineLevel="0" collapsed="false">
      <c r="A836" s="323"/>
    </row>
    <row r="837" customFormat="false" ht="12.75" hidden="false" customHeight="false" outlineLevel="0" collapsed="false">
      <c r="A837" s="323"/>
    </row>
    <row r="838" customFormat="false" ht="12.75" hidden="false" customHeight="false" outlineLevel="0" collapsed="false">
      <c r="A838" s="323"/>
    </row>
    <row r="839" customFormat="false" ht="12.75" hidden="false" customHeight="false" outlineLevel="0" collapsed="false">
      <c r="A839" s="323"/>
    </row>
    <row r="840" customFormat="false" ht="12.75" hidden="false" customHeight="false" outlineLevel="0" collapsed="false">
      <c r="A840" s="323"/>
    </row>
    <row r="841" customFormat="false" ht="12.75" hidden="false" customHeight="false" outlineLevel="0" collapsed="false">
      <c r="A841" s="323"/>
    </row>
    <row r="842" customFormat="false" ht="12.75" hidden="false" customHeight="false" outlineLevel="0" collapsed="false">
      <c r="A842" s="323"/>
    </row>
    <row r="843" customFormat="false" ht="12.75" hidden="false" customHeight="false" outlineLevel="0" collapsed="false">
      <c r="A843" s="323"/>
    </row>
    <row r="844" customFormat="false" ht="12.75" hidden="false" customHeight="false" outlineLevel="0" collapsed="false">
      <c r="A844" s="323"/>
    </row>
    <row r="845" customFormat="false" ht="12.75" hidden="false" customHeight="false" outlineLevel="0" collapsed="false">
      <c r="A845" s="323"/>
    </row>
    <row r="846" customFormat="false" ht="12.75" hidden="false" customHeight="false" outlineLevel="0" collapsed="false">
      <c r="A846" s="323"/>
    </row>
    <row r="847" customFormat="false" ht="12.75" hidden="false" customHeight="false" outlineLevel="0" collapsed="false">
      <c r="A847" s="323"/>
    </row>
    <row r="848" customFormat="false" ht="12.75" hidden="false" customHeight="false" outlineLevel="0" collapsed="false">
      <c r="A848" s="323"/>
    </row>
    <row r="849" customFormat="false" ht="12.75" hidden="false" customHeight="false" outlineLevel="0" collapsed="false">
      <c r="A849" s="323"/>
    </row>
    <row r="850" customFormat="false" ht="12.75" hidden="false" customHeight="false" outlineLevel="0" collapsed="false">
      <c r="A850" s="323"/>
    </row>
    <row r="851" customFormat="false" ht="12.75" hidden="false" customHeight="false" outlineLevel="0" collapsed="false">
      <c r="A851" s="323"/>
    </row>
    <row r="852" customFormat="false" ht="12.75" hidden="false" customHeight="false" outlineLevel="0" collapsed="false">
      <c r="A852" s="323"/>
    </row>
    <row r="853" customFormat="false" ht="12.75" hidden="false" customHeight="false" outlineLevel="0" collapsed="false">
      <c r="A853" s="323"/>
    </row>
    <row r="854" customFormat="false" ht="12.75" hidden="false" customHeight="false" outlineLevel="0" collapsed="false">
      <c r="A854" s="323"/>
    </row>
    <row r="855" customFormat="false" ht="12.75" hidden="false" customHeight="false" outlineLevel="0" collapsed="false">
      <c r="A855" s="323"/>
    </row>
    <row r="856" customFormat="false" ht="12.75" hidden="false" customHeight="false" outlineLevel="0" collapsed="false">
      <c r="A856" s="323"/>
    </row>
    <row r="857" customFormat="false" ht="12.75" hidden="false" customHeight="false" outlineLevel="0" collapsed="false">
      <c r="A857" s="323"/>
    </row>
    <row r="858" customFormat="false" ht="12.75" hidden="false" customHeight="false" outlineLevel="0" collapsed="false">
      <c r="A858" s="323"/>
    </row>
    <row r="859" customFormat="false" ht="12.75" hidden="false" customHeight="false" outlineLevel="0" collapsed="false">
      <c r="A859" s="323"/>
    </row>
    <row r="860" customFormat="false" ht="12.75" hidden="false" customHeight="false" outlineLevel="0" collapsed="false">
      <c r="A860" s="323"/>
    </row>
    <row r="861" customFormat="false" ht="12.75" hidden="false" customHeight="false" outlineLevel="0" collapsed="false">
      <c r="A861" s="323"/>
    </row>
    <row r="862" customFormat="false" ht="12.75" hidden="false" customHeight="false" outlineLevel="0" collapsed="false">
      <c r="A862" s="323"/>
    </row>
    <row r="863" customFormat="false" ht="12.75" hidden="false" customHeight="false" outlineLevel="0" collapsed="false">
      <c r="A863" s="323"/>
    </row>
    <row r="864" customFormat="false" ht="12.75" hidden="false" customHeight="false" outlineLevel="0" collapsed="false">
      <c r="A864" s="323"/>
    </row>
    <row r="865" customFormat="false" ht="12.75" hidden="false" customHeight="false" outlineLevel="0" collapsed="false">
      <c r="A865" s="323"/>
    </row>
    <row r="866" customFormat="false" ht="12.75" hidden="false" customHeight="false" outlineLevel="0" collapsed="false">
      <c r="A866" s="323"/>
    </row>
    <row r="867" customFormat="false" ht="12.75" hidden="false" customHeight="false" outlineLevel="0" collapsed="false">
      <c r="A867" s="323"/>
    </row>
    <row r="868" customFormat="false" ht="12.75" hidden="false" customHeight="false" outlineLevel="0" collapsed="false">
      <c r="A868" s="323"/>
    </row>
    <row r="869" customFormat="false" ht="12.75" hidden="false" customHeight="false" outlineLevel="0" collapsed="false">
      <c r="A869" s="323"/>
    </row>
    <row r="870" customFormat="false" ht="12.75" hidden="false" customHeight="false" outlineLevel="0" collapsed="false">
      <c r="A870" s="323"/>
    </row>
    <row r="871" customFormat="false" ht="12.75" hidden="false" customHeight="false" outlineLevel="0" collapsed="false">
      <c r="A871" s="323"/>
    </row>
    <row r="872" customFormat="false" ht="12.75" hidden="false" customHeight="false" outlineLevel="0" collapsed="false">
      <c r="A872" s="323"/>
    </row>
    <row r="873" customFormat="false" ht="12.75" hidden="false" customHeight="false" outlineLevel="0" collapsed="false">
      <c r="A873" s="323"/>
    </row>
    <row r="874" customFormat="false" ht="12.75" hidden="false" customHeight="false" outlineLevel="0" collapsed="false">
      <c r="A874" s="323"/>
    </row>
    <row r="875" customFormat="false" ht="12.75" hidden="false" customHeight="false" outlineLevel="0" collapsed="false">
      <c r="A875" s="323"/>
    </row>
    <row r="876" customFormat="false" ht="12.75" hidden="false" customHeight="false" outlineLevel="0" collapsed="false">
      <c r="A876" s="323"/>
    </row>
    <row r="877" customFormat="false" ht="12.75" hidden="false" customHeight="false" outlineLevel="0" collapsed="false">
      <c r="A877" s="323"/>
    </row>
    <row r="878" customFormat="false" ht="12.75" hidden="false" customHeight="false" outlineLevel="0" collapsed="false">
      <c r="A878" s="323"/>
    </row>
    <row r="879" customFormat="false" ht="12.75" hidden="false" customHeight="false" outlineLevel="0" collapsed="false">
      <c r="A879" s="323"/>
    </row>
    <row r="880" customFormat="false" ht="12.75" hidden="false" customHeight="false" outlineLevel="0" collapsed="false">
      <c r="A880" s="323"/>
    </row>
    <row r="881" customFormat="false" ht="12.75" hidden="false" customHeight="false" outlineLevel="0" collapsed="false">
      <c r="A881" s="323"/>
    </row>
    <row r="882" customFormat="false" ht="12.75" hidden="false" customHeight="false" outlineLevel="0" collapsed="false">
      <c r="A882" s="323"/>
    </row>
    <row r="883" customFormat="false" ht="12.75" hidden="false" customHeight="false" outlineLevel="0" collapsed="false">
      <c r="A883" s="323"/>
    </row>
    <row r="884" customFormat="false" ht="12.75" hidden="false" customHeight="false" outlineLevel="0" collapsed="false">
      <c r="A884" s="323"/>
    </row>
    <row r="885" customFormat="false" ht="12.75" hidden="false" customHeight="false" outlineLevel="0" collapsed="false">
      <c r="A885" s="323"/>
    </row>
    <row r="886" customFormat="false" ht="12.75" hidden="false" customHeight="false" outlineLevel="0" collapsed="false">
      <c r="A886" s="323"/>
    </row>
    <row r="887" customFormat="false" ht="12.75" hidden="false" customHeight="false" outlineLevel="0" collapsed="false">
      <c r="A887" s="323"/>
    </row>
    <row r="888" customFormat="false" ht="12.75" hidden="false" customHeight="false" outlineLevel="0" collapsed="false">
      <c r="A888" s="323"/>
    </row>
    <row r="889" customFormat="false" ht="12.75" hidden="false" customHeight="false" outlineLevel="0" collapsed="false">
      <c r="A889" s="323"/>
    </row>
    <row r="890" customFormat="false" ht="12.75" hidden="false" customHeight="false" outlineLevel="0" collapsed="false">
      <c r="A890" s="323"/>
    </row>
    <row r="891" customFormat="false" ht="12.75" hidden="false" customHeight="false" outlineLevel="0" collapsed="false">
      <c r="A891" s="323"/>
    </row>
    <row r="892" customFormat="false" ht="12.75" hidden="false" customHeight="false" outlineLevel="0" collapsed="false">
      <c r="A892" s="323"/>
    </row>
    <row r="893" customFormat="false" ht="12.75" hidden="false" customHeight="false" outlineLevel="0" collapsed="false">
      <c r="A893" s="323"/>
    </row>
    <row r="894" customFormat="false" ht="12.75" hidden="false" customHeight="false" outlineLevel="0" collapsed="false">
      <c r="A894" s="323"/>
    </row>
    <row r="895" customFormat="false" ht="12.75" hidden="false" customHeight="false" outlineLevel="0" collapsed="false">
      <c r="A895" s="323"/>
    </row>
    <row r="896" customFormat="false" ht="12.75" hidden="false" customHeight="false" outlineLevel="0" collapsed="false">
      <c r="A896" s="323"/>
    </row>
    <row r="897" customFormat="false" ht="12.75" hidden="false" customHeight="false" outlineLevel="0" collapsed="false">
      <c r="A897" s="323"/>
    </row>
    <row r="898" customFormat="false" ht="12.75" hidden="false" customHeight="false" outlineLevel="0" collapsed="false">
      <c r="A898" s="323"/>
    </row>
    <row r="899" customFormat="false" ht="12.75" hidden="false" customHeight="false" outlineLevel="0" collapsed="false">
      <c r="A899" s="323"/>
    </row>
    <row r="900" customFormat="false" ht="12.75" hidden="false" customHeight="false" outlineLevel="0" collapsed="false">
      <c r="A900" s="323"/>
    </row>
    <row r="901" customFormat="false" ht="12.75" hidden="false" customHeight="false" outlineLevel="0" collapsed="false">
      <c r="A901" s="323"/>
    </row>
    <row r="902" customFormat="false" ht="12.75" hidden="false" customHeight="false" outlineLevel="0" collapsed="false">
      <c r="A902" s="323"/>
    </row>
    <row r="903" customFormat="false" ht="12.75" hidden="false" customHeight="false" outlineLevel="0" collapsed="false">
      <c r="A903" s="323"/>
    </row>
    <row r="904" customFormat="false" ht="12.75" hidden="false" customHeight="false" outlineLevel="0" collapsed="false">
      <c r="A904" s="323"/>
    </row>
    <row r="905" customFormat="false" ht="12.75" hidden="false" customHeight="false" outlineLevel="0" collapsed="false">
      <c r="A905" s="323"/>
    </row>
    <row r="906" customFormat="false" ht="12.75" hidden="false" customHeight="false" outlineLevel="0" collapsed="false">
      <c r="A906" s="323"/>
    </row>
    <row r="907" customFormat="false" ht="12.75" hidden="false" customHeight="false" outlineLevel="0" collapsed="false">
      <c r="A907" s="323"/>
    </row>
    <row r="908" customFormat="false" ht="12.75" hidden="false" customHeight="false" outlineLevel="0" collapsed="false">
      <c r="A908" s="323"/>
    </row>
    <row r="909" customFormat="false" ht="12.75" hidden="false" customHeight="false" outlineLevel="0" collapsed="false">
      <c r="A909" s="323"/>
    </row>
    <row r="910" customFormat="false" ht="12.75" hidden="false" customHeight="false" outlineLevel="0" collapsed="false">
      <c r="A910" s="323"/>
    </row>
    <row r="911" customFormat="false" ht="12.75" hidden="false" customHeight="false" outlineLevel="0" collapsed="false">
      <c r="A911" s="323"/>
    </row>
    <row r="912" customFormat="false" ht="12.75" hidden="false" customHeight="false" outlineLevel="0" collapsed="false">
      <c r="A912" s="323"/>
    </row>
    <row r="913" customFormat="false" ht="12.75" hidden="false" customHeight="false" outlineLevel="0" collapsed="false">
      <c r="A913" s="323"/>
    </row>
    <row r="914" customFormat="false" ht="12.75" hidden="false" customHeight="false" outlineLevel="0" collapsed="false">
      <c r="A914" s="323"/>
    </row>
    <row r="915" customFormat="false" ht="12.75" hidden="false" customHeight="false" outlineLevel="0" collapsed="false">
      <c r="A915" s="323"/>
    </row>
    <row r="916" customFormat="false" ht="12.75" hidden="false" customHeight="false" outlineLevel="0" collapsed="false">
      <c r="A916" s="323"/>
    </row>
    <row r="917" customFormat="false" ht="12.75" hidden="false" customHeight="false" outlineLevel="0" collapsed="false">
      <c r="A917" s="323"/>
    </row>
    <row r="918" customFormat="false" ht="12.75" hidden="false" customHeight="false" outlineLevel="0" collapsed="false">
      <c r="A918" s="323"/>
    </row>
    <row r="919" customFormat="false" ht="12.75" hidden="false" customHeight="false" outlineLevel="0" collapsed="false">
      <c r="A919" s="323"/>
    </row>
    <row r="920" customFormat="false" ht="12.75" hidden="false" customHeight="false" outlineLevel="0" collapsed="false">
      <c r="A920" s="323"/>
    </row>
    <row r="921" customFormat="false" ht="12.75" hidden="false" customHeight="false" outlineLevel="0" collapsed="false">
      <c r="A921" s="323"/>
    </row>
    <row r="922" customFormat="false" ht="12.75" hidden="false" customHeight="false" outlineLevel="0" collapsed="false">
      <c r="A922" s="323"/>
    </row>
    <row r="923" customFormat="false" ht="12.75" hidden="false" customHeight="false" outlineLevel="0" collapsed="false">
      <c r="A923" s="323"/>
    </row>
    <row r="924" customFormat="false" ht="12.75" hidden="false" customHeight="false" outlineLevel="0" collapsed="false">
      <c r="A924" s="323"/>
    </row>
    <row r="925" customFormat="false" ht="12.75" hidden="false" customHeight="false" outlineLevel="0" collapsed="false">
      <c r="A925" s="323"/>
    </row>
    <row r="926" customFormat="false" ht="12.75" hidden="false" customHeight="false" outlineLevel="0" collapsed="false">
      <c r="A926" s="323"/>
    </row>
    <row r="927" customFormat="false" ht="12.75" hidden="false" customHeight="false" outlineLevel="0" collapsed="false">
      <c r="A927" s="323"/>
    </row>
    <row r="928" customFormat="false" ht="12.75" hidden="false" customHeight="false" outlineLevel="0" collapsed="false">
      <c r="A928" s="323"/>
    </row>
    <row r="929" customFormat="false" ht="12.75" hidden="false" customHeight="false" outlineLevel="0" collapsed="false">
      <c r="A929" s="323"/>
    </row>
    <row r="930" customFormat="false" ht="12.75" hidden="false" customHeight="false" outlineLevel="0" collapsed="false">
      <c r="A930" s="323"/>
    </row>
    <row r="931" customFormat="false" ht="12.75" hidden="false" customHeight="false" outlineLevel="0" collapsed="false">
      <c r="A931" s="323"/>
    </row>
    <row r="932" customFormat="false" ht="12.75" hidden="false" customHeight="false" outlineLevel="0" collapsed="false">
      <c r="A932" s="323"/>
    </row>
    <row r="933" customFormat="false" ht="12.75" hidden="false" customHeight="false" outlineLevel="0" collapsed="false">
      <c r="A933" s="323"/>
    </row>
    <row r="934" customFormat="false" ht="12.75" hidden="false" customHeight="false" outlineLevel="0" collapsed="false">
      <c r="A934" s="323"/>
    </row>
    <row r="935" customFormat="false" ht="12.75" hidden="false" customHeight="false" outlineLevel="0" collapsed="false">
      <c r="A935" s="323"/>
    </row>
    <row r="936" customFormat="false" ht="12.75" hidden="false" customHeight="false" outlineLevel="0" collapsed="false">
      <c r="A936" s="323"/>
    </row>
    <row r="937" customFormat="false" ht="12.75" hidden="false" customHeight="false" outlineLevel="0" collapsed="false">
      <c r="A937" s="323"/>
    </row>
    <row r="938" customFormat="false" ht="12.75" hidden="false" customHeight="false" outlineLevel="0" collapsed="false">
      <c r="A938" s="323"/>
    </row>
    <row r="939" customFormat="false" ht="12.75" hidden="false" customHeight="false" outlineLevel="0" collapsed="false">
      <c r="A939" s="323"/>
    </row>
    <row r="940" customFormat="false" ht="12.75" hidden="false" customHeight="false" outlineLevel="0" collapsed="false">
      <c r="A940" s="323"/>
    </row>
    <row r="941" customFormat="false" ht="12.75" hidden="false" customHeight="false" outlineLevel="0" collapsed="false">
      <c r="A941" s="323"/>
    </row>
    <row r="942" customFormat="false" ht="12.75" hidden="false" customHeight="false" outlineLevel="0" collapsed="false">
      <c r="A942" s="323"/>
    </row>
    <row r="943" customFormat="false" ht="12.75" hidden="false" customHeight="false" outlineLevel="0" collapsed="false">
      <c r="A943" s="323"/>
    </row>
    <row r="944" customFormat="false" ht="12.75" hidden="false" customHeight="false" outlineLevel="0" collapsed="false">
      <c r="A944" s="323"/>
    </row>
    <row r="945" customFormat="false" ht="12.75" hidden="false" customHeight="false" outlineLevel="0" collapsed="false">
      <c r="A945" s="323"/>
    </row>
    <row r="946" customFormat="false" ht="12.75" hidden="false" customHeight="false" outlineLevel="0" collapsed="false">
      <c r="A946" s="323"/>
    </row>
    <row r="947" customFormat="false" ht="12.75" hidden="false" customHeight="false" outlineLevel="0" collapsed="false">
      <c r="A947" s="323"/>
    </row>
    <row r="948" customFormat="false" ht="12.75" hidden="false" customHeight="false" outlineLevel="0" collapsed="false">
      <c r="A948" s="323"/>
    </row>
    <row r="949" customFormat="false" ht="12.75" hidden="false" customHeight="false" outlineLevel="0" collapsed="false">
      <c r="A949" s="323"/>
    </row>
    <row r="950" customFormat="false" ht="12.75" hidden="false" customHeight="false" outlineLevel="0" collapsed="false">
      <c r="A950" s="323"/>
    </row>
    <row r="951" customFormat="false" ht="12.75" hidden="false" customHeight="false" outlineLevel="0" collapsed="false">
      <c r="A951" s="323"/>
    </row>
    <row r="952" customFormat="false" ht="12.75" hidden="false" customHeight="false" outlineLevel="0" collapsed="false">
      <c r="A952" s="323"/>
    </row>
    <row r="953" customFormat="false" ht="12.75" hidden="false" customHeight="false" outlineLevel="0" collapsed="false">
      <c r="A953" s="323"/>
    </row>
    <row r="954" customFormat="false" ht="12.75" hidden="false" customHeight="false" outlineLevel="0" collapsed="false">
      <c r="A954" s="323"/>
    </row>
    <row r="955" customFormat="false" ht="12.75" hidden="false" customHeight="false" outlineLevel="0" collapsed="false">
      <c r="A955" s="323"/>
    </row>
    <row r="956" customFormat="false" ht="12.75" hidden="false" customHeight="false" outlineLevel="0" collapsed="false">
      <c r="A956" s="323"/>
    </row>
    <row r="957" customFormat="false" ht="12.75" hidden="false" customHeight="false" outlineLevel="0" collapsed="false">
      <c r="A957" s="323"/>
    </row>
    <row r="958" customFormat="false" ht="12.75" hidden="false" customHeight="false" outlineLevel="0" collapsed="false">
      <c r="A958" s="323"/>
    </row>
    <row r="959" customFormat="false" ht="12.75" hidden="false" customHeight="false" outlineLevel="0" collapsed="false">
      <c r="A959" s="323"/>
    </row>
    <row r="960" customFormat="false" ht="12.75" hidden="false" customHeight="false" outlineLevel="0" collapsed="false">
      <c r="A960" s="323"/>
    </row>
    <row r="961" customFormat="false" ht="12.75" hidden="false" customHeight="false" outlineLevel="0" collapsed="false">
      <c r="A961" s="323"/>
    </row>
    <row r="962" customFormat="false" ht="12.75" hidden="false" customHeight="false" outlineLevel="0" collapsed="false">
      <c r="A962" s="323"/>
    </row>
    <row r="963" customFormat="false" ht="12.75" hidden="false" customHeight="false" outlineLevel="0" collapsed="false">
      <c r="A963" s="323"/>
    </row>
    <row r="964" customFormat="false" ht="12.75" hidden="false" customHeight="false" outlineLevel="0" collapsed="false">
      <c r="A964" s="323"/>
    </row>
    <row r="965" customFormat="false" ht="12.75" hidden="false" customHeight="false" outlineLevel="0" collapsed="false">
      <c r="A965" s="323"/>
    </row>
    <row r="966" customFormat="false" ht="12.75" hidden="false" customHeight="false" outlineLevel="0" collapsed="false">
      <c r="A966" s="323"/>
    </row>
    <row r="967" customFormat="false" ht="12.75" hidden="false" customHeight="false" outlineLevel="0" collapsed="false">
      <c r="A967" s="323"/>
    </row>
    <row r="968" customFormat="false" ht="12.75" hidden="false" customHeight="false" outlineLevel="0" collapsed="false">
      <c r="A968" s="323"/>
    </row>
    <row r="969" customFormat="false" ht="12.75" hidden="false" customHeight="false" outlineLevel="0" collapsed="false">
      <c r="A969" s="323"/>
    </row>
    <row r="970" customFormat="false" ht="12.75" hidden="false" customHeight="false" outlineLevel="0" collapsed="false">
      <c r="A970" s="323"/>
    </row>
    <row r="971" customFormat="false" ht="12.75" hidden="false" customHeight="false" outlineLevel="0" collapsed="false">
      <c r="A971" s="323"/>
    </row>
    <row r="972" customFormat="false" ht="12.75" hidden="false" customHeight="false" outlineLevel="0" collapsed="false">
      <c r="A972" s="323"/>
    </row>
    <row r="973" customFormat="false" ht="12.75" hidden="false" customHeight="false" outlineLevel="0" collapsed="false">
      <c r="A973" s="323"/>
    </row>
    <row r="974" customFormat="false" ht="12.75" hidden="false" customHeight="false" outlineLevel="0" collapsed="false">
      <c r="A974" s="323"/>
    </row>
    <row r="975" customFormat="false" ht="12.75" hidden="false" customHeight="false" outlineLevel="0" collapsed="false">
      <c r="A975" s="323"/>
    </row>
    <row r="976" customFormat="false" ht="12.75" hidden="false" customHeight="false" outlineLevel="0" collapsed="false">
      <c r="A976" s="323"/>
    </row>
    <row r="977" customFormat="false" ht="12.75" hidden="false" customHeight="false" outlineLevel="0" collapsed="false">
      <c r="A977" s="323"/>
    </row>
    <row r="978" customFormat="false" ht="12.75" hidden="false" customHeight="false" outlineLevel="0" collapsed="false">
      <c r="A978" s="323"/>
    </row>
    <row r="979" customFormat="false" ht="12.75" hidden="false" customHeight="false" outlineLevel="0" collapsed="false">
      <c r="A979" s="323"/>
    </row>
    <row r="980" customFormat="false" ht="12.75" hidden="false" customHeight="false" outlineLevel="0" collapsed="false">
      <c r="A980" s="323"/>
    </row>
    <row r="981" customFormat="false" ht="12.75" hidden="false" customHeight="false" outlineLevel="0" collapsed="false">
      <c r="A981" s="323"/>
    </row>
    <row r="982" customFormat="false" ht="12.75" hidden="false" customHeight="false" outlineLevel="0" collapsed="false">
      <c r="A982" s="323"/>
    </row>
    <row r="983" customFormat="false" ht="12.75" hidden="false" customHeight="false" outlineLevel="0" collapsed="false">
      <c r="A983" s="323"/>
    </row>
    <row r="984" customFormat="false" ht="12.75" hidden="false" customHeight="false" outlineLevel="0" collapsed="false">
      <c r="A984" s="323"/>
    </row>
    <row r="985" customFormat="false" ht="12.75" hidden="false" customHeight="false" outlineLevel="0" collapsed="false">
      <c r="A985" s="323"/>
    </row>
    <row r="986" customFormat="false" ht="12.75" hidden="false" customHeight="false" outlineLevel="0" collapsed="false">
      <c r="A986" s="323"/>
    </row>
    <row r="987" customFormat="false" ht="12.75" hidden="false" customHeight="false" outlineLevel="0" collapsed="false">
      <c r="A987" s="323"/>
    </row>
    <row r="988" customFormat="false" ht="12.75" hidden="false" customHeight="false" outlineLevel="0" collapsed="false">
      <c r="A988" s="323"/>
    </row>
    <row r="989" customFormat="false" ht="12.75" hidden="false" customHeight="false" outlineLevel="0" collapsed="false">
      <c r="A989" s="323"/>
    </row>
    <row r="990" customFormat="false" ht="12.75" hidden="false" customHeight="false" outlineLevel="0" collapsed="false">
      <c r="A990" s="323"/>
    </row>
    <row r="991" customFormat="false" ht="12.75" hidden="false" customHeight="false" outlineLevel="0" collapsed="false">
      <c r="A991" s="323"/>
    </row>
    <row r="992" customFormat="false" ht="12.75" hidden="false" customHeight="false" outlineLevel="0" collapsed="false">
      <c r="A992" s="323"/>
    </row>
    <row r="993" customFormat="false" ht="12.75" hidden="false" customHeight="false" outlineLevel="0" collapsed="false">
      <c r="A993" s="323"/>
    </row>
    <row r="994" customFormat="false" ht="12.75" hidden="false" customHeight="false" outlineLevel="0" collapsed="false">
      <c r="A994" s="323"/>
    </row>
    <row r="995" customFormat="false" ht="12.75" hidden="false" customHeight="false" outlineLevel="0" collapsed="false">
      <c r="A995" s="323"/>
    </row>
    <row r="996" customFormat="false" ht="12.75" hidden="false" customHeight="false" outlineLevel="0" collapsed="false">
      <c r="A996" s="323"/>
    </row>
    <row r="997" customFormat="false" ht="12.75" hidden="false" customHeight="false" outlineLevel="0" collapsed="false">
      <c r="A997" s="323"/>
    </row>
    <row r="998" customFormat="false" ht="12.75" hidden="false" customHeight="false" outlineLevel="0" collapsed="false">
      <c r="A998" s="323"/>
    </row>
    <row r="999" customFormat="false" ht="12.75" hidden="false" customHeight="false" outlineLevel="0" collapsed="false">
      <c r="A999" s="323"/>
    </row>
    <row r="1000" customFormat="false" ht="12.75" hidden="false" customHeight="false" outlineLevel="0" collapsed="false">
      <c r="A1000" s="323"/>
    </row>
    <row r="1001" customFormat="false" ht="12.75" hidden="false" customHeight="false" outlineLevel="0" collapsed="false">
      <c r="A1001" s="323"/>
    </row>
    <row r="1002" customFormat="false" ht="12.75" hidden="false" customHeight="false" outlineLevel="0" collapsed="false">
      <c r="A1002" s="323"/>
    </row>
    <row r="1003" customFormat="false" ht="12.75" hidden="false" customHeight="false" outlineLevel="0" collapsed="false">
      <c r="A1003" s="323"/>
    </row>
    <row r="1004" customFormat="false" ht="12.75" hidden="false" customHeight="false" outlineLevel="0" collapsed="false">
      <c r="A1004" s="323"/>
    </row>
    <row r="1005" customFormat="false" ht="12.75" hidden="false" customHeight="false" outlineLevel="0" collapsed="false">
      <c r="A1005" s="323"/>
    </row>
    <row r="1006" customFormat="false" ht="12.75" hidden="false" customHeight="false" outlineLevel="0" collapsed="false">
      <c r="A1006" s="323"/>
    </row>
    <row r="1007" customFormat="false" ht="12.75" hidden="false" customHeight="false" outlineLevel="0" collapsed="false">
      <c r="A1007" s="323"/>
    </row>
    <row r="1008" customFormat="false" ht="12.75" hidden="false" customHeight="false" outlineLevel="0" collapsed="false">
      <c r="A1008" s="323"/>
    </row>
    <row r="1009" customFormat="false" ht="12.75" hidden="false" customHeight="false" outlineLevel="0" collapsed="false">
      <c r="A1009" s="323"/>
    </row>
    <row r="1010" customFormat="false" ht="12.75" hidden="false" customHeight="false" outlineLevel="0" collapsed="false">
      <c r="A1010" s="323"/>
    </row>
    <row r="1011" customFormat="false" ht="12.75" hidden="false" customHeight="false" outlineLevel="0" collapsed="false">
      <c r="A1011" s="323"/>
    </row>
    <row r="1012" customFormat="false" ht="12.75" hidden="false" customHeight="false" outlineLevel="0" collapsed="false">
      <c r="A1012" s="323"/>
    </row>
    <row r="1013" customFormat="false" ht="12.75" hidden="false" customHeight="false" outlineLevel="0" collapsed="false">
      <c r="A1013" s="323"/>
    </row>
    <row r="1014" customFormat="false" ht="12.75" hidden="false" customHeight="false" outlineLevel="0" collapsed="false">
      <c r="A1014" s="323"/>
    </row>
    <row r="1015" customFormat="false" ht="12.75" hidden="false" customHeight="false" outlineLevel="0" collapsed="false">
      <c r="A1015" s="323"/>
    </row>
    <row r="1016" customFormat="false" ht="12.75" hidden="false" customHeight="false" outlineLevel="0" collapsed="false">
      <c r="A1016" s="323"/>
    </row>
    <row r="1017" customFormat="false" ht="12.75" hidden="false" customHeight="false" outlineLevel="0" collapsed="false">
      <c r="A1017" s="323"/>
    </row>
    <row r="1018" customFormat="false" ht="12.75" hidden="false" customHeight="false" outlineLevel="0" collapsed="false">
      <c r="A1018" s="323"/>
    </row>
    <row r="1019" customFormat="false" ht="12.75" hidden="false" customHeight="false" outlineLevel="0" collapsed="false">
      <c r="A1019" s="323"/>
    </row>
    <row r="1020" customFormat="false" ht="12.75" hidden="false" customHeight="false" outlineLevel="0" collapsed="false">
      <c r="A1020" s="323"/>
    </row>
    <row r="1021" customFormat="false" ht="12.75" hidden="false" customHeight="false" outlineLevel="0" collapsed="false">
      <c r="A1021" s="323"/>
    </row>
    <row r="1022" customFormat="false" ht="12.75" hidden="false" customHeight="false" outlineLevel="0" collapsed="false">
      <c r="A1022" s="323"/>
    </row>
    <row r="1023" customFormat="false" ht="12.75" hidden="false" customHeight="false" outlineLevel="0" collapsed="false">
      <c r="A1023" s="323"/>
    </row>
    <row r="1024" customFormat="false" ht="12.75" hidden="false" customHeight="false" outlineLevel="0" collapsed="false">
      <c r="A1024" s="323"/>
    </row>
    <row r="1025" customFormat="false" ht="12.75" hidden="false" customHeight="false" outlineLevel="0" collapsed="false">
      <c r="A1025" s="323"/>
    </row>
    <row r="1026" customFormat="false" ht="12.75" hidden="false" customHeight="false" outlineLevel="0" collapsed="false">
      <c r="A1026" s="323"/>
    </row>
    <row r="1027" customFormat="false" ht="12.75" hidden="false" customHeight="false" outlineLevel="0" collapsed="false">
      <c r="A1027" s="323"/>
    </row>
    <row r="1028" customFormat="false" ht="12.75" hidden="false" customHeight="false" outlineLevel="0" collapsed="false">
      <c r="A1028" s="323"/>
    </row>
    <row r="1029" customFormat="false" ht="12.75" hidden="false" customHeight="false" outlineLevel="0" collapsed="false">
      <c r="A1029" s="323"/>
    </row>
    <row r="1030" customFormat="false" ht="12.75" hidden="false" customHeight="false" outlineLevel="0" collapsed="false">
      <c r="A1030" s="323"/>
    </row>
    <row r="1031" customFormat="false" ht="12.75" hidden="false" customHeight="false" outlineLevel="0" collapsed="false">
      <c r="A1031" s="323"/>
    </row>
    <row r="1032" customFormat="false" ht="12.75" hidden="false" customHeight="false" outlineLevel="0" collapsed="false">
      <c r="A1032" s="323"/>
    </row>
    <row r="1033" customFormat="false" ht="12.75" hidden="false" customHeight="false" outlineLevel="0" collapsed="false">
      <c r="A1033" s="323"/>
    </row>
    <row r="1034" customFormat="false" ht="12.75" hidden="false" customHeight="false" outlineLevel="0" collapsed="false">
      <c r="A1034" s="323"/>
    </row>
    <row r="1035" customFormat="false" ht="12.75" hidden="false" customHeight="false" outlineLevel="0" collapsed="false">
      <c r="A1035" s="323"/>
    </row>
    <row r="1036" customFormat="false" ht="12.75" hidden="false" customHeight="false" outlineLevel="0" collapsed="false">
      <c r="A1036" s="323"/>
    </row>
    <row r="1037" customFormat="false" ht="12.75" hidden="false" customHeight="false" outlineLevel="0" collapsed="false">
      <c r="A1037" s="323"/>
    </row>
    <row r="1038" customFormat="false" ht="12.75" hidden="false" customHeight="false" outlineLevel="0" collapsed="false">
      <c r="A1038" s="323"/>
    </row>
    <row r="1039" customFormat="false" ht="12.75" hidden="false" customHeight="false" outlineLevel="0" collapsed="false">
      <c r="A1039" s="323"/>
    </row>
    <row r="1040" customFormat="false" ht="12.75" hidden="false" customHeight="false" outlineLevel="0" collapsed="false">
      <c r="A1040" s="323"/>
    </row>
    <row r="1041" customFormat="false" ht="12.75" hidden="false" customHeight="false" outlineLevel="0" collapsed="false">
      <c r="A1041" s="323"/>
    </row>
    <row r="1042" customFormat="false" ht="12.75" hidden="false" customHeight="false" outlineLevel="0" collapsed="false">
      <c r="A1042" s="323"/>
    </row>
    <row r="1043" customFormat="false" ht="12.75" hidden="false" customHeight="false" outlineLevel="0" collapsed="false">
      <c r="A1043" s="323"/>
    </row>
    <row r="1044" customFormat="false" ht="12.75" hidden="false" customHeight="false" outlineLevel="0" collapsed="false">
      <c r="A1044" s="323"/>
    </row>
    <row r="1045" customFormat="false" ht="12.75" hidden="false" customHeight="false" outlineLevel="0" collapsed="false">
      <c r="A1045" s="323"/>
    </row>
    <row r="1046" customFormat="false" ht="12.75" hidden="false" customHeight="false" outlineLevel="0" collapsed="false">
      <c r="A1046" s="323"/>
    </row>
    <row r="1047" customFormat="false" ht="12.75" hidden="false" customHeight="false" outlineLevel="0" collapsed="false">
      <c r="A1047" s="323"/>
    </row>
    <row r="1048" customFormat="false" ht="12.75" hidden="false" customHeight="false" outlineLevel="0" collapsed="false">
      <c r="A1048" s="323"/>
    </row>
    <row r="1049" customFormat="false" ht="12.75" hidden="false" customHeight="false" outlineLevel="0" collapsed="false">
      <c r="A1049" s="323"/>
    </row>
    <row r="1050" customFormat="false" ht="12.75" hidden="false" customHeight="false" outlineLevel="0" collapsed="false">
      <c r="A1050" s="323"/>
    </row>
    <row r="1051" customFormat="false" ht="12.75" hidden="false" customHeight="false" outlineLevel="0" collapsed="false">
      <c r="A1051" s="323"/>
    </row>
    <row r="1052" customFormat="false" ht="12.75" hidden="false" customHeight="false" outlineLevel="0" collapsed="false">
      <c r="A1052" s="323"/>
    </row>
    <row r="1053" customFormat="false" ht="12.75" hidden="false" customHeight="false" outlineLevel="0" collapsed="false">
      <c r="A1053" s="323"/>
    </row>
    <row r="1054" customFormat="false" ht="12.75" hidden="false" customHeight="false" outlineLevel="0" collapsed="false">
      <c r="A1054" s="323"/>
    </row>
    <row r="1055" customFormat="false" ht="12.75" hidden="false" customHeight="false" outlineLevel="0" collapsed="false">
      <c r="A1055" s="323"/>
    </row>
    <row r="1056" customFormat="false" ht="12.75" hidden="false" customHeight="false" outlineLevel="0" collapsed="false">
      <c r="A1056" s="323"/>
    </row>
    <row r="1057" customFormat="false" ht="12.75" hidden="false" customHeight="false" outlineLevel="0" collapsed="false">
      <c r="A1057" s="323"/>
    </row>
    <row r="1058" customFormat="false" ht="12.75" hidden="false" customHeight="false" outlineLevel="0" collapsed="false">
      <c r="A1058" s="323"/>
    </row>
    <row r="1059" customFormat="false" ht="12.75" hidden="false" customHeight="false" outlineLevel="0" collapsed="false">
      <c r="A1059" s="323"/>
    </row>
    <row r="1060" customFormat="false" ht="12.75" hidden="false" customHeight="false" outlineLevel="0" collapsed="false">
      <c r="A1060" s="323"/>
    </row>
    <row r="1061" customFormat="false" ht="12.75" hidden="false" customHeight="false" outlineLevel="0" collapsed="false">
      <c r="A1061" s="323"/>
    </row>
    <row r="1062" customFormat="false" ht="12.75" hidden="false" customHeight="false" outlineLevel="0" collapsed="false">
      <c r="A1062" s="323"/>
    </row>
    <row r="1063" customFormat="false" ht="12.75" hidden="false" customHeight="false" outlineLevel="0" collapsed="false">
      <c r="A1063" s="323"/>
    </row>
    <row r="1064" customFormat="false" ht="12.75" hidden="false" customHeight="false" outlineLevel="0" collapsed="false">
      <c r="A1064" s="323"/>
    </row>
    <row r="1065" customFormat="false" ht="12.75" hidden="false" customHeight="false" outlineLevel="0" collapsed="false">
      <c r="A1065" s="323"/>
    </row>
    <row r="1066" customFormat="false" ht="12.75" hidden="false" customHeight="false" outlineLevel="0" collapsed="false">
      <c r="A1066" s="323"/>
    </row>
    <row r="1067" customFormat="false" ht="12.75" hidden="false" customHeight="false" outlineLevel="0" collapsed="false">
      <c r="A1067" s="323"/>
    </row>
    <row r="1068" customFormat="false" ht="12.75" hidden="false" customHeight="false" outlineLevel="0" collapsed="false">
      <c r="A1068" s="323"/>
    </row>
    <row r="1069" customFormat="false" ht="12.75" hidden="false" customHeight="false" outlineLevel="0" collapsed="false">
      <c r="A1069" s="323"/>
    </row>
    <row r="1070" customFormat="false" ht="12.75" hidden="false" customHeight="false" outlineLevel="0" collapsed="false">
      <c r="A1070" s="323"/>
    </row>
    <row r="1071" customFormat="false" ht="12.75" hidden="false" customHeight="false" outlineLevel="0" collapsed="false">
      <c r="A1071" s="323"/>
    </row>
    <row r="1072" customFormat="false" ht="12.75" hidden="false" customHeight="false" outlineLevel="0" collapsed="false">
      <c r="A1072" s="323"/>
    </row>
    <row r="1073" customFormat="false" ht="12.75" hidden="false" customHeight="false" outlineLevel="0" collapsed="false">
      <c r="A1073" s="323"/>
    </row>
    <row r="1074" customFormat="false" ht="12.75" hidden="false" customHeight="false" outlineLevel="0" collapsed="false">
      <c r="A1074" s="323"/>
    </row>
    <row r="1075" customFormat="false" ht="12.75" hidden="false" customHeight="false" outlineLevel="0" collapsed="false">
      <c r="A1075" s="323"/>
    </row>
    <row r="1076" customFormat="false" ht="12.75" hidden="false" customHeight="false" outlineLevel="0" collapsed="false">
      <c r="A1076" s="323"/>
    </row>
    <row r="1077" customFormat="false" ht="12.75" hidden="false" customHeight="false" outlineLevel="0" collapsed="false">
      <c r="A1077" s="323"/>
    </row>
    <row r="1078" customFormat="false" ht="12.75" hidden="false" customHeight="false" outlineLevel="0" collapsed="false">
      <c r="A1078" s="323"/>
    </row>
    <row r="1079" customFormat="false" ht="12.75" hidden="false" customHeight="false" outlineLevel="0" collapsed="false">
      <c r="A1079" s="323"/>
    </row>
    <row r="1080" customFormat="false" ht="12.75" hidden="false" customHeight="false" outlineLevel="0" collapsed="false">
      <c r="A1080" s="323"/>
    </row>
    <row r="1081" customFormat="false" ht="12.75" hidden="false" customHeight="false" outlineLevel="0" collapsed="false">
      <c r="A1081" s="323"/>
    </row>
    <row r="1082" customFormat="false" ht="12.75" hidden="false" customHeight="false" outlineLevel="0" collapsed="false">
      <c r="A1082" s="323"/>
    </row>
    <row r="1083" customFormat="false" ht="12.75" hidden="false" customHeight="false" outlineLevel="0" collapsed="false">
      <c r="A1083" s="323"/>
    </row>
    <row r="1084" customFormat="false" ht="12.75" hidden="false" customHeight="false" outlineLevel="0" collapsed="false">
      <c r="A1084" s="323"/>
    </row>
    <row r="1085" customFormat="false" ht="12.75" hidden="false" customHeight="false" outlineLevel="0" collapsed="false">
      <c r="A1085" s="323"/>
    </row>
    <row r="1086" customFormat="false" ht="12.75" hidden="false" customHeight="false" outlineLevel="0" collapsed="false">
      <c r="A1086" s="323"/>
    </row>
    <row r="1087" customFormat="false" ht="12.75" hidden="false" customHeight="false" outlineLevel="0" collapsed="false">
      <c r="A1087" s="323"/>
    </row>
    <row r="1088" customFormat="false" ht="12.75" hidden="false" customHeight="false" outlineLevel="0" collapsed="false">
      <c r="A1088" s="323"/>
    </row>
    <row r="1089" customFormat="false" ht="12.75" hidden="false" customHeight="false" outlineLevel="0" collapsed="false">
      <c r="A1089" s="323"/>
    </row>
    <row r="1090" customFormat="false" ht="12.75" hidden="false" customHeight="false" outlineLevel="0" collapsed="false">
      <c r="A1090" s="323"/>
    </row>
    <row r="1091" customFormat="false" ht="12.75" hidden="false" customHeight="false" outlineLevel="0" collapsed="false">
      <c r="A1091" s="323"/>
    </row>
    <row r="1092" customFormat="false" ht="12.75" hidden="false" customHeight="false" outlineLevel="0" collapsed="false">
      <c r="A1092" s="323"/>
    </row>
    <row r="1093" customFormat="false" ht="12.75" hidden="false" customHeight="false" outlineLevel="0" collapsed="false">
      <c r="A1093" s="323"/>
    </row>
    <row r="1094" customFormat="false" ht="12.75" hidden="false" customHeight="false" outlineLevel="0" collapsed="false">
      <c r="A1094" s="323"/>
    </row>
    <row r="1095" customFormat="false" ht="12.75" hidden="false" customHeight="false" outlineLevel="0" collapsed="false">
      <c r="A1095" s="323"/>
    </row>
    <row r="1096" customFormat="false" ht="12.75" hidden="false" customHeight="false" outlineLevel="0" collapsed="false">
      <c r="A1096" s="323"/>
    </row>
    <row r="1097" customFormat="false" ht="12.75" hidden="false" customHeight="false" outlineLevel="0" collapsed="false">
      <c r="A1097" s="323"/>
    </row>
    <row r="1098" customFormat="false" ht="12.75" hidden="false" customHeight="false" outlineLevel="0" collapsed="false">
      <c r="A1098" s="323"/>
    </row>
    <row r="1099" customFormat="false" ht="12.75" hidden="false" customHeight="false" outlineLevel="0" collapsed="false">
      <c r="A1099" s="323"/>
    </row>
    <row r="1100" customFormat="false" ht="12.75" hidden="false" customHeight="false" outlineLevel="0" collapsed="false">
      <c r="A1100" s="323"/>
    </row>
    <row r="1101" customFormat="false" ht="12.75" hidden="false" customHeight="false" outlineLevel="0" collapsed="false">
      <c r="A1101" s="323"/>
    </row>
    <row r="1102" customFormat="false" ht="12.75" hidden="false" customHeight="false" outlineLevel="0" collapsed="false">
      <c r="A1102" s="323"/>
    </row>
    <row r="1103" customFormat="false" ht="12.75" hidden="false" customHeight="false" outlineLevel="0" collapsed="false">
      <c r="A1103" s="323"/>
    </row>
    <row r="1104" customFormat="false" ht="12.75" hidden="false" customHeight="false" outlineLevel="0" collapsed="false">
      <c r="A1104" s="323"/>
    </row>
    <row r="1105" customFormat="false" ht="12.75" hidden="false" customHeight="false" outlineLevel="0" collapsed="false">
      <c r="A1105" s="323"/>
    </row>
    <row r="1106" customFormat="false" ht="12.75" hidden="false" customHeight="false" outlineLevel="0" collapsed="false">
      <c r="A1106" s="323"/>
    </row>
    <row r="1107" customFormat="false" ht="12.75" hidden="false" customHeight="false" outlineLevel="0" collapsed="false">
      <c r="A1107" s="323"/>
    </row>
    <row r="1108" customFormat="false" ht="12.75" hidden="false" customHeight="false" outlineLevel="0" collapsed="false">
      <c r="A1108" s="323"/>
    </row>
    <row r="1109" customFormat="false" ht="12.75" hidden="false" customHeight="false" outlineLevel="0" collapsed="false">
      <c r="A1109" s="323"/>
    </row>
    <row r="1110" customFormat="false" ht="12.75" hidden="false" customHeight="false" outlineLevel="0" collapsed="false">
      <c r="A1110" s="323"/>
    </row>
    <row r="1111" customFormat="false" ht="12.75" hidden="false" customHeight="false" outlineLevel="0" collapsed="false">
      <c r="A1111" s="323"/>
    </row>
    <row r="1112" customFormat="false" ht="12.75" hidden="false" customHeight="false" outlineLevel="0" collapsed="false">
      <c r="A1112" s="323"/>
    </row>
    <row r="1113" customFormat="false" ht="12.75" hidden="false" customHeight="false" outlineLevel="0" collapsed="false">
      <c r="A1113" s="323"/>
    </row>
    <row r="1114" customFormat="false" ht="12.75" hidden="false" customHeight="false" outlineLevel="0" collapsed="false">
      <c r="A1114" s="323"/>
    </row>
    <row r="1115" customFormat="false" ht="12.75" hidden="false" customHeight="false" outlineLevel="0" collapsed="false">
      <c r="A1115" s="323"/>
    </row>
    <row r="1116" customFormat="false" ht="12.75" hidden="false" customHeight="false" outlineLevel="0" collapsed="false">
      <c r="A1116" s="323"/>
    </row>
    <row r="1117" customFormat="false" ht="12.75" hidden="false" customHeight="false" outlineLevel="0" collapsed="false">
      <c r="A1117" s="323"/>
    </row>
    <row r="1118" customFormat="false" ht="12.75" hidden="false" customHeight="false" outlineLevel="0" collapsed="false">
      <c r="A1118" s="323"/>
    </row>
    <row r="1119" customFormat="false" ht="12.75" hidden="false" customHeight="false" outlineLevel="0" collapsed="false">
      <c r="A1119" s="323"/>
    </row>
    <row r="1120" customFormat="false" ht="12.75" hidden="false" customHeight="false" outlineLevel="0" collapsed="false">
      <c r="A1120" s="323"/>
    </row>
    <row r="1121" customFormat="false" ht="12.75" hidden="false" customHeight="false" outlineLevel="0" collapsed="false">
      <c r="A1121" s="323"/>
    </row>
    <row r="1122" customFormat="false" ht="12.75" hidden="false" customHeight="false" outlineLevel="0" collapsed="false">
      <c r="A1122" s="323"/>
    </row>
    <row r="1123" customFormat="false" ht="12.75" hidden="false" customHeight="false" outlineLevel="0" collapsed="false">
      <c r="A1123" s="323"/>
    </row>
    <row r="1124" customFormat="false" ht="12.75" hidden="false" customHeight="false" outlineLevel="0" collapsed="false">
      <c r="A1124" s="323"/>
    </row>
    <row r="1125" customFormat="false" ht="12.75" hidden="false" customHeight="false" outlineLevel="0" collapsed="false">
      <c r="A1125" s="323"/>
    </row>
    <row r="1126" customFormat="false" ht="12.75" hidden="false" customHeight="false" outlineLevel="0" collapsed="false">
      <c r="A1126" s="323"/>
    </row>
    <row r="1127" customFormat="false" ht="12.75" hidden="false" customHeight="false" outlineLevel="0" collapsed="false">
      <c r="A1127" s="323"/>
    </row>
    <row r="1128" customFormat="false" ht="12.75" hidden="false" customHeight="false" outlineLevel="0" collapsed="false">
      <c r="A1128" s="323"/>
    </row>
    <row r="1129" customFormat="false" ht="12.75" hidden="false" customHeight="false" outlineLevel="0" collapsed="false">
      <c r="A1129" s="323"/>
    </row>
    <row r="1130" customFormat="false" ht="12.75" hidden="false" customHeight="false" outlineLevel="0" collapsed="false">
      <c r="A1130" s="323"/>
    </row>
    <row r="1131" customFormat="false" ht="12.75" hidden="false" customHeight="false" outlineLevel="0" collapsed="false">
      <c r="A1131" s="323"/>
    </row>
    <row r="1132" customFormat="false" ht="12.75" hidden="false" customHeight="false" outlineLevel="0" collapsed="false">
      <c r="A1132" s="323"/>
    </row>
    <row r="1133" customFormat="false" ht="12.75" hidden="false" customHeight="false" outlineLevel="0" collapsed="false">
      <c r="A1133" s="323"/>
    </row>
    <row r="1134" customFormat="false" ht="12.75" hidden="false" customHeight="false" outlineLevel="0" collapsed="false">
      <c r="A1134" s="323"/>
    </row>
    <row r="1135" customFormat="false" ht="12.75" hidden="false" customHeight="false" outlineLevel="0" collapsed="false">
      <c r="A1135" s="323"/>
    </row>
    <row r="1136" customFormat="false" ht="12.75" hidden="false" customHeight="false" outlineLevel="0" collapsed="false">
      <c r="A1136" s="323"/>
    </row>
    <row r="1137" customFormat="false" ht="12.75" hidden="false" customHeight="false" outlineLevel="0" collapsed="false">
      <c r="A1137" s="323"/>
    </row>
    <row r="1138" customFormat="false" ht="12.75" hidden="false" customHeight="false" outlineLevel="0" collapsed="false">
      <c r="A1138" s="323"/>
    </row>
    <row r="1139" customFormat="false" ht="12.75" hidden="false" customHeight="false" outlineLevel="0" collapsed="false">
      <c r="A1139" s="323"/>
    </row>
    <row r="1140" customFormat="false" ht="12.75" hidden="false" customHeight="false" outlineLevel="0" collapsed="false">
      <c r="A1140" s="323"/>
    </row>
    <row r="1141" customFormat="false" ht="12.75" hidden="false" customHeight="false" outlineLevel="0" collapsed="false">
      <c r="A1141" s="323"/>
    </row>
    <row r="1142" customFormat="false" ht="12.75" hidden="false" customHeight="false" outlineLevel="0" collapsed="false">
      <c r="A1142" s="323"/>
    </row>
    <row r="1143" customFormat="false" ht="12.75" hidden="false" customHeight="false" outlineLevel="0" collapsed="false">
      <c r="A1143" s="323"/>
    </row>
    <row r="1144" customFormat="false" ht="12.75" hidden="false" customHeight="false" outlineLevel="0" collapsed="false">
      <c r="A1144" s="323"/>
    </row>
    <row r="1145" customFormat="false" ht="12.75" hidden="false" customHeight="false" outlineLevel="0" collapsed="false">
      <c r="A1145" s="323"/>
    </row>
    <row r="1146" customFormat="false" ht="12.75" hidden="false" customHeight="false" outlineLevel="0" collapsed="false">
      <c r="A1146" s="323"/>
    </row>
    <row r="1147" customFormat="false" ht="12.75" hidden="false" customHeight="false" outlineLevel="0" collapsed="false">
      <c r="A1147" s="323"/>
    </row>
    <row r="1148" customFormat="false" ht="12.75" hidden="false" customHeight="false" outlineLevel="0" collapsed="false">
      <c r="A1148" s="323"/>
    </row>
    <row r="1149" customFormat="false" ht="12.75" hidden="false" customHeight="false" outlineLevel="0" collapsed="false">
      <c r="A1149" s="323"/>
    </row>
    <row r="1150" customFormat="false" ht="12.75" hidden="false" customHeight="false" outlineLevel="0" collapsed="false">
      <c r="A1150" s="323"/>
    </row>
    <row r="1151" customFormat="false" ht="12.75" hidden="false" customHeight="false" outlineLevel="0" collapsed="false">
      <c r="A1151" s="323"/>
    </row>
    <row r="1152" customFormat="false" ht="12.75" hidden="false" customHeight="false" outlineLevel="0" collapsed="false">
      <c r="A1152" s="323"/>
    </row>
    <row r="1153" customFormat="false" ht="12.75" hidden="false" customHeight="false" outlineLevel="0" collapsed="false">
      <c r="A1153" s="323"/>
    </row>
    <row r="1154" customFormat="false" ht="12.75" hidden="false" customHeight="false" outlineLevel="0" collapsed="false">
      <c r="A1154" s="323"/>
    </row>
    <row r="1155" customFormat="false" ht="12.75" hidden="false" customHeight="false" outlineLevel="0" collapsed="false">
      <c r="A1155" s="323"/>
    </row>
    <row r="1156" customFormat="false" ht="12.75" hidden="false" customHeight="false" outlineLevel="0" collapsed="false">
      <c r="A1156" s="323"/>
    </row>
    <row r="1157" customFormat="false" ht="12.75" hidden="false" customHeight="false" outlineLevel="0" collapsed="false">
      <c r="A1157" s="323"/>
    </row>
    <row r="1158" customFormat="false" ht="12.75" hidden="false" customHeight="false" outlineLevel="0" collapsed="false">
      <c r="A1158" s="323"/>
    </row>
    <row r="1159" customFormat="false" ht="12.75" hidden="false" customHeight="false" outlineLevel="0" collapsed="false">
      <c r="A1159" s="323"/>
    </row>
    <row r="1160" customFormat="false" ht="12.75" hidden="false" customHeight="false" outlineLevel="0" collapsed="false">
      <c r="A1160" s="323"/>
    </row>
    <row r="1161" customFormat="false" ht="12.75" hidden="false" customHeight="false" outlineLevel="0" collapsed="false">
      <c r="A1161" s="323"/>
    </row>
    <row r="1162" customFormat="false" ht="12.75" hidden="false" customHeight="false" outlineLevel="0" collapsed="false">
      <c r="A1162" s="323"/>
    </row>
    <row r="1163" customFormat="false" ht="12.75" hidden="false" customHeight="false" outlineLevel="0" collapsed="false">
      <c r="A1163" s="323"/>
    </row>
    <row r="1164" customFormat="false" ht="12.75" hidden="false" customHeight="false" outlineLevel="0" collapsed="false">
      <c r="A1164" s="323"/>
    </row>
    <row r="1165" customFormat="false" ht="12.75" hidden="false" customHeight="false" outlineLevel="0" collapsed="false">
      <c r="A1165" s="323"/>
    </row>
    <row r="1166" customFormat="false" ht="12.75" hidden="false" customHeight="false" outlineLevel="0" collapsed="false">
      <c r="A1166" s="323"/>
    </row>
    <row r="1167" customFormat="false" ht="12.75" hidden="false" customHeight="false" outlineLevel="0" collapsed="false">
      <c r="A1167" s="323"/>
    </row>
    <row r="1168" customFormat="false" ht="12.75" hidden="false" customHeight="false" outlineLevel="0" collapsed="false">
      <c r="A1168" s="323"/>
    </row>
    <row r="1169" customFormat="false" ht="12.75" hidden="false" customHeight="false" outlineLevel="0" collapsed="false">
      <c r="A1169" s="323"/>
    </row>
    <row r="1170" customFormat="false" ht="12.75" hidden="false" customHeight="false" outlineLevel="0" collapsed="false">
      <c r="A1170" s="323"/>
    </row>
    <row r="1171" customFormat="false" ht="12.75" hidden="false" customHeight="false" outlineLevel="0" collapsed="false">
      <c r="A1171" s="323"/>
    </row>
    <row r="1172" customFormat="false" ht="12.75" hidden="false" customHeight="false" outlineLevel="0" collapsed="false">
      <c r="A1172" s="323"/>
    </row>
    <row r="1173" customFormat="false" ht="12.75" hidden="false" customHeight="false" outlineLevel="0" collapsed="false">
      <c r="A1173" s="323"/>
    </row>
    <row r="1174" customFormat="false" ht="12.75" hidden="false" customHeight="false" outlineLevel="0" collapsed="false">
      <c r="A1174" s="323"/>
    </row>
    <row r="1175" customFormat="false" ht="12.75" hidden="false" customHeight="false" outlineLevel="0" collapsed="false">
      <c r="A1175" s="323"/>
    </row>
    <row r="1176" customFormat="false" ht="12.75" hidden="false" customHeight="false" outlineLevel="0" collapsed="false">
      <c r="A1176" s="323"/>
    </row>
    <row r="1177" customFormat="false" ht="12.75" hidden="false" customHeight="false" outlineLevel="0" collapsed="false">
      <c r="A1177" s="323"/>
    </row>
    <row r="1178" customFormat="false" ht="12.75" hidden="false" customHeight="false" outlineLevel="0" collapsed="false">
      <c r="A1178" s="323"/>
    </row>
    <row r="1179" customFormat="false" ht="12.75" hidden="false" customHeight="false" outlineLevel="0" collapsed="false">
      <c r="A1179" s="323"/>
    </row>
    <row r="1180" customFormat="false" ht="12.75" hidden="false" customHeight="false" outlineLevel="0" collapsed="false">
      <c r="A1180" s="323"/>
    </row>
    <row r="1181" customFormat="false" ht="12.75" hidden="false" customHeight="false" outlineLevel="0" collapsed="false">
      <c r="A1181" s="323"/>
    </row>
    <row r="1182" customFormat="false" ht="12.75" hidden="false" customHeight="false" outlineLevel="0" collapsed="false">
      <c r="A1182" s="323"/>
    </row>
    <row r="1183" customFormat="false" ht="12.75" hidden="false" customHeight="false" outlineLevel="0" collapsed="false">
      <c r="A1183" s="323"/>
    </row>
    <row r="1184" customFormat="false" ht="12.75" hidden="false" customHeight="false" outlineLevel="0" collapsed="false">
      <c r="A1184" s="323"/>
    </row>
    <row r="1185" customFormat="false" ht="12.75" hidden="false" customHeight="false" outlineLevel="0" collapsed="false">
      <c r="A1185" s="323"/>
    </row>
    <row r="1186" customFormat="false" ht="12.75" hidden="false" customHeight="false" outlineLevel="0" collapsed="false">
      <c r="A1186" s="323"/>
    </row>
    <row r="1187" customFormat="false" ht="12.75" hidden="false" customHeight="false" outlineLevel="0" collapsed="false">
      <c r="A1187" s="323"/>
    </row>
    <row r="1188" customFormat="false" ht="12.75" hidden="false" customHeight="false" outlineLevel="0" collapsed="false">
      <c r="A1188" s="323"/>
    </row>
    <row r="1189" customFormat="false" ht="12.75" hidden="false" customHeight="false" outlineLevel="0" collapsed="false">
      <c r="A1189" s="323"/>
    </row>
    <row r="1190" customFormat="false" ht="12.75" hidden="false" customHeight="false" outlineLevel="0" collapsed="false">
      <c r="A1190" s="323"/>
    </row>
    <row r="1191" customFormat="false" ht="12.75" hidden="false" customHeight="false" outlineLevel="0" collapsed="false">
      <c r="A1191" s="323"/>
    </row>
    <row r="1192" customFormat="false" ht="12.75" hidden="false" customHeight="false" outlineLevel="0" collapsed="false">
      <c r="A1192" s="323"/>
    </row>
    <row r="1193" customFormat="false" ht="12.75" hidden="false" customHeight="false" outlineLevel="0" collapsed="false">
      <c r="A1193" s="323"/>
    </row>
    <row r="1194" customFormat="false" ht="12.75" hidden="false" customHeight="false" outlineLevel="0" collapsed="false">
      <c r="A1194" s="323"/>
    </row>
    <row r="1195" customFormat="false" ht="12.75" hidden="false" customHeight="false" outlineLevel="0" collapsed="false">
      <c r="A1195" s="323"/>
    </row>
    <row r="1196" customFormat="false" ht="12.75" hidden="false" customHeight="false" outlineLevel="0" collapsed="false">
      <c r="A1196" s="323"/>
    </row>
    <row r="1197" customFormat="false" ht="12.75" hidden="false" customHeight="false" outlineLevel="0" collapsed="false">
      <c r="A1197" s="323"/>
    </row>
    <row r="1198" customFormat="false" ht="12.75" hidden="false" customHeight="false" outlineLevel="0" collapsed="false">
      <c r="A1198" s="323"/>
    </row>
    <row r="1199" customFormat="false" ht="12.75" hidden="false" customHeight="false" outlineLevel="0" collapsed="false">
      <c r="A1199" s="323"/>
    </row>
    <row r="1200" customFormat="false" ht="12.75" hidden="false" customHeight="false" outlineLevel="0" collapsed="false">
      <c r="A1200" s="323"/>
    </row>
    <row r="1201" customFormat="false" ht="12.75" hidden="false" customHeight="false" outlineLevel="0" collapsed="false">
      <c r="A1201" s="323"/>
    </row>
    <row r="1202" customFormat="false" ht="12.75" hidden="false" customHeight="false" outlineLevel="0" collapsed="false">
      <c r="A1202" s="323"/>
    </row>
    <row r="1203" customFormat="false" ht="12.75" hidden="false" customHeight="false" outlineLevel="0" collapsed="false">
      <c r="A1203" s="323"/>
    </row>
    <row r="1204" customFormat="false" ht="12.75" hidden="false" customHeight="false" outlineLevel="0" collapsed="false">
      <c r="A1204" s="323"/>
    </row>
    <row r="1205" customFormat="false" ht="12.75" hidden="false" customHeight="false" outlineLevel="0" collapsed="false">
      <c r="A1205" s="323"/>
    </row>
    <row r="1206" customFormat="false" ht="12.75" hidden="false" customHeight="false" outlineLevel="0" collapsed="false">
      <c r="A1206" s="323"/>
    </row>
    <row r="1207" customFormat="false" ht="12.75" hidden="false" customHeight="false" outlineLevel="0" collapsed="false">
      <c r="A1207" s="323"/>
    </row>
    <row r="1208" customFormat="false" ht="12.75" hidden="false" customHeight="false" outlineLevel="0" collapsed="false">
      <c r="A1208" s="323"/>
    </row>
    <row r="1209" customFormat="false" ht="12.75" hidden="false" customHeight="false" outlineLevel="0" collapsed="false">
      <c r="A1209" s="323"/>
    </row>
    <row r="1210" customFormat="false" ht="12.75" hidden="false" customHeight="false" outlineLevel="0" collapsed="false">
      <c r="A1210" s="323"/>
    </row>
    <row r="1211" customFormat="false" ht="12.75" hidden="false" customHeight="false" outlineLevel="0" collapsed="false">
      <c r="A1211" s="323"/>
    </row>
    <row r="1212" customFormat="false" ht="12.75" hidden="false" customHeight="false" outlineLevel="0" collapsed="false">
      <c r="A1212" s="323"/>
    </row>
    <row r="1213" customFormat="false" ht="12.75" hidden="false" customHeight="false" outlineLevel="0" collapsed="false">
      <c r="A1213" s="323"/>
    </row>
    <row r="1214" customFormat="false" ht="12.75" hidden="false" customHeight="false" outlineLevel="0" collapsed="false">
      <c r="A1214" s="323"/>
    </row>
    <row r="1215" customFormat="false" ht="12.75" hidden="false" customHeight="false" outlineLevel="0" collapsed="false">
      <c r="A1215" s="323"/>
    </row>
    <row r="1216" customFormat="false" ht="12.75" hidden="false" customHeight="false" outlineLevel="0" collapsed="false">
      <c r="A1216" s="323"/>
    </row>
    <row r="1217" customFormat="false" ht="12.75" hidden="false" customHeight="false" outlineLevel="0" collapsed="false">
      <c r="A1217" s="323"/>
    </row>
    <row r="1218" customFormat="false" ht="12.75" hidden="false" customHeight="false" outlineLevel="0" collapsed="false">
      <c r="A1218" s="323"/>
    </row>
    <row r="1219" customFormat="false" ht="12.75" hidden="false" customHeight="false" outlineLevel="0" collapsed="false">
      <c r="A1219" s="323"/>
    </row>
    <row r="1220" customFormat="false" ht="12.75" hidden="false" customHeight="false" outlineLevel="0" collapsed="false">
      <c r="A1220" s="323"/>
    </row>
    <row r="1221" customFormat="false" ht="12.75" hidden="false" customHeight="false" outlineLevel="0" collapsed="false">
      <c r="A1221" s="323"/>
    </row>
    <row r="1222" customFormat="false" ht="12.75" hidden="false" customHeight="false" outlineLevel="0" collapsed="false">
      <c r="A1222" s="323"/>
    </row>
    <row r="1223" customFormat="false" ht="12.75" hidden="false" customHeight="false" outlineLevel="0" collapsed="false">
      <c r="A1223" s="323"/>
    </row>
    <row r="1224" customFormat="false" ht="12.75" hidden="false" customHeight="false" outlineLevel="0" collapsed="false">
      <c r="A1224" s="323"/>
    </row>
    <row r="1225" customFormat="false" ht="12.75" hidden="false" customHeight="false" outlineLevel="0" collapsed="false">
      <c r="A1225" s="323"/>
    </row>
    <row r="1226" customFormat="false" ht="12.75" hidden="false" customHeight="false" outlineLevel="0" collapsed="false">
      <c r="A1226" s="323"/>
    </row>
    <row r="1227" customFormat="false" ht="12.75" hidden="false" customHeight="false" outlineLevel="0" collapsed="false">
      <c r="A1227" s="323"/>
    </row>
    <row r="1228" customFormat="false" ht="12.75" hidden="false" customHeight="false" outlineLevel="0" collapsed="false">
      <c r="A1228" s="323"/>
    </row>
    <row r="1229" customFormat="false" ht="12.75" hidden="false" customHeight="false" outlineLevel="0" collapsed="false">
      <c r="A1229" s="323"/>
    </row>
    <row r="1230" customFormat="false" ht="12.75" hidden="false" customHeight="false" outlineLevel="0" collapsed="false">
      <c r="A1230" s="323"/>
    </row>
    <row r="1231" customFormat="false" ht="12.75" hidden="false" customHeight="false" outlineLevel="0" collapsed="false">
      <c r="A1231" s="323"/>
    </row>
    <row r="1232" customFormat="false" ht="12.75" hidden="false" customHeight="false" outlineLevel="0" collapsed="false">
      <c r="A1232" s="323"/>
    </row>
    <row r="1233" customFormat="false" ht="12.75" hidden="false" customHeight="false" outlineLevel="0" collapsed="false">
      <c r="A1233" s="323"/>
    </row>
    <row r="1234" customFormat="false" ht="12.75" hidden="false" customHeight="false" outlineLevel="0" collapsed="false">
      <c r="A1234" s="323"/>
    </row>
    <row r="1235" customFormat="false" ht="12.75" hidden="false" customHeight="false" outlineLevel="0" collapsed="false">
      <c r="A1235" s="323"/>
    </row>
    <row r="1236" customFormat="false" ht="12.75" hidden="false" customHeight="false" outlineLevel="0" collapsed="false">
      <c r="A1236" s="323"/>
    </row>
    <row r="1237" customFormat="false" ht="12.75" hidden="false" customHeight="false" outlineLevel="0" collapsed="false">
      <c r="A1237" s="323"/>
    </row>
    <row r="1238" customFormat="false" ht="12.75" hidden="false" customHeight="false" outlineLevel="0" collapsed="false">
      <c r="A1238" s="323"/>
    </row>
    <row r="1239" customFormat="false" ht="12.75" hidden="false" customHeight="false" outlineLevel="0" collapsed="false">
      <c r="A1239" s="323"/>
    </row>
    <row r="1240" customFormat="false" ht="12.75" hidden="false" customHeight="false" outlineLevel="0" collapsed="false">
      <c r="A1240" s="323"/>
    </row>
    <row r="1241" customFormat="false" ht="12.75" hidden="false" customHeight="false" outlineLevel="0" collapsed="false">
      <c r="A1241" s="323"/>
    </row>
    <row r="1242" customFormat="false" ht="12.75" hidden="false" customHeight="false" outlineLevel="0" collapsed="false">
      <c r="A1242" s="323"/>
    </row>
    <row r="1243" customFormat="false" ht="12.75" hidden="false" customHeight="false" outlineLevel="0" collapsed="false">
      <c r="A1243" s="323"/>
    </row>
    <row r="1244" customFormat="false" ht="12.75" hidden="false" customHeight="false" outlineLevel="0" collapsed="false">
      <c r="A1244" s="323"/>
    </row>
    <row r="1245" customFormat="false" ht="12.75" hidden="false" customHeight="false" outlineLevel="0" collapsed="false">
      <c r="A1245" s="323"/>
    </row>
    <row r="1246" customFormat="false" ht="12.75" hidden="false" customHeight="false" outlineLevel="0" collapsed="false">
      <c r="A1246" s="323"/>
    </row>
    <row r="1247" customFormat="false" ht="12.75" hidden="false" customHeight="false" outlineLevel="0" collapsed="false">
      <c r="A1247" s="323"/>
    </row>
    <row r="1248" customFormat="false" ht="12.75" hidden="false" customHeight="false" outlineLevel="0" collapsed="false">
      <c r="A1248" s="323"/>
    </row>
    <row r="1249" customFormat="false" ht="12.75" hidden="false" customHeight="false" outlineLevel="0" collapsed="false">
      <c r="A1249" s="323"/>
    </row>
    <row r="1250" customFormat="false" ht="12.75" hidden="false" customHeight="false" outlineLevel="0" collapsed="false">
      <c r="A1250" s="323"/>
    </row>
    <row r="1251" customFormat="false" ht="12.75" hidden="false" customHeight="false" outlineLevel="0" collapsed="false">
      <c r="A1251" s="323"/>
    </row>
    <row r="1252" customFormat="false" ht="12.75" hidden="false" customHeight="false" outlineLevel="0" collapsed="false">
      <c r="A1252" s="323"/>
    </row>
    <row r="1253" customFormat="false" ht="12.75" hidden="false" customHeight="false" outlineLevel="0" collapsed="false">
      <c r="A1253" s="323"/>
    </row>
    <row r="1254" customFormat="false" ht="12.75" hidden="false" customHeight="false" outlineLevel="0" collapsed="false">
      <c r="A1254" s="323"/>
    </row>
    <row r="1255" customFormat="false" ht="12.75" hidden="false" customHeight="false" outlineLevel="0" collapsed="false">
      <c r="A1255" s="323"/>
    </row>
    <row r="1256" customFormat="false" ht="12.75" hidden="false" customHeight="false" outlineLevel="0" collapsed="false">
      <c r="A1256" s="323"/>
    </row>
    <row r="1257" customFormat="false" ht="12.75" hidden="false" customHeight="false" outlineLevel="0" collapsed="false">
      <c r="A1257" s="323"/>
    </row>
    <row r="1258" customFormat="false" ht="12.75" hidden="false" customHeight="false" outlineLevel="0" collapsed="false">
      <c r="A1258" s="323"/>
    </row>
    <row r="1259" customFormat="false" ht="12.75" hidden="false" customHeight="false" outlineLevel="0" collapsed="false">
      <c r="A1259" s="323"/>
    </row>
    <row r="1260" customFormat="false" ht="12.75" hidden="false" customHeight="false" outlineLevel="0" collapsed="false">
      <c r="A1260" s="323"/>
    </row>
    <row r="1261" customFormat="false" ht="12.75" hidden="false" customHeight="false" outlineLevel="0" collapsed="false">
      <c r="A1261" s="323"/>
    </row>
    <row r="1262" customFormat="false" ht="12.75" hidden="false" customHeight="false" outlineLevel="0" collapsed="false">
      <c r="A1262" s="323"/>
    </row>
    <row r="1263" customFormat="false" ht="12.75" hidden="false" customHeight="false" outlineLevel="0" collapsed="false">
      <c r="A1263" s="323"/>
    </row>
    <row r="1264" customFormat="false" ht="12.75" hidden="false" customHeight="false" outlineLevel="0" collapsed="false">
      <c r="A1264" s="323"/>
    </row>
    <row r="1265" customFormat="false" ht="12.75" hidden="false" customHeight="false" outlineLevel="0" collapsed="false">
      <c r="A1265" s="323"/>
    </row>
    <row r="1266" customFormat="false" ht="12.75" hidden="false" customHeight="false" outlineLevel="0" collapsed="false">
      <c r="A1266" s="323"/>
    </row>
    <row r="1267" customFormat="false" ht="12.75" hidden="false" customHeight="false" outlineLevel="0" collapsed="false">
      <c r="A1267" s="323"/>
    </row>
    <row r="1268" customFormat="false" ht="12.75" hidden="false" customHeight="false" outlineLevel="0" collapsed="false">
      <c r="A1268" s="323"/>
    </row>
    <row r="1269" customFormat="false" ht="12.75" hidden="false" customHeight="false" outlineLevel="0" collapsed="false">
      <c r="A1269" s="323"/>
    </row>
    <row r="1270" customFormat="false" ht="12.75" hidden="false" customHeight="false" outlineLevel="0" collapsed="false">
      <c r="A1270" s="323"/>
    </row>
    <row r="1271" customFormat="false" ht="12.75" hidden="false" customHeight="false" outlineLevel="0" collapsed="false">
      <c r="A1271" s="323"/>
    </row>
    <row r="1272" customFormat="false" ht="12.75" hidden="false" customHeight="false" outlineLevel="0" collapsed="false">
      <c r="A1272" s="323"/>
    </row>
    <row r="1273" customFormat="false" ht="12.75" hidden="false" customHeight="false" outlineLevel="0" collapsed="false">
      <c r="A1273" s="323"/>
    </row>
    <row r="1274" customFormat="false" ht="12.75" hidden="false" customHeight="false" outlineLevel="0" collapsed="false">
      <c r="A1274" s="323"/>
    </row>
    <row r="1275" customFormat="false" ht="12.75" hidden="false" customHeight="false" outlineLevel="0" collapsed="false">
      <c r="A1275" s="323"/>
    </row>
    <row r="1276" customFormat="false" ht="12.75" hidden="false" customHeight="false" outlineLevel="0" collapsed="false">
      <c r="A1276" s="323"/>
    </row>
    <row r="1277" customFormat="false" ht="12.75" hidden="false" customHeight="false" outlineLevel="0" collapsed="false">
      <c r="A1277" s="323"/>
    </row>
    <row r="1278" customFormat="false" ht="12.75" hidden="false" customHeight="false" outlineLevel="0" collapsed="false">
      <c r="A1278" s="323"/>
    </row>
    <row r="1279" customFormat="false" ht="12.75" hidden="false" customHeight="false" outlineLevel="0" collapsed="false">
      <c r="A1279" s="323"/>
    </row>
    <row r="1280" customFormat="false" ht="12.75" hidden="false" customHeight="false" outlineLevel="0" collapsed="false">
      <c r="A1280" s="323"/>
    </row>
    <row r="1281" customFormat="false" ht="12.75" hidden="false" customHeight="false" outlineLevel="0" collapsed="false">
      <c r="A1281" s="323"/>
    </row>
    <row r="1282" customFormat="false" ht="12.75" hidden="false" customHeight="false" outlineLevel="0" collapsed="false">
      <c r="A1282" s="323"/>
    </row>
    <row r="1283" customFormat="false" ht="12.75" hidden="false" customHeight="false" outlineLevel="0" collapsed="false">
      <c r="A1283" s="323"/>
    </row>
    <row r="1284" customFormat="false" ht="12.75" hidden="false" customHeight="false" outlineLevel="0" collapsed="false">
      <c r="A1284" s="323"/>
    </row>
    <row r="1285" customFormat="false" ht="12.75" hidden="false" customHeight="false" outlineLevel="0" collapsed="false">
      <c r="A1285" s="323"/>
    </row>
    <row r="1286" customFormat="false" ht="12.75" hidden="false" customHeight="false" outlineLevel="0" collapsed="false">
      <c r="A1286" s="323"/>
    </row>
    <row r="1287" customFormat="false" ht="12.75" hidden="false" customHeight="false" outlineLevel="0" collapsed="false">
      <c r="A1287" s="323"/>
    </row>
    <row r="1288" customFormat="false" ht="12.75" hidden="false" customHeight="false" outlineLevel="0" collapsed="false">
      <c r="A1288" s="323"/>
    </row>
    <row r="1289" customFormat="false" ht="12.75" hidden="false" customHeight="false" outlineLevel="0" collapsed="false">
      <c r="A1289" s="323"/>
    </row>
    <row r="1290" customFormat="false" ht="12.75" hidden="false" customHeight="false" outlineLevel="0" collapsed="false">
      <c r="A1290" s="323"/>
    </row>
    <row r="1291" customFormat="false" ht="12.75" hidden="false" customHeight="false" outlineLevel="0" collapsed="false">
      <c r="A1291" s="323"/>
    </row>
    <row r="1292" customFormat="false" ht="12.75" hidden="false" customHeight="false" outlineLevel="0" collapsed="false">
      <c r="A1292" s="323"/>
    </row>
    <row r="1293" customFormat="false" ht="12.75" hidden="false" customHeight="false" outlineLevel="0" collapsed="false">
      <c r="A1293" s="323"/>
    </row>
    <row r="1294" customFormat="false" ht="12.75" hidden="false" customHeight="false" outlineLevel="0" collapsed="false">
      <c r="A1294" s="323"/>
    </row>
    <row r="1295" customFormat="false" ht="12.75" hidden="false" customHeight="false" outlineLevel="0" collapsed="false">
      <c r="A1295" s="323"/>
    </row>
    <row r="1296" customFormat="false" ht="12.75" hidden="false" customHeight="false" outlineLevel="0" collapsed="false">
      <c r="A1296" s="323"/>
    </row>
    <row r="1297" customFormat="false" ht="12.75" hidden="false" customHeight="false" outlineLevel="0" collapsed="false">
      <c r="A1297" s="323"/>
    </row>
    <row r="1298" customFormat="false" ht="12.75" hidden="false" customHeight="false" outlineLevel="0" collapsed="false">
      <c r="A1298" s="323"/>
    </row>
    <row r="1299" customFormat="false" ht="12.75" hidden="false" customHeight="false" outlineLevel="0" collapsed="false">
      <c r="A1299" s="323"/>
    </row>
    <row r="1300" customFormat="false" ht="12.75" hidden="false" customHeight="false" outlineLevel="0" collapsed="false">
      <c r="A1300" s="323"/>
    </row>
    <row r="1301" customFormat="false" ht="12.75" hidden="false" customHeight="false" outlineLevel="0" collapsed="false">
      <c r="A1301" s="323"/>
    </row>
    <row r="1302" customFormat="false" ht="12.75" hidden="false" customHeight="false" outlineLevel="0" collapsed="false">
      <c r="A1302" s="323"/>
    </row>
    <row r="1303" customFormat="false" ht="12.75" hidden="false" customHeight="false" outlineLevel="0" collapsed="false">
      <c r="A1303" s="323"/>
    </row>
    <row r="1304" customFormat="false" ht="12.75" hidden="false" customHeight="false" outlineLevel="0" collapsed="false">
      <c r="A1304" s="323"/>
    </row>
    <row r="1305" customFormat="false" ht="12.75" hidden="false" customHeight="false" outlineLevel="0" collapsed="false">
      <c r="A1305" s="323"/>
    </row>
    <row r="1306" customFormat="false" ht="12.75" hidden="false" customHeight="false" outlineLevel="0" collapsed="false">
      <c r="A1306" s="323"/>
    </row>
    <row r="1307" customFormat="false" ht="12.75" hidden="false" customHeight="false" outlineLevel="0" collapsed="false">
      <c r="A1307" s="323"/>
    </row>
    <row r="1308" customFormat="false" ht="12.75" hidden="false" customHeight="false" outlineLevel="0" collapsed="false">
      <c r="A1308" s="323"/>
    </row>
    <row r="1309" customFormat="false" ht="12.75" hidden="false" customHeight="false" outlineLevel="0" collapsed="false">
      <c r="A1309" s="323"/>
    </row>
    <row r="1310" customFormat="false" ht="12.75" hidden="false" customHeight="false" outlineLevel="0" collapsed="false">
      <c r="A1310" s="323"/>
    </row>
    <row r="1311" customFormat="false" ht="12.75" hidden="false" customHeight="false" outlineLevel="0" collapsed="false">
      <c r="A1311" s="323"/>
    </row>
    <row r="1312" customFormat="false" ht="12.75" hidden="false" customHeight="false" outlineLevel="0" collapsed="false">
      <c r="A1312" s="323"/>
    </row>
    <row r="1313" customFormat="false" ht="12.75" hidden="false" customHeight="false" outlineLevel="0" collapsed="false">
      <c r="A1313" s="323"/>
    </row>
    <row r="1314" customFormat="false" ht="12.75" hidden="false" customHeight="false" outlineLevel="0" collapsed="false">
      <c r="A1314" s="323"/>
    </row>
    <row r="1315" customFormat="false" ht="12.75" hidden="false" customHeight="false" outlineLevel="0" collapsed="false">
      <c r="A1315" s="323"/>
    </row>
    <row r="1316" customFormat="false" ht="12.75" hidden="false" customHeight="false" outlineLevel="0" collapsed="false">
      <c r="A1316" s="323"/>
    </row>
    <row r="1317" customFormat="false" ht="12.75" hidden="false" customHeight="false" outlineLevel="0" collapsed="false">
      <c r="A1317" s="323"/>
    </row>
    <row r="1318" customFormat="false" ht="12.75" hidden="false" customHeight="false" outlineLevel="0" collapsed="false">
      <c r="A1318" s="323"/>
    </row>
    <row r="1319" customFormat="false" ht="12.75" hidden="false" customHeight="false" outlineLevel="0" collapsed="false">
      <c r="A1319" s="323"/>
    </row>
    <row r="1320" customFormat="false" ht="12.75" hidden="false" customHeight="false" outlineLevel="0" collapsed="false">
      <c r="A1320" s="323"/>
    </row>
    <row r="1321" customFormat="false" ht="12.75" hidden="false" customHeight="false" outlineLevel="0" collapsed="false">
      <c r="A1321" s="323"/>
    </row>
    <row r="1322" customFormat="false" ht="12.75" hidden="false" customHeight="false" outlineLevel="0" collapsed="false">
      <c r="A1322" s="323"/>
    </row>
    <row r="1323" customFormat="false" ht="12.75" hidden="false" customHeight="false" outlineLevel="0" collapsed="false">
      <c r="A1323" s="323"/>
    </row>
    <row r="1324" customFormat="false" ht="12.75" hidden="false" customHeight="false" outlineLevel="0" collapsed="false">
      <c r="A1324" s="323"/>
    </row>
    <row r="1325" customFormat="false" ht="12.75" hidden="false" customHeight="false" outlineLevel="0" collapsed="false">
      <c r="A1325" s="323"/>
    </row>
    <row r="1326" customFormat="false" ht="12.75" hidden="false" customHeight="false" outlineLevel="0" collapsed="false">
      <c r="A1326" s="323"/>
    </row>
    <row r="1327" customFormat="false" ht="12.75" hidden="false" customHeight="false" outlineLevel="0" collapsed="false">
      <c r="A1327" s="323"/>
    </row>
    <row r="1328" customFormat="false" ht="12.75" hidden="false" customHeight="false" outlineLevel="0" collapsed="false">
      <c r="A1328" s="323"/>
    </row>
    <row r="1329" customFormat="false" ht="12.75" hidden="false" customHeight="false" outlineLevel="0" collapsed="false">
      <c r="A1329" s="323"/>
    </row>
    <row r="1330" customFormat="false" ht="12.75" hidden="false" customHeight="false" outlineLevel="0" collapsed="false">
      <c r="A1330" s="323"/>
    </row>
    <row r="1331" customFormat="false" ht="12.75" hidden="false" customHeight="false" outlineLevel="0" collapsed="false">
      <c r="A1331" s="323"/>
    </row>
    <row r="1332" customFormat="false" ht="12.75" hidden="false" customHeight="false" outlineLevel="0" collapsed="false">
      <c r="A1332" s="323"/>
    </row>
    <row r="1333" customFormat="false" ht="12.75" hidden="false" customHeight="false" outlineLevel="0" collapsed="false">
      <c r="A1333" s="323"/>
    </row>
    <row r="1334" customFormat="false" ht="12.75" hidden="false" customHeight="false" outlineLevel="0" collapsed="false">
      <c r="A1334" s="323"/>
    </row>
    <row r="1335" customFormat="false" ht="12.75" hidden="false" customHeight="false" outlineLevel="0" collapsed="false">
      <c r="A1335" s="323"/>
    </row>
    <row r="1336" customFormat="false" ht="12.75" hidden="false" customHeight="false" outlineLevel="0" collapsed="false">
      <c r="A1336" s="323"/>
    </row>
    <row r="1337" customFormat="false" ht="12.75" hidden="false" customHeight="false" outlineLevel="0" collapsed="false">
      <c r="A1337" s="323"/>
    </row>
    <row r="1338" customFormat="false" ht="12.75" hidden="false" customHeight="false" outlineLevel="0" collapsed="false">
      <c r="A1338" s="323"/>
    </row>
    <row r="1339" customFormat="false" ht="12.75" hidden="false" customHeight="false" outlineLevel="0" collapsed="false">
      <c r="A1339" s="323"/>
    </row>
    <row r="1340" customFormat="false" ht="12.75" hidden="false" customHeight="false" outlineLevel="0" collapsed="false">
      <c r="A1340" s="323"/>
    </row>
    <row r="1341" customFormat="false" ht="12.75" hidden="false" customHeight="false" outlineLevel="0" collapsed="false">
      <c r="A1341" s="323"/>
    </row>
    <row r="1342" customFormat="false" ht="12.75" hidden="false" customHeight="false" outlineLevel="0" collapsed="false">
      <c r="A1342" s="323"/>
    </row>
    <row r="1343" customFormat="false" ht="12.75" hidden="false" customHeight="false" outlineLevel="0" collapsed="false">
      <c r="A1343" s="323"/>
    </row>
    <row r="1344" customFormat="false" ht="12.75" hidden="false" customHeight="false" outlineLevel="0" collapsed="false">
      <c r="A1344" s="323"/>
    </row>
    <row r="1345" customFormat="false" ht="12.75" hidden="false" customHeight="false" outlineLevel="0" collapsed="false">
      <c r="A1345" s="323"/>
    </row>
    <row r="1346" customFormat="false" ht="12.75" hidden="false" customHeight="false" outlineLevel="0" collapsed="false">
      <c r="A1346" s="323"/>
    </row>
    <row r="1347" customFormat="false" ht="12.75" hidden="false" customHeight="false" outlineLevel="0" collapsed="false">
      <c r="A1347" s="323"/>
    </row>
    <row r="1348" customFormat="false" ht="12.75" hidden="false" customHeight="false" outlineLevel="0" collapsed="false">
      <c r="A1348" s="323"/>
    </row>
    <row r="1349" customFormat="false" ht="12.75" hidden="false" customHeight="false" outlineLevel="0" collapsed="false">
      <c r="A1349" s="323"/>
    </row>
    <row r="1350" customFormat="false" ht="12.75" hidden="false" customHeight="false" outlineLevel="0" collapsed="false">
      <c r="A1350" s="323"/>
    </row>
    <row r="1351" customFormat="false" ht="12.75" hidden="false" customHeight="false" outlineLevel="0" collapsed="false">
      <c r="A1351" s="323"/>
    </row>
    <row r="1352" customFormat="false" ht="12.75" hidden="false" customHeight="false" outlineLevel="0" collapsed="false">
      <c r="A1352" s="323"/>
    </row>
    <row r="1353" customFormat="false" ht="12.75" hidden="false" customHeight="false" outlineLevel="0" collapsed="false">
      <c r="A1353" s="323"/>
    </row>
    <row r="1354" customFormat="false" ht="12.75" hidden="false" customHeight="false" outlineLevel="0" collapsed="false">
      <c r="A1354" s="323"/>
    </row>
    <row r="1355" customFormat="false" ht="12.75" hidden="false" customHeight="false" outlineLevel="0" collapsed="false">
      <c r="A1355" s="323"/>
    </row>
    <row r="1356" customFormat="false" ht="12.75" hidden="false" customHeight="false" outlineLevel="0" collapsed="false">
      <c r="A1356" s="323"/>
    </row>
    <row r="1357" customFormat="false" ht="12.75" hidden="false" customHeight="false" outlineLevel="0" collapsed="false">
      <c r="A1357" s="323"/>
    </row>
    <row r="1358" customFormat="false" ht="12.75" hidden="false" customHeight="false" outlineLevel="0" collapsed="false">
      <c r="A1358" s="323"/>
    </row>
    <row r="1359" customFormat="false" ht="12.75" hidden="false" customHeight="false" outlineLevel="0" collapsed="false">
      <c r="A1359" s="323"/>
    </row>
    <row r="1360" customFormat="false" ht="12.75" hidden="false" customHeight="false" outlineLevel="0" collapsed="false">
      <c r="A1360" s="323"/>
    </row>
    <row r="1361" customFormat="false" ht="12.75" hidden="false" customHeight="false" outlineLevel="0" collapsed="false">
      <c r="A1361" s="323"/>
    </row>
    <row r="1362" customFormat="false" ht="12.75" hidden="false" customHeight="false" outlineLevel="0" collapsed="false">
      <c r="A1362" s="323"/>
    </row>
    <row r="1363" customFormat="false" ht="12.75" hidden="false" customHeight="false" outlineLevel="0" collapsed="false">
      <c r="A1363" s="323"/>
    </row>
    <row r="1364" customFormat="false" ht="12.75" hidden="false" customHeight="false" outlineLevel="0" collapsed="false">
      <c r="A1364" s="323"/>
    </row>
    <row r="1365" customFormat="false" ht="12.75" hidden="false" customHeight="false" outlineLevel="0" collapsed="false">
      <c r="A1365" s="323"/>
    </row>
    <row r="1366" customFormat="false" ht="12.75" hidden="false" customHeight="false" outlineLevel="0" collapsed="false">
      <c r="A1366" s="323"/>
    </row>
    <row r="1367" customFormat="false" ht="12.75" hidden="false" customHeight="false" outlineLevel="0" collapsed="false">
      <c r="A1367" s="323"/>
    </row>
    <row r="1368" customFormat="false" ht="12.75" hidden="false" customHeight="false" outlineLevel="0" collapsed="false">
      <c r="A1368" s="323"/>
    </row>
    <row r="1369" customFormat="false" ht="12.75" hidden="false" customHeight="false" outlineLevel="0" collapsed="false">
      <c r="A1369" s="323"/>
    </row>
    <row r="1370" customFormat="false" ht="12.75" hidden="false" customHeight="false" outlineLevel="0" collapsed="false">
      <c r="A1370" s="323"/>
    </row>
    <row r="1371" customFormat="false" ht="12.75" hidden="false" customHeight="false" outlineLevel="0" collapsed="false">
      <c r="A1371" s="323"/>
    </row>
    <row r="1372" customFormat="false" ht="12.75" hidden="false" customHeight="false" outlineLevel="0" collapsed="false">
      <c r="A1372" s="323"/>
    </row>
    <row r="1373" customFormat="false" ht="12.75" hidden="false" customHeight="false" outlineLevel="0" collapsed="false">
      <c r="A1373" s="323"/>
    </row>
    <row r="1374" customFormat="false" ht="12.75" hidden="false" customHeight="false" outlineLevel="0" collapsed="false">
      <c r="A1374" s="323"/>
    </row>
    <row r="1375" customFormat="false" ht="12.75" hidden="false" customHeight="false" outlineLevel="0" collapsed="false">
      <c r="A1375" s="323"/>
    </row>
    <row r="1376" customFormat="false" ht="12.75" hidden="false" customHeight="false" outlineLevel="0" collapsed="false">
      <c r="A1376" s="323"/>
    </row>
    <row r="1377" customFormat="false" ht="12.75" hidden="false" customHeight="false" outlineLevel="0" collapsed="false">
      <c r="A1377" s="323"/>
    </row>
    <row r="1378" customFormat="false" ht="12.75" hidden="false" customHeight="false" outlineLevel="0" collapsed="false">
      <c r="A1378" s="323"/>
    </row>
    <row r="1379" customFormat="false" ht="12.75" hidden="false" customHeight="false" outlineLevel="0" collapsed="false">
      <c r="A1379" s="323"/>
    </row>
    <row r="1380" customFormat="false" ht="12.75" hidden="false" customHeight="false" outlineLevel="0" collapsed="false">
      <c r="A1380" s="323"/>
    </row>
    <row r="1381" customFormat="false" ht="12.75" hidden="false" customHeight="false" outlineLevel="0" collapsed="false">
      <c r="A1381" s="323"/>
    </row>
    <row r="1382" customFormat="false" ht="12.75" hidden="false" customHeight="false" outlineLevel="0" collapsed="false">
      <c r="A1382" s="323"/>
    </row>
    <row r="1383" customFormat="false" ht="12.75" hidden="false" customHeight="false" outlineLevel="0" collapsed="false">
      <c r="A1383" s="323"/>
    </row>
    <row r="1384" customFormat="false" ht="12.75" hidden="false" customHeight="false" outlineLevel="0" collapsed="false">
      <c r="A1384" s="323"/>
    </row>
    <row r="1385" customFormat="false" ht="12.75" hidden="false" customHeight="false" outlineLevel="0" collapsed="false">
      <c r="A1385" s="323"/>
    </row>
    <row r="1386" customFormat="false" ht="12.75" hidden="false" customHeight="false" outlineLevel="0" collapsed="false">
      <c r="A1386" s="323"/>
    </row>
    <row r="1387" customFormat="false" ht="12.75" hidden="false" customHeight="false" outlineLevel="0" collapsed="false">
      <c r="A1387" s="323"/>
    </row>
    <row r="1388" customFormat="false" ht="12.75" hidden="false" customHeight="false" outlineLevel="0" collapsed="false">
      <c r="A1388" s="323"/>
    </row>
    <row r="1389" customFormat="false" ht="12.75" hidden="false" customHeight="false" outlineLevel="0" collapsed="false">
      <c r="A1389" s="323"/>
    </row>
    <row r="1390" customFormat="false" ht="12.75" hidden="false" customHeight="false" outlineLevel="0" collapsed="false">
      <c r="A1390" s="323"/>
    </row>
    <row r="1391" customFormat="false" ht="12.75" hidden="false" customHeight="false" outlineLevel="0" collapsed="false">
      <c r="A1391" s="323"/>
    </row>
    <row r="1392" customFormat="false" ht="12.75" hidden="false" customHeight="false" outlineLevel="0" collapsed="false">
      <c r="A1392" s="323"/>
    </row>
    <row r="1393" customFormat="false" ht="12.75" hidden="false" customHeight="false" outlineLevel="0" collapsed="false">
      <c r="A1393" s="323"/>
    </row>
    <row r="1394" customFormat="false" ht="12.75" hidden="false" customHeight="false" outlineLevel="0" collapsed="false">
      <c r="A1394" s="323"/>
    </row>
    <row r="1395" customFormat="false" ht="12.75" hidden="false" customHeight="false" outlineLevel="0" collapsed="false">
      <c r="A1395" s="323"/>
    </row>
    <row r="1396" customFormat="false" ht="12.75" hidden="false" customHeight="false" outlineLevel="0" collapsed="false">
      <c r="A1396" s="323"/>
    </row>
    <row r="1397" customFormat="false" ht="12.75" hidden="false" customHeight="false" outlineLevel="0" collapsed="false">
      <c r="A1397" s="323"/>
    </row>
    <row r="1398" customFormat="false" ht="12.75" hidden="false" customHeight="false" outlineLevel="0" collapsed="false">
      <c r="A1398" s="323"/>
    </row>
    <row r="1399" customFormat="false" ht="12.75" hidden="false" customHeight="false" outlineLevel="0" collapsed="false">
      <c r="A1399" s="323"/>
    </row>
    <row r="1400" customFormat="false" ht="12.75" hidden="false" customHeight="false" outlineLevel="0" collapsed="false">
      <c r="A1400" s="323"/>
    </row>
    <row r="1401" customFormat="false" ht="12.75" hidden="false" customHeight="false" outlineLevel="0" collapsed="false">
      <c r="A1401" s="323"/>
    </row>
    <row r="1402" customFormat="false" ht="12.75" hidden="false" customHeight="false" outlineLevel="0" collapsed="false">
      <c r="A1402" s="323"/>
    </row>
    <row r="1403" customFormat="false" ht="12.75" hidden="false" customHeight="false" outlineLevel="0" collapsed="false">
      <c r="A1403" s="323"/>
    </row>
    <row r="1404" customFormat="false" ht="12.75" hidden="false" customHeight="false" outlineLevel="0" collapsed="false">
      <c r="A1404" s="323"/>
    </row>
    <row r="1405" customFormat="false" ht="12.75" hidden="false" customHeight="false" outlineLevel="0" collapsed="false">
      <c r="A1405" s="323"/>
    </row>
    <row r="1406" customFormat="false" ht="12.75" hidden="false" customHeight="false" outlineLevel="0" collapsed="false">
      <c r="A1406" s="323"/>
    </row>
    <row r="1407" customFormat="false" ht="12.75" hidden="false" customHeight="false" outlineLevel="0" collapsed="false">
      <c r="A1407" s="323"/>
    </row>
    <row r="1408" customFormat="false" ht="12.75" hidden="false" customHeight="false" outlineLevel="0" collapsed="false">
      <c r="A1408" s="323"/>
    </row>
    <row r="1409" customFormat="false" ht="12.75" hidden="false" customHeight="false" outlineLevel="0" collapsed="false">
      <c r="A1409" s="323"/>
    </row>
    <row r="1410" customFormat="false" ht="12.75" hidden="false" customHeight="false" outlineLevel="0" collapsed="false">
      <c r="A1410" s="323"/>
    </row>
    <row r="1411" customFormat="false" ht="12.75" hidden="false" customHeight="false" outlineLevel="0" collapsed="false">
      <c r="A1411" s="323"/>
    </row>
    <row r="1412" customFormat="false" ht="12.75" hidden="false" customHeight="false" outlineLevel="0" collapsed="false">
      <c r="A1412" s="323"/>
    </row>
    <row r="1413" customFormat="false" ht="12.75" hidden="false" customHeight="false" outlineLevel="0" collapsed="false">
      <c r="A1413" s="323"/>
    </row>
    <row r="1414" customFormat="false" ht="12.75" hidden="false" customHeight="false" outlineLevel="0" collapsed="false">
      <c r="A1414" s="323"/>
    </row>
    <row r="1415" customFormat="false" ht="12.75" hidden="false" customHeight="false" outlineLevel="0" collapsed="false">
      <c r="A1415" s="323"/>
    </row>
    <row r="1416" customFormat="false" ht="12.75" hidden="false" customHeight="false" outlineLevel="0" collapsed="false">
      <c r="A1416" s="323"/>
    </row>
    <row r="1417" customFormat="false" ht="12.75" hidden="false" customHeight="false" outlineLevel="0" collapsed="false">
      <c r="A1417" s="323"/>
    </row>
    <row r="1418" customFormat="false" ht="12.75" hidden="false" customHeight="false" outlineLevel="0" collapsed="false">
      <c r="A1418" s="323"/>
    </row>
    <row r="1419" customFormat="false" ht="12.75" hidden="false" customHeight="false" outlineLevel="0" collapsed="false">
      <c r="A1419" s="323"/>
    </row>
    <row r="1420" customFormat="false" ht="12.75" hidden="false" customHeight="false" outlineLevel="0" collapsed="false">
      <c r="A1420" s="323"/>
    </row>
  </sheetData>
  <mergeCells count="3">
    <mergeCell ref="A4:N4"/>
    <mergeCell ref="B6:M6"/>
    <mergeCell ref="L34:P3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3.41"/>
    <col collapsed="false" customWidth="true" hidden="false" outlineLevel="0" max="4" min="2" style="0" width="12.7"/>
    <col collapsed="false" customWidth="true" hidden="false" outlineLevel="0" max="5" min="5" style="0" width="13.85"/>
    <col collapsed="false" customWidth="true" hidden="false" outlineLevel="0" max="11" min="6" style="0" width="12.7"/>
    <col collapsed="false" customWidth="true" hidden="true" outlineLevel="0" max="23" min="12" style="0" width="12.7"/>
  </cols>
  <sheetData>
    <row r="1" customFormat="false" ht="15.75" hidden="false" customHeight="false" outlineLevel="0" collapsed="false">
      <c r="A1" s="377" t="s">
        <v>1373</v>
      </c>
      <c r="B1" s="378" t="s">
        <v>1374</v>
      </c>
    </row>
    <row r="2" customFormat="false" ht="12.75" hidden="false" customHeight="false" outlineLevel="0" collapsed="false">
      <c r="A2" s="0" t="s">
        <v>1375</v>
      </c>
      <c r="B2" s="379" t="n">
        <f aca="false">Calculations!$B$4</f>
        <v>2001</v>
      </c>
      <c r="C2" s="380" t="n">
        <f aca="false">B2+1</f>
        <v>2002</v>
      </c>
      <c r="D2" s="380" t="n">
        <f aca="false">C2+1</f>
        <v>2003</v>
      </c>
      <c r="E2" s="380" t="n">
        <f aca="false">D2+1</f>
        <v>2004</v>
      </c>
      <c r="F2" s="380" t="n">
        <f aca="false">E2+1</f>
        <v>2005</v>
      </c>
      <c r="G2" s="380" t="n">
        <f aca="false">F2+1</f>
        <v>2006</v>
      </c>
      <c r="H2" s="380" t="n">
        <f aca="false">G2+1</f>
        <v>2007</v>
      </c>
      <c r="I2" s="380" t="n">
        <f aca="false">H2+1</f>
        <v>2008</v>
      </c>
      <c r="J2" s="380" t="n">
        <f aca="false">I2+1</f>
        <v>2009</v>
      </c>
      <c r="K2" s="380" t="n">
        <f aca="false">J2+1</f>
        <v>2010</v>
      </c>
      <c r="L2" s="380" t="n">
        <f aca="false">K2+1</f>
        <v>2011</v>
      </c>
      <c r="M2" s="380" t="n">
        <f aca="false">L2+1</f>
        <v>2012</v>
      </c>
      <c r="N2" s="380" t="n">
        <f aca="false">M2+1</f>
        <v>2013</v>
      </c>
      <c r="O2" s="380" t="n">
        <f aca="false">N2+1</f>
        <v>2014</v>
      </c>
      <c r="P2" s="380" t="n">
        <f aca="false">O2+1</f>
        <v>2015</v>
      </c>
      <c r="Q2" s="380" t="n">
        <f aca="false">P2+1</f>
        <v>2016</v>
      </c>
      <c r="R2" s="380" t="n">
        <f aca="false">Q2+1</f>
        <v>2017</v>
      </c>
      <c r="S2" s="380" t="n">
        <f aca="false">R2+1</f>
        <v>2018</v>
      </c>
      <c r="T2" s="380" t="n">
        <f aca="false">S2+1</f>
        <v>2019</v>
      </c>
      <c r="U2" s="380" t="n">
        <f aca="false">T2+1</f>
        <v>2020</v>
      </c>
      <c r="V2" s="380" t="n">
        <f aca="false">U2+1</f>
        <v>2021</v>
      </c>
      <c r="W2" s="381" t="n">
        <f aca="false">V2+1</f>
        <v>2022</v>
      </c>
    </row>
    <row r="3" customFormat="false" ht="12.75" hidden="false" customHeight="false" outlineLevel="0" collapsed="false">
      <c r="A3" s="382" t="s">
        <v>1319</v>
      </c>
    </row>
    <row r="4" customFormat="false" ht="12.75" hidden="false" customHeight="false" outlineLevel="0" collapsed="false">
      <c r="A4" s="362" t="s">
        <v>1376</v>
      </c>
      <c r="B4" s="383" t="e">
        <f aca="false">((SUMIF(Calculations!$B$4:$B$256,B2,Calculations!$BI$4:$BI$256))/((SUMIF(Calculations!$B$4:$B$256,B2,Calculations!$BA$4:$BA$256))/Inputs!$F$26)/1000)*(SUMIF(Calculations!B$4:$B$256,B2,Calculations!$B$4:$B$256)/B2)/12</f>
        <v>#NAME?</v>
      </c>
      <c r="C4" s="383" t="e">
        <f aca="false">((SUMIF(Calculations!$B$4:$B$256,C2,Calculations!$BI$4:$BI$256))/((SUMIF(Calculations!$B$4:$B$256,C2,Calculations!$BA$4:$BA$256))/Inputs!$F$26)/1000)*(SUMIF(Calculations!$B$4:C$256,C2,Calculations!$B$4:$B$256)/C2)/12</f>
        <v>#NAME?</v>
      </c>
      <c r="D4" s="383" t="e">
        <f aca="false">((SUMIF(Calculations!$B$4:$B$256,D2,Calculations!$BI$4:$BI$256))/((SUMIF(Calculations!$B$4:$B$256,D2,Calculations!$BA$4:$BA$256))/Inputs!$F$26)/1000)*(SUMIF(Calculations!$B$4:D$256,D2,Calculations!$B$4:$B$256)/D2)/12</f>
        <v>#NAME?</v>
      </c>
      <c r="E4" s="383" t="e">
        <f aca="false">((SUMIF(Calculations!$B$4:$B$256,E2,Calculations!$BI$4:$BI$256))/((SUMIF(Calculations!$B$4:$B$256,E2,Calculations!$BA$4:$BA$256))/Inputs!$F$26)/1000)*(SUMIF(Calculations!$B$4:E$256,E2,Calculations!$B$4:$B$256)/E2)/12</f>
        <v>#NAME?</v>
      </c>
      <c r="F4" s="383" t="e">
        <f aca="false">((SUMIF(Calculations!$B$4:$B$256,F2,Calculations!$BI$4:$BI$256))/((SUMIF(Calculations!$B$4:$B$256,F2,Calculations!$BA$4:$BA$256))/Inputs!$F$26)/1000)*(SUMIF(Calculations!$B$4:F$256,F2,Calculations!$B$4:$B$256)/F2)/12</f>
        <v>#NAME?</v>
      </c>
      <c r="G4" s="383" t="e">
        <f aca="false">((SUMIF(Calculations!$B$4:$B$256,G2,Calculations!$BI$4:$BI$256))/((SUMIF(Calculations!$B$4:$B$256,G2,Calculations!$BA$4:$BA$256))/Inputs!$F$26)/1000)*(SUMIF(Calculations!$B$4:G$256,G2,Calculations!$B$4:$B$256)/G2)/12</f>
        <v>#NAME?</v>
      </c>
      <c r="H4" s="383" t="e">
        <f aca="false">((SUMIF(Calculations!$B$4:$B$256,H2,Calculations!$BI$4:$BI$256))/((SUMIF(Calculations!$B$4:$B$256,H2,Calculations!$BA$4:$BA$256))/Inputs!$F$26)/1000)*(SUMIF(Calculations!$B$4:H$256,H2,Calculations!$B$4:$B$256)/H2)/12</f>
        <v>#NAME?</v>
      </c>
      <c r="I4" s="383" t="e">
        <f aca="false">((SUMIF(Calculations!$B$4:$B$256,I2,Calculations!$BI$4:$BI$256))/((SUMIF(Calculations!$B$4:$B$256,I2,Calculations!$BA$4:$BA$256))/Inputs!$F$26)/1000)*(SUMIF(Calculations!$B$4:I$256,I2,Calculations!$B$4:$B$256)/I2)/12</f>
        <v>#NAME?</v>
      </c>
      <c r="J4" s="383" t="e">
        <f aca="false">((SUMIF(Calculations!$B$4:$B$256,J2,Calculations!$BI$4:$BI$256))/((SUMIF(Calculations!$B$4:$B$256,J2,Calculations!$BA$4:$BA$256))/Inputs!$F$26)/1000)*(SUMIF(Calculations!$B$4:J$256,J2,Calculations!$B$4:$B$256)/J2)/12</f>
        <v>#NAME?</v>
      </c>
      <c r="K4" s="383" t="e">
        <f aca="false">((SUMIF(Calculations!$B$4:$B$256,K2,Calculations!$BI$4:$BI$256))/((SUMIF(Calculations!$B$4:$B$256,K2,Calculations!$BA$4:$BA$256))/Inputs!$F$26)/1000)*(SUMIF(Calculations!$B$4:K$256,K2,Calculations!$B$4:$B$256)/K2)/12</f>
        <v>#NAME?</v>
      </c>
      <c r="L4" s="383" t="e">
        <f aca="false">((SUMIF(Calculations!$B$4:$B$256,L2,Calculations!$BI$4:$BI$256))/((SUMIF(Calculations!$B$4:$B$256,L2,Calculations!$BA$4:$BA$256))/Inputs!$F$26)/1000)*(SUMIF(Calculations!$B$4:L$256,L2,Calculations!$B$4:$B$256)/L2)/12</f>
        <v>#DIV/0!</v>
      </c>
      <c r="M4" s="383" t="e">
        <f aca="false">((SUMIF(Calculations!$B$4:$B$256,M2,Calculations!$BI$4:$BI$256))/((SUMIF(Calculations!$B$4:$B$256,M2,Calculations!$BA$4:$BA$256))/Inputs!$F$26)/1000)*(SUMIF(Calculations!$B$4:M$256,M2,Calculations!$B$4:$B$256)/M2)/12</f>
        <v>#DIV/0!</v>
      </c>
      <c r="N4" s="383" t="e">
        <f aca="false">((SUMIF(Calculations!$B$4:$B$256,N2,Calculations!$BI$4:$BI$256))/((SUMIF(Calculations!$B$4:$B$256,N2,Calculations!$BA$4:$BA$256))/Inputs!$F$26)/1000)*(SUMIF(Calculations!$B$4:N$256,N2,Calculations!$B$4:$B$256)/N2)/12</f>
        <v>#DIV/0!</v>
      </c>
      <c r="O4" s="383" t="e">
        <f aca="false">((SUMIF(Calculations!$B$4:$B$256,O2,Calculations!$BI$4:$BI$256))/((SUMIF(Calculations!$B$4:$B$256,O2,Calculations!$BA$4:$BA$256))/Inputs!$F$26)/1000)*(SUMIF(Calculations!$B$4:O$256,O2,Calculations!$B$4:$B$256)/O2)/12</f>
        <v>#DIV/0!</v>
      </c>
      <c r="P4" s="383" t="e">
        <f aca="false">((SUMIF(Calculations!$B$4:$B$256,P2,Calculations!$BI$4:$BI$256))/((SUMIF(Calculations!$B$4:$B$256,P2,Calculations!$BA$4:$BA$256))/Inputs!$F$26)/1000)*(SUMIF(Calculations!$B$4:P$256,P2,Calculations!$B$4:$B$256)/P2)/12</f>
        <v>#DIV/0!</v>
      </c>
      <c r="Q4" s="383" t="e">
        <f aca="false">((SUMIF(Calculations!$B$4:$B$256,Q2,Calculations!$BI$4:$BI$256))/((SUMIF(Calculations!$B$4:$B$256,Q2,Calculations!$BA$4:$BA$256))/Inputs!$F$26)/1000)*(SUMIF(Calculations!$B$4:Q$256,Q2,Calculations!$B$4:$B$256)/Q2)/12</f>
        <v>#DIV/0!</v>
      </c>
      <c r="R4" s="383" t="e">
        <f aca="false">((SUMIF(Calculations!$B$4:$B$256,R2,Calculations!$BI$4:$BI$256))/((SUMIF(Calculations!$B$4:$B$256,R2,Calculations!$BA$4:$BA$256))/Inputs!$F$26)/1000)*(SUMIF(Calculations!$B$4:R$256,R2,Calculations!$B$4:$B$256)/R2)/12</f>
        <v>#DIV/0!</v>
      </c>
      <c r="S4" s="383" t="e">
        <f aca="false">((SUMIF(Calculations!$B$4:$B$256,S2,Calculations!$BI$4:$BI$256))/((SUMIF(Calculations!$B$4:$B$256,S2,Calculations!$BA$4:$BA$256))/Inputs!$F$26)/1000)*(SUMIF(Calculations!$B$4:S$256,S2,Calculations!$B$4:$B$256)/S2)/12</f>
        <v>#DIV/0!</v>
      </c>
      <c r="T4" s="383" t="e">
        <f aca="false">((SUMIF(Calculations!$B$4:$B$256,T2,Calculations!$BI$4:$BI$256))/((SUMIF(Calculations!$B$4:$B$256,T2,Calculations!$BA$4:$BA$256))/Inputs!$F$26)/1000)*(SUMIF(Calculations!$B$4:T$256,T2,Calculations!$B$4:$B$256)/T2)/12</f>
        <v>#DIV/0!</v>
      </c>
      <c r="U4" s="383" t="e">
        <f aca="false">((SUMIF(Calculations!$B$4:$B$256,U2,Calculations!$BI$4:$BI$256))/((SUMIF(Calculations!$B$4:$B$256,U2,Calculations!$BA$4:$BA$256))/Inputs!$F$26)/1000)*(SUMIF(Calculations!$B$4:U$256,U2,Calculations!$B$4:$B$256)/U2)/12</f>
        <v>#DIV/0!</v>
      </c>
      <c r="V4" s="383" t="e">
        <f aca="false">((SUMIF(Calculations!$B$4:$B$256,V2,Calculations!$BI$4:$BI$256))/((SUMIF(Calculations!$B$4:$B$256,V2,Calculations!$BA$4:$BA$256))/Inputs!$F$26)/1000)*(SUMIF(Calculations!$B$4:V$256,V2,Calculations!$B$4:$B$256)/V2)/12</f>
        <v>#DIV/0!</v>
      </c>
      <c r="W4" s="383" t="e">
        <f aca="false">((SUMIF(Calculations!$B$4:$B$256,W2,Calculations!$BI$4:$BI$256))/((SUMIF(Calculations!$B$4:$B$256,W2,Calculations!$BA$4:$BA$256))/Inputs!$F$26)/1000)*(SUMIF(Calculations!$B$4:W$256,W2,Calculations!$B$4:$B$256)/W2)/12</f>
        <v>#DIV/0!</v>
      </c>
    </row>
    <row r="5" customFormat="false" ht="12.75" hidden="false" customHeight="false" outlineLevel="0" collapsed="false">
      <c r="A5" s="362" t="s">
        <v>1377</v>
      </c>
      <c r="B5" s="384" t="e">
        <f aca="false">SUMIF(Calculations!$B$4:$B$256,B2,Calculations!$BJ$4:$BJ$256)</f>
        <v>#NAME?</v>
      </c>
      <c r="C5" s="384" t="e">
        <f aca="false">SUMIF(Calculations!$B$4:$B$256,C2,Calculations!$BJ$4:$BJ$256)</f>
        <v>#NAME?</v>
      </c>
      <c r="D5" s="384" t="e">
        <f aca="false">SUMIF(Calculations!$B$4:$B$256,D2,Calculations!$BJ$4:$BJ$256)</f>
        <v>#NAME?</v>
      </c>
      <c r="E5" s="384" t="e">
        <f aca="false">SUMIF(Calculations!$B$4:$B$256,E2,Calculations!$BJ$4:$BJ$256)</f>
        <v>#NAME?</v>
      </c>
      <c r="F5" s="384" t="e">
        <f aca="false">SUMIF(Calculations!$B$4:$B$256,F2,Calculations!$BJ$4:$BJ$256)</f>
        <v>#NAME?</v>
      </c>
      <c r="G5" s="384" t="e">
        <f aca="false">SUMIF(Calculations!$B$4:$B$256,G2,Calculations!$BJ$4:$BJ$256)</f>
        <v>#NAME?</v>
      </c>
      <c r="H5" s="384" t="e">
        <f aca="false">SUMIF(Calculations!$B$4:$B$256,H2,Calculations!$BJ$4:$BJ$256)</f>
        <v>#NAME?</v>
      </c>
      <c r="I5" s="384" t="e">
        <f aca="false">SUMIF(Calculations!$B$4:$B$256,I2,Calculations!$BJ$4:$BJ$256)</f>
        <v>#NAME?</v>
      </c>
      <c r="J5" s="384" t="e">
        <f aca="false">SUMIF(Calculations!$B$4:$B$256,J2,Calculations!$BJ$4:$BJ$256)</f>
        <v>#NAME?</v>
      </c>
      <c r="K5" s="384" t="e">
        <f aca="false">SUMIF(Calculations!$B$4:$B$256,K2,Calculations!$BJ$4:$BJ$256)</f>
        <v>#NAME?</v>
      </c>
      <c r="L5" s="384" t="n">
        <f aca="false">SUMIF(Calculations!$B$4:$B$256,L2,Calculations!$BJ$4:$BJ$256)</f>
        <v>0</v>
      </c>
      <c r="M5" s="384" t="n">
        <f aca="false">SUMIF(Calculations!$B$4:$B$256,M2,Calculations!$BJ$4:$BJ$256)</f>
        <v>0</v>
      </c>
      <c r="N5" s="384" t="n">
        <f aca="false">SUMIF(Calculations!$B$4:$B$256,N2,Calculations!$BJ$4:$BJ$256)</f>
        <v>0</v>
      </c>
      <c r="O5" s="384" t="n">
        <f aca="false">SUMIF(Calculations!$B$4:$B$256,O2,Calculations!$BJ$4:$BJ$256)</f>
        <v>0</v>
      </c>
      <c r="P5" s="384" t="n">
        <f aca="false">SUMIF(Calculations!$B$4:$B$256,P2,Calculations!$BJ$4:$BJ$256)</f>
        <v>0</v>
      </c>
      <c r="Q5" s="384" t="n">
        <f aca="false">SUMIF(Calculations!$B$4:$B$256,Q2,Calculations!$BJ$4:$BJ$256)</f>
        <v>0</v>
      </c>
      <c r="R5" s="384" t="n">
        <f aca="false">SUMIF(Calculations!$B$4:$B$256,R2,Calculations!$BJ$4:$BJ$256)</f>
        <v>0</v>
      </c>
      <c r="S5" s="384" t="n">
        <f aca="false">SUMIF(Calculations!$B$4:$B$256,S2,Calculations!$BJ$4:$BJ$256)</f>
        <v>0</v>
      </c>
      <c r="T5" s="384" t="n">
        <f aca="false">SUMIF(Calculations!$B$4:$B$256,T2,Calculations!$BJ$4:$BJ$256)</f>
        <v>0</v>
      </c>
      <c r="U5" s="384" t="n">
        <f aca="false">SUMIF(Calculations!$B$4:$B$256,U2,Calculations!$BJ$4:$BJ$256)</f>
        <v>0</v>
      </c>
      <c r="V5" s="384" t="n">
        <f aca="false">SUMIF(Calculations!$B$4:$B$256,V2,Calculations!$BJ$4:$BJ$256)</f>
        <v>0</v>
      </c>
      <c r="W5" s="384" t="n">
        <f aca="false">SUMIF(Calculations!$B$4:$B$256,W2,Calculations!$BJ$4:$BJ$256)</f>
        <v>0</v>
      </c>
    </row>
    <row r="6" customFormat="false" ht="12.75" hidden="false" customHeight="false" outlineLevel="0" collapsed="false">
      <c r="B6" s="385"/>
    </row>
    <row r="8" customFormat="false" ht="12.75" hidden="false" customHeight="false" outlineLevel="0" collapsed="false">
      <c r="A8" s="382" t="s">
        <v>1378</v>
      </c>
    </row>
    <row r="9" customFormat="false" ht="12.75" hidden="false" customHeight="false" outlineLevel="0" collapsed="false">
      <c r="A9" s="362" t="s">
        <v>1379</v>
      </c>
      <c r="B9" s="384" t="e">
        <f aca="false">SUMIF(Calculations!$B$4:$B$256,B2,Calculations!$BK$4:$BK$256)</f>
        <v>#N/A</v>
      </c>
      <c r="C9" s="384" t="e">
        <f aca="false">SUMIF(Calculations!$B$4:$B$256,C2,Calculations!$BK$4:$BK$256)</f>
        <v>#N/A</v>
      </c>
      <c r="D9" s="384" t="e">
        <f aca="false">SUMIF(Calculations!$B$4:$B$256,D2,Calculations!$BK$4:$BK$256)</f>
        <v>#N/A</v>
      </c>
      <c r="E9" s="384" t="e">
        <f aca="false">SUMIF(Calculations!$B$4:$B$256,E2,Calculations!$BK$4:$BK$256)</f>
        <v>#N/A</v>
      </c>
      <c r="F9" s="384" t="e">
        <f aca="false">SUMIF(Calculations!$B$4:$B$256,F2,Calculations!$BK$4:$BK$256)</f>
        <v>#N/A</v>
      </c>
      <c r="G9" s="384" t="e">
        <f aca="false">SUMIF(Calculations!$B$4:$B$256,G2,Calculations!$BK$4:$BK$256)</f>
        <v>#N/A</v>
      </c>
      <c r="H9" s="384" t="e">
        <f aca="false">SUMIF(Calculations!$B$4:$B$256,H2,Calculations!$BK$4:$BK$256)</f>
        <v>#N/A</v>
      </c>
      <c r="I9" s="384" t="e">
        <f aca="false">SUMIF(Calculations!$B$4:$B$256,I2,Calculations!$BK$4:$BK$256)</f>
        <v>#N/A</v>
      </c>
      <c r="J9" s="384" t="e">
        <f aca="false">SUMIF(Calculations!$B$4:$B$256,J2,Calculations!$BK$4:$BK$256)</f>
        <v>#N/A</v>
      </c>
      <c r="K9" s="384" t="e">
        <f aca="false">SUMIF(Calculations!$B$4:$B$256,K2,Calculations!$BK$4:$BK$256)</f>
        <v>#N/A</v>
      </c>
      <c r="L9" s="384" t="n">
        <f aca="false">SUMIF(Calculations!$B$4:$B$256,L2,Calculations!$BK$4:$BK$256)</f>
        <v>0</v>
      </c>
      <c r="M9" s="384" t="n">
        <f aca="false">SUMIF(Calculations!$B$4:$B$256,M2,Calculations!$BK$4:$BK$256)</f>
        <v>0</v>
      </c>
      <c r="N9" s="384" t="n">
        <f aca="false">SUMIF(Calculations!$B$4:$B$256,N2,Calculations!$BK$4:$BK$256)</f>
        <v>0</v>
      </c>
      <c r="O9" s="384" t="n">
        <f aca="false">SUMIF(Calculations!$B$4:$B$256,O2,Calculations!$BK$4:$BK$256)</f>
        <v>0</v>
      </c>
      <c r="P9" s="384" t="n">
        <f aca="false">SUMIF(Calculations!$B$4:$B$256,P2,Calculations!$BK$4:$BK$256)</f>
        <v>0</v>
      </c>
      <c r="Q9" s="384" t="n">
        <f aca="false">SUMIF(Calculations!$B$4:$B$256,Q2,Calculations!$BK$4:$BK$256)</f>
        <v>0</v>
      </c>
      <c r="R9" s="384" t="n">
        <f aca="false">SUMIF(Calculations!$B$4:$B$256,R2,Calculations!$BK$4:$BK$256)</f>
        <v>0</v>
      </c>
      <c r="S9" s="384" t="n">
        <f aca="false">SUMIF(Calculations!$B$4:$B$256,S2,Calculations!$BK$4:$BK$256)</f>
        <v>0</v>
      </c>
      <c r="T9" s="384" t="n">
        <f aca="false">SUMIF(Calculations!$B$4:$B$256,T2,Calculations!$BK$4:$BK$256)</f>
        <v>0</v>
      </c>
      <c r="U9" s="384" t="n">
        <f aca="false">SUMIF(Calculations!$B$4:$B$256,U2,Calculations!$BK$4:$BK$256)</f>
        <v>0</v>
      </c>
      <c r="V9" s="384" t="n">
        <f aca="false">SUMIF(Calculations!$B$4:$B$256,V2,Calculations!$BK$4:$BK$256)</f>
        <v>0</v>
      </c>
      <c r="W9" s="384" t="n">
        <f aca="false">SUMIF(Calculations!$B$4:$B$256,W2,Calculations!$BK$4:$BK$256)</f>
        <v>0</v>
      </c>
    </row>
    <row r="10" customFormat="false" ht="12.75" hidden="false" customHeight="false" outlineLevel="0" collapsed="false">
      <c r="A10" s="0" t="s">
        <v>1380</v>
      </c>
      <c r="B10" s="384" t="e">
        <f aca="false">SUMIF(Calculations!$B$4:$B$256,B2,Calculations!$BL$4:$BL$256)</f>
        <v>#NAME?</v>
      </c>
      <c r="C10" s="384" t="e">
        <f aca="false">SUMIF(Calculations!$B$4:$B$256,C2,Calculations!$BL$4:$BL$256)</f>
        <v>#NAME?</v>
      </c>
      <c r="D10" s="384" t="e">
        <f aca="false">SUMIF(Calculations!$B$4:$B$256,D2,Calculations!$BL$4:$BL$256)</f>
        <v>#NAME?</v>
      </c>
      <c r="E10" s="384" t="e">
        <f aca="false">SUMIF(Calculations!$B$4:$B$256,E2,Calculations!$BL$4:$BL$256)</f>
        <v>#NAME?</v>
      </c>
      <c r="F10" s="384" t="e">
        <f aca="false">SUMIF(Calculations!$B$4:$B$256,F2,Calculations!$BL$4:$BL$256)</f>
        <v>#NAME?</v>
      </c>
      <c r="G10" s="384" t="e">
        <f aca="false">SUMIF(Calculations!$B$4:$B$256,G2,Calculations!$BL$4:$BL$256)</f>
        <v>#NAME?</v>
      </c>
      <c r="H10" s="384" t="e">
        <f aca="false">SUMIF(Calculations!$B$4:$B$256,H2,Calculations!$BL$4:$BL$256)</f>
        <v>#NAME?</v>
      </c>
      <c r="I10" s="384" t="e">
        <f aca="false">SUMIF(Calculations!$B$4:$B$256,I2,Calculations!$BL$4:$BL$256)</f>
        <v>#NAME?</v>
      </c>
      <c r="J10" s="384" t="e">
        <f aca="false">SUMIF(Calculations!$B$4:$B$256,J2,Calculations!$BL$4:$BL$256)</f>
        <v>#NAME?</v>
      </c>
      <c r="K10" s="384" t="e">
        <f aca="false">SUMIF(Calculations!$B$4:$B$256,K2,Calculations!$BL$4:$BL$256)</f>
        <v>#NAME?</v>
      </c>
      <c r="L10" s="384" t="n">
        <f aca="false">SUMIF(Calculations!$B$4:$B$256,L2,Calculations!$BL$4:$BL$256)</f>
        <v>0</v>
      </c>
      <c r="M10" s="384" t="n">
        <f aca="false">SUMIF(Calculations!$B$4:$B$256,M2,Calculations!$BL$4:$BL$256)</f>
        <v>0</v>
      </c>
      <c r="N10" s="384" t="n">
        <f aca="false">SUMIF(Calculations!$B$4:$B$256,N2,Calculations!$BL$4:$BL$256)</f>
        <v>0</v>
      </c>
      <c r="O10" s="384" t="n">
        <f aca="false">SUMIF(Calculations!$B$4:$B$256,O2,Calculations!$BL$4:$BL$256)</f>
        <v>0</v>
      </c>
      <c r="P10" s="384" t="n">
        <f aca="false">SUMIF(Calculations!$B$4:$B$256,P2,Calculations!$BL$4:$BL$256)</f>
        <v>0</v>
      </c>
      <c r="Q10" s="384" t="n">
        <f aca="false">SUMIF(Calculations!$B$4:$B$256,Q2,Calculations!$BL$4:$BL$256)</f>
        <v>0</v>
      </c>
      <c r="R10" s="384" t="n">
        <f aca="false">SUMIF(Calculations!$B$4:$B$256,R2,Calculations!$BL$4:$BL$256)</f>
        <v>0</v>
      </c>
      <c r="S10" s="384" t="n">
        <f aca="false">SUMIF(Calculations!$B$4:$B$256,S2,Calculations!$BL$4:$BL$256)</f>
        <v>0</v>
      </c>
      <c r="T10" s="384" t="n">
        <f aca="false">SUMIF(Calculations!$B$4:$B$256,T2,Calculations!$BL$4:$BL$256)</f>
        <v>0</v>
      </c>
      <c r="U10" s="384" t="n">
        <f aca="false">SUMIF(Calculations!$B$4:$B$256,U2,Calculations!$BL$4:$BL$256)</f>
        <v>0</v>
      </c>
      <c r="V10" s="384" t="n">
        <f aca="false">SUMIF(Calculations!$B$4:$B$256,V2,Calculations!$BL$4:$BL$256)</f>
        <v>0</v>
      </c>
      <c r="W10" s="384" t="n">
        <f aca="false">SUMIF(Calculations!$B$4:$B$256,W2,Calculations!$BL$4:$BL$256)</f>
        <v>0</v>
      </c>
    </row>
    <row r="11" customFormat="false" ht="12.75" hidden="false" customHeight="false" outlineLevel="0" collapsed="false">
      <c r="A11" s="362" t="s">
        <v>1381</v>
      </c>
      <c r="B11" s="384" t="e">
        <f aca="false">SUMIF(Calculations!$B$4:$B$256,B2,Calculations!$BM$4:$BM$256)</f>
        <v>#NAME?</v>
      </c>
      <c r="C11" s="384" t="e">
        <f aca="false">SUMIF(Calculations!$B$4:$B$256,C2,Calculations!$BM$4:$BM$256)</f>
        <v>#NAME?</v>
      </c>
      <c r="D11" s="384" t="e">
        <f aca="false">SUMIF(Calculations!$B$4:$B$256,D2,Calculations!$BM$4:$BM$256)</f>
        <v>#NAME?</v>
      </c>
      <c r="E11" s="384" t="e">
        <f aca="false">SUMIF(Calculations!$B$4:$B$256,E2,Calculations!$BM$4:$BM$256)</f>
        <v>#NAME?</v>
      </c>
      <c r="F11" s="384" t="e">
        <f aca="false">SUMIF(Calculations!$B$4:$B$256,F2,Calculations!$BM$4:$BM$256)</f>
        <v>#NAME?</v>
      </c>
      <c r="G11" s="384" t="e">
        <f aca="false">SUMIF(Calculations!$B$4:$B$256,G2,Calculations!$BM$4:$BM$256)</f>
        <v>#NAME?</v>
      </c>
      <c r="H11" s="384" t="e">
        <f aca="false">SUMIF(Calculations!$B$4:$B$256,H2,Calculations!$BM$4:$BM$256)</f>
        <v>#NAME?</v>
      </c>
      <c r="I11" s="384" t="e">
        <f aca="false">SUMIF(Calculations!$B$4:$B$256,I2,Calculations!$BM$4:$BM$256)</f>
        <v>#NAME?</v>
      </c>
      <c r="J11" s="384" t="e">
        <f aca="false">SUMIF(Calculations!$B$4:$B$256,J2,Calculations!$BM$4:$BM$256)</f>
        <v>#NAME?</v>
      </c>
      <c r="K11" s="384" t="e">
        <f aca="false">SUMIF(Calculations!$B$4:$B$256,K2,Calculations!$BM$4:$BM$256)</f>
        <v>#NAME?</v>
      </c>
      <c r="L11" s="384" t="n">
        <f aca="false">SUMIF(Calculations!$B$4:$B$256,L2,Calculations!$BM$4:$BM$256)</f>
        <v>0</v>
      </c>
      <c r="M11" s="384" t="n">
        <f aca="false">SUMIF(Calculations!$B$4:$B$256,M2,Calculations!$BM$4:$BM$256)</f>
        <v>0</v>
      </c>
      <c r="N11" s="384" t="n">
        <f aca="false">SUMIF(Calculations!$B$4:$B$256,N2,Calculations!$BM$4:$BM$256)</f>
        <v>0</v>
      </c>
      <c r="O11" s="384" t="n">
        <f aca="false">SUMIF(Calculations!$B$4:$B$256,O2,Calculations!$BM$4:$BM$256)</f>
        <v>0</v>
      </c>
      <c r="P11" s="384" t="n">
        <f aca="false">SUMIF(Calculations!$B$4:$B$256,P2,Calculations!$BM$4:$BM$256)</f>
        <v>0</v>
      </c>
      <c r="Q11" s="384" t="n">
        <f aca="false">SUMIF(Calculations!$B$4:$B$256,Q2,Calculations!$BM$4:$BM$256)</f>
        <v>0</v>
      </c>
      <c r="R11" s="384" t="n">
        <f aca="false">SUMIF(Calculations!$B$4:$B$256,R2,Calculations!$BM$4:$BM$256)</f>
        <v>0</v>
      </c>
      <c r="S11" s="384" t="n">
        <f aca="false">SUMIF(Calculations!$B$4:$B$256,S2,Calculations!$BM$4:$BM$256)</f>
        <v>0</v>
      </c>
      <c r="T11" s="384" t="n">
        <f aca="false">SUMIF(Calculations!$B$4:$B$256,T2,Calculations!$BM$4:$BM$256)</f>
        <v>0</v>
      </c>
      <c r="U11" s="384" t="n">
        <f aca="false">SUMIF(Calculations!$B$4:$B$256,U2,Calculations!$BM$4:$BM$256)</f>
        <v>0</v>
      </c>
      <c r="V11" s="384" t="n">
        <f aca="false">SUMIF(Calculations!$B$4:$B$256,V2,Calculations!$BM$4:$BM$256)</f>
        <v>0</v>
      </c>
      <c r="W11" s="384" t="n">
        <f aca="false">SUMIF(Calculations!$B$4:$B$256,W2,Calculations!$BM$4:$BM$256)</f>
        <v>0</v>
      </c>
    </row>
    <row r="13" customFormat="false" ht="12.75" hidden="false" customHeight="false" outlineLevel="0" collapsed="false">
      <c r="A13" s="0" t="s">
        <v>1382</v>
      </c>
      <c r="B13" s="384" t="e">
        <f aca="false">B5-B9-B10-B11</f>
        <v>#N/A</v>
      </c>
      <c r="C13" s="384" t="e">
        <f aca="false">C5-C9-C10-C11</f>
        <v>#N/A</v>
      </c>
      <c r="D13" s="384" t="e">
        <f aca="false">D5-D9-D10-D11</f>
        <v>#N/A</v>
      </c>
      <c r="E13" s="384" t="e">
        <f aca="false">E5-E9-E10-E11</f>
        <v>#N/A</v>
      </c>
      <c r="F13" s="384" t="e">
        <f aca="false">F5-F9-F10-F11</f>
        <v>#N/A</v>
      </c>
      <c r="G13" s="384" t="e">
        <f aca="false">G5-G9-G10-G11</f>
        <v>#N/A</v>
      </c>
      <c r="H13" s="384" t="e">
        <f aca="false">H5-H9-H10-H11</f>
        <v>#N/A</v>
      </c>
      <c r="I13" s="384" t="e">
        <f aca="false">I5-I9-I10-I11</f>
        <v>#N/A</v>
      </c>
      <c r="J13" s="384" t="e">
        <f aca="false">J5-J9-J10-J11</f>
        <v>#N/A</v>
      </c>
      <c r="K13" s="384" t="e">
        <f aca="false">K5-K9-K10-K11</f>
        <v>#N/A</v>
      </c>
      <c r="L13" s="384" t="n">
        <f aca="false">L5-L9-L10-L11</f>
        <v>0</v>
      </c>
      <c r="M13" s="384" t="n">
        <f aca="false">M5-M9-M10-M11</f>
        <v>0</v>
      </c>
      <c r="N13" s="384" t="n">
        <f aca="false">N5-N9-N10-N11</f>
        <v>0</v>
      </c>
      <c r="O13" s="384" t="n">
        <f aca="false">O5-O9-O10-O11</f>
        <v>0</v>
      </c>
      <c r="P13" s="384" t="n">
        <f aca="false">P5-P9-P10-P11</f>
        <v>0</v>
      </c>
      <c r="Q13" s="384" t="n">
        <f aca="false">Q5-Q9-Q10-Q11</f>
        <v>0</v>
      </c>
      <c r="R13" s="384" t="n">
        <f aca="false">R5-R9-R10-R11</f>
        <v>0</v>
      </c>
      <c r="S13" s="384" t="n">
        <f aca="false">S5-S9-S10-S11</f>
        <v>0</v>
      </c>
      <c r="T13" s="384" t="n">
        <f aca="false">T5-T9-T10-T11</f>
        <v>0</v>
      </c>
      <c r="U13" s="384" t="n">
        <f aca="false">U5-U9-U10-U11</f>
        <v>0</v>
      </c>
      <c r="V13" s="384" t="n">
        <f aca="false">V5-V9-V10-V11</f>
        <v>0</v>
      </c>
      <c r="W13" s="384" t="n">
        <f aca="false">W5-W9-W10-W11</f>
        <v>0</v>
      </c>
    </row>
    <row r="17" customFormat="false" ht="12.75" hidden="false" customHeight="false" outlineLevel="0" collapsed="false">
      <c r="E17" s="385" t="e">
        <f aca="false">E4*1000*180*12</f>
        <v>#NAME?</v>
      </c>
    </row>
    <row r="18" customFormat="false" ht="12.75" hidden="false" customHeight="false" outlineLevel="0" collapsed="false">
      <c r="A18" s="0" t="s">
        <v>1383</v>
      </c>
    </row>
    <row r="19" customFormat="false" ht="12.75" hidden="false" customHeight="false" outlineLevel="0" collapsed="false">
      <c r="A19" s="386" t="e">
        <f aca="false">SUM(Calculations!BI4:BI78)</f>
        <v>#NAME?</v>
      </c>
    </row>
    <row r="22" customFormat="false" ht="12.75" hidden="false" customHeight="false" outlineLevel="0" collapsed="false">
      <c r="A22" s="0" t="s">
        <v>1384</v>
      </c>
    </row>
    <row r="23" customFormat="false" ht="12.75" hidden="false" customHeight="false" outlineLevel="0" collapsed="false">
      <c r="A23" s="386" t="n">
        <v>52197464.422143</v>
      </c>
    </row>
    <row r="24" customFormat="false" ht="12.75" hidden="false" customHeight="false" outlineLevel="0" collapsed="false">
      <c r="A24" s="0" t="s">
        <v>1385</v>
      </c>
    </row>
    <row r="25" customFormat="false" ht="12.75" hidden="false" customHeight="false" outlineLevel="0" collapsed="false">
      <c r="A25" s="386" t="n">
        <v>51919203.9700305</v>
      </c>
    </row>
    <row r="26" customFormat="false" ht="12.75" hidden="false" customHeight="false" outlineLevel="0" collapsed="false">
      <c r="A26" s="0" t="s">
        <v>1386</v>
      </c>
    </row>
    <row r="27" customFormat="false" ht="12.75" hidden="false" customHeight="false" outlineLevel="0" collapsed="false">
      <c r="A27" s="386" t="n">
        <v>35378521.806045</v>
      </c>
    </row>
    <row r="28" customFormat="false" ht="12.75" hidden="false" customHeight="false" outlineLevel="0" collapsed="false">
      <c r="A28" s="0" t="s">
        <v>1387</v>
      </c>
    </row>
    <row r="29" customFormat="false" ht="12.75" hidden="false" customHeight="false" outlineLevel="0" collapsed="false">
      <c r="A29" s="386" t="n">
        <v>35003968.1607489</v>
      </c>
    </row>
  </sheetData>
  <printOptions headings="false" gridLines="false" gridLinesSet="true" horizontalCentered="false" verticalCentered="false"/>
  <pageMargins left="0.2" right="0.229861111111111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3" activeCellId="0" sqref="F23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362" t="s">
        <v>1388</v>
      </c>
      <c r="D1" s="387"/>
      <c r="E1" s="362" t="s">
        <v>1389</v>
      </c>
      <c r="F1" s="388"/>
      <c r="G1" s="362" t="s">
        <v>1390</v>
      </c>
    </row>
    <row r="2" customFormat="false" ht="12.75" hidden="false" customHeight="false" outlineLevel="0" collapsed="false">
      <c r="A2" s="389" t="s">
        <v>1391</v>
      </c>
      <c r="B2" s="389"/>
      <c r="C2" s="389"/>
      <c r="D2" s="389"/>
      <c r="E2" s="389"/>
      <c r="F2" s="389"/>
      <c r="G2" s="389"/>
      <c r="H2" s="389"/>
      <c r="I2" s="389"/>
      <c r="J2" s="390" t="s">
        <v>1392</v>
      </c>
      <c r="K2" s="389"/>
      <c r="L2" s="389"/>
      <c r="M2" s="389"/>
    </row>
    <row r="3" customFormat="false" ht="12.75" hidden="false" customHeight="false" outlineLevel="0" collapsed="false">
      <c r="A3" s="391" t="s">
        <v>1393</v>
      </c>
      <c r="B3" s="387"/>
      <c r="C3" s="387"/>
      <c r="D3" s="387"/>
      <c r="E3" s="387"/>
      <c r="F3" s="387"/>
      <c r="G3" s="387"/>
      <c r="H3" s="387"/>
      <c r="I3" s="387" t="s">
        <v>1394</v>
      </c>
      <c r="J3" s="387"/>
    </row>
    <row r="4" customFormat="false" ht="12.75" hidden="false" customHeight="false" outlineLevel="0" collapsed="false">
      <c r="A4" s="391" t="s">
        <v>1395</v>
      </c>
      <c r="B4" s="387"/>
      <c r="C4" s="387"/>
      <c r="D4" s="387"/>
    </row>
    <row r="5" customFormat="false" ht="12.75" hidden="false" customHeight="false" outlineLevel="0" collapsed="false">
      <c r="A5" s="391" t="s">
        <v>1396</v>
      </c>
      <c r="B5" s="387"/>
    </row>
    <row r="6" customFormat="false" ht="12.75" hidden="false" customHeight="false" outlineLevel="0" collapsed="false">
      <c r="A6" s="391" t="s">
        <v>1397</v>
      </c>
      <c r="B6" s="391"/>
      <c r="C6" s="391"/>
      <c r="D6" s="391"/>
    </row>
    <row r="7" customFormat="false" ht="12.75" hidden="false" customHeight="false" outlineLevel="0" collapsed="false">
      <c r="A7" s="391" t="s">
        <v>1398</v>
      </c>
      <c r="B7" s="387"/>
    </row>
    <row r="8" customFormat="false" ht="12.75" hidden="false" customHeight="false" outlineLevel="0" collapsed="false">
      <c r="A8" s="391" t="s">
        <v>1399</v>
      </c>
      <c r="B8" s="387"/>
      <c r="C8" s="387"/>
    </row>
    <row r="9" customFormat="false" ht="12.75" hidden="false" customHeight="false" outlineLevel="0" collapsed="false">
      <c r="A9" s="391" t="s">
        <v>1400</v>
      </c>
      <c r="B9" s="391"/>
      <c r="C9" s="391"/>
      <c r="D9" s="391"/>
      <c r="E9" s="391"/>
      <c r="F9" s="391"/>
    </row>
    <row r="10" customFormat="false" ht="12.75" hidden="false" customHeight="false" outlineLevel="0" collapsed="false">
      <c r="A10" s="391" t="s">
        <v>1401</v>
      </c>
      <c r="B10" s="387"/>
      <c r="C10" s="387"/>
      <c r="D10" s="387"/>
      <c r="E10" s="387"/>
    </row>
    <row r="11" customFormat="false" ht="12.75" hidden="false" customHeight="false" outlineLevel="0" collapsed="false">
      <c r="A11" s="391" t="s">
        <v>1402</v>
      </c>
      <c r="B11" s="391"/>
      <c r="C11" s="391"/>
      <c r="D11" s="391"/>
      <c r="E11" s="391"/>
    </row>
    <row r="12" customFormat="false" ht="12.75" hidden="false" customHeight="false" outlineLevel="0" collapsed="false">
      <c r="A12" s="392" t="s">
        <v>1403</v>
      </c>
      <c r="B12" s="391"/>
      <c r="C12" s="391"/>
      <c r="D12" s="391"/>
      <c r="E12" s="392" t="s">
        <v>1404</v>
      </c>
      <c r="F12" s="391"/>
      <c r="G12" s="391"/>
      <c r="H12" s="391"/>
      <c r="I12" s="391"/>
      <c r="J12" s="391"/>
    </row>
    <row r="13" customFormat="false" ht="12.75" hidden="false" customHeight="false" outlineLevel="0" collapsed="false">
      <c r="A13" s="391" t="s">
        <v>1405</v>
      </c>
      <c r="B13" s="391"/>
      <c r="C13" s="391"/>
      <c r="D13" s="391"/>
      <c r="E13" s="391"/>
    </row>
    <row r="14" customFormat="false" ht="12.75" hidden="false" customHeight="false" outlineLevel="0" collapsed="false">
      <c r="A14" s="391" t="s">
        <v>1406</v>
      </c>
      <c r="B14" s="391"/>
      <c r="C14" s="391"/>
      <c r="D14" s="391"/>
    </row>
    <row r="15" customFormat="false" ht="12.75" hidden="false" customHeight="false" outlineLevel="0" collapsed="false">
      <c r="A15" s="392" t="s">
        <v>1407</v>
      </c>
      <c r="B15" s="391"/>
      <c r="C15" s="391"/>
      <c r="D15" s="391"/>
      <c r="E15" s="391"/>
      <c r="F15" s="391"/>
      <c r="G15" s="391" t="s">
        <v>1408</v>
      </c>
      <c r="H15" s="391"/>
    </row>
    <row r="16" customFormat="false" ht="12.75" hidden="false" customHeight="false" outlineLevel="0" collapsed="false">
      <c r="A16" s="391" t="s">
        <v>1409</v>
      </c>
      <c r="B16" s="387"/>
      <c r="C16" s="387"/>
      <c r="D16" s="387"/>
      <c r="E16" s="387"/>
      <c r="F16" s="387"/>
      <c r="G16" s="387"/>
    </row>
    <row r="17" customFormat="false" ht="12.75" hidden="false" customHeight="false" outlineLevel="0" collapsed="false">
      <c r="A17" s="392" t="s">
        <v>1410</v>
      </c>
      <c r="B17" s="387"/>
    </row>
    <row r="18" customFormat="false" ht="12.75" hidden="false" customHeight="false" outlineLevel="0" collapsed="false">
      <c r="A18" s="391" t="s">
        <v>1411</v>
      </c>
      <c r="B18" s="391"/>
    </row>
    <row r="19" customFormat="false" ht="12.75" hidden="false" customHeight="false" outlineLevel="0" collapsed="false">
      <c r="A19" s="392" t="s">
        <v>1412</v>
      </c>
      <c r="B19" s="387"/>
      <c r="C19" s="387"/>
    </row>
    <row r="20" customFormat="false" ht="12.75" hidden="false" customHeight="false" outlineLevel="0" collapsed="false">
      <c r="A20" s="362" t="s">
        <v>1413</v>
      </c>
      <c r="G20" s="325" t="s">
        <v>1414</v>
      </c>
    </row>
    <row r="21" customFormat="false" ht="12.75" hidden="false" customHeight="false" outlineLevel="0" collapsed="false">
      <c r="A21" s="0" t="s">
        <v>1415</v>
      </c>
    </row>
    <row r="22" customFormat="false" ht="12.75" hidden="false" customHeight="false" outlineLevel="0" collapsed="false">
      <c r="A22" s="0" t="s">
        <v>1416</v>
      </c>
    </row>
    <row r="23" customFormat="false" ht="12.75" hidden="false" customHeight="false" outlineLevel="0" collapsed="false">
      <c r="A23" s="0" t="s">
        <v>1417</v>
      </c>
      <c r="D23" s="365"/>
    </row>
    <row r="24" customFormat="false" ht="12.75" hidden="false" customHeight="false" outlineLevel="0" collapsed="false">
      <c r="A24" s="0" t="s">
        <v>1418</v>
      </c>
    </row>
    <row r="25" customFormat="false" ht="12.75" hidden="false" customHeight="false" outlineLevel="0" collapsed="false">
      <c r="A25" s="362" t="s">
        <v>1419</v>
      </c>
    </row>
    <row r="26" customFormat="false" ht="12.75" hidden="false" customHeight="false" outlineLevel="0" collapsed="false">
      <c r="A26" s="325" t="s">
        <v>1420</v>
      </c>
      <c r="H26" s="0" t="s">
        <v>1421</v>
      </c>
    </row>
    <row r="27" customFormat="false" ht="12.75" hidden="false" customHeight="false" outlineLevel="0" collapsed="false">
      <c r="A27" s="0" t="s">
        <v>1422</v>
      </c>
    </row>
    <row r="28" customFormat="false" ht="12.75" hidden="false" customHeight="false" outlineLevel="0" collapsed="false">
      <c r="A28" s="362" t="s">
        <v>1423</v>
      </c>
    </row>
    <row r="29" customFormat="false" ht="12.75" hidden="false" customHeight="false" outlineLevel="0" collapsed="false">
      <c r="A29" s="0" t="s">
        <v>1424</v>
      </c>
    </row>
    <row r="30" customFormat="false" ht="12.75" hidden="false" customHeight="false" outlineLevel="0" collapsed="false">
      <c r="A30" s="0" t="s">
        <v>1425</v>
      </c>
    </row>
    <row r="31" customFormat="false" ht="12.75" hidden="false" customHeight="false" outlineLevel="0" collapsed="false">
      <c r="A31" s="0" t="s">
        <v>1426</v>
      </c>
      <c r="D31" s="362" t="s">
        <v>1427</v>
      </c>
    </row>
  </sheetData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1999-11-15T17:38:29Z</dcterms:created>
  <dc:creator>jsimpso</dc:creator>
  <dc:description/>
  <dc:language>en-US</dc:language>
  <cp:lastModifiedBy>bmorse</cp:lastModifiedBy>
  <cp:lastPrinted>2000-03-02T20:37:05Z</cp:lastPrinted>
  <cp:revision>0</cp:revision>
  <dc:subject/>
  <dc:title/>
</cp:coreProperties>
</file>