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99" sheetId="1" state="visible" r:id="rId3"/>
    <sheet name="Dec 99 (2)" sheetId="2" state="visible" r:id="rId4"/>
    <sheet name="Jan 00" sheetId="3" state="visible" r:id="rId5"/>
    <sheet name="Jan 00 (2)" sheetId="4" state="visible" r:id="rId6"/>
    <sheet name="Feb 00" sheetId="5" state="visible" r:id="rId7"/>
    <sheet name="Feb 00 (2)" sheetId="6" state="visible" r:id="rId8"/>
    <sheet name="Mar 00" sheetId="7" state="visible" r:id="rId9"/>
    <sheet name="Apr 00" sheetId="8" state="visible" r:id="rId10"/>
    <sheet name="May 00" sheetId="9" state="visible" r:id="rId11"/>
    <sheet name="June 00" sheetId="10" state="visible" r:id="rId12"/>
    <sheet name="July 00" sheetId="11" state="visible" r:id="rId13"/>
    <sheet name="Aug 00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<sst xmlns="http://schemas.openxmlformats.org/spreadsheetml/2006/main" count="435" uniqueCount="39">
  <si>
    <t xml:space="preserve">Locations</t>
  </si>
  <si>
    <t xml:space="preserve">Transport Receipts</t>
  </si>
  <si>
    <t xml:space="preserve">Buy</t>
  </si>
  <si>
    <t xml:space="preserve">Transport
Usage</t>
  </si>
  <si>
    <t xml:space="preserve">Net
Supply</t>
  </si>
  <si>
    <t xml:space="preserve">Transport Deliveries</t>
  </si>
  <si>
    <t xml:space="preserve">Sell</t>
  </si>
  <si>
    <t xml:space="preserve">Net
Market</t>
  </si>
  <si>
    <t xml:space="preserve">Net Throughput</t>
  </si>
  <si>
    <t xml:space="preserve">HPL 1 - Thompsonville </t>
  </si>
  <si>
    <t xml:space="preserve">HPL 14 - South TX </t>
  </si>
  <si>
    <t xml:space="preserve">HPL 18 - Three Rivers </t>
  </si>
  <si>
    <t xml:space="preserve">HPL 21 - Big Cowboy </t>
  </si>
  <si>
    <t xml:space="preserve">HPL 22 - Nueces </t>
  </si>
  <si>
    <t xml:space="preserve">HPL 2 - Robstown </t>
  </si>
  <si>
    <t xml:space="preserve">HPL 19 - King Ranch </t>
  </si>
  <si>
    <t xml:space="preserve">HPL 3 - A/S South </t>
  </si>
  <si>
    <t xml:space="preserve">HPL 4 - A/S Central </t>
  </si>
  <si>
    <t xml:space="preserve">HPL 5 - Edna </t>
  </si>
  <si>
    <t xml:space="preserve">HPL 6 - Texas City </t>
  </si>
  <si>
    <t xml:space="preserve">HPL 10 - Ship Channel </t>
  </si>
  <si>
    <t xml:space="preserve">HPL 15 - Katy </t>
  </si>
  <si>
    <t xml:space="preserve">HPL 16 - West Loop </t>
  </si>
  <si>
    <t xml:space="preserve">HPL 17 - East Loop </t>
  </si>
  <si>
    <t xml:space="preserve">HPL 13 - Mid Texas </t>
  </si>
  <si>
    <t xml:space="preserve">HPL 23 - Bammel </t>
  </si>
  <si>
    <t xml:space="preserve">HPL 7 - A/S East </t>
  </si>
  <si>
    <t xml:space="preserve">HPL 8 - East Texas </t>
  </si>
  <si>
    <t xml:space="preserve">HPL 9 - Freeport </t>
  </si>
  <si>
    <t xml:space="preserve">HPL 11 - Corpus </t>
  </si>
  <si>
    <t xml:space="preserve">HPL 12 - Valley </t>
  </si>
  <si>
    <t xml:space="preserve">HPL 20 - Hardin </t>
  </si>
  <si>
    <t xml:space="preserve">HPL 24 - Gas Loss </t>
  </si>
  <si>
    <t xml:space="preserve">HPL OffSystem </t>
  </si>
  <si>
    <t xml:space="preserve">Need to find out for Dynegy - guessed all at zone 8 (Texoma)</t>
  </si>
  <si>
    <t xml:space="preserve">Transport Usage</t>
  </si>
  <si>
    <t xml:space="preserve">Amoco - add</t>
  </si>
  <si>
    <t xml:space="preserve">Transport Thruput</t>
  </si>
  <si>
    <t xml:space="preserve">Net Supply and Market include transportation throughput.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</si>
</sst>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MS Sans Serif"/>
      <family val="2"/>
    </font>
    <font>
      <sz val="8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3" min="2" style="0" width="7.99"/>
    <col collapsed="false" customWidth="true" hidden="false" outlineLevel="0" max="4" min="4" style="0" width="7.85"/>
    <col collapsed="false" customWidth="true" hidden="false" outlineLevel="0" max="5" min="5" style="0" width="7.99"/>
    <col collapsed="false" customWidth="true" hidden="false" outlineLevel="0" max="6" min="6" style="0" width="7.56"/>
    <col collapsed="false" customWidth="true" hidden="false" outlineLevel="0" max="8" min="8" style="0" width="7.85"/>
    <col collapsed="false" customWidth="true" hidden="false" outlineLevel="0" max="9" min="9" style="0" width="7.99"/>
  </cols>
  <sheetData>
    <row r="1" customFormat="false" ht="21" hidden="false" customHeight="false" outlineLevel="0" collapsed="false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3</v>
      </c>
      <c r="I1" s="2" t="s">
        <v>7</v>
      </c>
      <c r="J1" s="2" t="s">
        <v>8</v>
      </c>
    </row>
    <row r="2" customFormat="false" ht="12.75" hidden="false" customHeight="false" outlineLevel="0" collapsed="false">
      <c r="A2" s="1" t="s">
        <v>9</v>
      </c>
      <c r="B2" s="3" t="n">
        <f aca="false">+(8480+8300+3500+15180)/30+15000+25000+15000</f>
        <v>56182</v>
      </c>
      <c r="C2" s="3" t="n">
        <v>150985</v>
      </c>
      <c r="D2" s="3" t="n">
        <v>2309</v>
      </c>
      <c r="E2" s="3" t="n">
        <f aca="false">+B2+C2+D2</f>
        <v>209476</v>
      </c>
      <c r="F2" s="3" t="n">
        <f aca="false">40590/30</f>
        <v>1353</v>
      </c>
      <c r="G2" s="3" t="n">
        <v>18001</v>
      </c>
      <c r="H2" s="4"/>
      <c r="I2" s="3" t="n">
        <f aca="false">+F2+G2+H2</f>
        <v>19354</v>
      </c>
      <c r="J2" s="3" t="n">
        <f aca="false">+E2</f>
        <v>209476</v>
      </c>
    </row>
    <row r="3" customFormat="false" ht="12.75" hidden="false" customHeight="false" outlineLevel="0" collapsed="false">
      <c r="A3" s="1" t="s">
        <v>10</v>
      </c>
      <c r="B3" s="3"/>
      <c r="C3" s="3" t="n">
        <v>33094</v>
      </c>
      <c r="D3" s="4"/>
      <c r="E3" s="3" t="n">
        <f aca="false">+B3+C3+D3</f>
        <v>33094</v>
      </c>
      <c r="F3" s="3" t="n">
        <v>125</v>
      </c>
      <c r="G3" s="3" t="n">
        <v>14804</v>
      </c>
      <c r="H3" s="4"/>
      <c r="I3" s="3" t="n">
        <f aca="false">+F3+G3+H3</f>
        <v>14929</v>
      </c>
      <c r="J3" s="3" t="n">
        <f aca="false">+E3</f>
        <v>33094</v>
      </c>
    </row>
    <row r="4" customFormat="false" ht="12.75" hidden="false" customHeight="false" outlineLevel="0" collapsed="false">
      <c r="A4" s="1" t="s">
        <v>11</v>
      </c>
      <c r="B4" s="3" t="n">
        <v>171</v>
      </c>
      <c r="C4" s="3" t="n">
        <v>21616</v>
      </c>
      <c r="D4" s="4"/>
      <c r="E4" s="3" t="n">
        <f aca="false">+B4+C4+D4</f>
        <v>21787</v>
      </c>
      <c r="F4" s="3"/>
      <c r="G4" s="3" t="n">
        <v>4028</v>
      </c>
      <c r="H4" s="3" t="n">
        <v>23700</v>
      </c>
      <c r="I4" s="3" t="n">
        <f aca="false">+F4+G4+H4</f>
        <v>27728</v>
      </c>
      <c r="J4" s="3" t="n">
        <f aca="false">+E4</f>
        <v>21787</v>
      </c>
    </row>
    <row r="5" customFormat="false" ht="12.75" hidden="false" customHeight="false" outlineLevel="0" collapsed="false">
      <c r="A5" s="1" t="s">
        <v>12</v>
      </c>
      <c r="B5" s="3"/>
      <c r="C5" s="3" t="n">
        <v>29922</v>
      </c>
      <c r="D5" s="4"/>
      <c r="E5" s="3" t="n">
        <f aca="false">+B5+C5+D5</f>
        <v>29922</v>
      </c>
      <c r="F5" s="3"/>
      <c r="G5" s="4" t="n">
        <v>1</v>
      </c>
      <c r="H5" s="3" t="n">
        <v>38826</v>
      </c>
      <c r="I5" s="3" t="n">
        <f aca="false">+F5+G5+H5</f>
        <v>38827</v>
      </c>
      <c r="J5" s="3"/>
    </row>
    <row r="6" customFormat="false" ht="12.75" hidden="false" customHeight="false" outlineLevel="0" collapsed="false">
      <c r="A6" s="1" t="s">
        <v>13</v>
      </c>
      <c r="B6" s="3"/>
      <c r="C6" s="3" t="n">
        <v>5900</v>
      </c>
      <c r="D6" s="4"/>
      <c r="E6" s="3" t="n">
        <f aca="false">+B6+C6+D6</f>
        <v>5900</v>
      </c>
      <c r="F6" s="3"/>
      <c r="G6" s="4" t="n">
        <v>1</v>
      </c>
      <c r="H6" s="4" t="n">
        <v>50</v>
      </c>
      <c r="I6" s="3" t="n">
        <f aca="false">+F6+G6+H6</f>
        <v>51</v>
      </c>
      <c r="J6" s="3"/>
    </row>
    <row r="7" customFormat="false" ht="12.75" hidden="false" customHeight="false" outlineLevel="0" collapsed="false">
      <c r="A7" s="1" t="s">
        <v>14</v>
      </c>
      <c r="B7" s="3" t="n">
        <v>300</v>
      </c>
      <c r="C7" s="3" t="n">
        <v>39440</v>
      </c>
      <c r="D7" s="3" t="n">
        <v>85264</v>
      </c>
      <c r="E7" s="3" t="n">
        <f aca="false">+B7+C7+D7</f>
        <v>125004</v>
      </c>
      <c r="F7" s="3" t="n">
        <f aca="false">+(275100+24900)/30</f>
        <v>10000</v>
      </c>
      <c r="G7" s="4" t="n">
        <v>563</v>
      </c>
      <c r="H7" s="4"/>
      <c r="I7" s="3" t="n">
        <f aca="false">+F7+G7+H7</f>
        <v>10563</v>
      </c>
      <c r="J7" s="3" t="n">
        <f aca="false">+E7</f>
        <v>125004</v>
      </c>
    </row>
    <row r="8" customFormat="false" ht="12.75" hidden="false" customHeight="false" outlineLevel="0" collapsed="false">
      <c r="A8" s="1" t="s">
        <v>15</v>
      </c>
      <c r="B8" s="3" t="n">
        <f aca="false">36267/30</f>
        <v>1208.9</v>
      </c>
      <c r="C8" s="3" t="n">
        <v>51525</v>
      </c>
      <c r="D8" s="4"/>
      <c r="E8" s="3" t="n">
        <f aca="false">+B8+C8+D8</f>
        <v>52733.9</v>
      </c>
      <c r="F8" s="3"/>
      <c r="G8" s="3" t="n">
        <v>1501</v>
      </c>
      <c r="H8" s="3" t="n">
        <v>18988</v>
      </c>
      <c r="I8" s="3" t="n">
        <f aca="false">+F8+G8+H8</f>
        <v>20489</v>
      </c>
      <c r="J8" s="3"/>
    </row>
    <row r="9" customFormat="false" ht="12.75" hidden="false" customHeight="false" outlineLevel="0" collapsed="false">
      <c r="A9" s="1" t="s">
        <v>16</v>
      </c>
      <c r="B9" s="3" t="n">
        <f aca="false">+(125370+556400+43500+12900+600000+806346+27880+6863+743714)/30+15000</f>
        <v>112432.433333333</v>
      </c>
      <c r="C9" s="3" t="n">
        <v>94153</v>
      </c>
      <c r="D9" s="4"/>
      <c r="E9" s="3" t="n">
        <f aca="false">+B9+C9+D9</f>
        <v>206585.433333333</v>
      </c>
      <c r="F9" s="3" t="n">
        <f aca="false">+(960277+32766)/30</f>
        <v>33101.4333333333</v>
      </c>
      <c r="G9" s="3" t="n">
        <v>20351</v>
      </c>
      <c r="H9" s="4" t="n">
        <v>140</v>
      </c>
      <c r="I9" s="3" t="n">
        <f aca="false">+F9+G9+H9</f>
        <v>53592.4333333333</v>
      </c>
      <c r="J9" s="3" t="n">
        <f aca="false">+E9</f>
        <v>206585.433333333</v>
      </c>
    </row>
    <row r="10" customFormat="false" ht="12.75" hidden="false" customHeight="false" outlineLevel="0" collapsed="false">
      <c r="A10" s="1" t="s">
        <v>17</v>
      </c>
      <c r="B10" s="3" t="n">
        <f aca="false">1228173/30+9000</f>
        <v>49939.1</v>
      </c>
      <c r="C10" s="3" t="n">
        <v>30413</v>
      </c>
      <c r="D10" s="4"/>
      <c r="E10" s="3" t="n">
        <f aca="false">+B10+C10+D10</f>
        <v>80352.1</v>
      </c>
      <c r="F10" s="3" t="n">
        <f aca="false">333.333333333333+15000</f>
        <v>15333.3333333333</v>
      </c>
      <c r="G10" s="3" t="n">
        <v>177790</v>
      </c>
      <c r="H10" s="4"/>
      <c r="I10" s="3" t="n">
        <f aca="false">+F10+G10+H10</f>
        <v>193123.333333333</v>
      </c>
      <c r="J10" s="3" t="n">
        <f aca="false">-I10</f>
        <v>-193123.333333333</v>
      </c>
    </row>
    <row r="11" customFormat="false" ht="12.75" hidden="false" customHeight="false" outlineLevel="0" collapsed="false">
      <c r="A11" s="1" t="s">
        <v>18</v>
      </c>
      <c r="B11" s="3" t="n">
        <f aca="false">+(15000+360000)/30</f>
        <v>12500</v>
      </c>
      <c r="C11" s="3" t="n">
        <v>171023</v>
      </c>
      <c r="D11" s="4" t="n">
        <v>50</v>
      </c>
      <c r="E11" s="3" t="n">
        <f aca="false">+B11+C11+D11</f>
        <v>183573</v>
      </c>
      <c r="F11" s="3" t="n">
        <f aca="false">+(270000+30000+375000)/30+10000</f>
        <v>32500</v>
      </c>
      <c r="G11" s="3" t="n">
        <v>59635</v>
      </c>
      <c r="H11" s="4" t="n">
        <v>60</v>
      </c>
      <c r="I11" s="3" t="n">
        <f aca="false">+F11+G11+H11</f>
        <v>92195</v>
      </c>
      <c r="J11" s="3"/>
    </row>
    <row r="12" customFormat="false" ht="12.75" hidden="false" customHeight="false" outlineLevel="0" collapsed="false">
      <c r="A12" s="1" t="s">
        <v>19</v>
      </c>
      <c r="B12" s="3"/>
      <c r="C12" s="3" t="n">
        <v>15378</v>
      </c>
      <c r="D12" s="4"/>
      <c r="E12" s="3" t="n">
        <f aca="false">+B12+C12+D12</f>
        <v>15378</v>
      </c>
      <c r="F12" s="3"/>
      <c r="G12" s="3" t="n">
        <v>158071</v>
      </c>
      <c r="H12" s="4"/>
      <c r="I12" s="3" t="n">
        <f aca="false">+F12+G12+H12</f>
        <v>158071</v>
      </c>
      <c r="J12" s="3" t="n">
        <f aca="false">-I12</f>
        <v>-158071</v>
      </c>
    </row>
    <row r="13" customFormat="false" ht="12.75" hidden="false" customHeight="false" outlineLevel="0" collapsed="false">
      <c r="A13" s="1" t="s">
        <v>20</v>
      </c>
      <c r="B13" s="3"/>
      <c r="C13" s="3" t="n">
        <v>22452</v>
      </c>
      <c r="D13" s="4"/>
      <c r="E13" s="3" t="n">
        <f aca="false">+B13+C13+D13</f>
        <v>22452</v>
      </c>
      <c r="F13" s="3" t="n">
        <v>18000</v>
      </c>
      <c r="G13" s="3" t="n">
        <v>382897</v>
      </c>
      <c r="H13" s="4"/>
      <c r="I13" s="3" t="n">
        <f aca="false">+F13+G13+H13</f>
        <v>400897</v>
      </c>
      <c r="J13" s="3" t="n">
        <f aca="false">-I13</f>
        <v>-400897</v>
      </c>
    </row>
    <row r="14" customFormat="false" ht="12.75" hidden="false" customHeight="false" outlineLevel="0" collapsed="false">
      <c r="A14" s="1" t="s">
        <v>21</v>
      </c>
      <c r="B14" s="3" t="n">
        <f aca="false">+(25000+19350)/30+10000</f>
        <v>11478.3333333333</v>
      </c>
      <c r="C14" s="3" t="n">
        <v>109451</v>
      </c>
      <c r="D14" s="4" t="n">
        <v>959</v>
      </c>
      <c r="E14" s="3" t="n">
        <f aca="false">+B14+C14+D14</f>
        <v>121888.333333333</v>
      </c>
      <c r="F14" s="3"/>
      <c r="G14" s="3" t="n">
        <v>59452</v>
      </c>
      <c r="H14" s="4"/>
      <c r="I14" s="3" t="n">
        <f aca="false">+F14+G14+H14</f>
        <v>59452</v>
      </c>
      <c r="J14" s="3" t="n">
        <f aca="false">+E14</f>
        <v>121888.333333333</v>
      </c>
    </row>
    <row r="15" customFormat="false" ht="12.75" hidden="false" customHeight="false" outlineLevel="0" collapsed="false">
      <c r="A15" s="1" t="s">
        <v>22</v>
      </c>
      <c r="B15" s="3" t="n">
        <f aca="false">+(53730+6750)/30+10000</f>
        <v>12016</v>
      </c>
      <c r="C15" s="3" t="n">
        <v>83680</v>
      </c>
      <c r="D15" s="3" t="n">
        <v>1286</v>
      </c>
      <c r="E15" s="3" t="n">
        <f aca="false">+B15+C15+D15</f>
        <v>96982</v>
      </c>
      <c r="F15" s="3"/>
      <c r="G15" s="3" t="n">
        <v>49001</v>
      </c>
      <c r="H15" s="4"/>
      <c r="I15" s="3" t="n">
        <f aca="false">+F15+G15+H15</f>
        <v>49001</v>
      </c>
      <c r="J15" s="3" t="n">
        <f aca="false">+E15</f>
        <v>96982</v>
      </c>
    </row>
    <row r="16" customFormat="false" ht="12.75" hidden="false" customHeight="false" outlineLevel="0" collapsed="false">
      <c r="A16" s="1" t="s">
        <v>23</v>
      </c>
      <c r="B16" s="3"/>
      <c r="C16" s="3" t="n">
        <v>18907</v>
      </c>
      <c r="D16" s="4"/>
      <c r="E16" s="3" t="n">
        <f aca="false">+B16+C16+D16</f>
        <v>18907</v>
      </c>
      <c r="F16" s="3" t="n">
        <v>124</v>
      </c>
      <c r="G16" s="3" t="n">
        <v>57460</v>
      </c>
      <c r="H16" s="4"/>
      <c r="I16" s="3" t="n">
        <f aca="false">+F16+G16+H16</f>
        <v>57584</v>
      </c>
      <c r="J16" s="3"/>
    </row>
    <row r="17" customFormat="false" ht="12.75" hidden="false" customHeight="false" outlineLevel="0" collapsed="false">
      <c r="A17" s="1" t="s">
        <v>24</v>
      </c>
      <c r="B17" s="3"/>
      <c r="C17" s="3" t="n">
        <v>1039</v>
      </c>
      <c r="D17" s="4"/>
      <c r="E17" s="3" t="n">
        <f aca="false">+B17+C17+D17</f>
        <v>1039</v>
      </c>
      <c r="F17" s="3"/>
      <c r="G17" s="4" t="n">
        <v>0</v>
      </c>
      <c r="H17" s="4"/>
      <c r="I17" s="3" t="n">
        <f aca="false">+F17+G17+H17</f>
        <v>0</v>
      </c>
      <c r="J17" s="3" t="n">
        <f aca="false">+E17</f>
        <v>1039</v>
      </c>
    </row>
    <row r="18" customFormat="false" ht="12.75" hidden="false" customHeight="false" outlineLevel="0" collapsed="false">
      <c r="A18" s="1" t="s">
        <v>25</v>
      </c>
      <c r="B18" s="3"/>
      <c r="C18" s="3" t="n">
        <v>133665</v>
      </c>
      <c r="D18" s="4"/>
      <c r="E18" s="3" t="n">
        <f aca="false">+B18+C18+D18</f>
        <v>133665</v>
      </c>
      <c r="F18" s="3"/>
      <c r="G18" s="3" t="n">
        <v>25627</v>
      </c>
      <c r="H18" s="4"/>
      <c r="I18" s="3" t="n">
        <f aca="false">+F18+G18+H18</f>
        <v>25627</v>
      </c>
      <c r="J18" s="3"/>
    </row>
    <row r="19" customFormat="false" ht="12.75" hidden="false" customHeight="false" outlineLevel="0" collapsed="false">
      <c r="A19" s="1" t="s">
        <v>26</v>
      </c>
      <c r="B19" s="3"/>
      <c r="C19" s="3" t="n">
        <v>3787</v>
      </c>
      <c r="D19" s="4"/>
      <c r="E19" s="3" t="n">
        <f aca="false">+B19+C19+D19</f>
        <v>3787</v>
      </c>
      <c r="F19" s="3" t="n">
        <f aca="false">1302500/30</f>
        <v>43416.6666666667</v>
      </c>
      <c r="G19" s="4" t="n">
        <v>50</v>
      </c>
      <c r="H19" s="4"/>
      <c r="I19" s="3" t="n">
        <f aca="false">+F19+G19+H19</f>
        <v>43466.6666666667</v>
      </c>
      <c r="J19" s="3"/>
    </row>
    <row r="20" customFormat="false" ht="12.75" hidden="false" customHeight="false" outlineLevel="0" collapsed="false">
      <c r="A20" s="1" t="s">
        <v>27</v>
      </c>
      <c r="B20" s="3" t="n">
        <f aca="false">+(96000+30+30+3900)/30+12000</f>
        <v>15332</v>
      </c>
      <c r="C20" s="3" t="n">
        <v>224675</v>
      </c>
      <c r="D20" s="4"/>
      <c r="E20" s="3" t="n">
        <f aca="false">+B20+C20+D20</f>
        <v>240007</v>
      </c>
      <c r="F20" s="3" t="n">
        <f aca="false">+(600000+2460)/30+12000+10000+9000</f>
        <v>51082</v>
      </c>
      <c r="G20" s="3" t="n">
        <v>155121</v>
      </c>
      <c r="H20" s="3" t="n">
        <v>6595</v>
      </c>
      <c r="I20" s="3" t="n">
        <f aca="false">+F20+G20+H20</f>
        <v>212798</v>
      </c>
      <c r="J20" s="3"/>
    </row>
    <row r="21" customFormat="false" ht="12.75" hidden="false" customHeight="false" outlineLevel="0" collapsed="false">
      <c r="A21" s="1" t="s">
        <v>28</v>
      </c>
      <c r="B21" s="3"/>
      <c r="C21" s="3" t="n">
        <v>6550</v>
      </c>
      <c r="D21" s="4"/>
      <c r="E21" s="3" t="n">
        <f aca="false">+B21+C21+D21</f>
        <v>6550</v>
      </c>
      <c r="F21" s="3" t="n">
        <f aca="false">+(5400+7500+6750+19350)/30</f>
        <v>1300</v>
      </c>
      <c r="G21" s="3" t="n">
        <v>15351</v>
      </c>
      <c r="H21" s="4" t="n">
        <v>0</v>
      </c>
      <c r="I21" s="3" t="n">
        <f aca="false">+F21+G21+H21</f>
        <v>16651</v>
      </c>
      <c r="J21" s="3"/>
    </row>
    <row r="22" customFormat="false" ht="12.75" hidden="false" customHeight="false" outlineLevel="0" collapsed="false">
      <c r="A22" s="1" t="s">
        <v>29</v>
      </c>
      <c r="B22" s="3"/>
      <c r="C22" s="3" t="n">
        <v>7208</v>
      </c>
      <c r="D22" s="4"/>
      <c r="E22" s="3" t="n">
        <f aca="false">+B22+C22+D22</f>
        <v>7208</v>
      </c>
      <c r="F22" s="3" t="n">
        <f aca="false">+(286500+13500)/30+15000+10000+10000+5000+15000</f>
        <v>65000</v>
      </c>
      <c r="G22" s="3" t="n">
        <v>45063</v>
      </c>
      <c r="H22" s="4"/>
      <c r="I22" s="3" t="n">
        <f aca="false">+F22+G22+H22</f>
        <v>110063</v>
      </c>
      <c r="J22" s="3" t="n">
        <f aca="false">-I22</f>
        <v>-110063</v>
      </c>
    </row>
    <row r="23" customFormat="false" ht="12.75" hidden="false" customHeight="false" outlineLevel="0" collapsed="false">
      <c r="A23" s="1" t="s">
        <v>30</v>
      </c>
      <c r="B23" s="3"/>
      <c r="C23" s="3" t="n">
        <v>17386</v>
      </c>
      <c r="D23" s="4" t="n">
        <v>140</v>
      </c>
      <c r="E23" s="3" t="n">
        <f aca="false">+B23+C23+D23</f>
        <v>17526</v>
      </c>
      <c r="F23" s="3"/>
      <c r="G23" s="3" t="n">
        <v>11288</v>
      </c>
      <c r="H23" s="3" t="n">
        <v>1286</v>
      </c>
      <c r="I23" s="3" t="n">
        <f aca="false">+F23+G23+H23</f>
        <v>12574</v>
      </c>
      <c r="J23" s="3"/>
    </row>
    <row r="24" customFormat="false" ht="12.75" hidden="false" customHeight="false" outlineLevel="0" collapsed="false">
      <c r="A24" s="1" t="s">
        <v>31</v>
      </c>
      <c r="B24" s="3"/>
      <c r="C24" s="3" t="n">
        <v>1514</v>
      </c>
      <c r="D24" s="4"/>
      <c r="E24" s="3" t="n">
        <f aca="false">+B24+C24+D24</f>
        <v>1514</v>
      </c>
      <c r="F24" s="3" t="n">
        <f aca="false">+(6750)/30</f>
        <v>225</v>
      </c>
      <c r="G24" s="3" t="n">
        <v>1501</v>
      </c>
      <c r="H24" s="4"/>
      <c r="I24" s="3" t="n">
        <f aca="false">+F24+G24+H24</f>
        <v>1726</v>
      </c>
      <c r="J24" s="4"/>
    </row>
    <row r="25" customFormat="false" ht="12.75" hidden="false" customHeight="false" outlineLevel="0" collapsed="false">
      <c r="A25" s="1" t="s">
        <v>32</v>
      </c>
      <c r="B25" s="4"/>
      <c r="C25" s="4" t="n">
        <v>23</v>
      </c>
      <c r="D25" s="4"/>
      <c r="E25" s="4" t="n">
        <f aca="false">+B25+C25+D25</f>
        <v>23</v>
      </c>
      <c r="F25" s="4"/>
      <c r="G25" s="4" t="n">
        <v>869</v>
      </c>
      <c r="H25" s="4"/>
      <c r="I25" s="3" t="n">
        <f aca="false">+F25+G25+H25</f>
        <v>869</v>
      </c>
      <c r="J25" s="4"/>
    </row>
    <row r="26" customFormat="false" ht="12.75" hidden="false" customHeight="false" outlineLevel="0" collapsed="false">
      <c r="A26" s="1" t="s">
        <v>33</v>
      </c>
      <c r="B26" s="3"/>
      <c r="C26" s="3" t="n">
        <v>2812</v>
      </c>
      <c r="D26" s="4"/>
      <c r="E26" s="3" t="n">
        <f aca="false">+B26+C26+D26</f>
        <v>2812</v>
      </c>
      <c r="F26" s="3"/>
      <c r="G26" s="3" t="n">
        <v>11773</v>
      </c>
      <c r="H26" s="4"/>
      <c r="I26" s="3" t="n">
        <f aca="false">+F26+G26+H26</f>
        <v>11773</v>
      </c>
      <c r="J2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</cols>
  <sheetData>
    <row r="1" customFormat="false" ht="21.75" hidden="false" customHeight="false" outlineLevel="0" collapsed="false">
      <c r="A1" s="6" t="s">
        <v>0</v>
      </c>
      <c r="B1" s="7" t="s">
        <v>1</v>
      </c>
      <c r="C1" s="8" t="s">
        <v>2</v>
      </c>
      <c r="D1" s="7" t="s">
        <v>35</v>
      </c>
      <c r="E1" s="9" t="s">
        <v>4</v>
      </c>
      <c r="F1" s="7" t="s">
        <v>5</v>
      </c>
      <c r="G1" s="8" t="s">
        <v>6</v>
      </c>
      <c r="H1" s="7" t="s">
        <v>35</v>
      </c>
      <c r="I1" s="9" t="s">
        <v>7</v>
      </c>
      <c r="J1" s="10" t="s">
        <v>8</v>
      </c>
    </row>
    <row r="2" customFormat="false" ht="12.75" hidden="false" customHeight="false" outlineLevel="0" collapsed="false">
      <c r="A2" s="11" t="s">
        <v>9</v>
      </c>
      <c r="B2" s="12" t="n">
        <f aca="false">36730+50000</f>
        <v>86730</v>
      </c>
      <c r="C2" s="3" t="n">
        <v>203524</v>
      </c>
      <c r="D2" s="4" t="n">
        <v>9189</v>
      </c>
      <c r="E2" s="14" t="n">
        <f aca="false">SUM(B2:D2)</f>
        <v>299443</v>
      </c>
      <c r="F2" s="12" t="n">
        <v>1376</v>
      </c>
      <c r="G2" s="3" t="n">
        <v>13000</v>
      </c>
      <c r="H2" s="3" t="n">
        <v>0</v>
      </c>
      <c r="I2" s="14" t="n">
        <f aca="false">SUM(F2:H2)</f>
        <v>14376</v>
      </c>
      <c r="J2" s="16" t="n">
        <f aca="false">+E2</f>
        <v>299443</v>
      </c>
    </row>
    <row r="3" customFormat="false" ht="12.75" hidden="false" customHeight="false" outlineLevel="0" collapsed="false">
      <c r="A3" s="11" t="s">
        <v>10</v>
      </c>
      <c r="B3" s="12" t="n">
        <v>7</v>
      </c>
      <c r="C3" s="4" t="n">
        <v>547</v>
      </c>
      <c r="D3" s="4" t="n">
        <v>0</v>
      </c>
      <c r="E3" s="14" t="n">
        <f aca="false">SUM(B3:D3)</f>
        <v>554</v>
      </c>
      <c r="F3" s="12" t="n">
        <v>45</v>
      </c>
      <c r="G3" s="3" t="n">
        <v>6901</v>
      </c>
      <c r="H3" s="3" t="n">
        <v>0</v>
      </c>
      <c r="I3" s="14" t="n">
        <f aca="false">SUM(F3:H3)</f>
        <v>6946</v>
      </c>
      <c r="J3" s="16" t="n">
        <f aca="false">+E3</f>
        <v>554</v>
      </c>
    </row>
    <row r="4" customFormat="false" ht="12.75" hidden="false" customHeight="false" outlineLevel="0" collapsed="false">
      <c r="A4" s="11" t="s">
        <v>11</v>
      </c>
      <c r="B4" s="12" t="n">
        <v>766</v>
      </c>
      <c r="C4" s="4" t="n">
        <v>300</v>
      </c>
      <c r="D4" s="4" t="n">
        <v>0</v>
      </c>
      <c r="E4" s="14" t="n">
        <f aca="false">SUM(B4:D4)</f>
        <v>1066</v>
      </c>
      <c r="F4" s="12"/>
      <c r="G4" s="3" t="n">
        <v>4357</v>
      </c>
      <c r="H4" s="3" t="n">
        <v>20973</v>
      </c>
      <c r="I4" s="14" t="n">
        <f aca="false">SUM(F4:H4)</f>
        <v>25330</v>
      </c>
      <c r="J4" s="16" t="n">
        <f aca="false">+E4</f>
        <v>1066</v>
      </c>
    </row>
    <row r="5" customFormat="false" ht="12.75" hidden="false" customHeight="false" outlineLevel="0" collapsed="false">
      <c r="A5" s="11" t="s">
        <v>12</v>
      </c>
      <c r="B5" s="12" t="n">
        <v>630</v>
      </c>
      <c r="C5" s="4" t="n">
        <v>0</v>
      </c>
      <c r="D5" s="4"/>
      <c r="E5" s="14" t="n">
        <f aca="false">SUM(B5:D5)</f>
        <v>630</v>
      </c>
      <c r="F5" s="12"/>
      <c r="G5" s="3" t="n">
        <v>0</v>
      </c>
      <c r="H5" s="3" t="n">
        <v>9700</v>
      </c>
      <c r="I5" s="14" t="n">
        <f aca="false">SUM(F5:H5)</f>
        <v>9700</v>
      </c>
      <c r="J5" s="16" t="n">
        <f aca="false">+E5</f>
        <v>630</v>
      </c>
    </row>
    <row r="6" customFormat="false" ht="12.75" hidden="false" customHeight="false" outlineLevel="0" collapsed="false">
      <c r="A6" s="11" t="s">
        <v>13</v>
      </c>
      <c r="B6" s="12"/>
      <c r="C6" s="4" t="n">
        <v>0</v>
      </c>
      <c r="D6" s="4" t="n">
        <v>0</v>
      </c>
      <c r="E6" s="14" t="n">
        <f aca="false">SUM(B6:D6)</f>
        <v>0</v>
      </c>
      <c r="F6" s="12" t="n">
        <v>1750</v>
      </c>
      <c r="G6" s="3" t="n">
        <v>3000</v>
      </c>
      <c r="H6" s="3" t="n">
        <v>50</v>
      </c>
      <c r="I6" s="14" t="n">
        <f aca="false">SUM(F6:H6)</f>
        <v>4800</v>
      </c>
      <c r="J6" s="16" t="n">
        <f aca="false">-I6</f>
        <v>-4800</v>
      </c>
    </row>
    <row r="7" customFormat="false" ht="12.75" hidden="false" customHeight="false" outlineLevel="0" collapsed="false">
      <c r="A7" s="11" t="s">
        <v>14</v>
      </c>
      <c r="B7" s="12" t="n">
        <v>5320</v>
      </c>
      <c r="C7" s="3" t="n">
        <v>157117</v>
      </c>
      <c r="D7" s="4" t="n">
        <v>1</v>
      </c>
      <c r="E7" s="14" t="n">
        <f aca="false">SUM(B7:D7)</f>
        <v>162438</v>
      </c>
      <c r="F7" s="12" t="n">
        <v>15102</v>
      </c>
      <c r="G7" s="3" t="n">
        <v>3100</v>
      </c>
      <c r="H7" s="3" t="n">
        <v>64271</v>
      </c>
      <c r="I7" s="14" t="n">
        <f aca="false">SUM(F7:H7)</f>
        <v>82473</v>
      </c>
      <c r="J7" s="16" t="n">
        <f aca="false">+E7</f>
        <v>162438</v>
      </c>
    </row>
    <row r="8" customFormat="false" ht="12.75" hidden="false" customHeight="false" outlineLevel="0" collapsed="false">
      <c r="A8" s="11" t="s">
        <v>15</v>
      </c>
      <c r="B8" s="12" t="n">
        <v>148140</v>
      </c>
      <c r="C8" s="4" t="n">
        <v>0</v>
      </c>
      <c r="D8" s="4"/>
      <c r="E8" s="14" t="n">
        <f aca="false">SUM(B8:D8)</f>
        <v>148140</v>
      </c>
      <c r="F8" s="12" t="n">
        <v>148140</v>
      </c>
      <c r="G8" s="3" t="n">
        <v>0</v>
      </c>
      <c r="H8" s="3" t="n">
        <v>0</v>
      </c>
      <c r="I8" s="14" t="n">
        <f aca="false">SUM(F8:H8)</f>
        <v>148140</v>
      </c>
      <c r="J8" s="16" t="n">
        <f aca="false">-I8</f>
        <v>-148140</v>
      </c>
    </row>
    <row r="9" customFormat="false" ht="12.75" hidden="false" customHeight="false" outlineLevel="0" collapsed="false">
      <c r="A9" s="11" t="s">
        <v>16</v>
      </c>
      <c r="B9" s="12" t="n">
        <f aca="false">41225+45000+15000</f>
        <v>101225</v>
      </c>
      <c r="C9" s="3" t="n">
        <v>112822</v>
      </c>
      <c r="D9" s="4" t="n">
        <v>0</v>
      </c>
      <c r="E9" s="14" t="n">
        <f aca="false">SUM(B9:D9)</f>
        <v>214047</v>
      </c>
      <c r="F9" s="12" t="n">
        <v>7</v>
      </c>
      <c r="G9" s="3" t="n">
        <v>21850</v>
      </c>
      <c r="H9" s="3" t="n">
        <v>0</v>
      </c>
      <c r="I9" s="14" t="n">
        <f aca="false">SUM(F9:H9)</f>
        <v>21857</v>
      </c>
      <c r="J9" s="16" t="n">
        <f aca="false">+E9</f>
        <v>214047</v>
      </c>
    </row>
    <row r="10" customFormat="false" ht="12.75" hidden="false" customHeight="false" outlineLevel="0" collapsed="false">
      <c r="A10" s="11" t="s">
        <v>17</v>
      </c>
      <c r="B10" s="12"/>
      <c r="C10" s="4" t="n">
        <v>10000</v>
      </c>
      <c r="D10" s="4" t="n">
        <v>0</v>
      </c>
      <c r="E10" s="14" t="n">
        <f aca="false">SUM(B10:D10)</f>
        <v>10000</v>
      </c>
      <c r="F10" s="12" t="n">
        <v>34800</v>
      </c>
      <c r="G10" s="3" t="n">
        <v>191362</v>
      </c>
      <c r="H10" s="3"/>
      <c r="I10" s="14" t="n">
        <f aca="false">SUM(F10:H10)</f>
        <v>226162</v>
      </c>
      <c r="J10" s="16" t="n">
        <f aca="false">-I10</f>
        <v>-226162</v>
      </c>
    </row>
    <row r="11" customFormat="false" ht="12.75" hidden="false" customHeight="false" outlineLevel="0" collapsed="false">
      <c r="A11" s="11" t="s">
        <v>18</v>
      </c>
      <c r="B11" s="12" t="n">
        <v>5250</v>
      </c>
      <c r="C11" s="3" t="n">
        <v>149189</v>
      </c>
      <c r="D11" s="4" t="n">
        <v>50</v>
      </c>
      <c r="E11" s="14" t="n">
        <f aca="false">SUM(B11:D11)</f>
        <v>154489</v>
      </c>
      <c r="F11" s="12" t="n">
        <v>15321</v>
      </c>
      <c r="G11" s="3" t="n">
        <v>54109</v>
      </c>
      <c r="H11" s="3" t="n">
        <v>0</v>
      </c>
      <c r="I11" s="14" t="n">
        <f aca="false">SUM(F11:H11)</f>
        <v>69430</v>
      </c>
      <c r="J11" s="16"/>
    </row>
    <row r="12" customFormat="false" ht="12.75" hidden="false" customHeight="false" outlineLevel="0" collapsed="false">
      <c r="A12" s="11" t="s">
        <v>19</v>
      </c>
      <c r="B12" s="12" t="n">
        <v>1409</v>
      </c>
      <c r="C12" s="3" t="n">
        <v>17711</v>
      </c>
      <c r="D12" s="3" t="n">
        <v>7801</v>
      </c>
      <c r="E12" s="14" t="n">
        <f aca="false">SUM(B12:D12)</f>
        <v>26921</v>
      </c>
      <c r="F12" s="12" t="n">
        <v>984</v>
      </c>
      <c r="G12" s="3" t="n">
        <v>147485</v>
      </c>
      <c r="H12" s="3"/>
      <c r="I12" s="14" t="n">
        <f aca="false">SUM(F12:H12)</f>
        <v>148469</v>
      </c>
      <c r="J12" s="16" t="n">
        <f aca="false">-I12</f>
        <v>-148469</v>
      </c>
    </row>
    <row r="13" customFormat="false" ht="12.75" hidden="false" customHeight="false" outlineLevel="0" collapsed="false">
      <c r="A13" s="11" t="s">
        <v>20</v>
      </c>
      <c r="B13" s="12"/>
      <c r="C13" s="3" t="n">
        <v>77055</v>
      </c>
      <c r="D13" s="4" t="n">
        <v>0</v>
      </c>
      <c r="E13" s="14" t="n">
        <f aca="false">SUM(B13:D13)</f>
        <v>77055</v>
      </c>
      <c r="F13" s="12" t="n">
        <f aca="false">40000+17000+13000+15000+11500</f>
        <v>96500</v>
      </c>
      <c r="G13" s="3" t="n">
        <v>357271</v>
      </c>
      <c r="H13" s="3" t="n">
        <v>400</v>
      </c>
      <c r="I13" s="14" t="n">
        <f aca="false">SUM(F13:H13)</f>
        <v>454171</v>
      </c>
      <c r="J13" s="16" t="n">
        <f aca="false">-I13</f>
        <v>-454171</v>
      </c>
    </row>
    <row r="14" customFormat="false" ht="12.75" hidden="false" customHeight="false" outlineLevel="0" collapsed="false">
      <c r="A14" s="11" t="s">
        <v>21</v>
      </c>
      <c r="B14" s="12" t="n">
        <f aca="false">9735+11500</f>
        <v>21235</v>
      </c>
      <c r="C14" s="3" t="n">
        <v>188524</v>
      </c>
      <c r="D14" s="4" t="n">
        <v>1084</v>
      </c>
      <c r="E14" s="14" t="n">
        <f aca="false">SUM(B14:D14)</f>
        <v>210843</v>
      </c>
      <c r="F14" s="12"/>
      <c r="G14" s="3" t="n">
        <v>178661</v>
      </c>
      <c r="H14" s="3" t="n">
        <v>800</v>
      </c>
      <c r="I14" s="14" t="n">
        <f aca="false">SUM(F14:H14)</f>
        <v>179461</v>
      </c>
      <c r="J14" s="16" t="n">
        <f aca="false">+E14</f>
        <v>210843</v>
      </c>
    </row>
    <row r="15" customFormat="false" ht="12.75" hidden="false" customHeight="false" outlineLevel="0" collapsed="false">
      <c r="A15" s="11" t="s">
        <v>22</v>
      </c>
      <c r="B15" s="12" t="n">
        <f aca="false">41292+10000</f>
        <v>51292</v>
      </c>
      <c r="C15" s="3" t="n">
        <v>134022</v>
      </c>
      <c r="D15" s="4" t="n">
        <v>18</v>
      </c>
      <c r="E15" s="14" t="n">
        <f aca="false">SUM(B15:D15)</f>
        <v>185332</v>
      </c>
      <c r="F15" s="12"/>
      <c r="G15" s="3" t="n">
        <v>40001</v>
      </c>
      <c r="H15" s="3" t="n">
        <v>0</v>
      </c>
      <c r="I15" s="14" t="n">
        <f aca="false">SUM(F15:H15)</f>
        <v>40001</v>
      </c>
      <c r="J15" s="16" t="n">
        <f aca="false">+E15</f>
        <v>185332</v>
      </c>
    </row>
    <row r="16" customFormat="false" ht="12.75" hidden="false" customHeight="false" outlineLevel="0" collapsed="false">
      <c r="A16" s="11" t="s">
        <v>23</v>
      </c>
      <c r="B16" s="12"/>
      <c r="C16" s="3" t="n">
        <v>3604</v>
      </c>
      <c r="D16" s="4" t="n">
        <v>0</v>
      </c>
      <c r="E16" s="14" t="n">
        <f aca="false">SUM(B16:D16)</f>
        <v>3604</v>
      </c>
      <c r="F16" s="12"/>
      <c r="G16" s="3" t="n">
        <v>42710</v>
      </c>
      <c r="H16" s="3"/>
      <c r="I16" s="14" t="n">
        <f aca="false">SUM(F16:H16)</f>
        <v>42710</v>
      </c>
      <c r="J16" s="16" t="n">
        <f aca="false">-I16</f>
        <v>-42710</v>
      </c>
    </row>
    <row r="17" customFormat="false" ht="12.75" hidden="false" customHeight="false" outlineLevel="0" collapsed="false">
      <c r="A17" s="11" t="s">
        <v>24</v>
      </c>
      <c r="B17" s="12"/>
      <c r="D17" s="0" t="n">
        <v>0</v>
      </c>
      <c r="E17" s="14" t="n">
        <f aca="false">SUM(B17:D17)</f>
        <v>0</v>
      </c>
      <c r="F17" s="12"/>
      <c r="G17" s="5"/>
      <c r="H17" s="3" t="n">
        <v>45000</v>
      </c>
      <c r="I17" s="14" t="n">
        <f aca="false">SUM(F17:H17)</f>
        <v>45000</v>
      </c>
      <c r="J17" s="16" t="n">
        <f aca="false">+E17</f>
        <v>0</v>
      </c>
    </row>
    <row r="18" customFormat="false" ht="12.75" hidden="false" customHeight="false" outlineLevel="0" collapsed="false">
      <c r="A18" s="11" t="s">
        <v>25</v>
      </c>
      <c r="B18" s="12"/>
      <c r="C18" s="3" t="n">
        <v>52289</v>
      </c>
      <c r="D18" s="4" t="n">
        <v>0</v>
      </c>
      <c r="E18" s="14" t="n">
        <f aca="false">SUM(B18:D18)</f>
        <v>52289</v>
      </c>
      <c r="F18" s="12" t="n">
        <v>1770</v>
      </c>
      <c r="G18" s="3" t="n">
        <v>29508</v>
      </c>
      <c r="H18" s="3" t="n">
        <v>0</v>
      </c>
      <c r="I18" s="14" t="n">
        <f aca="false">SUM(F18:H18)</f>
        <v>31278</v>
      </c>
      <c r="J18" s="16"/>
    </row>
    <row r="19" customFormat="false" ht="12.75" hidden="false" customHeight="false" outlineLevel="0" collapsed="false">
      <c r="A19" s="11" t="s">
        <v>26</v>
      </c>
      <c r="B19" s="12" t="n">
        <v>37000</v>
      </c>
      <c r="C19" s="3" t="n">
        <v>9224</v>
      </c>
      <c r="D19" s="4" t="n">
        <v>0</v>
      </c>
      <c r="E19" s="14" t="n">
        <f aca="false">SUM(B19:D19)</f>
        <v>46224</v>
      </c>
      <c r="F19" s="12" t="n">
        <f aca="false">37000+10000</f>
        <v>47000</v>
      </c>
      <c r="G19" s="3" t="n">
        <v>48</v>
      </c>
      <c r="H19" s="3" t="n">
        <v>0</v>
      </c>
      <c r="I19" s="14" t="n">
        <f aca="false">SUM(F19:H19)</f>
        <v>47048</v>
      </c>
      <c r="J19" s="16" t="n">
        <f aca="false">-I19</f>
        <v>-47048</v>
      </c>
    </row>
    <row r="20" customFormat="false" ht="12.75" hidden="false" customHeight="false" outlineLevel="0" collapsed="false">
      <c r="A20" s="11" t="s">
        <v>27</v>
      </c>
      <c r="B20" s="12" t="n">
        <v>103</v>
      </c>
      <c r="C20" s="3" t="n">
        <v>282075</v>
      </c>
      <c r="D20" s="3" t="n">
        <v>25000</v>
      </c>
      <c r="E20" s="14" t="n">
        <f aca="false">SUM(B20:D20)</f>
        <v>307178</v>
      </c>
      <c r="F20" s="12" t="n">
        <f aca="false">30246+5000</f>
        <v>35246</v>
      </c>
      <c r="G20" s="3" t="n">
        <v>252150</v>
      </c>
      <c r="H20" s="3" t="n">
        <v>5466</v>
      </c>
      <c r="I20" s="14" t="n">
        <f aca="false">SUM(F20:H20)</f>
        <v>292862</v>
      </c>
      <c r="J20" s="16" t="n">
        <f aca="false">-I20</f>
        <v>-292862</v>
      </c>
    </row>
    <row r="21" customFormat="false" ht="12.75" hidden="false" customHeight="false" outlineLevel="0" collapsed="false">
      <c r="A21" s="11" t="s">
        <v>28</v>
      </c>
      <c r="B21" s="12"/>
      <c r="C21" s="3" t="n">
        <v>4003</v>
      </c>
      <c r="D21" s="4" t="n">
        <v>0</v>
      </c>
      <c r="E21" s="14" t="n">
        <f aca="false">SUM(B21:D21)</f>
        <v>4003</v>
      </c>
      <c r="F21" s="12" t="n">
        <v>992</v>
      </c>
      <c r="G21" s="3" t="n">
        <v>32001</v>
      </c>
      <c r="H21" s="3"/>
      <c r="I21" s="14" t="n">
        <f aca="false">SUM(F21:H21)</f>
        <v>32993</v>
      </c>
      <c r="J21" s="16" t="n">
        <f aca="false">-I21</f>
        <v>-32993</v>
      </c>
    </row>
    <row r="22" customFormat="false" ht="12.75" hidden="false" customHeight="false" outlineLevel="0" collapsed="false">
      <c r="A22" s="11" t="s">
        <v>29</v>
      </c>
      <c r="B22" s="12" t="n">
        <v>5000</v>
      </c>
      <c r="C22" s="3" t="n">
        <v>1027</v>
      </c>
      <c r="D22" s="4" t="n">
        <v>0</v>
      </c>
      <c r="E22" s="14" t="n">
        <f aca="false">SUM(B22:D22)</f>
        <v>6027</v>
      </c>
      <c r="F22" s="12" t="n">
        <f aca="false">15000+40000</f>
        <v>55000</v>
      </c>
      <c r="G22" s="3" t="n">
        <v>90137</v>
      </c>
      <c r="H22" s="3" t="n">
        <v>0</v>
      </c>
      <c r="I22" s="14" t="n">
        <f aca="false">SUM(F22:H22)</f>
        <v>145137</v>
      </c>
      <c r="J22" s="16" t="n">
        <f aca="false">-I22</f>
        <v>-145137</v>
      </c>
    </row>
    <row r="23" customFormat="false" ht="12.75" hidden="false" customHeight="false" outlineLevel="0" collapsed="false">
      <c r="A23" s="11" t="s">
        <v>30</v>
      </c>
      <c r="B23" s="12"/>
      <c r="C23" s="3" t="n">
        <v>19332</v>
      </c>
      <c r="D23" s="4" t="n">
        <v>0</v>
      </c>
      <c r="E23" s="14" t="n">
        <f aca="false">SUM(B23:D23)</f>
        <v>19332</v>
      </c>
      <c r="F23" s="12"/>
      <c r="G23" s="3" t="n">
        <v>5097</v>
      </c>
      <c r="H23" s="3" t="n">
        <v>0</v>
      </c>
      <c r="I23" s="14" t="n">
        <f aca="false">SUM(F23:H23)</f>
        <v>5097</v>
      </c>
      <c r="J23" s="16" t="n">
        <f aca="false">-I23</f>
        <v>-5097</v>
      </c>
    </row>
    <row r="24" customFormat="false" ht="12.75" hidden="false" customHeight="false" outlineLevel="0" collapsed="false">
      <c r="A24" s="11" t="s">
        <v>31</v>
      </c>
      <c r="B24" s="12"/>
      <c r="C24" s="4"/>
      <c r="D24" s="4" t="n">
        <v>0</v>
      </c>
      <c r="E24" s="14" t="n">
        <f aca="false">SUM(B24:D24)</f>
        <v>0</v>
      </c>
      <c r="F24" s="12" t="n">
        <v>1046</v>
      </c>
      <c r="G24" s="3" t="n">
        <v>3201</v>
      </c>
      <c r="H24" s="3" t="n">
        <v>0</v>
      </c>
      <c r="I24" s="14" t="n">
        <f aca="false">SUM(F24:H24)</f>
        <v>4247</v>
      </c>
      <c r="J24" s="16" t="n">
        <f aca="false">-I24</f>
        <v>-4247</v>
      </c>
    </row>
    <row r="25" customFormat="false" ht="12.75" hidden="false" customHeight="false" outlineLevel="0" collapsed="false">
      <c r="A25" s="11" t="s">
        <v>32</v>
      </c>
      <c r="B25" s="12"/>
      <c r="C25" s="4" t="n">
        <v>0</v>
      </c>
      <c r="D25" s="4"/>
      <c r="E25" s="14" t="n">
        <f aca="false">SUM(B25:D25)</f>
        <v>0</v>
      </c>
      <c r="F25" s="12"/>
      <c r="G25" s="3" t="n">
        <v>64</v>
      </c>
      <c r="H25" s="3"/>
      <c r="I25" s="14" t="n">
        <f aca="false">SUM(F25:H25)</f>
        <v>64</v>
      </c>
      <c r="J25" s="17"/>
    </row>
    <row r="26" customFormat="false" ht="12.75" hidden="false" customHeight="false" outlineLevel="0" collapsed="false">
      <c r="A26" s="19" t="s">
        <v>33</v>
      </c>
      <c r="B26" s="20" t="n">
        <v>7048</v>
      </c>
      <c r="C26" s="21" t="n">
        <v>478</v>
      </c>
      <c r="D26" s="34"/>
      <c r="E26" s="22" t="n">
        <f aca="false">SUM(B26:D26)</f>
        <v>7526</v>
      </c>
      <c r="F26" s="20" t="n">
        <v>6076</v>
      </c>
      <c r="G26" s="20" t="n">
        <v>11794</v>
      </c>
      <c r="H26" s="35"/>
      <c r="I26" s="22" t="n">
        <f aca="false">SUM(F26:H26)</f>
        <v>17870</v>
      </c>
      <c r="J26" s="24"/>
    </row>
    <row r="27" customFormat="false" ht="12.75" hidden="false" customHeight="false" outlineLevel="0" collapsed="false">
      <c r="A27" s="25"/>
      <c r="B27" s="26"/>
      <c r="C27" s="26"/>
      <c r="D27" s="26"/>
      <c r="E27" s="27"/>
      <c r="F27" s="25"/>
      <c r="G27" s="26"/>
      <c r="H27" s="26"/>
      <c r="I27" s="26"/>
      <c r="J27" s="27"/>
    </row>
    <row r="28" customFormat="false" ht="13.5" hidden="false" customHeight="false" outlineLevel="0" collapsed="false">
      <c r="A28" s="28" t="s">
        <v>37</v>
      </c>
      <c r="B28" s="29" t="n">
        <f aca="false">SUM(B2:B27)</f>
        <v>471155</v>
      </c>
      <c r="C28" s="30"/>
      <c r="D28" s="30"/>
      <c r="E28" s="33" t="n">
        <f aca="false">SUM(E2:E26)</f>
        <v>1937141</v>
      </c>
      <c r="F28" s="32" t="n">
        <f aca="false">SUM(F2:F27)</f>
        <v>461155</v>
      </c>
      <c r="G28" s="30"/>
      <c r="H28" s="30"/>
      <c r="I28" s="29" t="n">
        <f aca="false">SUM(I2:I26)</f>
        <v>2095622</v>
      </c>
      <c r="J28" s="31"/>
    </row>
    <row r="29" customFormat="false" ht="12.75" hidden="false" customHeight="false" outlineLevel="0" collapsed="false">
      <c r="G29" s="5"/>
    </row>
    <row r="30" customFormat="false" ht="12.75" hidden="false" customHeight="false" outlineLevel="0" collapsed="false">
      <c r="A30" s="0" t="s">
        <v>38</v>
      </c>
      <c r="D30" s="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&amp;CJUNE 2000 PREBID THROUGHPUT</oddHeader>
    <oddFooter>&amp;Lo:\NAES\Texas Transport\Capacity\&amp;F &amp;A&amp;RUpdated &amp;D at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</cols>
  <sheetData>
    <row r="1" customFormat="false" ht="21.75" hidden="false" customHeight="false" outlineLevel="0" collapsed="false">
      <c r="A1" s="6" t="s">
        <v>0</v>
      </c>
      <c r="B1" s="7" t="s">
        <v>1</v>
      </c>
      <c r="C1" s="8" t="s">
        <v>2</v>
      </c>
      <c r="D1" s="7" t="s">
        <v>35</v>
      </c>
      <c r="E1" s="9" t="s">
        <v>4</v>
      </c>
      <c r="F1" s="7" t="s">
        <v>5</v>
      </c>
      <c r="G1" s="8" t="s">
        <v>6</v>
      </c>
      <c r="H1" s="7" t="s">
        <v>35</v>
      </c>
      <c r="I1" s="9" t="s">
        <v>7</v>
      </c>
      <c r="J1" s="10" t="s">
        <v>8</v>
      </c>
    </row>
    <row r="2" customFormat="false" ht="12.75" hidden="false" customHeight="false" outlineLevel="0" collapsed="false">
      <c r="A2" s="11" t="s">
        <v>9</v>
      </c>
      <c r="B2" s="12" t="n">
        <f aca="false">34690+74000</f>
        <v>108690</v>
      </c>
      <c r="C2" s="3" t="n">
        <v>201570</v>
      </c>
      <c r="D2" s="4" t="n">
        <v>15415</v>
      </c>
      <c r="E2" s="14" t="n">
        <f aca="false">SUM(B2:D2)</f>
        <v>325675</v>
      </c>
      <c r="F2" s="12" t="n">
        <v>1144</v>
      </c>
      <c r="G2" s="3" t="n">
        <v>2</v>
      </c>
      <c r="H2" s="3" t="n">
        <v>0</v>
      </c>
      <c r="I2" s="14" t="n">
        <f aca="false">SUM(F2:H2)</f>
        <v>1146</v>
      </c>
      <c r="J2" s="16" t="n">
        <f aca="false">+E2</f>
        <v>325675</v>
      </c>
    </row>
    <row r="3" customFormat="false" ht="12.75" hidden="false" customHeight="false" outlineLevel="0" collapsed="false">
      <c r="A3" s="11" t="s">
        <v>10</v>
      </c>
      <c r="B3" s="12"/>
      <c r="C3" s="4" t="n">
        <v>12225</v>
      </c>
      <c r="D3" s="4" t="n">
        <v>0</v>
      </c>
      <c r="E3" s="14" t="n">
        <f aca="false">SUM(B3:D3)</f>
        <v>12225</v>
      </c>
      <c r="F3" s="12" t="n">
        <v>46</v>
      </c>
      <c r="G3" s="3" t="n">
        <v>10344</v>
      </c>
      <c r="H3" s="3" t="n">
        <v>0</v>
      </c>
      <c r="I3" s="14" t="n">
        <f aca="false">SUM(F3:H3)</f>
        <v>10390</v>
      </c>
      <c r="J3" s="16" t="n">
        <f aca="false">+E3</f>
        <v>12225</v>
      </c>
    </row>
    <row r="4" customFormat="false" ht="12.75" hidden="false" customHeight="false" outlineLevel="0" collapsed="false">
      <c r="A4" s="11" t="s">
        <v>11</v>
      </c>
      <c r="B4" s="12" t="n">
        <v>814</v>
      </c>
      <c r="C4" s="4" t="n">
        <v>300</v>
      </c>
      <c r="D4" s="4"/>
      <c r="E4" s="14" t="n">
        <f aca="false">SUM(B4:D4)</f>
        <v>1114</v>
      </c>
      <c r="F4" s="12"/>
      <c r="G4" s="3" t="n">
        <v>5238</v>
      </c>
      <c r="H4" s="3" t="n">
        <v>12318</v>
      </c>
      <c r="I4" s="14" t="n">
        <f aca="false">SUM(F4:H4)</f>
        <v>17556</v>
      </c>
      <c r="J4" s="16" t="n">
        <f aca="false">+E4</f>
        <v>1114</v>
      </c>
    </row>
    <row r="5" customFormat="false" ht="12.75" hidden="false" customHeight="false" outlineLevel="0" collapsed="false">
      <c r="A5" s="11" t="s">
        <v>12</v>
      </c>
      <c r="B5" s="12" t="n">
        <v>640</v>
      </c>
      <c r="C5" s="4" t="n">
        <v>0</v>
      </c>
      <c r="D5" s="4"/>
      <c r="E5" s="14" t="n">
        <f aca="false">SUM(B5:D5)</f>
        <v>640</v>
      </c>
      <c r="F5" s="12"/>
      <c r="G5" s="3" t="n">
        <v>0</v>
      </c>
      <c r="H5" s="3" t="n">
        <v>30528</v>
      </c>
      <c r="I5" s="14" t="n">
        <f aca="false">SUM(F5:H5)</f>
        <v>30528</v>
      </c>
      <c r="J5" s="16" t="n">
        <f aca="false">+E5</f>
        <v>640</v>
      </c>
    </row>
    <row r="6" customFormat="false" ht="12.75" hidden="false" customHeight="false" outlineLevel="0" collapsed="false">
      <c r="A6" s="11" t="s">
        <v>13</v>
      </c>
      <c r="B6" s="12"/>
      <c r="C6" s="4" t="n">
        <v>0</v>
      </c>
      <c r="D6" s="4" t="n">
        <v>0</v>
      </c>
      <c r="E6" s="14" t="n">
        <f aca="false">SUM(B6:D6)</f>
        <v>0</v>
      </c>
      <c r="F6" s="12"/>
      <c r="G6" s="3" t="n">
        <v>7502</v>
      </c>
      <c r="H6" s="3" t="n">
        <v>50</v>
      </c>
      <c r="I6" s="14" t="n">
        <f aca="false">SUM(F6:H6)</f>
        <v>7552</v>
      </c>
      <c r="J6" s="16" t="n">
        <f aca="false">-I6</f>
        <v>-7552</v>
      </c>
    </row>
    <row r="7" customFormat="false" ht="12.75" hidden="false" customHeight="false" outlineLevel="0" collapsed="false">
      <c r="A7" s="11" t="s">
        <v>14</v>
      </c>
      <c r="B7" s="12" t="n">
        <v>5096</v>
      </c>
      <c r="C7" s="3" t="n">
        <v>133122</v>
      </c>
      <c r="D7" s="4" t="n">
        <v>42001</v>
      </c>
      <c r="E7" s="14" t="n">
        <f aca="false">SUM(B7:D7)</f>
        <v>180219</v>
      </c>
      <c r="F7" s="12" t="n">
        <v>14899</v>
      </c>
      <c r="G7" s="3" t="n">
        <v>3333</v>
      </c>
      <c r="H7" s="3" t="n">
        <v>49938</v>
      </c>
      <c r="I7" s="14" t="n">
        <f aca="false">SUM(F7:H7)</f>
        <v>68170</v>
      </c>
      <c r="J7" s="16" t="n">
        <f aca="false">+E7</f>
        <v>180219</v>
      </c>
    </row>
    <row r="8" customFormat="false" ht="12.75" hidden="false" customHeight="false" outlineLevel="0" collapsed="false">
      <c r="A8" s="11" t="s">
        <v>15</v>
      </c>
      <c r="B8" s="12" t="n">
        <v>113915</v>
      </c>
      <c r="C8" s="4" t="n">
        <v>0</v>
      </c>
      <c r="D8" s="4"/>
      <c r="E8" s="14" t="n">
        <f aca="false">SUM(B8:D8)</f>
        <v>113915</v>
      </c>
      <c r="F8" s="12" t="n">
        <v>113915</v>
      </c>
      <c r="G8" s="3" t="n">
        <v>0</v>
      </c>
      <c r="H8" s="3" t="n">
        <v>6115</v>
      </c>
      <c r="I8" s="14" t="n">
        <f aca="false">SUM(F8:H8)</f>
        <v>120030</v>
      </c>
      <c r="J8" s="16" t="n">
        <f aca="false">-I8</f>
        <v>-120030</v>
      </c>
    </row>
    <row r="9" customFormat="false" ht="12.75" hidden="false" customHeight="false" outlineLevel="0" collapsed="false">
      <c r="A9" s="11" t="s">
        <v>16</v>
      </c>
      <c r="B9" s="12" t="n">
        <f aca="false">45692+60000+40000</f>
        <v>145692</v>
      </c>
      <c r="C9" s="3" t="n">
        <v>110322</v>
      </c>
      <c r="D9" s="4" t="n">
        <v>0</v>
      </c>
      <c r="E9" s="14" t="n">
        <f aca="false">SUM(B9:D9)</f>
        <v>256014</v>
      </c>
      <c r="F9" s="12" t="n">
        <v>47500</v>
      </c>
      <c r="G9" s="3" t="n">
        <v>21350</v>
      </c>
      <c r="H9" s="3" t="n">
        <v>0</v>
      </c>
      <c r="I9" s="14" t="n">
        <f aca="false">SUM(F9:H9)</f>
        <v>68850</v>
      </c>
      <c r="J9" s="16" t="n">
        <f aca="false">+E9</f>
        <v>256014</v>
      </c>
    </row>
    <row r="10" customFormat="false" ht="12.75" hidden="false" customHeight="false" outlineLevel="0" collapsed="false">
      <c r="A10" s="11" t="s">
        <v>17</v>
      </c>
      <c r="B10" s="12"/>
      <c r="C10" s="4" t="n">
        <v>0</v>
      </c>
      <c r="D10" s="4" t="n">
        <v>0</v>
      </c>
      <c r="E10" s="14" t="n">
        <f aca="false">SUM(B10:D10)</f>
        <v>0</v>
      </c>
      <c r="F10" s="12" t="n">
        <v>35000</v>
      </c>
      <c r="G10" s="3" t="n">
        <v>192650</v>
      </c>
      <c r="H10" s="3"/>
      <c r="I10" s="14" t="n">
        <f aca="false">SUM(F10:H10)</f>
        <v>227650</v>
      </c>
      <c r="J10" s="16" t="n">
        <f aca="false">-I10</f>
        <v>-227650</v>
      </c>
    </row>
    <row r="11" customFormat="false" ht="12.75" hidden="false" customHeight="false" outlineLevel="0" collapsed="false">
      <c r="A11" s="11" t="s">
        <v>18</v>
      </c>
      <c r="B11" s="12" t="n">
        <v>5250</v>
      </c>
      <c r="C11" s="3" t="n">
        <v>140692</v>
      </c>
      <c r="D11" s="4" t="n">
        <v>50</v>
      </c>
      <c r="E11" s="14" t="n">
        <f aca="false">SUM(B11:D11)</f>
        <v>145992</v>
      </c>
      <c r="F11" s="12" t="n">
        <f aca="false">15321+20000</f>
        <v>35321</v>
      </c>
      <c r="G11" s="3" t="n">
        <v>64110</v>
      </c>
      <c r="H11" s="3" t="n">
        <v>60</v>
      </c>
      <c r="I11" s="14" t="n">
        <f aca="false">SUM(F11:H11)</f>
        <v>99491</v>
      </c>
      <c r="J11" s="16"/>
    </row>
    <row r="12" customFormat="false" ht="12.75" hidden="false" customHeight="false" outlineLevel="0" collapsed="false">
      <c r="A12" s="11" t="s">
        <v>19</v>
      </c>
      <c r="B12" s="12" t="n">
        <v>1179</v>
      </c>
      <c r="C12" s="3" t="n">
        <v>12748</v>
      </c>
      <c r="D12" s="3" t="n">
        <v>25274</v>
      </c>
      <c r="E12" s="14" t="n">
        <f aca="false">SUM(B12:D12)</f>
        <v>39201</v>
      </c>
      <c r="F12" s="12" t="n">
        <v>1072</v>
      </c>
      <c r="G12" s="3" t="n">
        <v>139660</v>
      </c>
      <c r="H12" s="3"/>
      <c r="I12" s="14" t="n">
        <f aca="false">SUM(F12:H12)</f>
        <v>140732</v>
      </c>
      <c r="J12" s="16" t="n">
        <f aca="false">-I12</f>
        <v>-140732</v>
      </c>
    </row>
    <row r="13" customFormat="false" ht="12.75" hidden="false" customHeight="false" outlineLevel="0" collapsed="false">
      <c r="A13" s="11" t="s">
        <v>20</v>
      </c>
      <c r="B13" s="12"/>
      <c r="C13" s="3" t="n">
        <v>64990</v>
      </c>
      <c r="D13" s="4" t="n">
        <v>0</v>
      </c>
      <c r="E13" s="14" t="n">
        <f aca="false">SUM(B13:D13)</f>
        <v>64990</v>
      </c>
      <c r="F13" s="12" t="n">
        <f aca="false">35000+49000</f>
        <v>84000</v>
      </c>
      <c r="G13" s="3" t="n">
        <v>371692</v>
      </c>
      <c r="H13" s="3" t="n">
        <v>400</v>
      </c>
      <c r="I13" s="14" t="n">
        <f aca="false">SUM(F13:H13)</f>
        <v>456092</v>
      </c>
      <c r="J13" s="16" t="n">
        <f aca="false">-I13</f>
        <v>-456092</v>
      </c>
    </row>
    <row r="14" customFormat="false" ht="12.75" hidden="false" customHeight="false" outlineLevel="0" collapsed="false">
      <c r="A14" s="11" t="s">
        <v>21</v>
      </c>
      <c r="B14" s="12" t="n">
        <f aca="false">5735+5000</f>
        <v>10735</v>
      </c>
      <c r="C14" s="3" t="n">
        <v>211771</v>
      </c>
      <c r="D14" s="4" t="n">
        <v>1056</v>
      </c>
      <c r="E14" s="14" t="n">
        <f aca="false">SUM(B14:D14)</f>
        <v>223562</v>
      </c>
      <c r="F14" s="12"/>
      <c r="G14" s="3" t="n">
        <v>108231</v>
      </c>
      <c r="H14" s="3" t="n">
        <v>600</v>
      </c>
      <c r="I14" s="14" t="n">
        <f aca="false">SUM(F14:H14)</f>
        <v>108831</v>
      </c>
      <c r="J14" s="16" t="n">
        <f aca="false">+E14</f>
        <v>223562</v>
      </c>
    </row>
    <row r="15" customFormat="false" ht="12.75" hidden="false" customHeight="false" outlineLevel="0" collapsed="false">
      <c r="A15" s="11" t="s">
        <v>22</v>
      </c>
      <c r="B15" s="12" t="n">
        <v>40663</v>
      </c>
      <c r="C15" s="3" t="n">
        <v>150150</v>
      </c>
      <c r="D15" s="4" t="n">
        <v>15161</v>
      </c>
      <c r="E15" s="14" t="n">
        <f aca="false">SUM(B15:D15)</f>
        <v>205974</v>
      </c>
      <c r="F15" s="12"/>
      <c r="G15" s="3" t="n">
        <v>10001</v>
      </c>
      <c r="H15" s="3" t="n">
        <v>0</v>
      </c>
      <c r="I15" s="14" t="n">
        <f aca="false">SUM(F15:H15)</f>
        <v>10001</v>
      </c>
      <c r="J15" s="16" t="n">
        <f aca="false">+E15</f>
        <v>205974</v>
      </c>
    </row>
    <row r="16" customFormat="false" ht="12.75" hidden="false" customHeight="false" outlineLevel="0" collapsed="false">
      <c r="A16" s="11" t="s">
        <v>23</v>
      </c>
      <c r="B16" s="12"/>
      <c r="C16" s="3" t="n">
        <v>3833</v>
      </c>
      <c r="D16" s="4" t="n">
        <v>0</v>
      </c>
      <c r="E16" s="14" t="n">
        <f aca="false">SUM(B16:D16)</f>
        <v>3833</v>
      </c>
      <c r="F16" s="12"/>
      <c r="G16" s="3" t="n">
        <v>42668</v>
      </c>
      <c r="H16" s="3"/>
      <c r="I16" s="14" t="n">
        <f aca="false">SUM(F16:H16)</f>
        <v>42668</v>
      </c>
      <c r="J16" s="16" t="n">
        <f aca="false">-I16</f>
        <v>-42668</v>
      </c>
    </row>
    <row r="17" customFormat="false" ht="12.75" hidden="false" customHeight="false" outlineLevel="0" collapsed="false">
      <c r="A17" s="11" t="s">
        <v>24</v>
      </c>
      <c r="B17" s="12"/>
      <c r="D17" s="0" t="n">
        <v>0</v>
      </c>
      <c r="E17" s="14" t="n">
        <f aca="false">SUM(B17:D17)</f>
        <v>0</v>
      </c>
      <c r="F17" s="12"/>
      <c r="G17" s="5"/>
      <c r="H17" s="3" t="n">
        <v>65000</v>
      </c>
      <c r="I17" s="14" t="n">
        <f aca="false">SUM(F17:H17)</f>
        <v>65000</v>
      </c>
      <c r="J17" s="16" t="n">
        <f aca="false">+E17</f>
        <v>0</v>
      </c>
    </row>
    <row r="18" customFormat="false" ht="12.75" hidden="false" customHeight="false" outlineLevel="0" collapsed="false">
      <c r="A18" s="11" t="s">
        <v>25</v>
      </c>
      <c r="B18" s="12"/>
      <c r="C18" s="3" t="n">
        <v>52287</v>
      </c>
      <c r="D18" s="4" t="n">
        <v>0</v>
      </c>
      <c r="E18" s="14" t="n">
        <f aca="false">SUM(B18:D18)</f>
        <v>52287</v>
      </c>
      <c r="F18" s="12" t="n">
        <v>8815</v>
      </c>
      <c r="G18" s="3" t="n">
        <v>57908</v>
      </c>
      <c r="H18" s="3" t="n">
        <v>0</v>
      </c>
      <c r="I18" s="14" t="n">
        <f aca="false">SUM(F18:H18)</f>
        <v>66723</v>
      </c>
      <c r="J18" s="16"/>
    </row>
    <row r="19" customFormat="false" ht="12.75" hidden="false" customHeight="false" outlineLevel="0" collapsed="false">
      <c r="A19" s="11" t="s">
        <v>26</v>
      </c>
      <c r="B19" s="12"/>
      <c r="C19" s="3" t="n">
        <v>11942</v>
      </c>
      <c r="D19" s="4" t="n">
        <v>0</v>
      </c>
      <c r="E19" s="14" t="n">
        <f aca="false">SUM(B19:D19)</f>
        <v>11942</v>
      </c>
      <c r="F19" s="12" t="n">
        <v>17500</v>
      </c>
      <c r="G19" s="3" t="n">
        <v>30048</v>
      </c>
      <c r="H19" s="3" t="n">
        <v>0</v>
      </c>
      <c r="I19" s="14" t="n">
        <f aca="false">SUM(F19:H19)</f>
        <v>47548</v>
      </c>
      <c r="J19" s="16" t="n">
        <f aca="false">-I19</f>
        <v>-47548</v>
      </c>
    </row>
    <row r="20" customFormat="false" ht="12.75" hidden="false" customHeight="false" outlineLevel="0" collapsed="false">
      <c r="A20" s="11" t="s">
        <v>27</v>
      </c>
      <c r="B20" s="12" t="n">
        <v>2703</v>
      </c>
      <c r="C20" s="3" t="n">
        <v>234356</v>
      </c>
      <c r="D20" s="3" t="n">
        <v>45000</v>
      </c>
      <c r="E20" s="14" t="n">
        <f aca="false">SUM(B20:D20)</f>
        <v>282059</v>
      </c>
      <c r="F20" s="12" t="n">
        <f aca="false">30246+20000</f>
        <v>50246</v>
      </c>
      <c r="G20" s="3" t="n">
        <v>187251</v>
      </c>
      <c r="H20" s="3" t="n">
        <v>5466</v>
      </c>
      <c r="I20" s="14" t="n">
        <f aca="false">SUM(F20:H20)</f>
        <v>242963</v>
      </c>
      <c r="J20" s="16" t="n">
        <f aca="false">-I20</f>
        <v>-242963</v>
      </c>
    </row>
    <row r="21" customFormat="false" ht="12.75" hidden="false" customHeight="false" outlineLevel="0" collapsed="false">
      <c r="A21" s="11" t="s">
        <v>28</v>
      </c>
      <c r="B21" s="12"/>
      <c r="C21" s="3" t="n">
        <v>4491</v>
      </c>
      <c r="D21" s="4" t="n">
        <v>0</v>
      </c>
      <c r="E21" s="14" t="n">
        <f aca="false">SUM(B21:D21)</f>
        <v>4491</v>
      </c>
      <c r="F21" s="12" t="n">
        <v>863</v>
      </c>
      <c r="G21" s="3" t="n">
        <v>21501</v>
      </c>
      <c r="H21" s="3"/>
      <c r="I21" s="14" t="n">
        <f aca="false">SUM(F21:H21)</f>
        <v>22364</v>
      </c>
      <c r="J21" s="16" t="n">
        <f aca="false">-I21</f>
        <v>-22364</v>
      </c>
    </row>
    <row r="22" customFormat="false" ht="12.75" hidden="false" customHeight="false" outlineLevel="0" collapsed="false">
      <c r="A22" s="11" t="s">
        <v>29</v>
      </c>
      <c r="B22" s="12" t="n">
        <v>15000</v>
      </c>
      <c r="C22" s="3" t="n">
        <v>1020</v>
      </c>
      <c r="D22" s="4" t="n">
        <v>0</v>
      </c>
      <c r="E22" s="14" t="n">
        <f aca="false">SUM(B22:D22)</f>
        <v>16020</v>
      </c>
      <c r="F22" s="12" t="n">
        <f aca="false">15000+25000</f>
        <v>40000</v>
      </c>
      <c r="G22" s="3" t="n">
        <v>55040</v>
      </c>
      <c r="H22" s="3"/>
      <c r="I22" s="14" t="n">
        <f aca="false">SUM(F22:H22)</f>
        <v>95040</v>
      </c>
      <c r="J22" s="16" t="n">
        <f aca="false">-I22</f>
        <v>-95040</v>
      </c>
    </row>
    <row r="23" customFormat="false" ht="12.75" hidden="false" customHeight="false" outlineLevel="0" collapsed="false">
      <c r="A23" s="11" t="s">
        <v>30</v>
      </c>
      <c r="B23" s="12"/>
      <c r="C23" s="3" t="n">
        <v>20228</v>
      </c>
      <c r="D23" s="4" t="n">
        <v>0</v>
      </c>
      <c r="E23" s="14" t="n">
        <f aca="false">SUM(B23:D23)</f>
        <v>20228</v>
      </c>
      <c r="F23" s="12"/>
      <c r="G23" s="3" t="n">
        <v>5101</v>
      </c>
      <c r="H23" s="3" t="n">
        <v>0</v>
      </c>
      <c r="I23" s="14" t="n">
        <f aca="false">SUM(F23:H23)</f>
        <v>5101</v>
      </c>
      <c r="J23" s="16" t="n">
        <f aca="false">-I23</f>
        <v>-5101</v>
      </c>
    </row>
    <row r="24" customFormat="false" ht="12.75" hidden="false" customHeight="false" outlineLevel="0" collapsed="false">
      <c r="A24" s="11" t="s">
        <v>31</v>
      </c>
      <c r="B24" s="12"/>
      <c r="C24" s="4"/>
      <c r="D24" s="4" t="n">
        <v>0</v>
      </c>
      <c r="E24" s="14" t="n">
        <f aca="false">SUM(B24:D24)</f>
        <v>0</v>
      </c>
      <c r="F24" s="12" t="n">
        <v>583</v>
      </c>
      <c r="G24" s="3" t="n">
        <v>3201</v>
      </c>
      <c r="H24" s="3"/>
      <c r="I24" s="14" t="n">
        <f aca="false">SUM(F24:H24)</f>
        <v>3784</v>
      </c>
      <c r="J24" s="16" t="n">
        <f aca="false">-I24</f>
        <v>-3784</v>
      </c>
    </row>
    <row r="25" customFormat="false" ht="12.75" hidden="false" customHeight="false" outlineLevel="0" collapsed="false">
      <c r="A25" s="11" t="s">
        <v>32</v>
      </c>
      <c r="B25" s="12"/>
      <c r="C25" s="4" t="n">
        <v>0</v>
      </c>
      <c r="D25" s="4"/>
      <c r="E25" s="14" t="n">
        <f aca="false">SUM(B25:D25)</f>
        <v>0</v>
      </c>
      <c r="F25" s="12"/>
      <c r="G25" s="3" t="n">
        <v>1130</v>
      </c>
      <c r="H25" s="3"/>
      <c r="I25" s="14" t="n">
        <f aca="false">SUM(F25:H25)</f>
        <v>1130</v>
      </c>
      <c r="J25" s="17"/>
    </row>
    <row r="26" customFormat="false" ht="12.75" hidden="false" customHeight="false" outlineLevel="0" collapsed="false">
      <c r="A26" s="19" t="s">
        <v>33</v>
      </c>
      <c r="B26" s="20" t="n">
        <v>7376</v>
      </c>
      <c r="C26" s="21" t="n">
        <v>413</v>
      </c>
      <c r="D26" s="34"/>
      <c r="E26" s="22" t="n">
        <f aca="false">SUM(B26:D26)</f>
        <v>7789</v>
      </c>
      <c r="F26" s="20" t="n">
        <v>6849</v>
      </c>
      <c r="G26" s="20" t="n">
        <v>11564</v>
      </c>
      <c r="H26" s="35"/>
      <c r="I26" s="22" t="n">
        <f aca="false">SUM(F26:H26)</f>
        <v>18413</v>
      </c>
      <c r="J26" s="24"/>
    </row>
    <row r="27" customFormat="false" ht="12.75" hidden="false" customHeight="false" outlineLevel="0" collapsed="false">
      <c r="A27" s="25"/>
      <c r="B27" s="26"/>
      <c r="C27" s="26"/>
      <c r="D27" s="26"/>
      <c r="E27" s="27"/>
      <c r="F27" s="25"/>
      <c r="G27" s="26"/>
      <c r="H27" s="26"/>
      <c r="I27" s="26"/>
      <c r="J27" s="27"/>
    </row>
    <row r="28" customFormat="false" ht="13.5" hidden="false" customHeight="false" outlineLevel="0" collapsed="false">
      <c r="A28" s="28" t="s">
        <v>37</v>
      </c>
      <c r="B28" s="29" t="n">
        <f aca="false">SUM(B2:B27)</f>
        <v>457753</v>
      </c>
      <c r="C28" s="30"/>
      <c r="D28" s="30"/>
      <c r="E28" s="33" t="n">
        <f aca="false">SUM(E2:E26)</f>
        <v>1968170</v>
      </c>
      <c r="F28" s="32" t="n">
        <f aca="false">SUM(F2:F27)</f>
        <v>457753</v>
      </c>
      <c r="G28" s="30"/>
      <c r="H28" s="30"/>
      <c r="I28" s="29" t="n">
        <f aca="false">SUM(I2:I26)</f>
        <v>1977753</v>
      </c>
      <c r="J28" s="31"/>
    </row>
    <row r="29" customFormat="false" ht="12.75" hidden="false" customHeight="false" outlineLevel="0" collapsed="false">
      <c r="G29" s="5"/>
    </row>
    <row r="30" customFormat="false" ht="12.75" hidden="false" customHeight="false" outlineLevel="0" collapsed="false">
      <c r="A30" s="0" t="s">
        <v>38</v>
      </c>
      <c r="D30" s="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&amp;CJULY 2000 PREBID THROUGHPUT</oddHeader>
    <oddFooter>&amp;Lo:\NAES\Texas Transport\Capacity\&amp;F &amp;A&amp;RUpdated &amp;D at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</cols>
  <sheetData>
    <row r="1" customFormat="false" ht="21.75" hidden="false" customHeight="false" outlineLevel="0" collapsed="false">
      <c r="A1" s="6" t="s">
        <v>0</v>
      </c>
      <c r="B1" s="7" t="s">
        <v>1</v>
      </c>
      <c r="C1" s="8" t="s">
        <v>2</v>
      </c>
      <c r="D1" s="7" t="s">
        <v>35</v>
      </c>
      <c r="E1" s="9" t="s">
        <v>4</v>
      </c>
      <c r="F1" s="7" t="s">
        <v>5</v>
      </c>
      <c r="G1" s="8" t="s">
        <v>6</v>
      </c>
      <c r="H1" s="7" t="s">
        <v>35</v>
      </c>
      <c r="I1" s="9" t="s">
        <v>7</v>
      </c>
      <c r="J1" s="10" t="s">
        <v>8</v>
      </c>
    </row>
    <row r="2" customFormat="false" ht="12.75" hidden="false" customHeight="false" outlineLevel="0" collapsed="false">
      <c r="A2" s="11" t="s">
        <v>9</v>
      </c>
      <c r="B2" s="12" t="n">
        <v>33700</v>
      </c>
      <c r="C2" s="3" t="n">
        <v>148780</v>
      </c>
      <c r="D2" s="4" t="n">
        <v>1127</v>
      </c>
      <c r="E2" s="14" t="n">
        <f aca="false">SUM(B2:D2)</f>
        <v>183607</v>
      </c>
      <c r="F2" s="12"/>
      <c r="G2" s="3" t="n">
        <v>3</v>
      </c>
      <c r="H2" s="3" t="n">
        <v>0</v>
      </c>
      <c r="I2" s="14" t="n">
        <f aca="false">SUM(F2:H2)</f>
        <v>3</v>
      </c>
      <c r="J2" s="16" t="n">
        <f aca="false">+E2</f>
        <v>183607</v>
      </c>
    </row>
    <row r="3" customFormat="false" ht="12.75" hidden="false" customHeight="false" outlineLevel="0" collapsed="false">
      <c r="A3" s="11" t="s">
        <v>10</v>
      </c>
      <c r="B3" s="12"/>
      <c r="C3" s="4" t="n">
        <v>11057</v>
      </c>
      <c r="D3" s="4" t="n">
        <v>0</v>
      </c>
      <c r="E3" s="14" t="n">
        <f aca="false">SUM(B3:D3)</f>
        <v>11057</v>
      </c>
      <c r="F3" s="12" t="n">
        <v>50</v>
      </c>
      <c r="G3" s="3" t="n">
        <v>1906</v>
      </c>
      <c r="H3" s="3" t="n">
        <v>0</v>
      </c>
      <c r="I3" s="14" t="n">
        <f aca="false">SUM(F3:H3)</f>
        <v>1956</v>
      </c>
      <c r="J3" s="16" t="n">
        <f aca="false">+E3</f>
        <v>11057</v>
      </c>
    </row>
    <row r="4" customFormat="false" ht="12.75" hidden="false" customHeight="false" outlineLevel="0" collapsed="false">
      <c r="A4" s="11" t="s">
        <v>11</v>
      </c>
      <c r="B4" s="12" t="n">
        <v>660</v>
      </c>
      <c r="C4" s="4" t="n">
        <v>300</v>
      </c>
      <c r="D4" s="4"/>
      <c r="E4" s="14" t="n">
        <f aca="false">SUM(B4:D4)</f>
        <v>960</v>
      </c>
      <c r="F4" s="12"/>
      <c r="G4" s="3" t="n">
        <v>947</v>
      </c>
      <c r="H4" s="3"/>
      <c r="I4" s="14" t="n">
        <f aca="false">SUM(F4:H4)</f>
        <v>947</v>
      </c>
      <c r="J4" s="16" t="n">
        <f aca="false">+E4</f>
        <v>960</v>
      </c>
    </row>
    <row r="5" customFormat="false" ht="12.75" hidden="false" customHeight="false" outlineLevel="0" collapsed="false">
      <c r="A5" s="11" t="s">
        <v>12</v>
      </c>
      <c r="B5" s="12" t="n">
        <v>640</v>
      </c>
      <c r="C5" s="4" t="n">
        <v>0</v>
      </c>
      <c r="D5" s="4"/>
      <c r="E5" s="14" t="n">
        <f aca="false">SUM(B5:D5)</f>
        <v>640</v>
      </c>
      <c r="F5" s="12"/>
      <c r="G5" s="3" t="n">
        <v>0</v>
      </c>
      <c r="H5" s="3" t="n">
        <v>1</v>
      </c>
      <c r="I5" s="14" t="n">
        <f aca="false">SUM(F5:H5)</f>
        <v>1</v>
      </c>
      <c r="J5" s="16" t="n">
        <f aca="false">+E5</f>
        <v>640</v>
      </c>
    </row>
    <row r="6" customFormat="false" ht="12.75" hidden="false" customHeight="false" outlineLevel="0" collapsed="false">
      <c r="A6" s="11" t="s">
        <v>13</v>
      </c>
      <c r="B6" s="12"/>
      <c r="C6" s="4" t="n">
        <v>0</v>
      </c>
      <c r="D6" s="4"/>
      <c r="E6" s="14" t="n">
        <f aca="false">SUM(B6:D6)</f>
        <v>0</v>
      </c>
      <c r="F6" s="12"/>
      <c r="G6" s="3" t="n">
        <v>7501</v>
      </c>
      <c r="H6" s="3" t="n">
        <v>50</v>
      </c>
      <c r="I6" s="14" t="n">
        <f aca="false">SUM(F6:H6)</f>
        <v>7551</v>
      </c>
      <c r="J6" s="16" t="n">
        <f aca="false">-I6</f>
        <v>-7551</v>
      </c>
    </row>
    <row r="7" customFormat="false" ht="12.75" hidden="false" customHeight="false" outlineLevel="0" collapsed="false">
      <c r="A7" s="11" t="s">
        <v>14</v>
      </c>
      <c r="B7" s="12" t="n">
        <v>4727</v>
      </c>
      <c r="C7" s="3" t="n">
        <v>134008</v>
      </c>
      <c r="D7" s="4" t="n">
        <v>1</v>
      </c>
      <c r="E7" s="14" t="n">
        <f aca="false">SUM(B7:D7)</f>
        <v>138736</v>
      </c>
      <c r="F7" s="12" t="n">
        <v>14430</v>
      </c>
      <c r="G7" s="3" t="n">
        <v>3217</v>
      </c>
      <c r="H7" s="3" t="n">
        <v>49938</v>
      </c>
      <c r="I7" s="14" t="n">
        <f aca="false">SUM(F7:H7)</f>
        <v>67585</v>
      </c>
      <c r="J7" s="16" t="n">
        <f aca="false">+E7</f>
        <v>138736</v>
      </c>
    </row>
    <row r="8" customFormat="false" ht="12.75" hidden="false" customHeight="false" outlineLevel="0" collapsed="false">
      <c r="A8" s="11" t="s">
        <v>15</v>
      </c>
      <c r="B8" s="12" t="n">
        <v>102882</v>
      </c>
      <c r="C8" s="4" t="n">
        <v>0</v>
      </c>
      <c r="D8" s="4"/>
      <c r="E8" s="14" t="n">
        <f aca="false">SUM(B8:D8)</f>
        <v>102882</v>
      </c>
      <c r="F8" s="12" t="n">
        <v>102882</v>
      </c>
      <c r="G8" s="3" t="n">
        <v>0</v>
      </c>
      <c r="H8" s="3" t="n">
        <v>0</v>
      </c>
      <c r="I8" s="14" t="n">
        <f aca="false">SUM(F8:H8)</f>
        <v>102882</v>
      </c>
      <c r="J8" s="16" t="n">
        <f aca="false">-I8</f>
        <v>-102882</v>
      </c>
    </row>
    <row r="9" customFormat="false" ht="12.75" hidden="false" customHeight="false" outlineLevel="0" collapsed="false">
      <c r="A9" s="11" t="s">
        <v>16</v>
      </c>
      <c r="B9" s="12" t="n">
        <v>21892</v>
      </c>
      <c r="C9" s="3" t="n">
        <v>80822</v>
      </c>
      <c r="D9" s="4"/>
      <c r="E9" s="14" t="n">
        <f aca="false">SUM(B9:D9)</f>
        <v>102714</v>
      </c>
      <c r="F9" s="12"/>
      <c r="G9" s="3" t="n">
        <v>20099</v>
      </c>
      <c r="H9" s="3"/>
      <c r="I9" s="14" t="n">
        <f aca="false">SUM(F9:H9)</f>
        <v>20099</v>
      </c>
      <c r="J9" s="16" t="n">
        <f aca="false">+E9</f>
        <v>102714</v>
      </c>
    </row>
    <row r="10" customFormat="false" ht="12.75" hidden="false" customHeight="false" outlineLevel="0" collapsed="false">
      <c r="A10" s="11" t="s">
        <v>17</v>
      </c>
      <c r="B10" s="12"/>
      <c r="C10" s="4" t="n">
        <v>0</v>
      </c>
      <c r="D10" s="4"/>
      <c r="E10" s="14" t="n">
        <f aca="false">SUM(B10:D10)</f>
        <v>0</v>
      </c>
      <c r="F10" s="12" t="n">
        <v>35400</v>
      </c>
      <c r="G10" s="3" t="n">
        <v>177853</v>
      </c>
      <c r="H10" s="3"/>
      <c r="I10" s="14" t="n">
        <f aca="false">SUM(F10:H10)</f>
        <v>213253</v>
      </c>
      <c r="J10" s="16" t="n">
        <f aca="false">-I10</f>
        <v>-213253</v>
      </c>
    </row>
    <row r="11" customFormat="false" ht="12.75" hidden="false" customHeight="false" outlineLevel="0" collapsed="false">
      <c r="A11" s="11" t="s">
        <v>18</v>
      </c>
      <c r="B11" s="12" t="n">
        <v>5250</v>
      </c>
      <c r="C11" s="3" t="n">
        <v>148418</v>
      </c>
      <c r="D11" s="4" t="n">
        <v>50</v>
      </c>
      <c r="E11" s="14" t="n">
        <f aca="false">SUM(B11:D11)</f>
        <v>153718</v>
      </c>
      <c r="F11" s="12" t="n">
        <v>15321</v>
      </c>
      <c r="G11" s="3" t="n">
        <v>24107</v>
      </c>
      <c r="H11" s="3" t="n">
        <v>0</v>
      </c>
      <c r="I11" s="14" t="n">
        <f aca="false">SUM(F11:H11)</f>
        <v>39428</v>
      </c>
      <c r="J11" s="16"/>
    </row>
    <row r="12" customFormat="false" ht="12.75" hidden="false" customHeight="false" outlineLevel="0" collapsed="false">
      <c r="A12" s="11" t="s">
        <v>19</v>
      </c>
      <c r="B12" s="12" t="n">
        <v>1235</v>
      </c>
      <c r="C12" s="3" t="n">
        <v>11350</v>
      </c>
      <c r="D12" s="3" t="n">
        <v>10158</v>
      </c>
      <c r="E12" s="14" t="n">
        <f aca="false">SUM(B12:D12)</f>
        <v>22743</v>
      </c>
      <c r="F12" s="12" t="n">
        <v>888</v>
      </c>
      <c r="G12" s="3" t="n">
        <v>156160</v>
      </c>
      <c r="H12" s="3"/>
      <c r="I12" s="14" t="n">
        <f aca="false">SUM(F12:H12)</f>
        <v>157048</v>
      </c>
      <c r="J12" s="16" t="n">
        <f aca="false">-I12</f>
        <v>-157048</v>
      </c>
    </row>
    <row r="13" customFormat="false" ht="12.75" hidden="false" customHeight="false" outlineLevel="0" collapsed="false">
      <c r="A13" s="11" t="s">
        <v>20</v>
      </c>
      <c r="B13" s="12"/>
      <c r="C13" s="3" t="n">
        <v>54250</v>
      </c>
      <c r="D13" s="4" t="n">
        <v>0</v>
      </c>
      <c r="E13" s="14" t="n">
        <f aca="false">SUM(B13:D13)</f>
        <v>54250</v>
      </c>
      <c r="F13" s="12" t="n">
        <v>35000</v>
      </c>
      <c r="G13" s="3" t="n">
        <v>312545</v>
      </c>
      <c r="H13" s="3" t="n">
        <v>400</v>
      </c>
      <c r="I13" s="14" t="n">
        <f aca="false">SUM(F13:H13)</f>
        <v>347945</v>
      </c>
      <c r="J13" s="16" t="n">
        <f aca="false">-I13</f>
        <v>-347945</v>
      </c>
    </row>
    <row r="14" customFormat="false" ht="12.75" hidden="false" customHeight="false" outlineLevel="0" collapsed="false">
      <c r="A14" s="11" t="s">
        <v>21</v>
      </c>
      <c r="B14" s="12" t="n">
        <v>5735</v>
      </c>
      <c r="C14" s="3" t="n">
        <v>114608</v>
      </c>
      <c r="D14" s="4" t="n">
        <v>1084</v>
      </c>
      <c r="E14" s="14" t="n">
        <f aca="false">SUM(B14:D14)</f>
        <v>121427</v>
      </c>
      <c r="F14" s="12"/>
      <c r="G14" s="3" t="n">
        <v>30131</v>
      </c>
      <c r="H14" s="3"/>
      <c r="I14" s="14" t="n">
        <f aca="false">SUM(F14:H14)</f>
        <v>30131</v>
      </c>
      <c r="J14" s="16" t="n">
        <f aca="false">+E14</f>
        <v>121427</v>
      </c>
    </row>
    <row r="15" customFormat="false" ht="12.75" hidden="false" customHeight="false" outlineLevel="0" collapsed="false">
      <c r="A15" s="11" t="s">
        <v>22</v>
      </c>
      <c r="B15" s="12" t="n">
        <v>45923</v>
      </c>
      <c r="C15" s="3" t="n">
        <v>90000</v>
      </c>
      <c r="D15" s="4" t="n">
        <v>0</v>
      </c>
      <c r="E15" s="14" t="n">
        <f aca="false">SUM(B15:D15)</f>
        <v>135923</v>
      </c>
      <c r="F15" s="12"/>
      <c r="G15" s="3" t="n">
        <v>40001</v>
      </c>
      <c r="H15" s="3" t="n">
        <v>0</v>
      </c>
      <c r="I15" s="14" t="n">
        <f aca="false">SUM(F15:H15)</f>
        <v>40001</v>
      </c>
      <c r="J15" s="16" t="n">
        <f aca="false">+E15</f>
        <v>135923</v>
      </c>
    </row>
    <row r="16" customFormat="false" ht="12.75" hidden="false" customHeight="false" outlineLevel="0" collapsed="false">
      <c r="A16" s="11" t="s">
        <v>23</v>
      </c>
      <c r="B16" s="12"/>
      <c r="C16" s="3" t="n">
        <v>3820</v>
      </c>
      <c r="D16" s="4"/>
      <c r="E16" s="14" t="n">
        <f aca="false">SUM(B16:D16)</f>
        <v>3820</v>
      </c>
      <c r="F16" s="12"/>
      <c r="G16" s="3" t="n">
        <v>38822</v>
      </c>
      <c r="H16" s="3"/>
      <c r="I16" s="14" t="n">
        <f aca="false">SUM(F16:H16)</f>
        <v>38822</v>
      </c>
      <c r="J16" s="16" t="n">
        <f aca="false">-I16</f>
        <v>-38822</v>
      </c>
    </row>
    <row r="17" customFormat="false" ht="12.75" hidden="false" customHeight="false" outlineLevel="0" collapsed="false">
      <c r="A17" s="11" t="s">
        <v>24</v>
      </c>
      <c r="B17" s="12"/>
      <c r="E17" s="14" t="n">
        <f aca="false">SUM(B17:D17)</f>
        <v>0</v>
      </c>
      <c r="F17" s="12"/>
      <c r="G17" s="5"/>
      <c r="H17" s="3" t="n">
        <v>65000</v>
      </c>
      <c r="I17" s="14" t="n">
        <f aca="false">SUM(F17:H17)</f>
        <v>65000</v>
      </c>
      <c r="J17" s="16" t="n">
        <f aca="false">+E17</f>
        <v>0</v>
      </c>
    </row>
    <row r="18" customFormat="false" ht="12.75" hidden="false" customHeight="false" outlineLevel="0" collapsed="false">
      <c r="A18" s="11" t="s">
        <v>25</v>
      </c>
      <c r="B18" s="12"/>
      <c r="C18" s="3" t="n">
        <v>52287</v>
      </c>
      <c r="D18" s="4"/>
      <c r="E18" s="14" t="n">
        <f aca="false">SUM(B18:D18)</f>
        <v>52287</v>
      </c>
      <c r="F18" s="12" t="n">
        <v>9052</v>
      </c>
      <c r="G18" s="3" t="n">
        <v>55525</v>
      </c>
      <c r="H18" s="3"/>
      <c r="I18" s="14" t="n">
        <f aca="false">SUM(F18:H18)</f>
        <v>64577</v>
      </c>
      <c r="J18" s="16"/>
    </row>
    <row r="19" customFormat="false" ht="12.75" hidden="false" customHeight="false" outlineLevel="0" collapsed="false">
      <c r="A19" s="11" t="s">
        <v>26</v>
      </c>
      <c r="B19" s="12"/>
      <c r="C19" s="3" t="n">
        <v>11942</v>
      </c>
      <c r="D19" s="4"/>
      <c r="E19" s="14" t="n">
        <f aca="false">SUM(B19:D19)</f>
        <v>11942</v>
      </c>
      <c r="F19" s="12"/>
      <c r="G19" s="3" t="n">
        <v>48</v>
      </c>
      <c r="H19" s="3"/>
      <c r="I19" s="14" t="n">
        <f aca="false">SUM(F19:H19)</f>
        <v>48</v>
      </c>
      <c r="J19" s="16" t="n">
        <f aca="false">-I19</f>
        <v>-48</v>
      </c>
    </row>
    <row r="20" customFormat="false" ht="12.75" hidden="false" customHeight="false" outlineLevel="0" collapsed="false">
      <c r="A20" s="11" t="s">
        <v>27</v>
      </c>
      <c r="B20" s="12" t="n">
        <v>1500</v>
      </c>
      <c r="C20" s="3" t="n">
        <v>218232</v>
      </c>
      <c r="D20" s="3" t="n">
        <v>50000</v>
      </c>
      <c r="E20" s="14" t="n">
        <f aca="false">SUM(B20:D20)</f>
        <v>269732</v>
      </c>
      <c r="F20" s="12" t="n">
        <v>10256</v>
      </c>
      <c r="G20" s="3" t="n">
        <v>185251</v>
      </c>
      <c r="H20" s="3" t="n">
        <v>5466</v>
      </c>
      <c r="I20" s="14" t="n">
        <f aca="false">SUM(F20:H20)</f>
        <v>200973</v>
      </c>
      <c r="J20" s="16" t="n">
        <f aca="false">-I20</f>
        <v>-200973</v>
      </c>
    </row>
    <row r="21" customFormat="false" ht="12.75" hidden="false" customHeight="false" outlineLevel="0" collapsed="false">
      <c r="A21" s="11" t="s">
        <v>28</v>
      </c>
      <c r="B21" s="12"/>
      <c r="C21" s="3" t="n">
        <v>4473</v>
      </c>
      <c r="D21" s="4"/>
      <c r="E21" s="14" t="n">
        <f aca="false">SUM(B21:D21)</f>
        <v>4473</v>
      </c>
      <c r="F21" s="12" t="n">
        <v>823</v>
      </c>
      <c r="G21" s="3" t="n">
        <v>16965</v>
      </c>
      <c r="H21" s="3"/>
      <c r="I21" s="14" t="n">
        <f aca="false">SUM(F21:H21)</f>
        <v>17788</v>
      </c>
      <c r="J21" s="16" t="n">
        <f aca="false">-I21</f>
        <v>-17788</v>
      </c>
    </row>
    <row r="22" customFormat="false" ht="12.75" hidden="false" customHeight="false" outlineLevel="0" collapsed="false">
      <c r="A22" s="11" t="s">
        <v>29</v>
      </c>
      <c r="B22" s="12"/>
      <c r="C22" s="3" t="n">
        <v>1020</v>
      </c>
      <c r="D22" s="4"/>
      <c r="E22" s="14" t="n">
        <f aca="false">SUM(B22:D22)</f>
        <v>1020</v>
      </c>
      <c r="F22" s="12"/>
      <c r="G22" s="3" t="n">
        <v>35040</v>
      </c>
      <c r="H22" s="3"/>
      <c r="I22" s="14" t="n">
        <f aca="false">SUM(F22:H22)</f>
        <v>35040</v>
      </c>
      <c r="J22" s="16" t="n">
        <f aca="false">-I22</f>
        <v>-35040</v>
      </c>
    </row>
    <row r="23" customFormat="false" ht="12.75" hidden="false" customHeight="false" outlineLevel="0" collapsed="false">
      <c r="A23" s="11" t="s">
        <v>30</v>
      </c>
      <c r="B23" s="12"/>
      <c r="C23" s="3" t="n">
        <v>20228</v>
      </c>
      <c r="D23" s="4"/>
      <c r="E23" s="14" t="n">
        <f aca="false">SUM(B23:D23)</f>
        <v>20228</v>
      </c>
      <c r="F23" s="12"/>
      <c r="G23" s="3" t="n">
        <v>5186</v>
      </c>
      <c r="H23" s="3"/>
      <c r="I23" s="14" t="n">
        <f aca="false">SUM(F23:H23)</f>
        <v>5186</v>
      </c>
      <c r="J23" s="16" t="n">
        <f aca="false">-I23</f>
        <v>-5186</v>
      </c>
    </row>
    <row r="24" customFormat="false" ht="12.75" hidden="false" customHeight="false" outlineLevel="0" collapsed="false">
      <c r="A24" s="11" t="s">
        <v>31</v>
      </c>
      <c r="B24" s="12"/>
      <c r="C24" s="4"/>
      <c r="D24" s="4"/>
      <c r="E24" s="14" t="n">
        <f aca="false">SUM(B24:D24)</f>
        <v>0</v>
      </c>
      <c r="F24" s="12" t="n">
        <v>257</v>
      </c>
      <c r="G24" s="3" t="n">
        <v>3201</v>
      </c>
      <c r="H24" s="3"/>
      <c r="I24" s="14" t="n">
        <f aca="false">SUM(F24:H24)</f>
        <v>3458</v>
      </c>
      <c r="J24" s="16" t="n">
        <f aca="false">-I24</f>
        <v>-3458</v>
      </c>
    </row>
    <row r="25" customFormat="false" ht="12.75" hidden="false" customHeight="false" outlineLevel="0" collapsed="false">
      <c r="A25" s="11" t="s">
        <v>32</v>
      </c>
      <c r="B25" s="12"/>
      <c r="C25" s="4" t="n">
        <v>0</v>
      </c>
      <c r="D25" s="4"/>
      <c r="E25" s="14" t="n">
        <f aca="false">SUM(B25:D25)</f>
        <v>0</v>
      </c>
      <c r="F25" s="12"/>
      <c r="G25" s="3" t="n">
        <v>1251</v>
      </c>
      <c r="H25" s="3"/>
      <c r="I25" s="14" t="n">
        <f aca="false">SUM(F25:H25)</f>
        <v>1251</v>
      </c>
      <c r="J25" s="17"/>
    </row>
    <row r="26" customFormat="false" ht="12.75" hidden="false" customHeight="false" outlineLevel="0" collapsed="false">
      <c r="A26" s="19" t="s">
        <v>33</v>
      </c>
      <c r="B26" s="20" t="n">
        <v>4064</v>
      </c>
      <c r="C26" s="21" t="n">
        <v>628</v>
      </c>
      <c r="D26" s="34"/>
      <c r="E26" s="22" t="n">
        <f aca="false">SUM(B26:D26)</f>
        <v>4692</v>
      </c>
      <c r="F26" s="20" t="n">
        <v>3849</v>
      </c>
      <c r="G26" s="20" t="n">
        <v>11749</v>
      </c>
      <c r="H26" s="35"/>
      <c r="I26" s="22" t="n">
        <f aca="false">SUM(F26:H26)</f>
        <v>15598</v>
      </c>
      <c r="J26" s="24"/>
    </row>
    <row r="27" customFormat="false" ht="12.75" hidden="false" customHeight="false" outlineLevel="0" collapsed="false">
      <c r="A27" s="25"/>
      <c r="B27" s="26"/>
      <c r="C27" s="26"/>
      <c r="D27" s="26"/>
      <c r="E27" s="27"/>
      <c r="F27" s="25"/>
      <c r="G27" s="26"/>
      <c r="H27" s="26"/>
      <c r="I27" s="26"/>
      <c r="J27" s="27"/>
    </row>
    <row r="28" customFormat="false" ht="13.5" hidden="false" customHeight="false" outlineLevel="0" collapsed="false">
      <c r="A28" s="28" t="s">
        <v>37</v>
      </c>
      <c r="B28" s="29" t="n">
        <f aca="false">SUM(B2:B27)</f>
        <v>228208</v>
      </c>
      <c r="C28" s="30"/>
      <c r="D28" s="30"/>
      <c r="E28" s="33" t="n">
        <f aca="false">SUM(E2:E26)</f>
        <v>1396851</v>
      </c>
      <c r="F28" s="32" t="n">
        <f aca="false">SUM(F2:F27)</f>
        <v>228208</v>
      </c>
      <c r="G28" s="30"/>
      <c r="H28" s="30"/>
      <c r="I28" s="29" t="n">
        <f aca="false">SUM(I2:I26)</f>
        <v>1476571</v>
      </c>
      <c r="J28" s="31"/>
    </row>
    <row r="29" customFormat="false" ht="12.75" hidden="false" customHeight="false" outlineLevel="0" collapsed="false">
      <c r="G29" s="5"/>
    </row>
    <row r="30" customFormat="false" ht="12.75" hidden="false" customHeight="false" outlineLevel="0" collapsed="false">
      <c r="A30" s="0" t="s">
        <v>38</v>
      </c>
      <c r="D30" s="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&amp;CJULY 2000 PREBID THROUGHPUT</oddHeader>
    <oddFooter>&amp;Lo:\NAES\Texas Transport\Capacity\&amp;F &amp;A&amp;RUpdated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3" min="2" style="0" width="7.99"/>
    <col collapsed="false" customWidth="true" hidden="false" outlineLevel="0" max="4" min="4" style="0" width="7.85"/>
    <col collapsed="false" customWidth="true" hidden="false" outlineLevel="0" max="5" min="5" style="0" width="7.99"/>
    <col collapsed="false" customWidth="true" hidden="false" outlineLevel="0" max="6" min="6" style="0" width="7.56"/>
    <col collapsed="false" customWidth="true" hidden="false" outlineLevel="0" max="8" min="8" style="0" width="7.85"/>
    <col collapsed="false" customWidth="true" hidden="false" outlineLevel="0" max="9" min="9" style="0" width="7.99"/>
  </cols>
  <sheetData>
    <row r="1" customFormat="false" ht="21" hidden="false" customHeight="false" outlineLevel="0" collapsed="false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3</v>
      </c>
      <c r="I1" s="2" t="s">
        <v>7</v>
      </c>
      <c r="J1" s="2" t="s">
        <v>8</v>
      </c>
    </row>
    <row r="2" customFormat="false" ht="12.75" hidden="false" customHeight="false" outlineLevel="0" collapsed="false">
      <c r="A2" s="1" t="s">
        <v>9</v>
      </c>
      <c r="B2" s="3" t="n">
        <f aca="false">+(8480+8300+3500+15180)/30+15000+25000+15000</f>
        <v>56182</v>
      </c>
      <c r="C2" s="3" t="n">
        <v>151543</v>
      </c>
      <c r="D2" s="3" t="n">
        <v>2309</v>
      </c>
      <c r="E2" s="3" t="n">
        <f aca="false">+B2+C2+D2</f>
        <v>210034</v>
      </c>
      <c r="F2" s="3" t="n">
        <f aca="false">40590/30</f>
        <v>1353</v>
      </c>
      <c r="G2" s="3" t="n">
        <v>18000</v>
      </c>
      <c r="H2" s="4"/>
      <c r="I2" s="3" t="n">
        <f aca="false">+F2+G2+H2</f>
        <v>19353</v>
      </c>
      <c r="J2" s="3" t="n">
        <f aca="false">+E2</f>
        <v>210034</v>
      </c>
    </row>
    <row r="3" customFormat="false" ht="12.75" hidden="false" customHeight="false" outlineLevel="0" collapsed="false">
      <c r="A3" s="1" t="s">
        <v>10</v>
      </c>
      <c r="B3" s="3"/>
      <c r="C3" s="3" t="n">
        <v>26971</v>
      </c>
      <c r="D3" s="4"/>
      <c r="E3" s="3" t="n">
        <f aca="false">+B3+C3+D3</f>
        <v>26971</v>
      </c>
      <c r="F3" s="3" t="n">
        <v>125</v>
      </c>
      <c r="G3" s="3" t="n">
        <v>14804</v>
      </c>
      <c r="H3" s="4"/>
      <c r="I3" s="3" t="n">
        <f aca="false">+F3+G3+H3</f>
        <v>14929</v>
      </c>
      <c r="J3" s="3" t="n">
        <f aca="false">+E3</f>
        <v>26971</v>
      </c>
    </row>
    <row r="4" customFormat="false" ht="12.75" hidden="false" customHeight="false" outlineLevel="0" collapsed="false">
      <c r="A4" s="1" t="s">
        <v>11</v>
      </c>
      <c r="B4" s="3" t="n">
        <v>171</v>
      </c>
      <c r="C4" s="3" t="n">
        <v>19223</v>
      </c>
      <c r="D4" s="4"/>
      <c r="E4" s="3" t="n">
        <f aca="false">+B4+C4+D4</f>
        <v>19394</v>
      </c>
      <c r="F4" s="3"/>
      <c r="G4" s="3" t="n">
        <v>4028</v>
      </c>
      <c r="H4" s="3" t="n">
        <v>23700</v>
      </c>
      <c r="I4" s="3" t="n">
        <f aca="false">+F4+G4+H4</f>
        <v>27728</v>
      </c>
      <c r="J4" s="3" t="n">
        <f aca="false">+E4</f>
        <v>19394</v>
      </c>
    </row>
    <row r="5" customFormat="false" ht="12.75" hidden="false" customHeight="false" outlineLevel="0" collapsed="false">
      <c r="A5" s="1" t="s">
        <v>12</v>
      </c>
      <c r="B5" s="3"/>
      <c r="C5" s="3" t="n">
        <v>15449</v>
      </c>
      <c r="D5" s="4"/>
      <c r="E5" s="3" t="n">
        <f aca="false">+B5+C5+D5</f>
        <v>15449</v>
      </c>
      <c r="F5" s="3"/>
      <c r="G5" s="4" t="n">
        <v>0</v>
      </c>
      <c r="H5" s="3" t="n">
        <v>38826</v>
      </c>
      <c r="I5" s="3" t="n">
        <f aca="false">+F5+G5+H5</f>
        <v>38826</v>
      </c>
      <c r="J5" s="3"/>
    </row>
    <row r="6" customFormat="false" ht="12.75" hidden="false" customHeight="false" outlineLevel="0" collapsed="false">
      <c r="A6" s="1" t="s">
        <v>13</v>
      </c>
      <c r="B6" s="3"/>
      <c r="C6" s="3" t="n">
        <v>5900</v>
      </c>
      <c r="D6" s="4"/>
      <c r="E6" s="3" t="n">
        <f aca="false">+B6+C6+D6</f>
        <v>5900</v>
      </c>
      <c r="F6" s="3"/>
      <c r="G6" s="4" t="n">
        <v>1</v>
      </c>
      <c r="H6" s="4" t="n">
        <v>50</v>
      </c>
      <c r="I6" s="3" t="n">
        <f aca="false">+F6+G6+H6</f>
        <v>51</v>
      </c>
      <c r="J6" s="3"/>
    </row>
    <row r="7" customFormat="false" ht="12.75" hidden="false" customHeight="false" outlineLevel="0" collapsed="false">
      <c r="A7" s="1" t="s">
        <v>14</v>
      </c>
      <c r="B7" s="3" t="n">
        <v>300</v>
      </c>
      <c r="C7" s="3" t="n">
        <v>40964</v>
      </c>
      <c r="D7" s="3" t="n">
        <v>85264</v>
      </c>
      <c r="E7" s="3" t="n">
        <f aca="false">+B7+C7+D7</f>
        <v>126528</v>
      </c>
      <c r="F7" s="3" t="n">
        <f aca="false">+(275100+24900)/30</f>
        <v>10000</v>
      </c>
      <c r="G7" s="4" t="n">
        <v>563</v>
      </c>
      <c r="H7" s="4"/>
      <c r="I7" s="3" t="n">
        <f aca="false">+F7+G7+H7</f>
        <v>10563</v>
      </c>
      <c r="J7" s="3" t="n">
        <f aca="false">+E7</f>
        <v>126528</v>
      </c>
    </row>
    <row r="8" customFormat="false" ht="12.75" hidden="false" customHeight="false" outlineLevel="0" collapsed="false">
      <c r="A8" s="1" t="s">
        <v>15</v>
      </c>
      <c r="B8" s="3" t="n">
        <f aca="false">36267/30</f>
        <v>1208.9</v>
      </c>
      <c r="C8" s="3" t="n">
        <v>49993</v>
      </c>
      <c r="D8" s="4"/>
      <c r="E8" s="3" t="n">
        <f aca="false">+B8+C8+D8</f>
        <v>51201.9</v>
      </c>
      <c r="F8" s="3"/>
      <c r="G8" s="3" t="n">
        <v>1501</v>
      </c>
      <c r="H8" s="3" t="n">
        <v>18988</v>
      </c>
      <c r="I8" s="3" t="n">
        <f aca="false">+F8+G8+H8</f>
        <v>20489</v>
      </c>
      <c r="J8" s="3"/>
    </row>
    <row r="9" customFormat="false" ht="12.75" hidden="false" customHeight="false" outlineLevel="0" collapsed="false">
      <c r="A9" s="1" t="s">
        <v>16</v>
      </c>
      <c r="B9" s="3" t="n">
        <f aca="false">+(125370+556400+43500+12900+600000+806346+27880+6863+743714)/30+15000</f>
        <v>112432.433333333</v>
      </c>
      <c r="C9" s="3" t="n">
        <v>86803</v>
      </c>
      <c r="D9" s="4"/>
      <c r="E9" s="3" t="n">
        <f aca="false">+B9+C9+D9</f>
        <v>199235.433333333</v>
      </c>
      <c r="F9" s="3" t="n">
        <f aca="false">+(960277+32766)/30</f>
        <v>33101.4333333333</v>
      </c>
      <c r="G9" s="3" t="n">
        <v>20351</v>
      </c>
      <c r="H9" s="4" t="n">
        <v>140</v>
      </c>
      <c r="I9" s="3" t="n">
        <f aca="false">+F9+G9+H9</f>
        <v>53592.4333333333</v>
      </c>
      <c r="J9" s="3" t="n">
        <f aca="false">+E9</f>
        <v>199235.433333333</v>
      </c>
    </row>
    <row r="10" customFormat="false" ht="12.75" hidden="false" customHeight="false" outlineLevel="0" collapsed="false">
      <c r="A10" s="1" t="s">
        <v>17</v>
      </c>
      <c r="B10" s="3" t="n">
        <f aca="false">1228173/30+9000</f>
        <v>49939.1</v>
      </c>
      <c r="C10" s="3" t="n">
        <v>30413</v>
      </c>
      <c r="D10" s="4"/>
      <c r="E10" s="3" t="n">
        <f aca="false">+B10+C10+D10</f>
        <v>80352.1</v>
      </c>
      <c r="F10" s="3" t="n">
        <f aca="false">333.333333333333+15000</f>
        <v>15333.3333333333</v>
      </c>
      <c r="G10" s="3" t="n">
        <v>177790</v>
      </c>
      <c r="H10" s="4"/>
      <c r="I10" s="3" t="n">
        <f aca="false">+F10+G10+H10</f>
        <v>193123.333333333</v>
      </c>
      <c r="J10" s="3" t="n">
        <f aca="false">-I10</f>
        <v>-193123.333333333</v>
      </c>
    </row>
    <row r="11" customFormat="false" ht="12.75" hidden="false" customHeight="false" outlineLevel="0" collapsed="false">
      <c r="A11" s="1" t="s">
        <v>18</v>
      </c>
      <c r="B11" s="3" t="n">
        <f aca="false">+(15000+360000)/30</f>
        <v>12500</v>
      </c>
      <c r="C11" s="3" t="n">
        <v>168387</v>
      </c>
      <c r="D11" s="4" t="n">
        <v>50</v>
      </c>
      <c r="E11" s="3" t="n">
        <f aca="false">+B11+C11+D11</f>
        <v>180937</v>
      </c>
      <c r="F11" s="3" t="n">
        <f aca="false">+(270000+30000+375000)/30+10000</f>
        <v>32500</v>
      </c>
      <c r="G11" s="3" t="n">
        <v>60270</v>
      </c>
      <c r="H11" s="4" t="n">
        <v>60</v>
      </c>
      <c r="I11" s="3" t="n">
        <f aca="false">+F11+G11+H11</f>
        <v>92830</v>
      </c>
      <c r="J11" s="3"/>
    </row>
    <row r="12" customFormat="false" ht="12.75" hidden="false" customHeight="false" outlineLevel="0" collapsed="false">
      <c r="A12" s="1" t="s">
        <v>19</v>
      </c>
      <c r="B12" s="3"/>
      <c r="C12" s="3" t="n">
        <v>14812</v>
      </c>
      <c r="D12" s="4" t="n">
        <v>5867</v>
      </c>
      <c r="E12" s="3" t="n">
        <f aca="false">+B12+C12+D12</f>
        <v>20679</v>
      </c>
      <c r="F12" s="3"/>
      <c r="G12" s="3" t="n">
        <v>148071</v>
      </c>
      <c r="H12" s="4"/>
      <c r="I12" s="3" t="n">
        <f aca="false">+F12+G12+H12</f>
        <v>148071</v>
      </c>
      <c r="J12" s="3" t="n">
        <f aca="false">-I12</f>
        <v>-148071</v>
      </c>
    </row>
    <row r="13" customFormat="false" ht="12.75" hidden="false" customHeight="false" outlineLevel="0" collapsed="false">
      <c r="A13" s="1" t="s">
        <v>20</v>
      </c>
      <c r="B13" s="3"/>
      <c r="C13" s="3" t="n">
        <v>24168</v>
      </c>
      <c r="D13" s="4"/>
      <c r="E13" s="3" t="n">
        <f aca="false">+B13+C13+D13</f>
        <v>24168</v>
      </c>
      <c r="F13" s="3" t="n">
        <v>18000</v>
      </c>
      <c r="G13" s="3" t="n">
        <v>386497</v>
      </c>
      <c r="H13" s="4"/>
      <c r="I13" s="3" t="n">
        <f aca="false">+F13+G13+H13</f>
        <v>404497</v>
      </c>
      <c r="J13" s="3" t="n">
        <f aca="false">-I13</f>
        <v>-404497</v>
      </c>
    </row>
    <row r="14" customFormat="false" ht="12.75" hidden="false" customHeight="false" outlineLevel="0" collapsed="false">
      <c r="A14" s="1" t="s">
        <v>21</v>
      </c>
      <c r="B14" s="3" t="n">
        <f aca="false">+(25000+19350)/30+10000</f>
        <v>11478.3333333333</v>
      </c>
      <c r="C14" s="3" t="n">
        <v>106396</v>
      </c>
      <c r="D14" s="4" t="n">
        <v>959</v>
      </c>
      <c r="E14" s="3" t="n">
        <f aca="false">+B14+C14+D14</f>
        <v>118833.333333333</v>
      </c>
      <c r="F14" s="3"/>
      <c r="G14" s="3" t="n">
        <v>59452</v>
      </c>
      <c r="H14" s="4"/>
      <c r="I14" s="3" t="n">
        <f aca="false">+F14+G14+H14</f>
        <v>59452</v>
      </c>
      <c r="J14" s="3" t="n">
        <f aca="false">+E14</f>
        <v>118833.333333333</v>
      </c>
    </row>
    <row r="15" customFormat="false" ht="12.75" hidden="false" customHeight="false" outlineLevel="0" collapsed="false">
      <c r="A15" s="1" t="s">
        <v>22</v>
      </c>
      <c r="B15" s="3" t="n">
        <f aca="false">+(53730+6750)/30+10000</f>
        <v>12016</v>
      </c>
      <c r="C15" s="3" t="n">
        <v>82680</v>
      </c>
      <c r="D15" s="3" t="n">
        <v>1152</v>
      </c>
      <c r="E15" s="3" t="n">
        <f aca="false">+B15+C15+D15</f>
        <v>95848</v>
      </c>
      <c r="F15" s="3"/>
      <c r="G15" s="3" t="n">
        <v>49001</v>
      </c>
      <c r="H15" s="4" t="n">
        <v>0</v>
      </c>
      <c r="I15" s="3" t="n">
        <f aca="false">+F15+G15+H15</f>
        <v>49001</v>
      </c>
      <c r="J15" s="3" t="n">
        <f aca="false">+E15</f>
        <v>95848</v>
      </c>
    </row>
    <row r="16" customFormat="false" ht="12.75" hidden="false" customHeight="false" outlineLevel="0" collapsed="false">
      <c r="A16" s="1" t="s">
        <v>23</v>
      </c>
      <c r="B16" s="3"/>
      <c r="C16" s="3" t="n">
        <v>18907</v>
      </c>
      <c r="D16" s="4"/>
      <c r="E16" s="3" t="n">
        <f aca="false">+B16+C16+D16</f>
        <v>18907</v>
      </c>
      <c r="F16" s="3" t="n">
        <v>124</v>
      </c>
      <c r="G16" s="3" t="n">
        <v>57460</v>
      </c>
      <c r="H16" s="4"/>
      <c r="I16" s="3" t="n">
        <f aca="false">+F16+G16+H16</f>
        <v>57584</v>
      </c>
      <c r="J16" s="3"/>
    </row>
    <row r="17" customFormat="false" ht="12.75" hidden="false" customHeight="false" outlineLevel="0" collapsed="false">
      <c r="A17" s="1" t="s">
        <v>24</v>
      </c>
      <c r="B17" s="3"/>
      <c r="C17" s="3" t="n">
        <v>1039</v>
      </c>
      <c r="D17" s="4"/>
      <c r="E17" s="3" t="n">
        <f aca="false">+B17+C17+D17</f>
        <v>1039</v>
      </c>
      <c r="F17" s="3"/>
      <c r="G17" s="4" t="n">
        <v>0</v>
      </c>
      <c r="H17" s="4"/>
      <c r="I17" s="3" t="n">
        <f aca="false">+F17+G17+H17</f>
        <v>0</v>
      </c>
      <c r="J17" s="3" t="n">
        <f aca="false">+E17</f>
        <v>1039</v>
      </c>
    </row>
    <row r="18" customFormat="false" ht="12.75" hidden="false" customHeight="false" outlineLevel="0" collapsed="false">
      <c r="A18" s="1" t="s">
        <v>25</v>
      </c>
      <c r="B18" s="3"/>
      <c r="C18" s="3" t="n">
        <v>0</v>
      </c>
      <c r="D18" s="4"/>
      <c r="E18" s="3" t="n">
        <f aca="false">+B18+C18+D18</f>
        <v>0</v>
      </c>
      <c r="F18" s="3"/>
      <c r="G18" s="3" t="n">
        <v>25627</v>
      </c>
      <c r="H18" s="4"/>
      <c r="I18" s="3" t="n">
        <f aca="false">+F18+G18+H18</f>
        <v>25627</v>
      </c>
      <c r="J18" s="3"/>
    </row>
    <row r="19" customFormat="false" ht="12.75" hidden="false" customHeight="false" outlineLevel="0" collapsed="false">
      <c r="A19" s="1" t="s">
        <v>26</v>
      </c>
      <c r="B19" s="3"/>
      <c r="C19" s="3" t="n">
        <v>3787</v>
      </c>
      <c r="D19" s="4"/>
      <c r="E19" s="3" t="n">
        <f aca="false">+B19+C19+D19</f>
        <v>3787</v>
      </c>
      <c r="F19" s="3" t="n">
        <f aca="false">1302500/30</f>
        <v>43416.6666666667</v>
      </c>
      <c r="G19" s="4" t="n">
        <v>50</v>
      </c>
      <c r="H19" s="4"/>
      <c r="I19" s="3" t="n">
        <f aca="false">+F19+G19+H19</f>
        <v>43466.6666666667</v>
      </c>
      <c r="J19" s="3"/>
    </row>
    <row r="20" customFormat="false" ht="12.75" hidden="false" customHeight="false" outlineLevel="0" collapsed="false">
      <c r="A20" s="1" t="s">
        <v>27</v>
      </c>
      <c r="B20" s="3" t="n">
        <f aca="false">+(96000+30+30+3900)/30+12000</f>
        <v>15332</v>
      </c>
      <c r="C20" s="3" t="n">
        <v>206439</v>
      </c>
      <c r="D20" s="4"/>
      <c r="E20" s="3" t="n">
        <f aca="false">+B20+C20+D20</f>
        <v>221771</v>
      </c>
      <c r="F20" s="3" t="n">
        <f aca="false">+(600000+2460)/30+12000+10000+9000</f>
        <v>51082</v>
      </c>
      <c r="G20" s="3" t="n">
        <v>155121</v>
      </c>
      <c r="H20" s="3" t="n">
        <v>6595</v>
      </c>
      <c r="I20" s="3" t="n">
        <f aca="false">+F20+G20+H20</f>
        <v>212798</v>
      </c>
      <c r="J20" s="3"/>
    </row>
    <row r="21" customFormat="false" ht="12.75" hidden="false" customHeight="false" outlineLevel="0" collapsed="false">
      <c r="A21" s="1" t="s">
        <v>28</v>
      </c>
      <c r="B21" s="3"/>
      <c r="C21" s="3" t="n">
        <v>6550</v>
      </c>
      <c r="D21" s="4"/>
      <c r="E21" s="3" t="n">
        <f aca="false">+B21+C21+D21</f>
        <v>6550</v>
      </c>
      <c r="F21" s="3" t="n">
        <f aca="false">+(5400+7500+6750+19350)/30</f>
        <v>1300</v>
      </c>
      <c r="G21" s="3" t="n">
        <v>15351</v>
      </c>
      <c r="H21" s="4" t="n">
        <v>0</v>
      </c>
      <c r="I21" s="3" t="n">
        <f aca="false">+F21+G21+H21</f>
        <v>16651</v>
      </c>
      <c r="J21" s="3"/>
    </row>
    <row r="22" customFormat="false" ht="12.75" hidden="false" customHeight="false" outlineLevel="0" collapsed="false">
      <c r="A22" s="1" t="s">
        <v>29</v>
      </c>
      <c r="B22" s="3"/>
      <c r="C22" s="3" t="n">
        <v>7208</v>
      </c>
      <c r="D22" s="4"/>
      <c r="E22" s="3" t="n">
        <f aca="false">+B22+C22+D22</f>
        <v>7208</v>
      </c>
      <c r="F22" s="3" t="n">
        <f aca="false">+(286500+13500)/30+15000+10000+10000+5000+15000</f>
        <v>65000</v>
      </c>
      <c r="G22" s="3" t="n">
        <v>45063</v>
      </c>
      <c r="H22" s="4"/>
      <c r="I22" s="3" t="n">
        <f aca="false">+F22+G22+H22</f>
        <v>110063</v>
      </c>
      <c r="J22" s="3" t="n">
        <f aca="false">-I22</f>
        <v>-110063</v>
      </c>
    </row>
    <row r="23" customFormat="false" ht="12.75" hidden="false" customHeight="false" outlineLevel="0" collapsed="false">
      <c r="A23" s="1" t="s">
        <v>30</v>
      </c>
      <c r="B23" s="3"/>
      <c r="C23" s="3" t="n">
        <v>17137</v>
      </c>
      <c r="D23" s="4" t="n">
        <v>140</v>
      </c>
      <c r="E23" s="3" t="n">
        <f aca="false">+B23+C23+D23</f>
        <v>17277</v>
      </c>
      <c r="F23" s="3"/>
      <c r="G23" s="3" t="n">
        <v>11288</v>
      </c>
      <c r="H23" s="3" t="n">
        <v>1152</v>
      </c>
      <c r="I23" s="3" t="n">
        <f aca="false">+F23+G23+H23</f>
        <v>12440</v>
      </c>
      <c r="J23" s="3"/>
    </row>
    <row r="24" customFormat="false" ht="12.75" hidden="false" customHeight="false" outlineLevel="0" collapsed="false">
      <c r="A24" s="1" t="s">
        <v>31</v>
      </c>
      <c r="B24" s="3"/>
      <c r="C24" s="3" t="n">
        <v>719</v>
      </c>
      <c r="D24" s="4"/>
      <c r="E24" s="3" t="n">
        <f aca="false">+B24+C24+D24</f>
        <v>719</v>
      </c>
      <c r="F24" s="3" t="n">
        <f aca="false">+(6750)/30</f>
        <v>225</v>
      </c>
      <c r="G24" s="3" t="n">
        <v>1501</v>
      </c>
      <c r="H24" s="4"/>
      <c r="I24" s="3" t="n">
        <f aca="false">+F24+G24+H24</f>
        <v>1726</v>
      </c>
      <c r="J24" s="4"/>
    </row>
    <row r="25" customFormat="false" ht="12.75" hidden="false" customHeight="false" outlineLevel="0" collapsed="false">
      <c r="A25" s="1" t="s">
        <v>32</v>
      </c>
      <c r="B25" s="4"/>
      <c r="C25" s="4" t="n">
        <v>23</v>
      </c>
      <c r="D25" s="4"/>
      <c r="E25" s="4" t="n">
        <f aca="false">+B25+C25+D25</f>
        <v>23</v>
      </c>
      <c r="F25" s="4"/>
      <c r="G25" s="4" t="n">
        <v>841</v>
      </c>
      <c r="H25" s="4"/>
      <c r="I25" s="3" t="n">
        <f aca="false">+F25+G25+H25</f>
        <v>841</v>
      </c>
      <c r="J25" s="4"/>
    </row>
    <row r="26" customFormat="false" ht="12.75" hidden="false" customHeight="false" outlineLevel="0" collapsed="false">
      <c r="A26" s="1" t="s">
        <v>33</v>
      </c>
      <c r="B26" s="3"/>
      <c r="C26" s="3" t="n">
        <v>2812</v>
      </c>
      <c r="D26" s="4"/>
      <c r="E26" s="3" t="n">
        <f aca="false">+B26+C26+D26</f>
        <v>2812</v>
      </c>
      <c r="F26" s="3"/>
      <c r="G26" s="3" t="n">
        <v>11773</v>
      </c>
      <c r="H26" s="4"/>
      <c r="I26" s="3" t="n">
        <f aca="false">+F26+G26+H26</f>
        <v>11773</v>
      </c>
      <c r="J2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4" min="2" style="0" width="7.99"/>
    <col collapsed="false" customWidth="true" hidden="false" outlineLevel="0" max="5" min="5" style="0" width="7.56"/>
    <col collapsed="false" customWidth="true" hidden="false" outlineLevel="0" max="7" min="7" style="0" width="7.99"/>
  </cols>
  <sheetData>
    <row r="1" customFormat="false" ht="21" hidden="false" customHeight="false" outlineLevel="0" collapsed="false">
      <c r="A1" s="1" t="s">
        <v>0</v>
      </c>
      <c r="B1" s="2" t="s">
        <v>1</v>
      </c>
      <c r="C1" s="1" t="s">
        <v>2</v>
      </c>
      <c r="D1" s="2" t="s">
        <v>4</v>
      </c>
      <c r="E1" s="2" t="s">
        <v>5</v>
      </c>
      <c r="F1" s="1" t="s">
        <v>6</v>
      </c>
      <c r="G1" s="2" t="s">
        <v>7</v>
      </c>
      <c r="H1" s="2" t="s">
        <v>8</v>
      </c>
    </row>
    <row r="2" customFormat="false" ht="12.75" hidden="false" customHeight="false" outlineLevel="0" collapsed="false">
      <c r="A2" s="1" t="s">
        <v>9</v>
      </c>
      <c r="B2" s="3" t="n">
        <f aca="false">55159+7500+35000+45000</f>
        <v>142659</v>
      </c>
      <c r="C2" s="3" t="n">
        <v>165065</v>
      </c>
      <c r="D2" s="3" t="n">
        <f aca="false">+B2+C2</f>
        <v>307724</v>
      </c>
      <c r="E2" s="3" t="n">
        <v>1430</v>
      </c>
      <c r="F2" s="3" t="n">
        <v>10125</v>
      </c>
      <c r="G2" s="3" t="n">
        <f aca="false">+E2+F2</f>
        <v>11555</v>
      </c>
      <c r="H2" s="3" t="n">
        <f aca="false">+D2</f>
        <v>307724</v>
      </c>
    </row>
    <row r="3" customFormat="false" ht="12.75" hidden="false" customHeight="false" outlineLevel="0" collapsed="false">
      <c r="A3" s="1" t="s">
        <v>10</v>
      </c>
      <c r="B3" s="3" t="n">
        <v>150</v>
      </c>
      <c r="C3" s="3" t="n">
        <v>4582</v>
      </c>
      <c r="D3" s="3" t="n">
        <f aca="false">+B3+C3</f>
        <v>4732</v>
      </c>
      <c r="E3" s="3" t="n">
        <v>125</v>
      </c>
      <c r="F3" s="3" t="n">
        <v>14199</v>
      </c>
      <c r="G3" s="3" t="n">
        <f aca="false">+E3+F3</f>
        <v>14324</v>
      </c>
      <c r="H3" s="3" t="n">
        <f aca="false">+D3</f>
        <v>4732</v>
      </c>
    </row>
    <row r="4" customFormat="false" ht="12.75" hidden="false" customHeight="false" outlineLevel="0" collapsed="false">
      <c r="A4" s="1" t="s">
        <v>11</v>
      </c>
      <c r="B4" s="3"/>
      <c r="C4" s="3" t="n">
        <v>9278</v>
      </c>
      <c r="D4" s="3" t="n">
        <f aca="false">+B4+C4</f>
        <v>9278</v>
      </c>
      <c r="E4" s="3"/>
      <c r="F4" s="3" t="n">
        <v>4617</v>
      </c>
      <c r="G4" s="3" t="n">
        <f aca="false">+E4+F4</f>
        <v>4617</v>
      </c>
      <c r="H4" s="3" t="n">
        <f aca="false">+D4</f>
        <v>9278</v>
      </c>
    </row>
    <row r="5" customFormat="false" ht="12.75" hidden="false" customHeight="false" outlineLevel="0" collapsed="false">
      <c r="A5" s="1" t="s">
        <v>12</v>
      </c>
      <c r="B5" s="3" t="n">
        <v>550</v>
      </c>
      <c r="C5" s="4" t="n">
        <v>632</v>
      </c>
      <c r="D5" s="3" t="n">
        <f aca="false">+B5+C5</f>
        <v>1182</v>
      </c>
      <c r="E5" s="3"/>
      <c r="F5" s="4" t="n">
        <v>0</v>
      </c>
      <c r="G5" s="3" t="n">
        <f aca="false">+E5+F5</f>
        <v>0</v>
      </c>
      <c r="H5" s="3"/>
    </row>
    <row r="6" customFormat="false" ht="12.75" hidden="false" customHeight="false" outlineLevel="0" collapsed="false">
      <c r="A6" s="1" t="s">
        <v>13</v>
      </c>
      <c r="B6" s="3"/>
      <c r="C6" s="4" t="n">
        <v>0</v>
      </c>
      <c r="D6" s="3" t="n">
        <f aca="false">+B6+C6</f>
        <v>0</v>
      </c>
      <c r="E6" s="3" t="n">
        <v>3465</v>
      </c>
      <c r="F6" s="3" t="n">
        <v>5000</v>
      </c>
      <c r="G6" s="3" t="n">
        <f aca="false">+E6+F6</f>
        <v>8465</v>
      </c>
      <c r="H6" s="3"/>
    </row>
    <row r="7" customFormat="false" ht="12.75" hidden="false" customHeight="false" outlineLevel="0" collapsed="false">
      <c r="A7" s="1" t="s">
        <v>14</v>
      </c>
      <c r="B7" s="3" t="n">
        <v>16071</v>
      </c>
      <c r="C7" s="3" t="n">
        <v>138988</v>
      </c>
      <c r="D7" s="3" t="n">
        <f aca="false">+B7+C7</f>
        <v>155059</v>
      </c>
      <c r="E7" s="3" t="n">
        <f aca="false">5771+10000</f>
        <v>15771</v>
      </c>
      <c r="F7" s="4" t="n">
        <v>617</v>
      </c>
      <c r="G7" s="3" t="n">
        <f aca="false">+E7+F7</f>
        <v>16388</v>
      </c>
      <c r="H7" s="3" t="n">
        <f aca="false">+D7</f>
        <v>155059</v>
      </c>
    </row>
    <row r="8" customFormat="false" ht="12.75" hidden="false" customHeight="false" outlineLevel="0" collapsed="false">
      <c r="A8" s="1" t="s">
        <v>15</v>
      </c>
      <c r="B8" s="3" t="n">
        <v>23600</v>
      </c>
      <c r="C8" s="4" t="n">
        <v>0</v>
      </c>
      <c r="D8" s="3" t="n">
        <f aca="false">+B8+C8</f>
        <v>23600</v>
      </c>
      <c r="E8" s="3" t="n">
        <v>22880</v>
      </c>
      <c r="F8" s="3" t="n">
        <v>1500</v>
      </c>
      <c r="G8" s="3" t="n">
        <f aca="false">+E8+F8</f>
        <v>24380</v>
      </c>
      <c r="H8" s="3"/>
    </row>
    <row r="9" customFormat="false" ht="12.75" hidden="false" customHeight="false" outlineLevel="0" collapsed="false">
      <c r="A9" s="1" t="s">
        <v>16</v>
      </c>
      <c r="B9" s="3" t="n">
        <f aca="false">48212</f>
        <v>48212</v>
      </c>
      <c r="C9" s="3" t="n">
        <v>159017</v>
      </c>
      <c r="D9" s="3" t="n">
        <f aca="false">+B9+C9</f>
        <v>207229</v>
      </c>
      <c r="E9" s="3" t="n">
        <v>10000</v>
      </c>
      <c r="F9" s="4" t="n">
        <v>301</v>
      </c>
      <c r="G9" s="3" t="n">
        <f aca="false">+E9+F9</f>
        <v>10301</v>
      </c>
      <c r="H9" s="3" t="n">
        <f aca="false">+D9</f>
        <v>207229</v>
      </c>
    </row>
    <row r="10" customFormat="false" ht="12.75" hidden="false" customHeight="false" outlineLevel="0" collapsed="false">
      <c r="A10" s="1" t="s">
        <v>17</v>
      </c>
      <c r="B10" s="3" t="n">
        <f aca="false">3400+7300+15000</f>
        <v>25700</v>
      </c>
      <c r="C10" s="3" t="n">
        <v>23030</v>
      </c>
      <c r="D10" s="3" t="n">
        <f aca="false">+B10+C10</f>
        <v>48730</v>
      </c>
      <c r="E10" s="3" t="n">
        <f aca="false">7000+10000</f>
        <v>17000</v>
      </c>
      <c r="F10" s="3" t="n">
        <v>177855</v>
      </c>
      <c r="G10" s="3" t="n">
        <f aca="false">+E10+F10</f>
        <v>194855</v>
      </c>
      <c r="H10" s="3" t="n">
        <f aca="false">-G10</f>
        <v>-194855</v>
      </c>
    </row>
    <row r="11" customFormat="false" ht="12.75" hidden="false" customHeight="false" outlineLevel="0" collapsed="false">
      <c r="A11" s="1" t="s">
        <v>18</v>
      </c>
      <c r="B11" s="3" t="n">
        <f aca="false">12500+5000+7500+13000+40000</f>
        <v>78000</v>
      </c>
      <c r="C11" s="3" t="n">
        <v>167181</v>
      </c>
      <c r="D11" s="3" t="n">
        <f aca="false">+B11+C11</f>
        <v>245181</v>
      </c>
      <c r="E11" s="3" t="n">
        <f aca="false">12500+10000</f>
        <v>22500</v>
      </c>
      <c r="F11" s="3" t="n">
        <v>68249</v>
      </c>
      <c r="G11" s="3" t="n">
        <f aca="false">+E11+F11</f>
        <v>90749</v>
      </c>
      <c r="H11" s="3"/>
    </row>
    <row r="12" customFormat="false" ht="12.75" hidden="false" customHeight="false" outlineLevel="0" collapsed="false">
      <c r="A12" s="1" t="s">
        <v>19</v>
      </c>
      <c r="B12" s="3" t="n">
        <v>1555</v>
      </c>
      <c r="C12" s="3" t="n">
        <v>7671</v>
      </c>
      <c r="D12" s="3" t="n">
        <f aca="false">+B12+C12</f>
        <v>9226</v>
      </c>
      <c r="E12" s="3" t="n">
        <v>26098</v>
      </c>
      <c r="F12" s="3" t="n">
        <v>148689</v>
      </c>
      <c r="G12" s="3" t="n">
        <f aca="false">+E12+F12</f>
        <v>174787</v>
      </c>
      <c r="H12" s="3" t="n">
        <f aca="false">-G12</f>
        <v>-174787</v>
      </c>
    </row>
    <row r="13" customFormat="false" ht="12.75" hidden="false" customHeight="false" outlineLevel="0" collapsed="false">
      <c r="A13" s="1" t="s">
        <v>20</v>
      </c>
      <c r="B13" s="3"/>
      <c r="C13" s="3" t="n">
        <v>48316</v>
      </c>
      <c r="D13" s="3" t="n">
        <f aca="false">+B13+C13</f>
        <v>48316</v>
      </c>
      <c r="E13" s="3" t="n">
        <f aca="false">25000+1000+10000</f>
        <v>36000</v>
      </c>
      <c r="F13" s="3" t="n">
        <v>500848</v>
      </c>
      <c r="G13" s="3" t="n">
        <f aca="false">+E13+F13</f>
        <v>536848</v>
      </c>
      <c r="H13" s="3" t="n">
        <f aca="false">-G13</f>
        <v>-536848</v>
      </c>
    </row>
    <row r="14" customFormat="false" ht="12.75" hidden="false" customHeight="false" outlineLevel="0" collapsed="false">
      <c r="A14" s="1" t="s">
        <v>21</v>
      </c>
      <c r="B14" s="3" t="n">
        <v>11550</v>
      </c>
      <c r="C14" s="3" t="n">
        <v>123348</v>
      </c>
      <c r="D14" s="3" t="n">
        <f aca="false">+B14+C14</f>
        <v>134898</v>
      </c>
      <c r="E14" s="3"/>
      <c r="F14" s="3" t="n">
        <v>59472</v>
      </c>
      <c r="G14" s="3" t="n">
        <f aca="false">+E14+F14</f>
        <v>59472</v>
      </c>
      <c r="H14" s="3" t="n">
        <f aca="false">+D14</f>
        <v>134898</v>
      </c>
    </row>
    <row r="15" customFormat="false" ht="12.75" hidden="false" customHeight="false" outlineLevel="0" collapsed="false">
      <c r="A15" s="1" t="s">
        <v>22</v>
      </c>
      <c r="B15" s="3" t="n">
        <f aca="false">236+10000</f>
        <v>10236</v>
      </c>
      <c r="C15" s="3" t="n">
        <v>92500</v>
      </c>
      <c r="D15" s="3" t="n">
        <f aca="false">+B15+C15</f>
        <v>102736</v>
      </c>
      <c r="E15" s="3"/>
      <c r="F15" s="3" t="n">
        <v>34001</v>
      </c>
      <c r="G15" s="3" t="n">
        <f aca="false">+E15+F15</f>
        <v>34001</v>
      </c>
      <c r="H15" s="3" t="n">
        <f aca="false">+D15</f>
        <v>102736</v>
      </c>
    </row>
    <row r="16" customFormat="false" ht="12.75" hidden="false" customHeight="false" outlineLevel="0" collapsed="false">
      <c r="A16" s="1" t="s">
        <v>23</v>
      </c>
      <c r="B16" s="3"/>
      <c r="C16" s="3" t="n">
        <v>5000</v>
      </c>
      <c r="D16" s="3" t="n">
        <f aca="false">+B16+C16</f>
        <v>5000</v>
      </c>
      <c r="E16" s="3" t="n">
        <v>5000</v>
      </c>
      <c r="F16" s="3" t="n">
        <v>97260</v>
      </c>
      <c r="G16" s="3" t="n">
        <f aca="false">+E16+F16</f>
        <v>102260</v>
      </c>
      <c r="H16" s="3"/>
    </row>
    <row r="17" customFormat="false" ht="12.75" hidden="false" customHeight="false" outlineLevel="0" collapsed="false">
      <c r="A17" s="1" t="s">
        <v>24</v>
      </c>
      <c r="B17" s="3"/>
      <c r="C17" s="4"/>
      <c r="D17" s="3" t="n">
        <f aca="false">+B17+C17</f>
        <v>0</v>
      </c>
      <c r="E17" s="3"/>
      <c r="F17" s="4"/>
      <c r="G17" s="3" t="n">
        <f aca="false">+E17+F17</f>
        <v>0</v>
      </c>
      <c r="H17" s="3" t="n">
        <f aca="false">+D17</f>
        <v>0</v>
      </c>
    </row>
    <row r="18" customFormat="false" ht="12.75" hidden="false" customHeight="false" outlineLevel="0" collapsed="false">
      <c r="A18" s="1" t="s">
        <v>25</v>
      </c>
      <c r="B18" s="3"/>
      <c r="C18" s="3" t="n">
        <v>68799</v>
      </c>
      <c r="D18" s="3" t="n">
        <f aca="false">+B18+C18</f>
        <v>68799</v>
      </c>
      <c r="E18" s="3" t="n">
        <v>7095</v>
      </c>
      <c r="F18" s="3" t="n">
        <v>130085</v>
      </c>
      <c r="G18" s="3" t="n">
        <f aca="false">+E18+F18</f>
        <v>137180</v>
      </c>
      <c r="H18" s="3"/>
    </row>
    <row r="19" customFormat="false" ht="12.75" hidden="false" customHeight="false" outlineLevel="0" collapsed="false">
      <c r="A19" s="1" t="s">
        <v>26</v>
      </c>
      <c r="B19" s="3"/>
      <c r="C19" s="4" t="n">
        <v>115</v>
      </c>
      <c r="D19" s="3" t="n">
        <f aca="false">+B19+C19</f>
        <v>115</v>
      </c>
      <c r="E19" s="3"/>
      <c r="F19" s="4" t="n">
        <v>48</v>
      </c>
      <c r="G19" s="3" t="n">
        <f aca="false">+E19+F19</f>
        <v>48</v>
      </c>
      <c r="H19" s="3"/>
    </row>
    <row r="20" customFormat="false" ht="12.75" hidden="false" customHeight="false" outlineLevel="0" collapsed="false">
      <c r="A20" s="1" t="s">
        <v>27</v>
      </c>
      <c r="B20" s="3" t="n">
        <f aca="false">130+1000</f>
        <v>1130</v>
      </c>
      <c r="C20" s="3" t="n">
        <v>254946</v>
      </c>
      <c r="D20" s="3" t="n">
        <f aca="false">+B20+C20</f>
        <v>256076</v>
      </c>
      <c r="E20" s="3" t="n">
        <f aca="false">10237+9000+20000+60000</f>
        <v>99237</v>
      </c>
      <c r="F20" s="3" t="n">
        <v>150120</v>
      </c>
      <c r="G20" s="3" t="n">
        <f aca="false">+E20+F20</f>
        <v>249357</v>
      </c>
      <c r="H20" s="3"/>
    </row>
    <row r="21" customFormat="false" ht="12.75" hidden="false" customHeight="false" outlineLevel="0" collapsed="false">
      <c r="A21" s="1" t="s">
        <v>28</v>
      </c>
      <c r="B21" s="3"/>
      <c r="C21" s="3" t="n">
        <v>5713</v>
      </c>
      <c r="D21" s="3" t="n">
        <f aca="false">+B21+C21</f>
        <v>5713</v>
      </c>
      <c r="E21" s="3" t="n">
        <v>20708</v>
      </c>
      <c r="F21" s="3" t="n">
        <v>15351</v>
      </c>
      <c r="G21" s="3" t="n">
        <f aca="false">+E21+F21</f>
        <v>36059</v>
      </c>
      <c r="H21" s="3"/>
    </row>
    <row r="22" customFormat="false" ht="12.75" hidden="false" customHeight="false" outlineLevel="0" collapsed="false">
      <c r="A22" s="1" t="s">
        <v>29</v>
      </c>
      <c r="B22" s="3" t="n">
        <v>1121</v>
      </c>
      <c r="C22" s="3" t="n">
        <v>1118</v>
      </c>
      <c r="D22" s="3" t="n">
        <f aca="false">+B22+C22</f>
        <v>2239</v>
      </c>
      <c r="E22" s="3" t="n">
        <f aca="false">20000+15000+25000+13000</f>
        <v>73000</v>
      </c>
      <c r="F22" s="3" t="n">
        <v>40063</v>
      </c>
      <c r="G22" s="3" t="n">
        <f aca="false">+E22+F22</f>
        <v>113063</v>
      </c>
      <c r="H22" s="3" t="n">
        <f aca="false">-G22</f>
        <v>-113063</v>
      </c>
    </row>
    <row r="23" customFormat="false" ht="12.75" hidden="false" customHeight="false" outlineLevel="0" collapsed="false">
      <c r="A23" s="1" t="s">
        <v>30</v>
      </c>
      <c r="B23" s="3"/>
      <c r="C23" s="3" t="n">
        <v>15105</v>
      </c>
      <c r="D23" s="3" t="n">
        <f aca="false">+B23+C23</f>
        <v>15105</v>
      </c>
      <c r="E23" s="3"/>
      <c r="F23" s="3" t="n">
        <v>11294</v>
      </c>
      <c r="G23" s="3" t="n">
        <f aca="false">+E23+F23</f>
        <v>11294</v>
      </c>
      <c r="H23" s="3"/>
    </row>
    <row r="24" customFormat="false" ht="12.75" hidden="false" customHeight="false" outlineLevel="0" collapsed="false">
      <c r="A24" s="1" t="s">
        <v>31</v>
      </c>
      <c r="B24" s="3"/>
      <c r="C24" s="4" t="n">
        <v>1</v>
      </c>
      <c r="D24" s="3" t="n">
        <f aca="false">+B24+C24</f>
        <v>1</v>
      </c>
      <c r="E24" s="3" t="n">
        <v>2249</v>
      </c>
      <c r="F24" s="3" t="n">
        <v>1501</v>
      </c>
      <c r="G24" s="3" t="n">
        <f aca="false">+E24+F24</f>
        <v>3750</v>
      </c>
      <c r="H24" s="4"/>
    </row>
    <row r="25" customFormat="false" ht="12.75" hidden="false" customHeight="false" outlineLevel="0" collapsed="false">
      <c r="A25" s="1" t="s">
        <v>32</v>
      </c>
      <c r="B25" s="4"/>
      <c r="C25" s="4" t="n">
        <v>1</v>
      </c>
      <c r="D25" s="3" t="n">
        <f aca="false">+B25+C25</f>
        <v>1</v>
      </c>
      <c r="E25" s="4"/>
      <c r="F25" s="3" t="n">
        <v>2303</v>
      </c>
      <c r="G25" s="3" t="n">
        <f aca="false">+E25+F25</f>
        <v>2303</v>
      </c>
      <c r="H25" s="4"/>
    </row>
    <row r="26" customFormat="false" ht="12.75" hidden="false" customHeight="false" outlineLevel="0" collapsed="false">
      <c r="A26" s="1" t="s">
        <v>33</v>
      </c>
      <c r="B26" s="3" t="n">
        <v>2024</v>
      </c>
      <c r="C26" s="3"/>
      <c r="D26" s="3" t="n">
        <f aca="false">+B26+C26</f>
        <v>2024</v>
      </c>
      <c r="E26" s="3"/>
      <c r="F26" s="3" t="n">
        <v>11833</v>
      </c>
      <c r="G26" s="3" t="n">
        <f aca="false">+E26+F26</f>
        <v>11833</v>
      </c>
      <c r="H26" s="3"/>
    </row>
    <row r="28" customFormat="false" ht="12.75" hidden="false" customHeight="false" outlineLevel="0" collapsed="false">
      <c r="B28" s="5" t="n">
        <f aca="false">SUM(B2:B27)</f>
        <v>362558</v>
      </c>
      <c r="E28" s="5" t="n">
        <f aca="false">SUM(E2:E27)</f>
        <v>362558</v>
      </c>
    </row>
    <row r="30" customFormat="false" ht="12.75" hidden="false" customHeight="false" outlineLevel="0" collapsed="false">
      <c r="B30" s="0" t="s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J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9.7"/>
    <col collapsed="false" customWidth="true" hidden="false" outlineLevel="0" max="5" min="3" style="0" width="7.99"/>
    <col collapsed="false" customWidth="true" hidden="false" outlineLevel="0" max="6" min="6" style="0" width="7.56"/>
    <col collapsed="false" customWidth="true" hidden="false" outlineLevel="0" max="9" min="9" style="0" width="7.99"/>
  </cols>
  <sheetData>
    <row r="1" customFormat="false" ht="21" hidden="false" customHeight="false" outlineLevel="0" collapsed="false">
      <c r="A1" s="1" t="s">
        <v>0</v>
      </c>
      <c r="B1" s="2" t="s">
        <v>1</v>
      </c>
      <c r="C1" s="1" t="s">
        <v>2</v>
      </c>
      <c r="D1" s="2" t="s">
        <v>35</v>
      </c>
      <c r="E1" s="2" t="s">
        <v>4</v>
      </c>
      <c r="F1" s="2" t="s">
        <v>5</v>
      </c>
      <c r="G1" s="1" t="s">
        <v>6</v>
      </c>
      <c r="H1" s="2" t="s">
        <v>35</v>
      </c>
      <c r="I1" s="2" t="s">
        <v>7</v>
      </c>
      <c r="J1" s="2" t="s">
        <v>8</v>
      </c>
    </row>
    <row r="2" customFormat="false" ht="12.75" hidden="false" customHeight="false" outlineLevel="0" collapsed="false">
      <c r="A2" s="1" t="s">
        <v>9</v>
      </c>
      <c r="B2" s="3" t="n">
        <f aca="false">55159+7500+35000+5000+34197+1423</f>
        <v>138279</v>
      </c>
      <c r="C2" s="3" t="n">
        <v>172764</v>
      </c>
      <c r="D2" s="3"/>
      <c r="E2" s="3" t="n">
        <f aca="false">SUM(B2:D2)</f>
        <v>311043</v>
      </c>
      <c r="F2" s="3" t="n">
        <v>1430</v>
      </c>
      <c r="G2" s="3" t="n">
        <v>10125</v>
      </c>
      <c r="H2" s="3" t="n">
        <v>162639</v>
      </c>
      <c r="I2" s="3" t="n">
        <f aca="false">SUM(F2:H2)</f>
        <v>174194</v>
      </c>
      <c r="J2" s="3" t="n">
        <f aca="false">+E2</f>
        <v>311043</v>
      </c>
    </row>
    <row r="3" customFormat="false" ht="12.75" hidden="false" customHeight="false" outlineLevel="0" collapsed="false">
      <c r="A3" s="1" t="s">
        <v>10</v>
      </c>
      <c r="B3" s="3" t="n">
        <f aca="false">150+1764</f>
        <v>1914</v>
      </c>
      <c r="C3" s="3" t="n">
        <v>4582</v>
      </c>
      <c r="D3" s="3" t="n">
        <v>9617</v>
      </c>
      <c r="E3" s="3" t="n">
        <f aca="false">SUM(B3:D3)</f>
        <v>16113</v>
      </c>
      <c r="F3" s="3" t="n">
        <v>125</v>
      </c>
      <c r="G3" s="3" t="n">
        <v>14199</v>
      </c>
      <c r="H3" s="4" t="n">
        <v>0</v>
      </c>
      <c r="I3" s="3" t="n">
        <f aca="false">SUM(F3:H3)</f>
        <v>14324</v>
      </c>
      <c r="J3" s="3" t="n">
        <f aca="false">+E3</f>
        <v>16113</v>
      </c>
    </row>
    <row r="4" customFormat="false" ht="12.75" hidden="false" customHeight="false" outlineLevel="0" collapsed="false">
      <c r="A4" s="1" t="s">
        <v>11</v>
      </c>
      <c r="B4" s="3"/>
      <c r="C4" s="3" t="n">
        <v>9278</v>
      </c>
      <c r="D4" s="3"/>
      <c r="E4" s="3" t="n">
        <f aca="false">SUM(B4:D4)</f>
        <v>9278</v>
      </c>
      <c r="F4" s="3"/>
      <c r="G4" s="3" t="n">
        <v>4617</v>
      </c>
      <c r="H4" s="4" t="n">
        <v>0</v>
      </c>
      <c r="I4" s="3" t="n">
        <f aca="false">SUM(F4:H4)</f>
        <v>4617</v>
      </c>
      <c r="J4" s="3" t="n">
        <f aca="false">+E4</f>
        <v>9278</v>
      </c>
    </row>
    <row r="5" customFormat="false" ht="12.75" hidden="false" customHeight="false" outlineLevel="0" collapsed="false">
      <c r="A5" s="1" t="s">
        <v>12</v>
      </c>
      <c r="B5" s="3" t="n">
        <v>550</v>
      </c>
      <c r="C5" s="4" t="n">
        <v>632</v>
      </c>
      <c r="D5" s="4"/>
      <c r="E5" s="3" t="n">
        <f aca="false">SUM(B5:D5)</f>
        <v>1182</v>
      </c>
      <c r="F5" s="3"/>
      <c r="G5" s="4" t="n">
        <v>0</v>
      </c>
      <c r="H5" s="4"/>
      <c r="I5" s="3" t="n">
        <f aca="false">SUM(F5:H5)</f>
        <v>0</v>
      </c>
      <c r="J5" s="3"/>
    </row>
    <row r="6" customFormat="false" ht="12.75" hidden="false" customHeight="false" outlineLevel="0" collapsed="false">
      <c r="A6" s="1" t="s">
        <v>13</v>
      </c>
      <c r="B6" s="3"/>
      <c r="C6" s="4" t="n">
        <v>0</v>
      </c>
      <c r="D6" s="4" t="n">
        <v>5000</v>
      </c>
      <c r="E6" s="3" t="n">
        <f aca="false">SUM(B6:D6)</f>
        <v>5000</v>
      </c>
      <c r="F6" s="3" t="n">
        <v>3465</v>
      </c>
      <c r="G6" s="3" t="n">
        <v>5000</v>
      </c>
      <c r="H6" s="4" t="n">
        <v>0</v>
      </c>
      <c r="I6" s="3" t="n">
        <f aca="false">SUM(F6:H6)</f>
        <v>8465</v>
      </c>
      <c r="J6" s="3"/>
    </row>
    <row r="7" customFormat="false" ht="12.75" hidden="false" customHeight="false" outlineLevel="0" collapsed="false">
      <c r="A7" s="1" t="s">
        <v>14</v>
      </c>
      <c r="B7" s="3" t="n">
        <v>16071</v>
      </c>
      <c r="C7" s="3" t="n">
        <v>150906</v>
      </c>
      <c r="D7" s="3"/>
      <c r="E7" s="3" t="n">
        <f aca="false">SUM(B7:D7)</f>
        <v>166977</v>
      </c>
      <c r="F7" s="3" t="n">
        <f aca="false">5771+10000+6000</f>
        <v>21771</v>
      </c>
      <c r="G7" s="4" t="n">
        <v>617</v>
      </c>
      <c r="H7" s="3" t="n">
        <v>150289</v>
      </c>
      <c r="I7" s="3" t="n">
        <f aca="false">SUM(F7:H7)</f>
        <v>172677</v>
      </c>
      <c r="J7" s="3" t="n">
        <f aca="false">+E7</f>
        <v>166977</v>
      </c>
    </row>
    <row r="8" customFormat="false" ht="12.75" hidden="false" customHeight="false" outlineLevel="0" collapsed="false">
      <c r="A8" s="1" t="s">
        <v>15</v>
      </c>
      <c r="B8" s="3" t="n">
        <v>23600</v>
      </c>
      <c r="C8" s="4" t="n">
        <v>0</v>
      </c>
      <c r="D8" s="4"/>
      <c r="E8" s="3" t="n">
        <f aca="false">SUM(B8:D8)</f>
        <v>23600</v>
      </c>
      <c r="F8" s="3" t="n">
        <v>22880</v>
      </c>
      <c r="G8" s="3" t="n">
        <v>1500</v>
      </c>
      <c r="H8" s="4"/>
      <c r="I8" s="3" t="n">
        <f aca="false">SUM(F8:H8)</f>
        <v>24380</v>
      </c>
      <c r="J8" s="3"/>
    </row>
    <row r="9" customFormat="false" ht="12.75" hidden="false" customHeight="false" outlineLevel="0" collapsed="false">
      <c r="A9" s="1" t="s">
        <v>16</v>
      </c>
      <c r="B9" s="3" t="n">
        <f aca="false">48212+15000+18896+20000</f>
        <v>102108</v>
      </c>
      <c r="C9" s="3" t="n">
        <v>159017</v>
      </c>
      <c r="D9" s="3" t="n">
        <v>0</v>
      </c>
      <c r="E9" s="3" t="n">
        <f aca="false">SUM(B9:D9)</f>
        <v>261125</v>
      </c>
      <c r="F9" s="3" t="n">
        <f aca="false">10000+7000</f>
        <v>17000</v>
      </c>
      <c r="G9" s="3" t="n">
        <v>25301</v>
      </c>
      <c r="H9" s="3" t="n">
        <v>163716</v>
      </c>
      <c r="I9" s="3" t="n">
        <f aca="false">SUM(F9:H9)</f>
        <v>206017</v>
      </c>
      <c r="J9" s="3" t="n">
        <f aca="false">+E9</f>
        <v>261125</v>
      </c>
    </row>
    <row r="10" customFormat="false" ht="12.75" hidden="false" customHeight="false" outlineLevel="0" collapsed="false">
      <c r="A10" s="1" t="s">
        <v>17</v>
      </c>
      <c r="B10" s="3" t="n">
        <f aca="false">3400+7300+15000</f>
        <v>25700</v>
      </c>
      <c r="C10" s="3" t="n">
        <v>23030</v>
      </c>
      <c r="D10" s="3" t="n">
        <v>154825</v>
      </c>
      <c r="E10" s="3" t="n">
        <f aca="false">SUM(B10:D10)</f>
        <v>203555</v>
      </c>
      <c r="F10" s="3" t="n">
        <f aca="false">7000+10000+11701</f>
        <v>28701</v>
      </c>
      <c r="G10" s="3" t="n">
        <v>177855</v>
      </c>
      <c r="H10" s="4"/>
      <c r="I10" s="3" t="n">
        <f aca="false">SUM(F10:H10)</f>
        <v>206556</v>
      </c>
      <c r="J10" s="3" t="n">
        <f aca="false">-I10</f>
        <v>-206556</v>
      </c>
    </row>
    <row r="11" customFormat="false" ht="12.75" hidden="false" customHeight="false" outlineLevel="0" collapsed="false">
      <c r="A11" s="1" t="s">
        <v>18</v>
      </c>
      <c r="B11" s="3" t="n">
        <f aca="false">12500+5000+7500+13000+40000</f>
        <v>78000</v>
      </c>
      <c r="C11" s="3" t="n">
        <v>168002</v>
      </c>
      <c r="D11" s="3"/>
      <c r="E11" s="3" t="n">
        <f aca="false">SUM(B11:D11)</f>
        <v>246002</v>
      </c>
      <c r="F11" s="3" t="n">
        <f aca="false">12500+10000+10000+10000</f>
        <v>42500</v>
      </c>
      <c r="G11" s="3" t="n">
        <v>68249</v>
      </c>
      <c r="H11" s="3" t="n">
        <v>99753</v>
      </c>
      <c r="I11" s="3" t="n">
        <f aca="false">SUM(F11:H11)</f>
        <v>210502</v>
      </c>
      <c r="J11" s="3"/>
    </row>
    <row r="12" customFormat="false" ht="12.75" hidden="false" customHeight="false" outlineLevel="0" collapsed="false">
      <c r="A12" s="1" t="s">
        <v>19</v>
      </c>
      <c r="B12" s="3" t="n">
        <v>1555</v>
      </c>
      <c r="C12" s="3" t="n">
        <v>7671</v>
      </c>
      <c r="D12" s="3" t="n">
        <v>141018</v>
      </c>
      <c r="E12" s="3" t="n">
        <f aca="false">SUM(B12:D12)</f>
        <v>150244</v>
      </c>
      <c r="F12" s="3" t="n">
        <v>26098</v>
      </c>
      <c r="G12" s="3" t="n">
        <v>148689</v>
      </c>
      <c r="H12" s="4"/>
      <c r="I12" s="3" t="n">
        <f aca="false">SUM(F12:H12)</f>
        <v>174787</v>
      </c>
      <c r="J12" s="3" t="n">
        <f aca="false">-I12</f>
        <v>-174787</v>
      </c>
    </row>
    <row r="13" customFormat="false" ht="12.75" hidden="false" customHeight="false" outlineLevel="0" collapsed="false">
      <c r="A13" s="1" t="s">
        <v>20</v>
      </c>
      <c r="B13" s="3"/>
      <c r="C13" s="3" t="n">
        <v>48816</v>
      </c>
      <c r="D13" s="3" t="n">
        <v>413633</v>
      </c>
      <c r="E13" s="3" t="n">
        <f aca="false">SUM(B13:D13)</f>
        <v>462449</v>
      </c>
      <c r="F13" s="3" t="n">
        <f aca="false">25000+1000+10000+30000</f>
        <v>66000</v>
      </c>
      <c r="G13" s="3" t="n">
        <v>469074</v>
      </c>
      <c r="H13" s="4" t="n">
        <v>400</v>
      </c>
      <c r="I13" s="3" t="n">
        <f aca="false">SUM(F13:H13)</f>
        <v>535474</v>
      </c>
      <c r="J13" s="3" t="n">
        <f aca="false">-I13</f>
        <v>-535474</v>
      </c>
    </row>
    <row r="14" customFormat="false" ht="12.75" hidden="false" customHeight="false" outlineLevel="0" collapsed="false">
      <c r="A14" s="1" t="s">
        <v>21</v>
      </c>
      <c r="B14" s="3" t="n">
        <f aca="false">11550+17705</f>
        <v>29255</v>
      </c>
      <c r="C14" s="3" t="n">
        <v>126558</v>
      </c>
      <c r="D14" s="3" t="n">
        <v>0</v>
      </c>
      <c r="E14" s="3" t="n">
        <f aca="false">SUM(B14:D14)</f>
        <v>155813</v>
      </c>
      <c r="F14" s="3"/>
      <c r="G14" s="3" t="n">
        <v>59472</v>
      </c>
      <c r="H14" s="3" t="n">
        <v>67086</v>
      </c>
      <c r="I14" s="3" t="n">
        <f aca="false">SUM(F14:H14)</f>
        <v>126558</v>
      </c>
      <c r="J14" s="3" t="n">
        <f aca="false">+E14</f>
        <v>155813</v>
      </c>
    </row>
    <row r="15" customFormat="false" ht="12.75" hidden="false" customHeight="false" outlineLevel="0" collapsed="false">
      <c r="A15" s="1" t="s">
        <v>22</v>
      </c>
      <c r="B15" s="3" t="n">
        <f aca="false">236+10000+580</f>
        <v>10816</v>
      </c>
      <c r="C15" s="3" t="n">
        <v>100525</v>
      </c>
      <c r="D15" s="3" t="n">
        <v>12236</v>
      </c>
      <c r="E15" s="3" t="n">
        <f aca="false">SUM(B15:D15)</f>
        <v>123577</v>
      </c>
      <c r="F15" s="3"/>
      <c r="G15" s="3" t="n">
        <v>4001</v>
      </c>
      <c r="H15" s="3" t="n">
        <v>108760</v>
      </c>
      <c r="I15" s="3" t="n">
        <f aca="false">SUM(F15:H15)</f>
        <v>112761</v>
      </c>
      <c r="J15" s="3" t="n">
        <f aca="false">+E15</f>
        <v>123577</v>
      </c>
    </row>
    <row r="16" customFormat="false" ht="12.75" hidden="false" customHeight="false" outlineLevel="0" collapsed="false">
      <c r="A16" s="1" t="s">
        <v>23</v>
      </c>
      <c r="B16" s="3"/>
      <c r="C16" s="3" t="n">
        <v>5000</v>
      </c>
      <c r="D16" s="3" t="n">
        <v>92260</v>
      </c>
      <c r="E16" s="3" t="n">
        <f aca="false">SUM(B16:D16)</f>
        <v>97260</v>
      </c>
      <c r="F16" s="3" t="n">
        <v>5000</v>
      </c>
      <c r="G16" s="3" t="n">
        <v>97260</v>
      </c>
      <c r="H16" s="4"/>
      <c r="I16" s="3" t="n">
        <f aca="false">SUM(F16:H16)</f>
        <v>102260</v>
      </c>
      <c r="J16" s="3"/>
    </row>
    <row r="17" customFormat="false" ht="12.75" hidden="false" customHeight="false" outlineLevel="0" collapsed="false">
      <c r="A17" s="1" t="s">
        <v>24</v>
      </c>
      <c r="B17" s="3"/>
      <c r="C17" s="4"/>
      <c r="D17" s="4" t="n">
        <v>0</v>
      </c>
      <c r="E17" s="3" t="n">
        <f aca="false">SUM(B17:D17)</f>
        <v>0</v>
      </c>
      <c r="F17" s="3"/>
      <c r="G17" s="4" t="n">
        <v>0</v>
      </c>
      <c r="H17" s="4" t="n">
        <v>0</v>
      </c>
      <c r="I17" s="3" t="n">
        <f aca="false">SUM(F17:H17)</f>
        <v>0</v>
      </c>
      <c r="J17" s="3" t="n">
        <f aca="false">+E17</f>
        <v>0</v>
      </c>
    </row>
    <row r="18" customFormat="false" ht="12.75" hidden="false" customHeight="false" outlineLevel="0" collapsed="false">
      <c r="A18" s="1" t="s">
        <v>25</v>
      </c>
      <c r="B18" s="3"/>
      <c r="C18" s="3" t="n">
        <v>20934</v>
      </c>
      <c r="D18" s="3" t="n">
        <v>17207</v>
      </c>
      <c r="E18" s="3" t="n">
        <f aca="false">SUM(B18:D18)</f>
        <v>38141</v>
      </c>
      <c r="F18" s="3" t="n">
        <v>7095</v>
      </c>
      <c r="G18" s="3" t="n">
        <v>35085</v>
      </c>
      <c r="H18" s="3" t="n">
        <v>12236</v>
      </c>
      <c r="I18" s="3" t="n">
        <f aca="false">SUM(F18:H18)</f>
        <v>54416</v>
      </c>
      <c r="J18" s="3"/>
    </row>
    <row r="19" customFormat="false" ht="12.75" hidden="false" customHeight="false" outlineLevel="0" collapsed="false">
      <c r="A19" s="1" t="s">
        <v>26</v>
      </c>
      <c r="B19" s="3"/>
      <c r="C19" s="4" t="n">
        <v>115</v>
      </c>
      <c r="D19" s="4" t="n">
        <v>0</v>
      </c>
      <c r="E19" s="3" t="n">
        <f aca="false">SUM(B19:D19)</f>
        <v>115</v>
      </c>
      <c r="F19" s="3" t="n">
        <v>15000</v>
      </c>
      <c r="G19" s="4" t="n">
        <v>48</v>
      </c>
      <c r="H19" s="4" t="n">
        <v>67</v>
      </c>
      <c r="I19" s="3" t="n">
        <f aca="false">SUM(F19:H19)</f>
        <v>15115</v>
      </c>
      <c r="J19" s="3"/>
    </row>
    <row r="20" customFormat="false" ht="12.75" hidden="false" customHeight="false" outlineLevel="0" collapsed="false">
      <c r="A20" s="1" t="s">
        <v>27</v>
      </c>
      <c r="B20" s="3" t="n">
        <f aca="false">130+1000+8000+3000</f>
        <v>12130</v>
      </c>
      <c r="C20" s="3" t="n">
        <v>266961</v>
      </c>
      <c r="D20" s="3" t="n">
        <v>9000</v>
      </c>
      <c r="E20" s="3" t="n">
        <f aca="false">SUM(B20:D20)</f>
        <v>288091</v>
      </c>
      <c r="F20" s="3" t="n">
        <f aca="false">10237+9000+20000+35864+10000</f>
        <v>85101</v>
      </c>
      <c r="G20" s="3" t="n">
        <v>145120</v>
      </c>
      <c r="H20" s="3" t="n">
        <v>130841</v>
      </c>
      <c r="I20" s="3" t="n">
        <f aca="false">SUM(F20:H20)</f>
        <v>361062</v>
      </c>
      <c r="J20" s="3"/>
    </row>
    <row r="21" customFormat="false" ht="12.75" hidden="false" customHeight="false" outlineLevel="0" collapsed="false">
      <c r="A21" s="1" t="s">
        <v>28</v>
      </c>
      <c r="B21" s="3"/>
      <c r="C21" s="3" t="n">
        <v>5713</v>
      </c>
      <c r="D21" s="3" t="n">
        <v>9638</v>
      </c>
      <c r="E21" s="3" t="n">
        <f aca="false">SUM(B21:D21)</f>
        <v>15351</v>
      </c>
      <c r="F21" s="3" t="n">
        <v>20708</v>
      </c>
      <c r="G21" s="3" t="n">
        <v>15351</v>
      </c>
      <c r="H21" s="4"/>
      <c r="I21" s="3" t="n">
        <f aca="false">SUM(F21:H21)</f>
        <v>36059</v>
      </c>
      <c r="J21" s="3"/>
    </row>
    <row r="22" customFormat="false" ht="12.75" hidden="false" customHeight="false" outlineLevel="0" collapsed="false">
      <c r="A22" s="1" t="s">
        <v>29</v>
      </c>
      <c r="B22" s="3" t="n">
        <v>1121</v>
      </c>
      <c r="C22" s="3" t="n">
        <v>1118</v>
      </c>
      <c r="D22" s="3" t="n">
        <v>38945</v>
      </c>
      <c r="E22" s="3" t="n">
        <f aca="false">SUM(B22:D22)</f>
        <v>41184</v>
      </c>
      <c r="F22" s="3" t="n">
        <f aca="false">20000+15000+25000+13000+5000</f>
        <v>78000</v>
      </c>
      <c r="G22" s="3" t="n">
        <v>40063</v>
      </c>
      <c r="H22" s="4" t="n">
        <v>0</v>
      </c>
      <c r="I22" s="3" t="n">
        <f aca="false">SUM(F22:H22)</f>
        <v>118063</v>
      </c>
      <c r="J22" s="3" t="n">
        <f aca="false">-I22</f>
        <v>-118063</v>
      </c>
    </row>
    <row r="23" customFormat="false" ht="12.75" hidden="false" customHeight="false" outlineLevel="0" collapsed="false">
      <c r="A23" s="1" t="s">
        <v>30</v>
      </c>
      <c r="B23" s="3"/>
      <c r="C23" s="3" t="n">
        <v>15105</v>
      </c>
      <c r="D23" s="3" t="n">
        <v>0</v>
      </c>
      <c r="E23" s="3" t="n">
        <f aca="false">SUM(B23:D23)</f>
        <v>15105</v>
      </c>
      <c r="F23" s="3"/>
      <c r="G23" s="3" t="n">
        <v>11294</v>
      </c>
      <c r="H23" s="3" t="n">
        <v>3811</v>
      </c>
      <c r="I23" s="3" t="n">
        <f aca="false">SUM(F23:H23)</f>
        <v>15105</v>
      </c>
      <c r="J23" s="3"/>
    </row>
    <row r="24" customFormat="false" ht="12.75" hidden="false" customHeight="false" outlineLevel="0" collapsed="false">
      <c r="A24" s="1" t="s">
        <v>31</v>
      </c>
      <c r="B24" s="3"/>
      <c r="C24" s="4" t="n">
        <v>1</v>
      </c>
      <c r="D24" s="4" t="n">
        <v>1500</v>
      </c>
      <c r="E24" s="3" t="n">
        <f aca="false">SUM(B24:D24)</f>
        <v>1501</v>
      </c>
      <c r="F24" s="3" t="n">
        <v>2249</v>
      </c>
      <c r="G24" s="3" t="n">
        <v>1501</v>
      </c>
      <c r="H24" s="4" t="n">
        <v>0</v>
      </c>
      <c r="I24" s="3" t="n">
        <f aca="false">SUM(F24:H24)</f>
        <v>3750</v>
      </c>
      <c r="J24" s="4"/>
    </row>
    <row r="25" customFormat="false" ht="12.75" hidden="false" customHeight="false" outlineLevel="0" collapsed="false">
      <c r="A25" s="1" t="s">
        <v>32</v>
      </c>
      <c r="B25" s="4"/>
      <c r="C25" s="4" t="n">
        <v>1</v>
      </c>
      <c r="D25" s="4"/>
      <c r="E25" s="3" t="n">
        <f aca="false">SUM(B25:D25)</f>
        <v>1</v>
      </c>
      <c r="F25" s="4"/>
      <c r="G25" s="3" t="n">
        <v>2303</v>
      </c>
      <c r="H25" s="4"/>
      <c r="I25" s="3" t="n">
        <f aca="false">SUM(F25:H25)</f>
        <v>2303</v>
      </c>
      <c r="J25" s="4"/>
    </row>
    <row r="26" customFormat="false" ht="12.75" hidden="false" customHeight="false" outlineLevel="0" collapsed="false">
      <c r="A26" s="1" t="s">
        <v>33</v>
      </c>
      <c r="B26" s="3" t="n">
        <v>2024</v>
      </c>
      <c r="C26" s="3"/>
      <c r="D26" s="3"/>
      <c r="E26" s="3" t="n">
        <f aca="false">SUM(B26:D26)</f>
        <v>2024</v>
      </c>
      <c r="F26" s="3"/>
      <c r="G26" s="3" t="n">
        <v>11833</v>
      </c>
      <c r="H26" s="4"/>
      <c r="I26" s="3" t="n">
        <f aca="false">SUM(F26:H26)</f>
        <v>11833</v>
      </c>
      <c r="J26" s="3"/>
    </row>
    <row r="28" customFormat="false" ht="12.75" hidden="false" customHeight="false" outlineLevel="0" collapsed="false">
      <c r="B28" s="5" t="n">
        <f aca="false">SUM(B2:B27)</f>
        <v>443123</v>
      </c>
      <c r="F28" s="5" t="n">
        <f aca="false">SUM(F2:F27)</f>
        <v>443123</v>
      </c>
    </row>
    <row r="30" customFormat="false" ht="12.75" hidden="false" customHeight="false" outlineLevel="0" collapsed="false">
      <c r="B30" s="0" t="s">
        <v>34</v>
      </c>
    </row>
    <row r="31" customFormat="false" ht="12.75" hidden="false" customHeight="false" outlineLevel="0" collapsed="false">
      <c r="B31" s="0" t="s">
        <v>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</cols>
  <sheetData>
    <row r="1" customFormat="false" ht="21.75" hidden="false" customHeight="false" outlineLevel="0" collapsed="false">
      <c r="A1" s="6" t="s">
        <v>0</v>
      </c>
      <c r="B1" s="7" t="s">
        <v>1</v>
      </c>
      <c r="C1" s="8" t="s">
        <v>2</v>
      </c>
      <c r="D1" s="7" t="s">
        <v>35</v>
      </c>
      <c r="E1" s="9" t="s">
        <v>4</v>
      </c>
      <c r="F1" s="7" t="s">
        <v>5</v>
      </c>
      <c r="G1" s="8" t="s">
        <v>6</v>
      </c>
      <c r="H1" s="7" t="s">
        <v>35</v>
      </c>
      <c r="I1" s="9" t="s">
        <v>7</v>
      </c>
      <c r="J1" s="10" t="s">
        <v>8</v>
      </c>
    </row>
    <row r="2" customFormat="false" ht="12.75" hidden="false" customHeight="false" outlineLevel="0" collapsed="false">
      <c r="A2" s="11" t="s">
        <v>9</v>
      </c>
      <c r="B2" s="12" t="n">
        <f aca="false">26260+55000</f>
        <v>81260</v>
      </c>
      <c r="C2" s="12" t="n">
        <v>189089</v>
      </c>
      <c r="D2" s="13"/>
      <c r="E2" s="14" t="n">
        <f aca="false">SUM(B2:D2)</f>
        <v>270349</v>
      </c>
      <c r="F2" s="15" t="n">
        <v>1423</v>
      </c>
      <c r="G2" s="12" t="n">
        <v>10120</v>
      </c>
      <c r="H2" s="13" t="n">
        <v>0</v>
      </c>
      <c r="I2" s="14" t="n">
        <f aca="false">SUM(F2:H2)</f>
        <v>11543</v>
      </c>
      <c r="J2" s="16" t="n">
        <f aca="false">+E2</f>
        <v>270349</v>
      </c>
    </row>
    <row r="3" customFormat="false" ht="12.75" hidden="false" customHeight="false" outlineLevel="0" collapsed="false">
      <c r="A3" s="11" t="s">
        <v>10</v>
      </c>
      <c r="B3" s="12" t="n">
        <v>17000</v>
      </c>
      <c r="C3" s="12" t="n">
        <v>12168</v>
      </c>
      <c r="D3" s="13" t="n">
        <v>2</v>
      </c>
      <c r="E3" s="14" t="n">
        <f aca="false">SUM(B3:D3)</f>
        <v>29170</v>
      </c>
      <c r="F3" s="15" t="n">
        <v>125</v>
      </c>
      <c r="G3" s="12" t="n">
        <v>14544</v>
      </c>
      <c r="H3" s="13" t="n">
        <v>3</v>
      </c>
      <c r="I3" s="14" t="n">
        <f aca="false">SUM(F3:H3)</f>
        <v>14672</v>
      </c>
      <c r="J3" s="16" t="n">
        <f aca="false">+E3</f>
        <v>29170</v>
      </c>
    </row>
    <row r="4" customFormat="false" ht="12.75" hidden="false" customHeight="false" outlineLevel="0" collapsed="false">
      <c r="A4" s="11" t="s">
        <v>11</v>
      </c>
      <c r="B4" s="12" t="n">
        <v>163</v>
      </c>
      <c r="C4" s="13" t="n">
        <v>852</v>
      </c>
      <c r="D4" s="13"/>
      <c r="E4" s="14" t="n">
        <f aca="false">SUM(B4:D4)</f>
        <v>1015</v>
      </c>
      <c r="F4" s="15"/>
      <c r="G4" s="12" t="n">
        <v>4115</v>
      </c>
      <c r="H4" s="13" t="n">
        <v>0</v>
      </c>
      <c r="I4" s="14" t="n">
        <f aca="false">SUM(F4:H4)</f>
        <v>4115</v>
      </c>
      <c r="J4" s="16" t="n">
        <f aca="false">+E4</f>
        <v>1015</v>
      </c>
    </row>
    <row r="5" customFormat="false" ht="12.75" hidden="false" customHeight="false" outlineLevel="0" collapsed="false">
      <c r="A5" s="11" t="s">
        <v>12</v>
      </c>
      <c r="B5" s="12"/>
      <c r="C5" s="13" t="n">
        <v>521</v>
      </c>
      <c r="D5" s="13"/>
      <c r="E5" s="14" t="n">
        <f aca="false">SUM(B5:D5)</f>
        <v>521</v>
      </c>
      <c r="F5" s="15"/>
      <c r="G5" s="13" t="n">
        <v>0</v>
      </c>
      <c r="H5" s="12" t="n">
        <v>10812</v>
      </c>
      <c r="I5" s="14" t="n">
        <f aca="false">SUM(F5:H5)</f>
        <v>10812</v>
      </c>
      <c r="J5" s="16"/>
    </row>
    <row r="6" customFormat="false" ht="12.75" hidden="false" customHeight="false" outlineLevel="0" collapsed="false">
      <c r="A6" s="11" t="s">
        <v>13</v>
      </c>
      <c r="B6" s="12"/>
      <c r="C6" s="13" t="n">
        <v>0</v>
      </c>
      <c r="D6" s="13" t="n">
        <v>0</v>
      </c>
      <c r="E6" s="14" t="n">
        <f aca="false">SUM(B6:D6)</f>
        <v>0</v>
      </c>
      <c r="F6" s="15" t="n">
        <v>29427</v>
      </c>
      <c r="G6" s="12" t="n">
        <v>5000</v>
      </c>
      <c r="H6" s="13" t="n">
        <v>0</v>
      </c>
      <c r="I6" s="14" t="n">
        <f aca="false">SUM(F6:H6)</f>
        <v>34427</v>
      </c>
      <c r="J6" s="16"/>
    </row>
    <row r="7" customFormat="false" ht="12.75" hidden="false" customHeight="false" outlineLevel="0" collapsed="false">
      <c r="A7" s="11" t="s">
        <v>14</v>
      </c>
      <c r="B7" s="12" t="n">
        <f aca="false">5984+26000</f>
        <v>31984</v>
      </c>
      <c r="C7" s="12" t="n">
        <v>155540</v>
      </c>
      <c r="D7" s="13"/>
      <c r="E7" s="14" t="n">
        <f aca="false">SUM(B7:D7)</f>
        <v>187524</v>
      </c>
      <c r="F7" s="15" t="n">
        <f aca="false">5684+10000</f>
        <v>15684</v>
      </c>
      <c r="G7" s="13" t="n">
        <v>704</v>
      </c>
      <c r="H7" s="13" t="n">
        <v>0</v>
      </c>
      <c r="I7" s="14" t="n">
        <f aca="false">SUM(F7:H7)</f>
        <v>16388</v>
      </c>
      <c r="J7" s="16" t="n">
        <f aca="false">+E7</f>
        <v>187524</v>
      </c>
    </row>
    <row r="8" customFormat="false" ht="12.75" hidden="false" customHeight="false" outlineLevel="0" collapsed="false">
      <c r="A8" s="11" t="s">
        <v>15</v>
      </c>
      <c r="B8" s="12" t="n">
        <v>26729</v>
      </c>
      <c r="C8" s="13" t="n">
        <v>0</v>
      </c>
      <c r="D8" s="13"/>
      <c r="E8" s="14" t="n">
        <f aca="false">SUM(B8:D8)</f>
        <v>26729</v>
      </c>
      <c r="F8" s="15" t="n">
        <v>26729</v>
      </c>
      <c r="G8" s="12" t="n">
        <v>1500</v>
      </c>
      <c r="H8" s="13"/>
      <c r="I8" s="14" t="n">
        <f aca="false">SUM(F8:H8)</f>
        <v>28229</v>
      </c>
      <c r="J8" s="16"/>
    </row>
    <row r="9" customFormat="false" ht="12.75" hidden="false" customHeight="false" outlineLevel="0" collapsed="false">
      <c r="A9" s="11" t="s">
        <v>16</v>
      </c>
      <c r="B9" s="12" t="n">
        <f aca="false">1814+91500</f>
        <v>93314</v>
      </c>
      <c r="C9" s="12" t="n">
        <v>159691</v>
      </c>
      <c r="D9" s="13" t="n">
        <v>0</v>
      </c>
      <c r="E9" s="14" t="n">
        <f aca="false">SUM(B9:D9)</f>
        <v>253005</v>
      </c>
      <c r="F9" s="15"/>
      <c r="G9" s="13" t="n">
        <v>300</v>
      </c>
      <c r="H9" s="13" t="n">
        <v>0</v>
      </c>
      <c r="I9" s="14" t="n">
        <f aca="false">SUM(F9:H9)</f>
        <v>300</v>
      </c>
      <c r="J9" s="16" t="n">
        <f aca="false">+E9</f>
        <v>253005</v>
      </c>
    </row>
    <row r="10" customFormat="false" ht="12.75" hidden="false" customHeight="false" outlineLevel="0" collapsed="false">
      <c r="A10" s="11" t="s">
        <v>17</v>
      </c>
      <c r="B10" s="12" t="n">
        <f aca="false">2840+6300</f>
        <v>9140</v>
      </c>
      <c r="C10" s="12" t="n">
        <v>39563</v>
      </c>
      <c r="D10" s="13" t="n">
        <v>0</v>
      </c>
      <c r="E10" s="14" t="n">
        <f aca="false">SUM(B10:D10)</f>
        <v>48703</v>
      </c>
      <c r="F10" s="15" t="n">
        <v>49500</v>
      </c>
      <c r="G10" s="12" t="n">
        <v>143455</v>
      </c>
      <c r="H10" s="13"/>
      <c r="I10" s="14" t="n">
        <f aca="false">SUM(F10:H10)</f>
        <v>192955</v>
      </c>
      <c r="J10" s="16" t="n">
        <f aca="false">-I10</f>
        <v>-192955</v>
      </c>
    </row>
    <row r="11" customFormat="false" ht="12.75" hidden="false" customHeight="false" outlineLevel="0" collapsed="false">
      <c r="A11" s="11" t="s">
        <v>18</v>
      </c>
      <c r="B11" s="12" t="n">
        <v>9900</v>
      </c>
      <c r="C11" s="12" t="n">
        <v>170184</v>
      </c>
      <c r="D11" s="13" t="n">
        <v>2</v>
      </c>
      <c r="E11" s="14" t="n">
        <f aca="false">SUM(B11:D11)</f>
        <v>180086</v>
      </c>
      <c r="F11" s="15" t="n">
        <f aca="false">9900+20000</f>
        <v>29900</v>
      </c>
      <c r="G11" s="12" t="n">
        <v>65326</v>
      </c>
      <c r="H11" s="13" t="n">
        <v>63</v>
      </c>
      <c r="I11" s="14" t="n">
        <f aca="false">SUM(F11:H11)</f>
        <v>95289</v>
      </c>
      <c r="J11" s="16"/>
    </row>
    <row r="12" customFormat="false" ht="12.75" hidden="false" customHeight="false" outlineLevel="0" collapsed="false">
      <c r="A12" s="11" t="s">
        <v>19</v>
      </c>
      <c r="B12" s="12" t="n">
        <v>1534</v>
      </c>
      <c r="C12" s="12" t="n">
        <v>12788</v>
      </c>
      <c r="D12" s="13" t="n">
        <v>0</v>
      </c>
      <c r="E12" s="14" t="n">
        <f aca="false">SUM(B12:D12)</f>
        <v>14322</v>
      </c>
      <c r="F12" s="15" t="n">
        <v>1790</v>
      </c>
      <c r="G12" s="12" t="n">
        <v>148345</v>
      </c>
      <c r="H12" s="13"/>
      <c r="I12" s="14" t="n">
        <f aca="false">SUM(F12:H12)</f>
        <v>150135</v>
      </c>
      <c r="J12" s="16" t="n">
        <f aca="false">-I12</f>
        <v>-150135</v>
      </c>
    </row>
    <row r="13" customFormat="false" ht="12.75" hidden="false" customHeight="false" outlineLevel="0" collapsed="false">
      <c r="A13" s="11" t="s">
        <v>20</v>
      </c>
      <c r="B13" s="12"/>
      <c r="C13" s="12" t="n">
        <v>58256</v>
      </c>
      <c r="D13" s="13" t="n">
        <v>0</v>
      </c>
      <c r="E13" s="14" t="n">
        <f aca="false">SUM(B13:D13)</f>
        <v>58256</v>
      </c>
      <c r="F13" s="15" t="n">
        <f aca="false">25000+62500</f>
        <v>87500</v>
      </c>
      <c r="G13" s="12" t="n">
        <v>447325</v>
      </c>
      <c r="H13" s="13" t="n">
        <v>400</v>
      </c>
      <c r="I13" s="14" t="n">
        <f aca="false">SUM(F13:H13)</f>
        <v>535225</v>
      </c>
      <c r="J13" s="16" t="n">
        <f aca="false">-I13</f>
        <v>-535225</v>
      </c>
    </row>
    <row r="14" customFormat="false" ht="12.75" hidden="false" customHeight="false" outlineLevel="0" collapsed="false">
      <c r="A14" s="11" t="s">
        <v>21</v>
      </c>
      <c r="B14" s="12" t="n">
        <v>25000</v>
      </c>
      <c r="C14" s="12" t="n">
        <v>139310</v>
      </c>
      <c r="D14" s="13" t="n">
        <v>0</v>
      </c>
      <c r="E14" s="14" t="n">
        <f aca="false">SUM(B14:D14)</f>
        <v>164310</v>
      </c>
      <c r="F14" s="15" t="n">
        <v>60000</v>
      </c>
      <c r="G14" s="12" t="n">
        <v>109495</v>
      </c>
      <c r="H14" s="13" t="n">
        <v>0</v>
      </c>
      <c r="I14" s="14" t="n">
        <f aca="false">SUM(F14:H14)</f>
        <v>169495</v>
      </c>
      <c r="J14" s="16" t="n">
        <f aca="false">+E14</f>
        <v>164310</v>
      </c>
    </row>
    <row r="15" customFormat="false" ht="12.75" hidden="false" customHeight="false" outlineLevel="0" collapsed="false">
      <c r="A15" s="11" t="s">
        <v>22</v>
      </c>
      <c r="B15" s="12" t="n">
        <f aca="false">409+51000</f>
        <v>51409</v>
      </c>
      <c r="C15" s="12" t="n">
        <v>122000</v>
      </c>
      <c r="D15" s="13" t="n">
        <v>0</v>
      </c>
      <c r="E15" s="14" t="n">
        <f aca="false">SUM(B15:D15)</f>
        <v>173409</v>
      </c>
      <c r="F15" s="15"/>
      <c r="G15" s="12" t="n">
        <v>30001</v>
      </c>
      <c r="H15" s="13" t="n">
        <v>0</v>
      </c>
      <c r="I15" s="14" t="n">
        <f aca="false">SUM(F15:H15)</f>
        <v>30001</v>
      </c>
      <c r="J15" s="16" t="n">
        <f aca="false">+E15</f>
        <v>173409</v>
      </c>
    </row>
    <row r="16" customFormat="false" ht="12.75" hidden="false" customHeight="false" outlineLevel="0" collapsed="false">
      <c r="A16" s="11" t="s">
        <v>23</v>
      </c>
      <c r="B16" s="12"/>
      <c r="C16" s="13" t="n">
        <v>0</v>
      </c>
      <c r="D16" s="13" t="n">
        <v>0</v>
      </c>
      <c r="E16" s="14" t="n">
        <f aca="false">SUM(B16:D16)</f>
        <v>0</v>
      </c>
      <c r="F16" s="15" t="n">
        <v>25000</v>
      </c>
      <c r="G16" s="12" t="n">
        <v>71260</v>
      </c>
      <c r="H16" s="13"/>
      <c r="I16" s="14" t="n">
        <f aca="false">SUM(F16:H16)</f>
        <v>96260</v>
      </c>
      <c r="J16" s="16"/>
    </row>
    <row r="17" customFormat="false" ht="12.75" hidden="false" customHeight="false" outlineLevel="0" collapsed="false">
      <c r="A17" s="11" t="s">
        <v>24</v>
      </c>
      <c r="B17" s="12"/>
      <c r="C17" s="13"/>
      <c r="D17" s="13" t="n">
        <v>0</v>
      </c>
      <c r="E17" s="14" t="n">
        <f aca="false">SUM(B17:D17)</f>
        <v>0</v>
      </c>
      <c r="F17" s="15"/>
      <c r="G17" s="12" t="n">
        <v>25000</v>
      </c>
      <c r="H17" s="13" t="n">
        <v>0</v>
      </c>
      <c r="I17" s="14" t="n">
        <f aca="false">SUM(F17:H17)</f>
        <v>25000</v>
      </c>
      <c r="J17" s="16" t="n">
        <f aca="false">+E17</f>
        <v>0</v>
      </c>
    </row>
    <row r="18" customFormat="false" ht="12.75" hidden="false" customHeight="false" outlineLevel="0" collapsed="false">
      <c r="A18" s="11" t="s">
        <v>25</v>
      </c>
      <c r="B18" s="12" t="n">
        <v>87781</v>
      </c>
      <c r="C18" s="12" t="n">
        <v>402153</v>
      </c>
      <c r="D18" s="13" t="n">
        <v>0</v>
      </c>
      <c r="E18" s="14" t="n">
        <f aca="false">SUM(B18:D18)</f>
        <v>489934</v>
      </c>
      <c r="F18" s="15" t="n">
        <f aca="false">1248+8000</f>
        <v>9248</v>
      </c>
      <c r="G18" s="12" t="n">
        <v>33766</v>
      </c>
      <c r="H18" s="13" t="n">
        <v>0</v>
      </c>
      <c r="I18" s="14" t="n">
        <f aca="false">SUM(F18:H18)</f>
        <v>43014</v>
      </c>
      <c r="J18" s="16"/>
    </row>
    <row r="19" customFormat="false" ht="12.75" hidden="false" customHeight="false" outlineLevel="0" collapsed="false">
      <c r="A19" s="11" t="s">
        <v>26</v>
      </c>
      <c r="B19" s="12"/>
      <c r="C19" s="13" t="n">
        <v>0</v>
      </c>
      <c r="D19" s="13" t="n">
        <v>0</v>
      </c>
      <c r="E19" s="14" t="n">
        <f aca="false">SUM(B19:D19)</f>
        <v>0</v>
      </c>
      <c r="F19" s="15" t="n">
        <v>10000</v>
      </c>
      <c r="G19" s="13" t="n">
        <v>48</v>
      </c>
      <c r="H19" s="13" t="n">
        <v>0</v>
      </c>
      <c r="I19" s="14" t="n">
        <f aca="false">SUM(F19:H19)</f>
        <v>10048</v>
      </c>
      <c r="J19" s="16"/>
    </row>
    <row r="20" customFormat="false" ht="12.75" hidden="false" customHeight="false" outlineLevel="0" collapsed="false">
      <c r="A20" s="11" t="s">
        <v>27</v>
      </c>
      <c r="B20" s="12" t="n">
        <f aca="false">132+3000</f>
        <v>3132</v>
      </c>
      <c r="C20" s="12" t="n">
        <v>217134</v>
      </c>
      <c r="D20" s="13"/>
      <c r="E20" s="14" t="n">
        <f aca="false">SUM(B20:D20)</f>
        <v>220266</v>
      </c>
      <c r="F20" s="15" t="n">
        <f aca="false">512+38800</f>
        <v>39312</v>
      </c>
      <c r="G20" s="12" t="n">
        <v>154120</v>
      </c>
      <c r="H20" s="13" t="n">
        <v>0</v>
      </c>
      <c r="I20" s="14" t="n">
        <f aca="false">SUM(F20:H20)</f>
        <v>193432</v>
      </c>
      <c r="J20" s="16"/>
    </row>
    <row r="21" customFormat="false" ht="12.75" hidden="false" customHeight="false" outlineLevel="0" collapsed="false">
      <c r="A21" s="11" t="s">
        <v>28</v>
      </c>
      <c r="B21" s="12"/>
      <c r="C21" s="12" t="n">
        <v>4154</v>
      </c>
      <c r="D21" s="13" t="n">
        <v>0</v>
      </c>
      <c r="E21" s="14" t="n">
        <f aca="false">SUM(B21:D21)</f>
        <v>4154</v>
      </c>
      <c r="F21" s="15" t="n">
        <v>769</v>
      </c>
      <c r="G21" s="12" t="n">
        <v>20351</v>
      </c>
      <c r="H21" s="13"/>
      <c r="I21" s="14" t="n">
        <f aca="false">SUM(F21:H21)</f>
        <v>21120</v>
      </c>
      <c r="J21" s="16"/>
    </row>
    <row r="22" customFormat="false" ht="12.75" hidden="false" customHeight="false" outlineLevel="0" collapsed="false">
      <c r="A22" s="11" t="s">
        <v>29</v>
      </c>
      <c r="B22" s="12" t="n">
        <v>1067</v>
      </c>
      <c r="C22" s="12" t="n">
        <v>2081</v>
      </c>
      <c r="D22" s="13" t="n">
        <v>0</v>
      </c>
      <c r="E22" s="14" t="n">
        <f aca="false">SUM(B22:D22)</f>
        <v>3148</v>
      </c>
      <c r="F22" s="15" t="n">
        <v>51000</v>
      </c>
      <c r="G22" s="12" t="n">
        <v>36063</v>
      </c>
      <c r="H22" s="13" t="n">
        <v>0</v>
      </c>
      <c r="I22" s="14" t="n">
        <f aca="false">SUM(F22:H22)</f>
        <v>87063</v>
      </c>
      <c r="J22" s="16" t="n">
        <f aca="false">-I22</f>
        <v>-87063</v>
      </c>
    </row>
    <row r="23" customFormat="false" ht="12.75" hidden="false" customHeight="false" outlineLevel="0" collapsed="false">
      <c r="A23" s="11" t="s">
        <v>30</v>
      </c>
      <c r="B23" s="12"/>
      <c r="C23" s="12" t="n">
        <v>17872</v>
      </c>
      <c r="D23" s="13" t="n">
        <v>0</v>
      </c>
      <c r="E23" s="14" t="n">
        <f aca="false">SUM(B23:D23)</f>
        <v>17872</v>
      </c>
      <c r="F23" s="15"/>
      <c r="G23" s="12" t="n">
        <v>14805</v>
      </c>
      <c r="H23" s="13" t="n">
        <v>0</v>
      </c>
      <c r="I23" s="14" t="n">
        <f aca="false">SUM(F23:H23)</f>
        <v>14805</v>
      </c>
      <c r="J23" s="16"/>
    </row>
    <row r="24" customFormat="false" ht="12.75" hidden="false" customHeight="false" outlineLevel="0" collapsed="false">
      <c r="A24" s="11" t="s">
        <v>31</v>
      </c>
      <c r="B24" s="12"/>
      <c r="C24" s="13" t="n">
        <v>1</v>
      </c>
      <c r="D24" s="13" t="n">
        <v>0</v>
      </c>
      <c r="E24" s="14" t="n">
        <f aca="false">SUM(B24:D24)</f>
        <v>1</v>
      </c>
      <c r="F24" s="15" t="n">
        <v>2006</v>
      </c>
      <c r="G24" s="12" t="n">
        <v>1501</v>
      </c>
      <c r="H24" s="13" t="n">
        <v>0</v>
      </c>
      <c r="I24" s="14" t="n">
        <f aca="false">SUM(F24:H24)</f>
        <v>3507</v>
      </c>
      <c r="J24" s="17"/>
    </row>
    <row r="25" customFormat="false" ht="12.75" hidden="false" customHeight="false" outlineLevel="0" collapsed="false">
      <c r="A25" s="11" t="s">
        <v>32</v>
      </c>
      <c r="B25" s="13"/>
      <c r="C25" s="13" t="n">
        <v>1</v>
      </c>
      <c r="D25" s="13"/>
      <c r="E25" s="14" t="n">
        <f aca="false">SUM(B25:D25)</f>
        <v>1</v>
      </c>
      <c r="F25" s="18"/>
      <c r="G25" s="13" t="n">
        <v>311</v>
      </c>
      <c r="H25" s="13"/>
      <c r="I25" s="14" t="n">
        <f aca="false">SUM(F25:H25)</f>
        <v>311</v>
      </c>
      <c r="J25" s="17"/>
    </row>
    <row r="26" customFormat="false" ht="12.75" hidden="false" customHeight="false" outlineLevel="0" collapsed="false">
      <c r="A26" s="19" t="s">
        <v>33</v>
      </c>
      <c r="B26" s="20"/>
      <c r="C26" s="21"/>
      <c r="D26" s="21"/>
      <c r="E26" s="22" t="n">
        <f aca="false">SUM(B26:D26)</f>
        <v>0</v>
      </c>
      <c r="F26" s="23"/>
      <c r="G26" s="20" t="n">
        <v>11618</v>
      </c>
      <c r="H26" s="21"/>
      <c r="I26" s="22" t="n">
        <f aca="false">SUM(F26:H26)</f>
        <v>11618</v>
      </c>
      <c r="J26" s="24"/>
    </row>
    <row r="27" customFormat="false" ht="12.75" hidden="false" customHeight="false" outlineLevel="0" collapsed="false">
      <c r="A27" s="25"/>
      <c r="B27" s="26"/>
      <c r="C27" s="26"/>
      <c r="D27" s="26"/>
      <c r="E27" s="27"/>
      <c r="F27" s="25"/>
      <c r="G27" s="26"/>
      <c r="H27" s="26"/>
      <c r="I27" s="26"/>
      <c r="J27" s="27"/>
    </row>
    <row r="28" customFormat="false" ht="13.5" hidden="false" customHeight="false" outlineLevel="0" collapsed="false">
      <c r="A28" s="28" t="s">
        <v>37</v>
      </c>
      <c r="B28" s="29" t="n">
        <f aca="false">SUM(B2:B27)</f>
        <v>439413</v>
      </c>
      <c r="C28" s="30"/>
      <c r="D28" s="30"/>
      <c r="E28" s="31"/>
      <c r="F28" s="32" t="n">
        <f aca="false">SUM(F2:F27)</f>
        <v>439413</v>
      </c>
      <c r="G28" s="30"/>
      <c r="H28" s="30"/>
      <c r="I28" s="30"/>
      <c r="J28" s="31"/>
    </row>
    <row r="29" customFormat="false" ht="12.75" hidden="false" customHeight="false" outlineLevel="0" collapsed="false">
      <c r="G29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</cols>
  <sheetData>
    <row r="1" customFormat="false" ht="21.75" hidden="false" customHeight="false" outlineLevel="0" collapsed="false">
      <c r="A1" s="6" t="s">
        <v>0</v>
      </c>
      <c r="B1" s="7" t="s">
        <v>1</v>
      </c>
      <c r="C1" s="8" t="s">
        <v>2</v>
      </c>
      <c r="D1" s="7" t="s">
        <v>35</v>
      </c>
      <c r="E1" s="9" t="s">
        <v>4</v>
      </c>
      <c r="F1" s="7" t="s">
        <v>5</v>
      </c>
      <c r="G1" s="8" t="s">
        <v>6</v>
      </c>
      <c r="H1" s="7" t="s">
        <v>35</v>
      </c>
      <c r="I1" s="9" t="s">
        <v>7</v>
      </c>
      <c r="J1" s="10" t="s">
        <v>8</v>
      </c>
    </row>
    <row r="2" customFormat="false" ht="12.75" hidden="false" customHeight="false" outlineLevel="0" collapsed="false">
      <c r="A2" s="11" t="s">
        <v>9</v>
      </c>
      <c r="B2" s="12" t="n">
        <f aca="false">26260+55000</f>
        <v>81260</v>
      </c>
      <c r="C2" s="12" t="n">
        <v>189089</v>
      </c>
      <c r="D2" s="13"/>
      <c r="E2" s="14" t="n">
        <f aca="false">SUM(B2:D2)</f>
        <v>270349</v>
      </c>
      <c r="F2" s="15" t="n">
        <v>1423</v>
      </c>
      <c r="G2" s="12" t="n">
        <v>10120</v>
      </c>
      <c r="H2" s="13" t="n">
        <v>0</v>
      </c>
      <c r="I2" s="14" t="n">
        <f aca="false">SUM(F2:H2)</f>
        <v>11543</v>
      </c>
      <c r="J2" s="16" t="n">
        <f aca="false">+E2</f>
        <v>270349</v>
      </c>
    </row>
    <row r="3" customFormat="false" ht="12.75" hidden="false" customHeight="false" outlineLevel="0" collapsed="false">
      <c r="A3" s="11" t="s">
        <v>10</v>
      </c>
      <c r="B3" s="12" t="n">
        <v>17000</v>
      </c>
      <c r="C3" s="12" t="n">
        <v>12168</v>
      </c>
      <c r="D3" s="13" t="n">
        <v>2</v>
      </c>
      <c r="E3" s="14" t="n">
        <f aca="false">SUM(B3:D3)</f>
        <v>29170</v>
      </c>
      <c r="F3" s="15" t="n">
        <v>125</v>
      </c>
      <c r="G3" s="12" t="n">
        <v>14544</v>
      </c>
      <c r="H3" s="13" t="n">
        <v>3</v>
      </c>
      <c r="I3" s="14" t="n">
        <f aca="false">SUM(F3:H3)</f>
        <v>14672</v>
      </c>
      <c r="J3" s="16" t="n">
        <f aca="false">+E3</f>
        <v>29170</v>
      </c>
    </row>
    <row r="4" customFormat="false" ht="12.75" hidden="false" customHeight="false" outlineLevel="0" collapsed="false">
      <c r="A4" s="11" t="s">
        <v>11</v>
      </c>
      <c r="B4" s="12" t="n">
        <v>163</v>
      </c>
      <c r="C4" s="13" t="n">
        <v>852</v>
      </c>
      <c r="D4" s="13"/>
      <c r="E4" s="14" t="n">
        <f aca="false">SUM(B4:D4)</f>
        <v>1015</v>
      </c>
      <c r="F4" s="15"/>
      <c r="G4" s="12" t="n">
        <v>4115</v>
      </c>
      <c r="H4" s="13" t="n">
        <v>0</v>
      </c>
      <c r="I4" s="14" t="n">
        <f aca="false">SUM(F4:H4)</f>
        <v>4115</v>
      </c>
      <c r="J4" s="16" t="n">
        <f aca="false">+E4</f>
        <v>1015</v>
      </c>
    </row>
    <row r="5" customFormat="false" ht="12.75" hidden="false" customHeight="false" outlineLevel="0" collapsed="false">
      <c r="A5" s="11" t="s">
        <v>12</v>
      </c>
      <c r="B5" s="12"/>
      <c r="C5" s="13" t="n">
        <v>521</v>
      </c>
      <c r="D5" s="13"/>
      <c r="E5" s="14" t="n">
        <f aca="false">SUM(B5:D5)</f>
        <v>521</v>
      </c>
      <c r="F5" s="15"/>
      <c r="G5" s="13" t="n">
        <v>0</v>
      </c>
      <c r="H5" s="12" t="n">
        <v>10812</v>
      </c>
      <c r="I5" s="14" t="n">
        <f aca="false">SUM(F5:H5)</f>
        <v>10812</v>
      </c>
      <c r="J5" s="16"/>
    </row>
    <row r="6" customFormat="false" ht="12.75" hidden="false" customHeight="false" outlineLevel="0" collapsed="false">
      <c r="A6" s="11" t="s">
        <v>13</v>
      </c>
      <c r="B6" s="12"/>
      <c r="C6" s="13" t="n">
        <v>0</v>
      </c>
      <c r="D6" s="13" t="n">
        <v>0</v>
      </c>
      <c r="E6" s="14" t="n">
        <f aca="false">SUM(B6:D6)</f>
        <v>0</v>
      </c>
      <c r="F6" s="15" t="n">
        <v>29427</v>
      </c>
      <c r="G6" s="12" t="n">
        <v>5000</v>
      </c>
      <c r="H6" s="13" t="n">
        <v>0</v>
      </c>
      <c r="I6" s="14" t="n">
        <f aca="false">SUM(F6:H6)</f>
        <v>34427</v>
      </c>
      <c r="J6" s="16"/>
    </row>
    <row r="7" customFormat="false" ht="12.75" hidden="false" customHeight="false" outlineLevel="0" collapsed="false">
      <c r="A7" s="11" t="s">
        <v>14</v>
      </c>
      <c r="B7" s="12" t="n">
        <f aca="false">5984+26000</f>
        <v>31984</v>
      </c>
      <c r="C7" s="12" t="n">
        <v>155540</v>
      </c>
      <c r="D7" s="13"/>
      <c r="E7" s="14" t="n">
        <f aca="false">SUM(B7:D7)</f>
        <v>187524</v>
      </c>
      <c r="F7" s="15" t="n">
        <f aca="false">5684+10000+10500</f>
        <v>26184</v>
      </c>
      <c r="G7" s="13" t="n">
        <v>704</v>
      </c>
      <c r="H7" s="13" t="n">
        <v>0</v>
      </c>
      <c r="I7" s="14" t="n">
        <f aca="false">SUM(F7:H7)</f>
        <v>26888</v>
      </c>
      <c r="J7" s="16" t="n">
        <f aca="false">+E7</f>
        <v>187524</v>
      </c>
    </row>
    <row r="8" customFormat="false" ht="12.75" hidden="false" customHeight="false" outlineLevel="0" collapsed="false">
      <c r="A8" s="11" t="s">
        <v>15</v>
      </c>
      <c r="B8" s="12" t="n">
        <v>26729</v>
      </c>
      <c r="C8" s="13" t="n">
        <v>0</v>
      </c>
      <c r="D8" s="13"/>
      <c r="E8" s="14" t="n">
        <f aca="false">SUM(B8:D8)</f>
        <v>26729</v>
      </c>
      <c r="F8" s="15" t="n">
        <v>26729</v>
      </c>
      <c r="G8" s="12" t="n">
        <v>1500</v>
      </c>
      <c r="H8" s="13"/>
      <c r="I8" s="14" t="n">
        <f aca="false">SUM(F8:H8)</f>
        <v>28229</v>
      </c>
      <c r="J8" s="16"/>
    </row>
    <row r="9" customFormat="false" ht="12.75" hidden="false" customHeight="false" outlineLevel="0" collapsed="false">
      <c r="A9" s="11" t="s">
        <v>16</v>
      </c>
      <c r="B9" s="12" t="n">
        <f aca="false">1814+91500+4500+15000</f>
        <v>112814</v>
      </c>
      <c r="C9" s="12" t="n">
        <v>159691</v>
      </c>
      <c r="D9" s="13" t="n">
        <v>0</v>
      </c>
      <c r="E9" s="14" t="n">
        <f aca="false">SUM(B9:D9)</f>
        <v>272505</v>
      </c>
      <c r="F9" s="15" t="n">
        <v>15000</v>
      </c>
      <c r="G9" s="13" t="n">
        <v>300</v>
      </c>
      <c r="H9" s="13" t="n">
        <v>0</v>
      </c>
      <c r="I9" s="14" t="n">
        <f aca="false">SUM(F9:H9)</f>
        <v>15300</v>
      </c>
      <c r="J9" s="16" t="n">
        <f aca="false">+E9</f>
        <v>272505</v>
      </c>
    </row>
    <row r="10" customFormat="false" ht="12.75" hidden="false" customHeight="false" outlineLevel="0" collapsed="false">
      <c r="A10" s="11" t="s">
        <v>17</v>
      </c>
      <c r="B10" s="12" t="n">
        <f aca="false">2840+6300</f>
        <v>9140</v>
      </c>
      <c r="C10" s="12" t="n">
        <v>39563</v>
      </c>
      <c r="D10" s="13" t="n">
        <v>0</v>
      </c>
      <c r="E10" s="14" t="n">
        <f aca="false">SUM(B10:D10)</f>
        <v>48703</v>
      </c>
      <c r="F10" s="15" t="n">
        <v>49500</v>
      </c>
      <c r="G10" s="12" t="n">
        <v>143455</v>
      </c>
      <c r="H10" s="13"/>
      <c r="I10" s="14" t="n">
        <f aca="false">SUM(F10:H10)</f>
        <v>192955</v>
      </c>
      <c r="J10" s="16" t="n">
        <f aca="false">-I10</f>
        <v>-192955</v>
      </c>
    </row>
    <row r="11" customFormat="false" ht="12.75" hidden="false" customHeight="false" outlineLevel="0" collapsed="false">
      <c r="A11" s="11" t="s">
        <v>18</v>
      </c>
      <c r="B11" s="12" t="n">
        <v>9900</v>
      </c>
      <c r="C11" s="12" t="n">
        <v>170184</v>
      </c>
      <c r="D11" s="13" t="n">
        <v>2</v>
      </c>
      <c r="E11" s="14" t="n">
        <f aca="false">SUM(B11:D11)</f>
        <v>180086</v>
      </c>
      <c r="F11" s="15" t="n">
        <f aca="false">9900+20000+10000+4000</f>
        <v>43900</v>
      </c>
      <c r="G11" s="12" t="n">
        <v>65326</v>
      </c>
      <c r="H11" s="13" t="n">
        <v>63</v>
      </c>
      <c r="I11" s="14" t="n">
        <f aca="false">SUM(F11:H11)</f>
        <v>109289</v>
      </c>
      <c r="J11" s="16"/>
    </row>
    <row r="12" customFormat="false" ht="12.75" hidden="false" customHeight="false" outlineLevel="0" collapsed="false">
      <c r="A12" s="11" t="s">
        <v>19</v>
      </c>
      <c r="B12" s="12" t="n">
        <v>1534</v>
      </c>
      <c r="C12" s="12" t="n">
        <v>12788</v>
      </c>
      <c r="D12" s="13" t="n">
        <v>0</v>
      </c>
      <c r="E12" s="14" t="n">
        <f aca="false">SUM(B12:D12)</f>
        <v>14322</v>
      </c>
      <c r="F12" s="15" t="n">
        <v>1790</v>
      </c>
      <c r="G12" s="12" t="n">
        <v>148345</v>
      </c>
      <c r="H12" s="13"/>
      <c r="I12" s="14" t="n">
        <f aca="false">SUM(F12:H12)</f>
        <v>150135</v>
      </c>
      <c r="J12" s="16" t="n">
        <f aca="false">-I12</f>
        <v>-150135</v>
      </c>
    </row>
    <row r="13" customFormat="false" ht="12.75" hidden="false" customHeight="false" outlineLevel="0" collapsed="false">
      <c r="A13" s="11" t="s">
        <v>20</v>
      </c>
      <c r="B13" s="12"/>
      <c r="C13" s="12" t="n">
        <v>58256</v>
      </c>
      <c r="D13" s="13" t="n">
        <v>0</v>
      </c>
      <c r="E13" s="14" t="n">
        <f aca="false">SUM(B13:D13)</f>
        <v>58256</v>
      </c>
      <c r="F13" s="15" t="n">
        <f aca="false">25000+62500</f>
        <v>87500</v>
      </c>
      <c r="G13" s="12" t="n">
        <v>447325</v>
      </c>
      <c r="H13" s="13" t="n">
        <v>400</v>
      </c>
      <c r="I13" s="14" t="n">
        <f aca="false">SUM(F13:H13)</f>
        <v>535225</v>
      </c>
      <c r="J13" s="16" t="n">
        <f aca="false">-I13</f>
        <v>-535225</v>
      </c>
    </row>
    <row r="14" customFormat="false" ht="12.75" hidden="false" customHeight="false" outlineLevel="0" collapsed="false">
      <c r="A14" s="11" t="s">
        <v>21</v>
      </c>
      <c r="B14" s="12" t="n">
        <f aca="false">25000+20000</f>
        <v>45000</v>
      </c>
      <c r="C14" s="12" t="n">
        <v>139310</v>
      </c>
      <c r="D14" s="13" t="n">
        <v>0</v>
      </c>
      <c r="E14" s="14" t="n">
        <f aca="false">SUM(B14:D14)</f>
        <v>184310</v>
      </c>
      <c r="F14" s="15" t="n">
        <v>60000</v>
      </c>
      <c r="G14" s="12" t="n">
        <v>109495</v>
      </c>
      <c r="H14" s="13" t="n">
        <v>0</v>
      </c>
      <c r="I14" s="14" t="n">
        <f aca="false">SUM(F14:H14)</f>
        <v>169495</v>
      </c>
      <c r="J14" s="16" t="n">
        <f aca="false">+E14</f>
        <v>184310</v>
      </c>
    </row>
    <row r="15" customFormat="false" ht="12.75" hidden="false" customHeight="false" outlineLevel="0" collapsed="false">
      <c r="A15" s="11" t="s">
        <v>22</v>
      </c>
      <c r="B15" s="12" t="n">
        <f aca="false">409+51000</f>
        <v>51409</v>
      </c>
      <c r="C15" s="12" t="n">
        <v>122000</v>
      </c>
      <c r="D15" s="13" t="n">
        <v>0</v>
      </c>
      <c r="E15" s="14" t="n">
        <f aca="false">SUM(B15:D15)</f>
        <v>173409</v>
      </c>
      <c r="F15" s="15"/>
      <c r="G15" s="12" t="n">
        <v>30001</v>
      </c>
      <c r="H15" s="13" t="n">
        <v>0</v>
      </c>
      <c r="I15" s="14" t="n">
        <f aca="false">SUM(F15:H15)</f>
        <v>30001</v>
      </c>
      <c r="J15" s="16" t="n">
        <f aca="false">+E15</f>
        <v>173409</v>
      </c>
    </row>
    <row r="16" customFormat="false" ht="12.75" hidden="false" customHeight="false" outlineLevel="0" collapsed="false">
      <c r="A16" s="11" t="s">
        <v>23</v>
      </c>
      <c r="B16" s="12"/>
      <c r="C16" s="13" t="n">
        <v>0</v>
      </c>
      <c r="D16" s="13" t="n">
        <v>0</v>
      </c>
      <c r="E16" s="14" t="n">
        <f aca="false">SUM(B16:D16)</f>
        <v>0</v>
      </c>
      <c r="F16" s="15" t="n">
        <v>25000</v>
      </c>
      <c r="G16" s="12" t="n">
        <v>81260</v>
      </c>
      <c r="H16" s="13"/>
      <c r="I16" s="14" t="n">
        <f aca="false">SUM(F16:H16)</f>
        <v>106260</v>
      </c>
      <c r="J16" s="16"/>
    </row>
    <row r="17" customFormat="false" ht="12.75" hidden="false" customHeight="false" outlineLevel="0" collapsed="false">
      <c r="A17" s="11" t="s">
        <v>24</v>
      </c>
      <c r="B17" s="12"/>
      <c r="C17" s="13"/>
      <c r="D17" s="13" t="n">
        <v>0</v>
      </c>
      <c r="E17" s="14" t="n">
        <f aca="false">SUM(B17:D17)</f>
        <v>0</v>
      </c>
      <c r="F17" s="15"/>
      <c r="G17" s="12" t="n">
        <v>25000</v>
      </c>
      <c r="H17" s="13" t="n">
        <v>0</v>
      </c>
      <c r="I17" s="14" t="n">
        <f aca="false">SUM(F17:H17)</f>
        <v>25000</v>
      </c>
      <c r="J17" s="16" t="n">
        <f aca="false">+E17</f>
        <v>0</v>
      </c>
    </row>
    <row r="18" customFormat="false" ht="12.75" hidden="false" customHeight="false" outlineLevel="0" collapsed="false">
      <c r="A18" s="11" t="s">
        <v>25</v>
      </c>
      <c r="B18" s="12" t="n">
        <v>87781</v>
      </c>
      <c r="C18" s="12" t="n">
        <v>15480</v>
      </c>
      <c r="D18" s="13" t="n">
        <v>0</v>
      </c>
      <c r="E18" s="14" t="n">
        <f aca="false">SUM(B18:D18)</f>
        <v>103261</v>
      </c>
      <c r="F18" s="15" t="n">
        <f aca="false">1248+8000+1000</f>
        <v>10248</v>
      </c>
      <c r="G18" s="12" t="n">
        <v>33766</v>
      </c>
      <c r="H18" s="13" t="n">
        <v>0</v>
      </c>
      <c r="I18" s="14" t="n">
        <f aca="false">SUM(F18:H18)</f>
        <v>44014</v>
      </c>
      <c r="J18" s="16"/>
    </row>
    <row r="19" customFormat="false" ht="12.75" hidden="false" customHeight="false" outlineLevel="0" collapsed="false">
      <c r="A19" s="11" t="s">
        <v>26</v>
      </c>
      <c r="B19" s="12"/>
      <c r="C19" s="13" t="n">
        <v>0</v>
      </c>
      <c r="D19" s="13" t="n">
        <v>0</v>
      </c>
      <c r="E19" s="14" t="n">
        <f aca="false">SUM(B19:D19)</f>
        <v>0</v>
      </c>
      <c r="F19" s="15" t="n">
        <v>10000</v>
      </c>
      <c r="G19" s="13" t="n">
        <v>48</v>
      </c>
      <c r="H19" s="13" t="n">
        <v>0</v>
      </c>
      <c r="I19" s="14" t="n">
        <f aca="false">SUM(F19:H19)</f>
        <v>10048</v>
      </c>
      <c r="J19" s="16"/>
    </row>
    <row r="20" customFormat="false" ht="12.75" hidden="false" customHeight="false" outlineLevel="0" collapsed="false">
      <c r="A20" s="11" t="s">
        <v>27</v>
      </c>
      <c r="B20" s="12" t="n">
        <f aca="false">132+3000+1000</f>
        <v>4132</v>
      </c>
      <c r="C20" s="12" t="n">
        <v>217134</v>
      </c>
      <c r="D20" s="13"/>
      <c r="E20" s="14" t="n">
        <f aca="false">SUM(B20:D20)</f>
        <v>221266</v>
      </c>
      <c r="F20" s="15" t="n">
        <f aca="false">512+38800</f>
        <v>39312</v>
      </c>
      <c r="G20" s="12" t="n">
        <v>154120</v>
      </c>
      <c r="H20" s="13" t="n">
        <v>0</v>
      </c>
      <c r="I20" s="14" t="n">
        <f aca="false">SUM(F20:H20)</f>
        <v>193432</v>
      </c>
      <c r="J20" s="16"/>
    </row>
    <row r="21" customFormat="false" ht="12.75" hidden="false" customHeight="false" outlineLevel="0" collapsed="false">
      <c r="A21" s="11" t="s">
        <v>28</v>
      </c>
      <c r="B21" s="12"/>
      <c r="C21" s="12" t="n">
        <v>4154</v>
      </c>
      <c r="D21" s="13" t="n">
        <v>0</v>
      </c>
      <c r="E21" s="14" t="n">
        <f aca="false">SUM(B21:D21)</f>
        <v>4154</v>
      </c>
      <c r="F21" s="15" t="n">
        <f aca="false">769+200</f>
        <v>969</v>
      </c>
      <c r="G21" s="12" t="n">
        <v>20351</v>
      </c>
      <c r="H21" s="13"/>
      <c r="I21" s="14" t="n">
        <f aca="false">SUM(F21:H21)</f>
        <v>21320</v>
      </c>
      <c r="J21" s="16"/>
    </row>
    <row r="22" customFormat="false" ht="12.75" hidden="false" customHeight="false" outlineLevel="0" collapsed="false">
      <c r="A22" s="11" t="s">
        <v>29</v>
      </c>
      <c r="B22" s="12" t="n">
        <v>1067</v>
      </c>
      <c r="C22" s="12" t="n">
        <v>2081</v>
      </c>
      <c r="D22" s="13" t="n">
        <v>0</v>
      </c>
      <c r="E22" s="14" t="n">
        <f aca="false">SUM(B22:D22)</f>
        <v>3148</v>
      </c>
      <c r="F22" s="15" t="n">
        <v>51000</v>
      </c>
      <c r="G22" s="12" t="n">
        <v>36063</v>
      </c>
      <c r="H22" s="13" t="n">
        <v>0</v>
      </c>
      <c r="I22" s="14" t="n">
        <f aca="false">SUM(F22:H22)</f>
        <v>87063</v>
      </c>
      <c r="J22" s="16" t="n">
        <f aca="false">-I22</f>
        <v>-87063</v>
      </c>
    </row>
    <row r="23" customFormat="false" ht="12.75" hidden="false" customHeight="false" outlineLevel="0" collapsed="false">
      <c r="A23" s="11" t="s">
        <v>30</v>
      </c>
      <c r="B23" s="12" t="n">
        <v>200</v>
      </c>
      <c r="C23" s="12" t="n">
        <v>17872</v>
      </c>
      <c r="D23" s="13" t="n">
        <v>0</v>
      </c>
      <c r="E23" s="14" t="n">
        <f aca="false">SUM(B23:D23)</f>
        <v>18072</v>
      </c>
      <c r="F23" s="15"/>
      <c r="G23" s="12" t="n">
        <v>14805</v>
      </c>
      <c r="H23" s="13" t="n">
        <v>0</v>
      </c>
      <c r="I23" s="14" t="n">
        <f aca="false">SUM(F23:H23)</f>
        <v>14805</v>
      </c>
      <c r="J23" s="16"/>
    </row>
    <row r="24" customFormat="false" ht="12.75" hidden="false" customHeight="false" outlineLevel="0" collapsed="false">
      <c r="A24" s="11" t="s">
        <v>31</v>
      </c>
      <c r="B24" s="12"/>
      <c r="C24" s="13" t="n">
        <v>1</v>
      </c>
      <c r="D24" s="13" t="n">
        <v>0</v>
      </c>
      <c r="E24" s="14" t="n">
        <f aca="false">SUM(B24:D24)</f>
        <v>1</v>
      </c>
      <c r="F24" s="15" t="n">
        <v>2006</v>
      </c>
      <c r="G24" s="12" t="n">
        <v>1501</v>
      </c>
      <c r="H24" s="13" t="n">
        <v>0</v>
      </c>
      <c r="I24" s="14" t="n">
        <f aca="false">SUM(F24:H24)</f>
        <v>3507</v>
      </c>
      <c r="J24" s="17"/>
    </row>
    <row r="25" customFormat="false" ht="12.75" hidden="false" customHeight="false" outlineLevel="0" collapsed="false">
      <c r="A25" s="11" t="s">
        <v>32</v>
      </c>
      <c r="B25" s="13"/>
      <c r="C25" s="13" t="n">
        <v>1</v>
      </c>
      <c r="D25" s="13"/>
      <c r="E25" s="14" t="n">
        <f aca="false">SUM(B25:D25)</f>
        <v>1</v>
      </c>
      <c r="F25" s="18"/>
      <c r="G25" s="13" t="n">
        <v>311</v>
      </c>
      <c r="H25" s="13"/>
      <c r="I25" s="14" t="n">
        <f aca="false">SUM(F25:H25)</f>
        <v>311</v>
      </c>
      <c r="J25" s="17"/>
    </row>
    <row r="26" customFormat="false" ht="12.75" hidden="false" customHeight="false" outlineLevel="0" collapsed="false">
      <c r="A26" s="19" t="s">
        <v>33</v>
      </c>
      <c r="B26" s="20"/>
      <c r="C26" s="21"/>
      <c r="D26" s="21"/>
      <c r="E26" s="22" t="n">
        <f aca="false">SUM(B26:D26)</f>
        <v>0</v>
      </c>
      <c r="F26" s="23"/>
      <c r="G26" s="20" t="n">
        <v>11618</v>
      </c>
      <c r="H26" s="21"/>
      <c r="I26" s="22" t="n">
        <f aca="false">SUM(F26:H26)</f>
        <v>11618</v>
      </c>
      <c r="J26" s="24"/>
    </row>
    <row r="27" customFormat="false" ht="12.75" hidden="false" customHeight="false" outlineLevel="0" collapsed="false">
      <c r="A27" s="25"/>
      <c r="B27" s="26"/>
      <c r="C27" s="26"/>
      <c r="D27" s="26"/>
      <c r="E27" s="27"/>
      <c r="F27" s="25"/>
      <c r="G27" s="26"/>
      <c r="H27" s="26"/>
      <c r="I27" s="26"/>
      <c r="J27" s="27"/>
    </row>
    <row r="28" customFormat="false" ht="13.5" hidden="false" customHeight="false" outlineLevel="0" collapsed="false">
      <c r="A28" s="28" t="s">
        <v>37</v>
      </c>
      <c r="B28" s="29" t="n">
        <f aca="false">SUM(B2:B27)</f>
        <v>480113</v>
      </c>
      <c r="C28" s="30"/>
      <c r="D28" s="30"/>
      <c r="E28" s="31"/>
      <c r="F28" s="32" t="n">
        <f aca="false">SUM(F2:F27)</f>
        <v>480113</v>
      </c>
      <c r="G28" s="30"/>
      <c r="H28" s="30"/>
      <c r="I28" s="30"/>
      <c r="J28" s="31"/>
    </row>
    <row r="29" customFormat="false" ht="12.75" hidden="false" customHeight="false" outlineLevel="0" collapsed="false">
      <c r="G29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</cols>
  <sheetData>
    <row r="1" customFormat="false" ht="21.75" hidden="false" customHeight="false" outlineLevel="0" collapsed="false">
      <c r="A1" s="6" t="s">
        <v>0</v>
      </c>
      <c r="B1" s="7" t="s">
        <v>1</v>
      </c>
      <c r="C1" s="8" t="s">
        <v>2</v>
      </c>
      <c r="D1" s="7" t="s">
        <v>35</v>
      </c>
      <c r="E1" s="9" t="s">
        <v>4</v>
      </c>
      <c r="F1" s="7" t="s">
        <v>5</v>
      </c>
      <c r="G1" s="8" t="s">
        <v>6</v>
      </c>
      <c r="H1" s="7" t="s">
        <v>35</v>
      </c>
      <c r="I1" s="9" t="s">
        <v>7</v>
      </c>
      <c r="J1" s="10" t="s">
        <v>8</v>
      </c>
    </row>
    <row r="2" customFormat="false" ht="12.75" hidden="false" customHeight="false" outlineLevel="0" collapsed="false">
      <c r="A2" s="11" t="s">
        <v>9</v>
      </c>
      <c r="B2" s="12" t="n">
        <v>34880</v>
      </c>
      <c r="C2" s="12" t="n">
        <f aca="false">13127+108907</f>
        <v>122034</v>
      </c>
      <c r="D2" s="13"/>
      <c r="E2" s="14" t="n">
        <f aca="false">SUM(B2:D2)</f>
        <v>156914</v>
      </c>
      <c r="F2" s="12" t="n">
        <f aca="false">1378</f>
        <v>1378</v>
      </c>
      <c r="G2" s="12" t="n">
        <f aca="false">10120</f>
        <v>10120</v>
      </c>
      <c r="H2" s="13"/>
      <c r="I2" s="14" t="n">
        <f aca="false">SUM(F2:H2)</f>
        <v>11498</v>
      </c>
      <c r="J2" s="16" t="n">
        <f aca="false">+E2</f>
        <v>156914</v>
      </c>
    </row>
    <row r="3" customFormat="false" ht="12.75" hidden="false" customHeight="false" outlineLevel="0" collapsed="false">
      <c r="A3" s="11" t="s">
        <v>10</v>
      </c>
      <c r="B3" s="12"/>
      <c r="C3" s="12" t="n">
        <f aca="false">2827+29400</f>
        <v>32227</v>
      </c>
      <c r="D3" s="13" t="n">
        <v>2</v>
      </c>
      <c r="E3" s="14" t="n">
        <f aca="false">SUM(B3:D3)</f>
        <v>32229</v>
      </c>
      <c r="F3" s="12" t="n">
        <v>125</v>
      </c>
      <c r="G3" s="12" t="n">
        <v>11301</v>
      </c>
      <c r="H3" s="13" t="n">
        <v>3</v>
      </c>
      <c r="I3" s="14" t="n">
        <f aca="false">SUM(F3:H3)</f>
        <v>11429</v>
      </c>
      <c r="J3" s="16" t="n">
        <f aca="false">+E3</f>
        <v>32229</v>
      </c>
    </row>
    <row r="4" customFormat="false" ht="12.75" hidden="false" customHeight="false" outlineLevel="0" collapsed="false">
      <c r="A4" s="11" t="s">
        <v>11</v>
      </c>
      <c r="B4" s="13" t="n">
        <v>798</v>
      </c>
      <c r="C4" s="13" t="n">
        <f aca="false">612+19651</f>
        <v>20263</v>
      </c>
      <c r="D4" s="13"/>
      <c r="E4" s="14" t="n">
        <f aca="false">SUM(B4:D4)</f>
        <v>21061</v>
      </c>
      <c r="F4" s="13"/>
      <c r="G4" s="12" t="n">
        <v>4563</v>
      </c>
      <c r="H4" s="13"/>
      <c r="I4" s="14" t="n">
        <f aca="false">SUM(F4:H4)</f>
        <v>4563</v>
      </c>
      <c r="J4" s="16" t="n">
        <f aca="false">+E4</f>
        <v>21061</v>
      </c>
    </row>
    <row r="5" customFormat="false" ht="12.75" hidden="false" customHeight="false" outlineLevel="0" collapsed="false">
      <c r="A5" s="11" t="s">
        <v>12</v>
      </c>
      <c r="B5" s="13" t="n">
        <v>700</v>
      </c>
      <c r="C5" s="13" t="n">
        <f aca="false">521+26974</f>
        <v>27495</v>
      </c>
      <c r="D5" s="13"/>
      <c r="E5" s="14" t="n">
        <f aca="false">SUM(B5:D5)</f>
        <v>28195</v>
      </c>
      <c r="F5" s="13"/>
      <c r="G5" s="13" t="n">
        <v>0</v>
      </c>
      <c r="H5" s="12" t="n">
        <v>9700</v>
      </c>
      <c r="I5" s="14" t="n">
        <f aca="false">SUM(F5:H5)</f>
        <v>9700</v>
      </c>
      <c r="J5" s="16" t="n">
        <f aca="false">+E5</f>
        <v>28195</v>
      </c>
    </row>
    <row r="6" customFormat="false" ht="12.75" hidden="false" customHeight="false" outlineLevel="0" collapsed="false">
      <c r="A6" s="11" t="s">
        <v>13</v>
      </c>
      <c r="B6" s="13"/>
      <c r="C6" s="13" t="n">
        <v>3728</v>
      </c>
      <c r="D6" s="13"/>
      <c r="E6" s="14" t="n">
        <f aca="false">SUM(B6:D6)</f>
        <v>3728</v>
      </c>
      <c r="F6" s="13" t="n">
        <v>3075</v>
      </c>
      <c r="G6" s="12" t="n">
        <v>5000</v>
      </c>
      <c r="H6" s="13"/>
      <c r="I6" s="14" t="n">
        <f aca="false">SUM(F6:H6)</f>
        <v>8075</v>
      </c>
      <c r="J6" s="16" t="n">
        <f aca="false">-I6</f>
        <v>-8075</v>
      </c>
    </row>
    <row r="7" customFormat="false" ht="12.75" hidden="false" customHeight="false" outlineLevel="0" collapsed="false">
      <c r="A7" s="11" t="s">
        <v>14</v>
      </c>
      <c r="B7" s="12" t="n">
        <f aca="false">5883</f>
        <v>5883</v>
      </c>
      <c r="C7" s="12" t="n">
        <f aca="false">9619+49538</f>
        <v>59157</v>
      </c>
      <c r="D7" s="13"/>
      <c r="E7" s="14" t="n">
        <f aca="false">SUM(B7:D7)</f>
        <v>65040</v>
      </c>
      <c r="F7" s="12" t="n">
        <v>15521</v>
      </c>
      <c r="G7" s="13" t="n">
        <v>3126</v>
      </c>
      <c r="H7" s="13"/>
      <c r="I7" s="14" t="n">
        <f aca="false">SUM(F7:H7)</f>
        <v>18647</v>
      </c>
      <c r="J7" s="16" t="n">
        <f aca="false">+E7</f>
        <v>65040</v>
      </c>
    </row>
    <row r="8" customFormat="false" ht="12.75" hidden="false" customHeight="false" outlineLevel="0" collapsed="false">
      <c r="A8" s="11" t="s">
        <v>15</v>
      </c>
      <c r="B8" s="13" t="n">
        <v>25380</v>
      </c>
      <c r="C8" s="13" t="n">
        <v>62568</v>
      </c>
      <c r="D8" s="13"/>
      <c r="E8" s="14" t="n">
        <f aca="false">SUM(B8:D8)</f>
        <v>87948</v>
      </c>
      <c r="F8" s="13" t="n">
        <v>25380</v>
      </c>
      <c r="G8" s="12" t="n">
        <v>1500</v>
      </c>
      <c r="H8" s="13"/>
      <c r="I8" s="14" t="n">
        <f aca="false">SUM(F8:H8)</f>
        <v>26880</v>
      </c>
      <c r="J8" s="16" t="n">
        <f aca="false">-I8</f>
        <v>-26880</v>
      </c>
    </row>
    <row r="9" customFormat="false" ht="12.75" hidden="false" customHeight="false" outlineLevel="0" collapsed="false">
      <c r="A9" s="11" t="s">
        <v>16</v>
      </c>
      <c r="B9" s="12" t="n">
        <f aca="false">1225+20000+425+16350</f>
        <v>38000</v>
      </c>
      <c r="C9" s="12" t="n">
        <f aca="false">81991+18212</f>
        <v>100203</v>
      </c>
      <c r="D9" s="13"/>
      <c r="E9" s="14" t="n">
        <f aca="false">SUM(B9:D9)</f>
        <v>138203</v>
      </c>
      <c r="F9" s="12"/>
      <c r="G9" s="13" t="n">
        <v>49</v>
      </c>
      <c r="H9" s="13"/>
      <c r="I9" s="14" t="n">
        <f aca="false">SUM(F9:H9)</f>
        <v>49</v>
      </c>
      <c r="J9" s="16" t="n">
        <f aca="false">+E9</f>
        <v>138203</v>
      </c>
    </row>
    <row r="10" customFormat="false" ht="12.75" hidden="false" customHeight="false" outlineLevel="0" collapsed="false">
      <c r="A10" s="11" t="s">
        <v>17</v>
      </c>
      <c r="B10" s="12" t="n">
        <v>1220</v>
      </c>
      <c r="C10" s="12" t="n">
        <f aca="false">10000+7</f>
        <v>10007</v>
      </c>
      <c r="D10" s="13"/>
      <c r="E10" s="14" t="n">
        <f aca="false">SUM(B10:D10)</f>
        <v>11227</v>
      </c>
      <c r="F10" s="12"/>
      <c r="G10" s="12" t="n">
        <v>182659</v>
      </c>
      <c r="H10" s="13"/>
      <c r="I10" s="14" t="n">
        <f aca="false">SUM(F10:H10)</f>
        <v>182659</v>
      </c>
      <c r="J10" s="16" t="n">
        <f aca="false">-I10</f>
        <v>-182659</v>
      </c>
    </row>
    <row r="11" customFormat="false" ht="12.75" hidden="false" customHeight="false" outlineLevel="0" collapsed="false">
      <c r="A11" s="11" t="s">
        <v>18</v>
      </c>
      <c r="B11" s="12" t="n">
        <v>8500</v>
      </c>
      <c r="C11" s="12" t="n">
        <f aca="false">2050+124400</f>
        <v>126450</v>
      </c>
      <c r="D11" s="13" t="n">
        <v>2</v>
      </c>
      <c r="E11" s="14" t="n">
        <f aca="false">SUM(B11:D11)</f>
        <v>134952</v>
      </c>
      <c r="F11" s="12" t="n">
        <v>18500</v>
      </c>
      <c r="G11" s="12" t="n">
        <v>65308</v>
      </c>
      <c r="H11" s="13" t="n">
        <v>63</v>
      </c>
      <c r="I11" s="14" t="n">
        <f aca="false">SUM(F11:H11)</f>
        <v>83871</v>
      </c>
      <c r="J11" s="16"/>
    </row>
    <row r="12" customFormat="false" ht="12.75" hidden="false" customHeight="false" outlineLevel="0" collapsed="false">
      <c r="A12" s="11" t="s">
        <v>19</v>
      </c>
      <c r="B12" s="12" t="n">
        <v>1517</v>
      </c>
      <c r="C12" s="12" t="n">
        <f aca="false">5001+7132</f>
        <v>12133</v>
      </c>
      <c r="D12" s="13"/>
      <c r="E12" s="14" t="n">
        <f aca="false">SUM(B12:D12)</f>
        <v>13650</v>
      </c>
      <c r="F12" s="12" t="n">
        <v>1866</v>
      </c>
      <c r="G12" s="12" t="n">
        <v>158835</v>
      </c>
      <c r="H12" s="13"/>
      <c r="I12" s="14" t="n">
        <f aca="false">SUM(F12:H12)</f>
        <v>160701</v>
      </c>
      <c r="J12" s="16" t="n">
        <f aca="false">-I12</f>
        <v>-160701</v>
      </c>
    </row>
    <row r="13" customFormat="false" ht="12.75" hidden="false" customHeight="false" outlineLevel="0" collapsed="false">
      <c r="A13" s="11" t="s">
        <v>20</v>
      </c>
      <c r="B13" s="12"/>
      <c r="C13" s="12" t="n">
        <f aca="false">5036+23650</f>
        <v>28686</v>
      </c>
      <c r="D13" s="13"/>
      <c r="E13" s="14" t="n">
        <f aca="false">SUM(B13:D13)</f>
        <v>28686</v>
      </c>
      <c r="F13" s="12"/>
      <c r="G13" s="12" t="n">
        <f aca="false">290301</f>
        <v>290301</v>
      </c>
      <c r="H13" s="13" t="n">
        <v>400</v>
      </c>
      <c r="I13" s="14" t="n">
        <f aca="false">SUM(F13:H13)</f>
        <v>290701</v>
      </c>
      <c r="J13" s="16" t="n">
        <f aca="false">-I13</f>
        <v>-290701</v>
      </c>
    </row>
    <row r="14" customFormat="false" ht="12.75" hidden="false" customHeight="false" outlineLevel="0" collapsed="false">
      <c r="A14" s="11" t="s">
        <v>21</v>
      </c>
      <c r="B14" s="12" t="n">
        <v>250</v>
      </c>
      <c r="C14" s="12" t="n">
        <f aca="false">50001+702</f>
        <v>50703</v>
      </c>
      <c r="D14" s="13"/>
      <c r="E14" s="14" t="n">
        <f aca="false">SUM(B14:D14)</f>
        <v>50953</v>
      </c>
      <c r="F14" s="12"/>
      <c r="G14" s="12" t="n">
        <v>99019</v>
      </c>
      <c r="H14" s="13"/>
      <c r="I14" s="14" t="n">
        <f aca="false">SUM(F14:H14)</f>
        <v>99019</v>
      </c>
      <c r="J14" s="16" t="n">
        <f aca="false">+E14</f>
        <v>50953</v>
      </c>
    </row>
    <row r="15" customFormat="false" ht="12.75" hidden="false" customHeight="false" outlineLevel="0" collapsed="false">
      <c r="A15" s="11" t="s">
        <v>22</v>
      </c>
      <c r="B15" s="12" t="n">
        <v>485</v>
      </c>
      <c r="C15" s="12" t="n">
        <f aca="false">55000+10220</f>
        <v>65220</v>
      </c>
      <c r="D15" s="13"/>
      <c r="E15" s="14" t="n">
        <f aca="false">SUM(B15:D15)</f>
        <v>65705</v>
      </c>
      <c r="F15" s="12"/>
      <c r="G15" s="12" t="n">
        <v>1</v>
      </c>
      <c r="H15" s="13"/>
      <c r="I15" s="14" t="n">
        <f aca="false">SUM(F15:H15)</f>
        <v>1</v>
      </c>
      <c r="J15" s="16" t="n">
        <f aca="false">+E15</f>
        <v>65705</v>
      </c>
    </row>
    <row r="16" customFormat="false" ht="12.75" hidden="false" customHeight="false" outlineLevel="0" collapsed="false">
      <c r="A16" s="11" t="s">
        <v>23</v>
      </c>
      <c r="B16" s="13"/>
      <c r="C16" s="13" t="n">
        <f aca="false">100+13713</f>
        <v>13813</v>
      </c>
      <c r="D16" s="13"/>
      <c r="E16" s="14" t="n">
        <f aca="false">SUM(B16:D16)</f>
        <v>13813</v>
      </c>
      <c r="F16" s="13"/>
      <c r="G16" s="12" t="n">
        <v>65111</v>
      </c>
      <c r="H16" s="13"/>
      <c r="I16" s="14" t="n">
        <f aca="false">SUM(F16:H16)</f>
        <v>65111</v>
      </c>
      <c r="J16" s="16" t="n">
        <f aca="false">-I16</f>
        <v>-65111</v>
      </c>
    </row>
    <row r="17" customFormat="false" ht="12.75" hidden="false" customHeight="false" outlineLevel="0" collapsed="false">
      <c r="A17" s="11" t="s">
        <v>24</v>
      </c>
      <c r="B17" s="13"/>
      <c r="C17" s="13" t="n">
        <v>954</v>
      </c>
      <c r="D17" s="13"/>
      <c r="E17" s="14" t="n">
        <f aca="false">SUM(B17:D17)</f>
        <v>954</v>
      </c>
      <c r="F17" s="13"/>
      <c r="G17" s="12" t="n">
        <v>61258</v>
      </c>
      <c r="H17" s="13"/>
      <c r="I17" s="14" t="n">
        <f aca="false">SUM(F17:H17)</f>
        <v>61258</v>
      </c>
      <c r="J17" s="16" t="n">
        <f aca="false">+E17</f>
        <v>954</v>
      </c>
    </row>
    <row r="18" customFormat="false" ht="12.75" hidden="false" customHeight="false" outlineLevel="0" collapsed="false">
      <c r="A18" s="11" t="s">
        <v>25</v>
      </c>
      <c r="B18" s="12"/>
      <c r="C18" s="12" t="n">
        <f aca="false">1+12674</f>
        <v>12675</v>
      </c>
      <c r="D18" s="13"/>
      <c r="E18" s="14" t="n">
        <f aca="false">SUM(B18:D18)</f>
        <v>12675</v>
      </c>
      <c r="F18" s="12"/>
      <c r="G18" s="12" t="n">
        <v>48</v>
      </c>
      <c r="H18" s="13"/>
      <c r="I18" s="14" t="n">
        <f aca="false">SUM(F18:H18)</f>
        <v>48</v>
      </c>
      <c r="J18" s="16"/>
    </row>
    <row r="19" customFormat="false" ht="12.75" hidden="false" customHeight="false" outlineLevel="0" collapsed="false">
      <c r="A19" s="11" t="s">
        <v>26</v>
      </c>
      <c r="B19" s="13"/>
      <c r="C19" s="12" t="n">
        <v>27411</v>
      </c>
      <c r="D19" s="12"/>
      <c r="E19" s="14" t="n">
        <f aca="false">SUM(B19:D19)</f>
        <v>27411</v>
      </c>
      <c r="F19" s="12"/>
      <c r="G19" s="12" t="n">
        <v>171670</v>
      </c>
      <c r="H19" s="13"/>
      <c r="I19" s="14" t="n">
        <f aca="false">SUM(F19:H19)</f>
        <v>171670</v>
      </c>
      <c r="J19" s="16" t="n">
        <f aca="false">-I19</f>
        <v>-171670</v>
      </c>
    </row>
    <row r="20" customFormat="false" ht="12.75" hidden="false" customHeight="false" outlineLevel="0" collapsed="false">
      <c r="A20" s="11" t="s">
        <v>27</v>
      </c>
      <c r="B20" s="12" t="n">
        <v>132</v>
      </c>
      <c r="C20" s="12" t="n">
        <f aca="false">1+129078</f>
        <v>129079</v>
      </c>
      <c r="D20" s="13"/>
      <c r="E20" s="14" t="n">
        <f aca="false">SUM(B20:D20)</f>
        <v>129211</v>
      </c>
      <c r="F20" s="12" t="n">
        <v>26993</v>
      </c>
      <c r="G20" s="12" t="n">
        <v>15550</v>
      </c>
      <c r="H20" s="13"/>
      <c r="I20" s="14" t="n">
        <f aca="false">SUM(F20:H20)</f>
        <v>42543</v>
      </c>
      <c r="J20" s="16" t="n">
        <f aca="false">-I20</f>
        <v>-42543</v>
      </c>
    </row>
    <row r="21" customFormat="false" ht="12.75" hidden="false" customHeight="false" outlineLevel="0" collapsed="false">
      <c r="A21" s="11" t="s">
        <v>28</v>
      </c>
      <c r="B21" s="12"/>
      <c r="C21" s="12" t="n">
        <f aca="false">829+3534</f>
        <v>4363</v>
      </c>
      <c r="D21" s="13"/>
      <c r="E21" s="14" t="n">
        <f aca="false">SUM(B21:D21)</f>
        <v>4363</v>
      </c>
      <c r="F21" s="12" t="n">
        <v>760</v>
      </c>
      <c r="G21" s="12" t="n">
        <v>20063</v>
      </c>
      <c r="H21" s="13"/>
      <c r="I21" s="14" t="n">
        <f aca="false">SUM(F21:H21)</f>
        <v>20823</v>
      </c>
      <c r="J21" s="16" t="n">
        <f aca="false">-I21</f>
        <v>-20823</v>
      </c>
    </row>
    <row r="22" customFormat="false" ht="12.75" hidden="false" customHeight="false" outlineLevel="0" collapsed="false">
      <c r="A22" s="11" t="s">
        <v>29</v>
      </c>
      <c r="B22" s="12" t="n">
        <v>1075</v>
      </c>
      <c r="C22" s="12" t="n">
        <f aca="false">1+2081</f>
        <v>2082</v>
      </c>
      <c r="D22" s="13"/>
      <c r="E22" s="14" t="n">
        <f aca="false">SUM(B22:D22)</f>
        <v>3157</v>
      </c>
      <c r="F22" s="12" t="n">
        <v>25000</v>
      </c>
      <c r="G22" s="12" t="n">
        <v>1298</v>
      </c>
      <c r="H22" s="13"/>
      <c r="I22" s="14" t="n">
        <f aca="false">SUM(F22:H22)</f>
        <v>26298</v>
      </c>
      <c r="J22" s="16" t="n">
        <f aca="false">-I22</f>
        <v>-26298</v>
      </c>
    </row>
    <row r="23" customFormat="false" ht="12.75" hidden="false" customHeight="false" outlineLevel="0" collapsed="false">
      <c r="A23" s="11" t="s">
        <v>30</v>
      </c>
      <c r="B23" s="12"/>
      <c r="C23" s="12" t="n">
        <f aca="false">1+16701</f>
        <v>16702</v>
      </c>
      <c r="D23" s="13"/>
      <c r="E23" s="14" t="n">
        <f aca="false">SUM(B23:D23)</f>
        <v>16702</v>
      </c>
      <c r="F23" s="12"/>
      <c r="G23" s="12" t="n">
        <f aca="false">1501</f>
        <v>1501</v>
      </c>
      <c r="H23" s="13"/>
      <c r="I23" s="14" t="n">
        <f aca="false">SUM(F23:H23)</f>
        <v>1501</v>
      </c>
      <c r="J23" s="16" t="n">
        <f aca="false">-I23</f>
        <v>-1501</v>
      </c>
    </row>
    <row r="24" customFormat="false" ht="12.75" hidden="false" customHeight="false" outlineLevel="0" collapsed="false">
      <c r="A24" s="11" t="s">
        <v>31</v>
      </c>
      <c r="B24" s="13"/>
      <c r="C24" s="13" t="n">
        <f aca="false">1+1645</f>
        <v>1646</v>
      </c>
      <c r="D24" s="13"/>
      <c r="E24" s="14" t="n">
        <f aca="false">SUM(B24:D24)</f>
        <v>1646</v>
      </c>
      <c r="F24" s="13" t="n">
        <v>222</v>
      </c>
      <c r="G24" s="12" t="n">
        <v>11</v>
      </c>
      <c r="H24" s="13"/>
      <c r="I24" s="14" t="n">
        <f aca="false">SUM(F24:H24)</f>
        <v>233</v>
      </c>
      <c r="J24" s="16" t="n">
        <f aca="false">-I24</f>
        <v>-233</v>
      </c>
    </row>
    <row r="25" customFormat="false" ht="12.75" hidden="false" customHeight="false" outlineLevel="0" collapsed="false">
      <c r="A25" s="11" t="s">
        <v>32</v>
      </c>
      <c r="B25" s="13"/>
      <c r="C25" s="13" t="n">
        <v>660</v>
      </c>
      <c r="D25" s="13"/>
      <c r="E25" s="14" t="n">
        <f aca="false">SUM(B25:D25)</f>
        <v>660</v>
      </c>
      <c r="F25" s="13"/>
      <c r="G25" s="12" t="n">
        <v>22588</v>
      </c>
      <c r="H25" s="13"/>
      <c r="I25" s="14" t="n">
        <f aca="false">SUM(F25:H25)</f>
        <v>22588</v>
      </c>
      <c r="J25" s="17"/>
    </row>
    <row r="26" customFormat="false" ht="12.75" hidden="false" customHeight="false" outlineLevel="0" collapsed="false">
      <c r="A26" s="19" t="s">
        <v>33</v>
      </c>
      <c r="B26" s="21" t="n">
        <v>6580</v>
      </c>
      <c r="C26" s="21" t="n">
        <v>9230</v>
      </c>
      <c r="D26" s="21"/>
      <c r="E26" s="22" t="n">
        <f aca="false">SUM(B26:D26)</f>
        <v>15810</v>
      </c>
      <c r="F26" s="21" t="n">
        <v>6580</v>
      </c>
      <c r="G26" s="20"/>
      <c r="H26" s="21"/>
      <c r="I26" s="22" t="n">
        <f aca="false">SUM(F26:H26)</f>
        <v>6580</v>
      </c>
      <c r="J26" s="24"/>
    </row>
    <row r="27" customFormat="false" ht="12.75" hidden="false" customHeight="false" outlineLevel="0" collapsed="false">
      <c r="A27" s="25"/>
      <c r="B27" s="26"/>
      <c r="C27" s="26"/>
      <c r="D27" s="26"/>
      <c r="E27" s="27"/>
      <c r="F27" s="25"/>
      <c r="G27" s="26"/>
      <c r="H27" s="26"/>
      <c r="I27" s="26"/>
      <c r="J27" s="27"/>
    </row>
    <row r="28" customFormat="false" ht="13.5" hidden="false" customHeight="false" outlineLevel="0" collapsed="false">
      <c r="A28" s="28" t="s">
        <v>37</v>
      </c>
      <c r="B28" s="29" t="n">
        <f aca="false">SUM(B2:B27)</f>
        <v>125400</v>
      </c>
      <c r="C28" s="30"/>
      <c r="D28" s="30"/>
      <c r="E28" s="33" t="n">
        <f aca="false">SUM(E2:E26)</f>
        <v>1064893</v>
      </c>
      <c r="F28" s="32" t="n">
        <f aca="false">SUM(F2:F27)</f>
        <v>125400</v>
      </c>
      <c r="G28" s="30"/>
      <c r="H28" s="30"/>
      <c r="I28" s="29" t="n">
        <f aca="false">SUM(I2:I26)</f>
        <v>1326446</v>
      </c>
      <c r="J28" s="31"/>
    </row>
    <row r="29" customFormat="false" ht="12.75" hidden="false" customHeight="false" outlineLevel="0" collapsed="false">
      <c r="G29" s="5"/>
    </row>
    <row r="30" customFormat="false" ht="12.75" hidden="false" customHeight="false" outlineLevel="0" collapsed="false">
      <c r="A30" s="0" t="s">
        <v>38</v>
      </c>
      <c r="D3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&amp;CMARCH 2000 PREBID THROUGHPUT</oddHeader>
    <oddFooter>&amp;Lo:\NAES\Texas Transport\Capacity\&amp;F &amp;A&amp;RUpdated &amp;D at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</cols>
  <sheetData>
    <row r="1" customFormat="false" ht="21.75" hidden="false" customHeight="false" outlineLevel="0" collapsed="false">
      <c r="A1" s="6" t="s">
        <v>0</v>
      </c>
      <c r="B1" s="7" t="s">
        <v>1</v>
      </c>
      <c r="C1" s="8" t="s">
        <v>2</v>
      </c>
      <c r="D1" s="7" t="s">
        <v>35</v>
      </c>
      <c r="E1" s="9" t="s">
        <v>4</v>
      </c>
      <c r="F1" s="7" t="s">
        <v>5</v>
      </c>
      <c r="G1" s="8" t="s">
        <v>6</v>
      </c>
      <c r="H1" s="7" t="s">
        <v>35</v>
      </c>
      <c r="I1" s="9" t="s">
        <v>7</v>
      </c>
      <c r="J1" s="10" t="s">
        <v>8</v>
      </c>
    </row>
    <row r="2" customFormat="false" ht="12.75" hidden="false" customHeight="false" outlineLevel="0" collapsed="false">
      <c r="A2" s="11" t="s">
        <v>9</v>
      </c>
      <c r="B2" s="12" t="n">
        <f aca="false">43320+50000</f>
        <v>93320</v>
      </c>
      <c r="C2" s="3" t="n">
        <v>216702</v>
      </c>
      <c r="D2" s="4"/>
      <c r="E2" s="14" t="n">
        <f aca="false">SUM(B2:D2)</f>
        <v>310022</v>
      </c>
      <c r="F2" s="12" t="n">
        <v>1721</v>
      </c>
      <c r="G2" s="3" t="n">
        <v>6148</v>
      </c>
      <c r="H2" s="4" t="n">
        <v>0</v>
      </c>
      <c r="I2" s="14" t="n">
        <f aca="false">SUM(F2:H2)</f>
        <v>7869</v>
      </c>
      <c r="J2" s="16" t="n">
        <f aca="false">+E2</f>
        <v>310022</v>
      </c>
    </row>
    <row r="3" customFormat="false" ht="12.75" hidden="false" customHeight="false" outlineLevel="0" collapsed="false">
      <c r="A3" s="11" t="s">
        <v>10</v>
      </c>
      <c r="B3" s="12" t="n">
        <v>27</v>
      </c>
      <c r="C3" s="3" t="n">
        <v>2440</v>
      </c>
      <c r="D3" s="4" t="n">
        <v>2</v>
      </c>
      <c r="E3" s="14" t="n">
        <f aca="false">SUM(B3:D3)</f>
        <v>2469</v>
      </c>
      <c r="F3" s="12" t="n">
        <v>125</v>
      </c>
      <c r="G3" s="3" t="n">
        <v>12343</v>
      </c>
      <c r="H3" s="4" t="n">
        <v>3</v>
      </c>
      <c r="I3" s="14" t="n">
        <f aca="false">SUM(F3:H3)</f>
        <v>12471</v>
      </c>
      <c r="J3" s="16" t="n">
        <f aca="false">+E3</f>
        <v>2469</v>
      </c>
    </row>
    <row r="4" customFormat="false" ht="12.75" hidden="false" customHeight="false" outlineLevel="0" collapsed="false">
      <c r="A4" s="11" t="s">
        <v>11</v>
      </c>
      <c r="B4" s="12" t="n">
        <v>751</v>
      </c>
      <c r="C4" s="3" t="n">
        <v>1381</v>
      </c>
      <c r="D4" s="4"/>
      <c r="E4" s="14" t="n">
        <f aca="false">SUM(B4:D4)</f>
        <v>2132</v>
      </c>
      <c r="F4" s="12"/>
      <c r="G4" s="3" t="n">
        <v>4761</v>
      </c>
      <c r="H4" s="4"/>
      <c r="I4" s="14" t="n">
        <f aca="false">SUM(F4:H4)</f>
        <v>4761</v>
      </c>
      <c r="J4" s="16" t="n">
        <f aca="false">+E4</f>
        <v>2132</v>
      </c>
    </row>
    <row r="5" customFormat="false" ht="12.75" hidden="false" customHeight="false" outlineLevel="0" collapsed="false">
      <c r="A5" s="11" t="s">
        <v>12</v>
      </c>
      <c r="B5" s="12" t="n">
        <v>600</v>
      </c>
      <c r="C5" s="4" t="n">
        <v>596</v>
      </c>
      <c r="D5" s="4"/>
      <c r="E5" s="14" t="n">
        <f aca="false">SUM(B5:D5)</f>
        <v>1196</v>
      </c>
      <c r="F5" s="12"/>
      <c r="G5" s="4" t="n">
        <v>0</v>
      </c>
      <c r="H5" s="3" t="n">
        <v>9700</v>
      </c>
      <c r="I5" s="14" t="n">
        <f aca="false">SUM(F5:H5)</f>
        <v>9700</v>
      </c>
      <c r="J5" s="16" t="n">
        <f aca="false">+E5</f>
        <v>1196</v>
      </c>
    </row>
    <row r="6" customFormat="false" ht="12.75" hidden="false" customHeight="false" outlineLevel="0" collapsed="false">
      <c r="A6" s="11" t="s">
        <v>13</v>
      </c>
      <c r="B6" s="12"/>
      <c r="C6" s="4" t="n">
        <v>0</v>
      </c>
      <c r="D6" s="4"/>
      <c r="E6" s="14" t="n">
        <f aca="false">SUM(B6:D6)</f>
        <v>0</v>
      </c>
      <c r="F6" s="12" t="n">
        <v>7950</v>
      </c>
      <c r="G6" s="4" t="n">
        <v>1</v>
      </c>
      <c r="H6" s="4" t="n">
        <v>50</v>
      </c>
      <c r="I6" s="14" t="n">
        <f aca="false">SUM(F6:H6)</f>
        <v>8001</v>
      </c>
      <c r="J6" s="16" t="n">
        <f aca="false">-I6</f>
        <v>-8001</v>
      </c>
    </row>
    <row r="7" customFormat="false" ht="12.75" hidden="false" customHeight="false" outlineLevel="0" collapsed="false">
      <c r="A7" s="11" t="s">
        <v>14</v>
      </c>
      <c r="B7" s="12" t="n">
        <v>5668</v>
      </c>
      <c r="C7" s="3" t="n">
        <v>186284</v>
      </c>
      <c r="D7" s="4"/>
      <c r="E7" s="14" t="n">
        <f aca="false">SUM(B7:D7)</f>
        <v>191952</v>
      </c>
      <c r="F7" s="12" t="n">
        <v>15293</v>
      </c>
      <c r="G7" s="3" t="n">
        <v>13622</v>
      </c>
      <c r="H7" s="4"/>
      <c r="I7" s="14" t="n">
        <f aca="false">SUM(F7:H7)</f>
        <v>28915</v>
      </c>
      <c r="J7" s="16" t="n">
        <f aca="false">+E7</f>
        <v>191952</v>
      </c>
    </row>
    <row r="8" customFormat="false" ht="12.75" hidden="false" customHeight="false" outlineLevel="0" collapsed="false">
      <c r="A8" s="11" t="s">
        <v>15</v>
      </c>
      <c r="B8" s="12" t="n">
        <v>72749</v>
      </c>
      <c r="C8" s="4" t="n">
        <v>0</v>
      </c>
      <c r="D8" s="4"/>
      <c r="E8" s="14" t="n">
        <f aca="false">SUM(B8:D8)</f>
        <v>72749</v>
      </c>
      <c r="F8" s="12" t="n">
        <v>72749</v>
      </c>
      <c r="G8" s="3" t="n">
        <v>1500</v>
      </c>
      <c r="H8" s="4"/>
      <c r="I8" s="14" t="n">
        <f aca="false">SUM(F8:H8)</f>
        <v>74249</v>
      </c>
      <c r="J8" s="16" t="n">
        <f aca="false">-I8</f>
        <v>-74249</v>
      </c>
    </row>
    <row r="9" customFormat="false" ht="12.75" hidden="false" customHeight="false" outlineLevel="0" collapsed="false">
      <c r="A9" s="11" t="s">
        <v>16</v>
      </c>
      <c r="B9" s="12" t="n">
        <f aca="false">23265+20000+50000+13000+7500</f>
        <v>113765</v>
      </c>
      <c r="C9" s="3" t="n">
        <v>104350</v>
      </c>
      <c r="D9" s="4"/>
      <c r="E9" s="14" t="n">
        <f aca="false">SUM(B9:D9)</f>
        <v>218115</v>
      </c>
      <c r="F9" s="12" t="n">
        <f aca="false">391+7500</f>
        <v>7891</v>
      </c>
      <c r="G9" s="4" t="n">
        <v>300</v>
      </c>
      <c r="H9" s="4"/>
      <c r="I9" s="14" t="n">
        <f aca="false">SUM(F9:H9)</f>
        <v>8191</v>
      </c>
      <c r="J9" s="16" t="n">
        <f aca="false">+E9</f>
        <v>218115</v>
      </c>
    </row>
    <row r="10" customFormat="false" ht="12.75" hidden="false" customHeight="false" outlineLevel="0" collapsed="false">
      <c r="A10" s="11" t="s">
        <v>17</v>
      </c>
      <c r="B10" s="12" t="n">
        <v>7000</v>
      </c>
      <c r="C10" s="3" t="n">
        <v>15000</v>
      </c>
      <c r="D10" s="4"/>
      <c r="E10" s="14" t="n">
        <f aca="false">SUM(B10:D10)</f>
        <v>22000</v>
      </c>
      <c r="F10" s="12" t="n">
        <f aca="false">10000+31000</f>
        <v>41000</v>
      </c>
      <c r="G10" s="3" t="n">
        <v>164320</v>
      </c>
      <c r="H10" s="4"/>
      <c r="I10" s="14" t="n">
        <f aca="false">SUM(F10:H10)</f>
        <v>205320</v>
      </c>
      <c r="J10" s="16" t="n">
        <f aca="false">-I10</f>
        <v>-205320</v>
      </c>
    </row>
    <row r="11" customFormat="false" ht="12.75" hidden="false" customHeight="false" outlineLevel="0" collapsed="false">
      <c r="A11" s="11" t="s">
        <v>18</v>
      </c>
      <c r="B11" s="12" t="n">
        <v>8500</v>
      </c>
      <c r="C11" s="3" t="n">
        <v>166074</v>
      </c>
      <c r="D11" s="4" t="n">
        <v>52</v>
      </c>
      <c r="E11" s="14" t="n">
        <f aca="false">SUM(B11:D11)</f>
        <v>174626</v>
      </c>
      <c r="F11" s="12" t="n">
        <f aca="false">18500+5000+15000</f>
        <v>38500</v>
      </c>
      <c r="G11" s="3" t="n">
        <v>55349</v>
      </c>
      <c r="H11" s="4" t="n">
        <v>3</v>
      </c>
      <c r="I11" s="14" t="n">
        <f aca="false">SUM(F11:H11)</f>
        <v>93852</v>
      </c>
      <c r="J11" s="16"/>
    </row>
    <row r="12" customFormat="false" ht="12.75" hidden="false" customHeight="false" outlineLevel="0" collapsed="false">
      <c r="A12" s="11" t="s">
        <v>19</v>
      </c>
      <c r="B12" s="12" t="n">
        <v>1539</v>
      </c>
      <c r="C12" s="3" t="n">
        <v>16462</v>
      </c>
      <c r="D12" s="3" t="n">
        <v>6465</v>
      </c>
      <c r="E12" s="14" t="n">
        <f aca="false">SUM(B12:D12)</f>
        <v>24466</v>
      </c>
      <c r="F12" s="12" t="n">
        <v>1778</v>
      </c>
      <c r="G12" s="3" t="n">
        <v>166620</v>
      </c>
      <c r="H12" s="4"/>
      <c r="I12" s="14" t="n">
        <f aca="false">SUM(F12:H12)</f>
        <v>168398</v>
      </c>
      <c r="J12" s="16" t="n">
        <f aca="false">-I12</f>
        <v>-168398</v>
      </c>
    </row>
    <row r="13" customFormat="false" ht="12.75" hidden="false" customHeight="false" outlineLevel="0" collapsed="false">
      <c r="A13" s="11" t="s">
        <v>20</v>
      </c>
      <c r="B13" s="12"/>
      <c r="C13" s="3" t="n">
        <v>63949</v>
      </c>
      <c r="D13" s="4" t="n">
        <v>0</v>
      </c>
      <c r="E13" s="14" t="n">
        <f aca="false">SUM(B13:D13)</f>
        <v>63949</v>
      </c>
      <c r="F13" s="12" t="n">
        <f aca="false">35000+15000+15000</f>
        <v>65000</v>
      </c>
      <c r="G13" s="3" t="n">
        <v>326331</v>
      </c>
      <c r="H13" s="4" t="n">
        <v>400</v>
      </c>
      <c r="I13" s="14" t="n">
        <f aca="false">SUM(F13:H13)</f>
        <v>391731</v>
      </c>
      <c r="J13" s="16" t="n">
        <f aca="false">-I13</f>
        <v>-391731</v>
      </c>
    </row>
    <row r="14" customFormat="false" ht="12.75" hidden="false" customHeight="false" outlineLevel="0" collapsed="false">
      <c r="A14" s="11" t="s">
        <v>21</v>
      </c>
      <c r="B14" s="12" t="n">
        <f aca="false">30500+22100</f>
        <v>52600</v>
      </c>
      <c r="C14" s="3" t="n">
        <v>90850</v>
      </c>
      <c r="D14" s="4"/>
      <c r="E14" s="14" t="n">
        <f aca="false">SUM(B14:D14)</f>
        <v>143450</v>
      </c>
      <c r="F14" s="12"/>
      <c r="G14" s="3" t="n">
        <v>82019</v>
      </c>
      <c r="H14" s="4"/>
      <c r="I14" s="14" t="n">
        <f aca="false">SUM(F14:H14)</f>
        <v>82019</v>
      </c>
      <c r="J14" s="16" t="n">
        <f aca="false">+E14</f>
        <v>143450</v>
      </c>
    </row>
    <row r="15" customFormat="false" ht="12.75" hidden="false" customHeight="false" outlineLevel="0" collapsed="false">
      <c r="A15" s="11" t="s">
        <v>22</v>
      </c>
      <c r="B15" s="12" t="n">
        <f aca="false">10909+40000+1900</f>
        <v>52809</v>
      </c>
      <c r="C15" s="3" t="n">
        <v>167000</v>
      </c>
      <c r="D15" s="4"/>
      <c r="E15" s="14" t="n">
        <f aca="false">SUM(B15:D15)</f>
        <v>219809</v>
      </c>
      <c r="F15" s="12"/>
      <c r="G15" s="3" t="n">
        <v>30001</v>
      </c>
      <c r="H15" s="4" t="n">
        <v>0</v>
      </c>
      <c r="I15" s="14" t="n">
        <f aca="false">SUM(F15:H15)</f>
        <v>30001</v>
      </c>
      <c r="J15" s="16" t="n">
        <f aca="false">+E15</f>
        <v>219809</v>
      </c>
    </row>
    <row r="16" customFormat="false" ht="12.75" hidden="false" customHeight="false" outlineLevel="0" collapsed="false">
      <c r="A16" s="11" t="s">
        <v>23</v>
      </c>
      <c r="B16" s="12"/>
      <c r="C16" s="4" t="n">
        <v>159</v>
      </c>
      <c r="D16" s="4"/>
      <c r="E16" s="14" t="n">
        <f aca="false">SUM(B16:D16)</f>
        <v>159</v>
      </c>
      <c r="F16" s="12" t="n">
        <f aca="false">15000+20000+10000</f>
        <v>45000</v>
      </c>
      <c r="G16" s="3" t="n">
        <v>53270</v>
      </c>
      <c r="H16" s="4"/>
      <c r="I16" s="14" t="n">
        <f aca="false">SUM(F16:H16)</f>
        <v>98270</v>
      </c>
      <c r="J16" s="16" t="n">
        <f aca="false">-I16</f>
        <v>-98270</v>
      </c>
    </row>
    <row r="17" customFormat="false" ht="12.75" hidden="false" customHeight="false" outlineLevel="0" collapsed="false">
      <c r="A17" s="11" t="s">
        <v>24</v>
      </c>
      <c r="B17" s="12"/>
      <c r="C17" s="4"/>
      <c r="D17" s="4"/>
      <c r="E17" s="14" t="n">
        <f aca="false">SUM(B17:D17)</f>
        <v>0</v>
      </c>
      <c r="F17" s="12"/>
      <c r="G17" s="4"/>
      <c r="H17" s="3" t="n">
        <v>20000</v>
      </c>
      <c r="I17" s="14" t="n">
        <f aca="false">SUM(F17:H17)</f>
        <v>20000</v>
      </c>
      <c r="J17" s="16" t="n">
        <f aca="false">+E17</f>
        <v>0</v>
      </c>
    </row>
    <row r="18" customFormat="false" ht="12.75" hidden="false" customHeight="false" outlineLevel="0" collapsed="false">
      <c r="A18" s="11" t="s">
        <v>25</v>
      </c>
      <c r="B18" s="12" t="n">
        <v>83258</v>
      </c>
      <c r="C18" s="4"/>
      <c r="D18" s="4" t="n">
        <v>0</v>
      </c>
      <c r="E18" s="14" t="n">
        <f aca="false">SUM(B18:D18)</f>
        <v>83258</v>
      </c>
      <c r="F18" s="12" t="n">
        <v>69205</v>
      </c>
      <c r="G18" s="3" t="n">
        <v>23811</v>
      </c>
      <c r="H18" s="4"/>
      <c r="I18" s="14" t="n">
        <f aca="false">SUM(F18:H18)</f>
        <v>93016</v>
      </c>
      <c r="J18" s="16"/>
    </row>
    <row r="19" customFormat="false" ht="12.75" hidden="false" customHeight="false" outlineLevel="0" collapsed="false">
      <c r="A19" s="11" t="s">
        <v>26</v>
      </c>
      <c r="B19" s="12"/>
      <c r="C19" s="3" t="n">
        <v>9419</v>
      </c>
      <c r="D19" s="4"/>
      <c r="E19" s="14" t="n">
        <f aca="false">SUM(B19:D19)</f>
        <v>9419</v>
      </c>
      <c r="F19" s="12"/>
      <c r="G19" s="4" t="n">
        <v>48</v>
      </c>
      <c r="H19" s="4"/>
      <c r="I19" s="14" t="n">
        <f aca="false">SUM(F19:H19)</f>
        <v>48</v>
      </c>
      <c r="J19" s="16" t="n">
        <f aca="false">-I19</f>
        <v>-48</v>
      </c>
    </row>
    <row r="20" customFormat="false" ht="12.75" hidden="false" customHeight="false" outlineLevel="0" collapsed="false">
      <c r="A20" s="11" t="s">
        <v>27</v>
      </c>
      <c r="B20" s="12" t="n">
        <v>3132</v>
      </c>
      <c r="C20" s="3" t="n">
        <v>243826</v>
      </c>
      <c r="D20" s="4"/>
      <c r="E20" s="14" t="n">
        <f aca="false">SUM(B20:D20)</f>
        <v>246958</v>
      </c>
      <c r="F20" s="12" t="n">
        <f aca="false">35449+15000</f>
        <v>50449</v>
      </c>
      <c r="G20" s="3" t="n">
        <v>176100</v>
      </c>
      <c r="H20" s="3" t="n">
        <v>5466</v>
      </c>
      <c r="I20" s="14" t="n">
        <f aca="false">SUM(F20:H20)</f>
        <v>232015</v>
      </c>
      <c r="J20" s="16" t="n">
        <f aca="false">-I20</f>
        <v>-232015</v>
      </c>
    </row>
    <row r="21" customFormat="false" ht="12.75" hidden="false" customHeight="false" outlineLevel="0" collapsed="false">
      <c r="A21" s="11" t="s">
        <v>28</v>
      </c>
      <c r="B21" s="12" t="n">
        <v>364</v>
      </c>
      <c r="C21" s="3" t="n">
        <v>5294</v>
      </c>
      <c r="D21" s="4"/>
      <c r="E21" s="14" t="n">
        <f aca="false">SUM(B21:D21)</f>
        <v>5658</v>
      </c>
      <c r="F21" s="12" t="n">
        <f aca="false">1199+10000</f>
        <v>11199</v>
      </c>
      <c r="G21" s="3" t="n">
        <v>20351</v>
      </c>
      <c r="H21" s="4"/>
      <c r="I21" s="14" t="n">
        <f aca="false">SUM(F21:H21)</f>
        <v>31550</v>
      </c>
      <c r="J21" s="16" t="n">
        <f aca="false">-I21</f>
        <v>-31550</v>
      </c>
    </row>
    <row r="22" customFormat="false" ht="12.75" hidden="false" customHeight="false" outlineLevel="0" collapsed="false">
      <c r="A22" s="11" t="s">
        <v>29</v>
      </c>
      <c r="B22" s="12"/>
      <c r="C22" s="3" t="n">
        <v>1926</v>
      </c>
      <c r="D22" s="4"/>
      <c r="E22" s="14" t="n">
        <f aca="false">SUM(B22:D22)</f>
        <v>1926</v>
      </c>
      <c r="F22" s="12" t="n">
        <f aca="false">10000+25000+20000+13000</f>
        <v>68000</v>
      </c>
      <c r="G22" s="3" t="n">
        <v>20063</v>
      </c>
      <c r="H22" s="4"/>
      <c r="I22" s="14" t="n">
        <f aca="false">SUM(F22:H22)</f>
        <v>88063</v>
      </c>
      <c r="J22" s="16" t="n">
        <f aca="false">-I22</f>
        <v>-88063</v>
      </c>
    </row>
    <row r="23" customFormat="false" ht="12.75" hidden="false" customHeight="false" outlineLevel="0" collapsed="false">
      <c r="A23" s="11" t="s">
        <v>30</v>
      </c>
      <c r="B23" s="12"/>
      <c r="C23" s="3" t="n">
        <v>20402</v>
      </c>
      <c r="D23" s="4"/>
      <c r="E23" s="14" t="n">
        <f aca="false">SUM(B23:D23)</f>
        <v>20402</v>
      </c>
      <c r="F23" s="12"/>
      <c r="G23" s="3" t="n">
        <v>1184</v>
      </c>
      <c r="H23" s="4"/>
      <c r="I23" s="14" t="n">
        <f aca="false">SUM(F23:H23)</f>
        <v>1184</v>
      </c>
      <c r="J23" s="16" t="n">
        <f aca="false">-I23</f>
        <v>-1184</v>
      </c>
    </row>
    <row r="24" customFormat="false" ht="12.75" hidden="false" customHeight="false" outlineLevel="0" collapsed="false">
      <c r="A24" s="11" t="s">
        <v>31</v>
      </c>
      <c r="B24" s="12"/>
      <c r="C24" s="4" t="n">
        <v>49</v>
      </c>
      <c r="D24" s="4"/>
      <c r="E24" s="14" t="n">
        <f aca="false">SUM(B24:D24)</f>
        <v>49</v>
      </c>
      <c r="F24" s="12" t="n">
        <v>222</v>
      </c>
      <c r="G24" s="3" t="n">
        <v>1501</v>
      </c>
      <c r="H24" s="4"/>
      <c r="I24" s="14" t="n">
        <f aca="false">SUM(F24:H24)</f>
        <v>1723</v>
      </c>
      <c r="J24" s="16" t="n">
        <f aca="false">-I24</f>
        <v>-1723</v>
      </c>
    </row>
    <row r="25" customFormat="false" ht="12.75" hidden="false" customHeight="false" outlineLevel="0" collapsed="false">
      <c r="A25" s="11" t="s">
        <v>32</v>
      </c>
      <c r="B25" s="12"/>
      <c r="C25" s="4" t="n">
        <v>1</v>
      </c>
      <c r="D25" s="4"/>
      <c r="E25" s="14" t="n">
        <f aca="false">SUM(B25:D25)</f>
        <v>1</v>
      </c>
      <c r="F25" s="12"/>
      <c r="G25" s="3" t="n">
        <v>1966</v>
      </c>
      <c r="H25" s="4"/>
      <c r="I25" s="14" t="n">
        <f aca="false">SUM(F25:H25)</f>
        <v>1966</v>
      </c>
      <c r="J25" s="17"/>
    </row>
    <row r="26" customFormat="false" ht="12.75" hidden="false" customHeight="false" outlineLevel="0" collapsed="false">
      <c r="A26" s="19" t="s">
        <v>33</v>
      </c>
      <c r="B26" s="20" t="n">
        <v>8235</v>
      </c>
      <c r="C26" s="21" t="n">
        <v>236</v>
      </c>
      <c r="D26" s="34"/>
      <c r="E26" s="22" t="n">
        <f aca="false">SUM(B26:D26)</f>
        <v>8471</v>
      </c>
      <c r="F26" s="20" t="n">
        <v>8235</v>
      </c>
      <c r="G26" s="20" t="n">
        <v>11794</v>
      </c>
      <c r="H26" s="34"/>
      <c r="I26" s="22" t="n">
        <f aca="false">SUM(F26:H26)</f>
        <v>20029</v>
      </c>
      <c r="J26" s="24"/>
    </row>
    <row r="27" customFormat="false" ht="12.75" hidden="false" customHeight="false" outlineLevel="0" collapsed="false">
      <c r="A27" s="25"/>
      <c r="B27" s="26"/>
      <c r="C27" s="26"/>
      <c r="D27" s="26"/>
      <c r="E27" s="27"/>
      <c r="F27" s="25"/>
      <c r="G27" s="26"/>
      <c r="H27" s="26"/>
      <c r="I27" s="26"/>
      <c r="J27" s="27"/>
    </row>
    <row r="28" customFormat="false" ht="13.5" hidden="false" customHeight="false" outlineLevel="0" collapsed="false">
      <c r="A28" s="28" t="s">
        <v>37</v>
      </c>
      <c r="B28" s="29" t="n">
        <f aca="false">SUM(B2:B27)</f>
        <v>504317</v>
      </c>
      <c r="C28" s="30"/>
      <c r="D28" s="30"/>
      <c r="E28" s="33" t="n">
        <f aca="false">SUM(E2:E26)</f>
        <v>1823236</v>
      </c>
      <c r="F28" s="32" t="n">
        <f aca="false">SUM(F2:F27)</f>
        <v>504317</v>
      </c>
      <c r="G28" s="30"/>
      <c r="H28" s="30"/>
      <c r="I28" s="29" t="n">
        <f aca="false">SUM(I2:I26)</f>
        <v>1713342</v>
      </c>
      <c r="J28" s="31"/>
    </row>
    <row r="29" customFormat="false" ht="12.75" hidden="false" customHeight="false" outlineLevel="0" collapsed="false">
      <c r="G29" s="5"/>
    </row>
    <row r="30" customFormat="false" ht="12.75" hidden="false" customHeight="false" outlineLevel="0" collapsed="false">
      <c r="A30" s="0" t="s">
        <v>38</v>
      </c>
      <c r="D30" s="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&amp;CAPRIL 2000 PREBID THROUGHPUT</oddHeader>
    <oddFooter>&amp;Lo:\NAES\Texas Transport\Capacity\&amp;F &amp;A&amp;RUpdated &amp;D at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</cols>
  <sheetData>
    <row r="1" customFormat="false" ht="21.75" hidden="false" customHeight="false" outlineLevel="0" collapsed="false">
      <c r="A1" s="6" t="s">
        <v>0</v>
      </c>
      <c r="B1" s="7" t="s">
        <v>1</v>
      </c>
      <c r="C1" s="8" t="s">
        <v>2</v>
      </c>
      <c r="D1" s="7" t="s">
        <v>35</v>
      </c>
      <c r="E1" s="9" t="s">
        <v>4</v>
      </c>
      <c r="F1" s="7" t="s">
        <v>5</v>
      </c>
      <c r="G1" s="8" t="s">
        <v>6</v>
      </c>
      <c r="H1" s="7" t="s">
        <v>35</v>
      </c>
      <c r="I1" s="9" t="s">
        <v>7</v>
      </c>
      <c r="J1" s="10" t="s">
        <v>8</v>
      </c>
    </row>
    <row r="2" customFormat="false" ht="12.75" hidden="false" customHeight="false" outlineLevel="0" collapsed="false">
      <c r="A2" s="11" t="s">
        <v>9</v>
      </c>
      <c r="B2" s="12" t="n">
        <v>48430</v>
      </c>
      <c r="C2" s="3" t="n">
        <v>193392</v>
      </c>
      <c r="D2" s="4"/>
      <c r="E2" s="14" t="n">
        <f aca="false">SUM(B2:D2)</f>
        <v>241822</v>
      </c>
      <c r="F2" s="12" t="n">
        <v>2131</v>
      </c>
      <c r="G2" s="3" t="n">
        <v>5153</v>
      </c>
      <c r="H2" s="4"/>
      <c r="I2" s="14" t="n">
        <f aca="false">SUM(F2:H2)</f>
        <v>7284</v>
      </c>
      <c r="J2" s="16" t="n">
        <f aca="false">+E2</f>
        <v>241822</v>
      </c>
    </row>
    <row r="3" customFormat="false" ht="12.75" hidden="false" customHeight="false" outlineLevel="0" collapsed="false">
      <c r="A3" s="11" t="s">
        <v>10</v>
      </c>
      <c r="B3" s="12"/>
      <c r="C3" s="3" t="n">
        <v>1372</v>
      </c>
      <c r="D3" s="4" t="n">
        <v>0</v>
      </c>
      <c r="E3" s="14" t="n">
        <f aca="false">SUM(B3:D3)</f>
        <v>1372</v>
      </c>
      <c r="F3" s="12" t="n">
        <v>75</v>
      </c>
      <c r="G3" s="3" t="n">
        <v>12424</v>
      </c>
      <c r="H3" s="4" t="n">
        <v>0</v>
      </c>
      <c r="I3" s="14" t="n">
        <f aca="false">SUM(F3:H3)</f>
        <v>12499</v>
      </c>
      <c r="J3" s="16" t="n">
        <f aca="false">+E3</f>
        <v>1372</v>
      </c>
    </row>
    <row r="4" customFormat="false" ht="12.75" hidden="false" customHeight="false" outlineLevel="0" collapsed="false">
      <c r="A4" s="11" t="s">
        <v>11</v>
      </c>
      <c r="B4" s="12" t="n">
        <v>771</v>
      </c>
      <c r="C4" s="3" t="n">
        <v>5614</v>
      </c>
      <c r="D4" s="4"/>
      <c r="E4" s="14" t="n">
        <f aca="false">SUM(B4:D4)</f>
        <v>6385</v>
      </c>
      <c r="F4" s="12"/>
      <c r="G4" s="3" t="n">
        <v>4689</v>
      </c>
      <c r="H4" s="4"/>
      <c r="I4" s="14" t="n">
        <f aca="false">SUM(F4:H4)</f>
        <v>4689</v>
      </c>
      <c r="J4" s="16" t="n">
        <f aca="false">+E4</f>
        <v>6385</v>
      </c>
    </row>
    <row r="5" customFormat="false" ht="12.75" hidden="false" customHeight="false" outlineLevel="0" collapsed="false">
      <c r="A5" s="11" t="s">
        <v>12</v>
      </c>
      <c r="B5" s="12" t="n">
        <v>630</v>
      </c>
      <c r="C5" s="4" t="n">
        <v>0</v>
      </c>
      <c r="D5" s="4"/>
      <c r="E5" s="14" t="n">
        <f aca="false">SUM(B5:D5)</f>
        <v>630</v>
      </c>
      <c r="F5" s="12"/>
      <c r="G5" s="4" t="n">
        <v>0</v>
      </c>
      <c r="H5" s="3" t="n">
        <v>9700</v>
      </c>
      <c r="I5" s="14" t="n">
        <f aca="false">SUM(F5:H5)</f>
        <v>9700</v>
      </c>
      <c r="J5" s="16" t="n">
        <f aca="false">+E5</f>
        <v>630</v>
      </c>
    </row>
    <row r="6" customFormat="false" ht="12.75" hidden="false" customHeight="false" outlineLevel="0" collapsed="false">
      <c r="A6" s="11" t="s">
        <v>13</v>
      </c>
      <c r="B6" s="12"/>
      <c r="C6" s="4" t="n">
        <v>0</v>
      </c>
      <c r="D6" s="4"/>
      <c r="E6" s="14" t="n">
        <f aca="false">SUM(B6:D6)</f>
        <v>0</v>
      </c>
      <c r="F6" s="12" t="n">
        <v>10000</v>
      </c>
      <c r="G6" s="4" t="n">
        <v>7001</v>
      </c>
      <c r="H6" s="4" t="n">
        <v>50</v>
      </c>
      <c r="I6" s="14" t="n">
        <f aca="false">SUM(F6:H6)</f>
        <v>17051</v>
      </c>
      <c r="J6" s="16" t="n">
        <f aca="false">-I6</f>
        <v>-17051</v>
      </c>
    </row>
    <row r="7" customFormat="false" ht="12.75" hidden="false" customHeight="false" outlineLevel="0" collapsed="false">
      <c r="A7" s="11" t="s">
        <v>14</v>
      </c>
      <c r="B7" s="12" t="n">
        <v>5504</v>
      </c>
      <c r="C7" s="3" t="n">
        <v>161130</v>
      </c>
      <c r="D7" s="4" t="n">
        <v>1</v>
      </c>
      <c r="E7" s="14" t="n">
        <f aca="false">SUM(B7:D7)</f>
        <v>166635</v>
      </c>
      <c r="F7" s="12" t="n">
        <v>15189</v>
      </c>
      <c r="G7" s="3" t="n">
        <v>23396</v>
      </c>
      <c r="H7" s="4" t="n">
        <v>1</v>
      </c>
      <c r="I7" s="14" t="n">
        <f aca="false">SUM(F7:H7)</f>
        <v>38586</v>
      </c>
      <c r="J7" s="16" t="n">
        <f aca="false">+E7</f>
        <v>166635</v>
      </c>
    </row>
    <row r="8" customFormat="false" ht="12.75" hidden="false" customHeight="false" outlineLevel="0" collapsed="false">
      <c r="A8" s="11" t="s">
        <v>15</v>
      </c>
      <c r="B8" s="12" t="n">
        <v>85500</v>
      </c>
      <c r="C8" s="4" t="n">
        <v>0</v>
      </c>
      <c r="D8" s="4"/>
      <c r="E8" s="14" t="n">
        <f aca="false">SUM(B8:D8)</f>
        <v>85500</v>
      </c>
      <c r="F8" s="12" t="n">
        <v>85500</v>
      </c>
      <c r="G8" s="3" t="n">
        <v>1500</v>
      </c>
      <c r="H8" s="4"/>
      <c r="I8" s="14" t="n">
        <f aca="false">SUM(F8:H8)</f>
        <v>87000</v>
      </c>
      <c r="J8" s="16" t="n">
        <f aca="false">-I8</f>
        <v>-87000</v>
      </c>
    </row>
    <row r="9" customFormat="false" ht="12.75" hidden="false" customHeight="false" outlineLevel="0" collapsed="false">
      <c r="A9" s="11" t="s">
        <v>16</v>
      </c>
      <c r="B9" s="12" t="n">
        <v>37825</v>
      </c>
      <c r="C9" s="3" t="n">
        <v>80840</v>
      </c>
      <c r="D9" s="4"/>
      <c r="E9" s="14" t="n">
        <f aca="false">SUM(B9:D9)</f>
        <v>118665</v>
      </c>
      <c r="F9" s="12" t="n">
        <v>10000</v>
      </c>
      <c r="G9" s="4" t="n">
        <v>99</v>
      </c>
      <c r="H9" s="4"/>
      <c r="I9" s="14" t="n">
        <f aca="false">SUM(F9:H9)</f>
        <v>10099</v>
      </c>
      <c r="J9" s="16" t="n">
        <f aca="false">+E9</f>
        <v>118665</v>
      </c>
    </row>
    <row r="10" customFormat="false" ht="12.75" hidden="false" customHeight="false" outlineLevel="0" collapsed="false">
      <c r="A10" s="11" t="s">
        <v>17</v>
      </c>
      <c r="B10" s="12"/>
      <c r="C10" s="3" t="n">
        <v>5000</v>
      </c>
      <c r="D10" s="4"/>
      <c r="E10" s="14" t="n">
        <f aca="false">SUM(B10:D10)</f>
        <v>5000</v>
      </c>
      <c r="F10" s="12" t="n">
        <v>31000</v>
      </c>
      <c r="G10" s="3" t="n">
        <v>178240</v>
      </c>
      <c r="H10" s="4"/>
      <c r="I10" s="14" t="n">
        <f aca="false">SUM(F10:H10)</f>
        <v>209240</v>
      </c>
      <c r="J10" s="16" t="n">
        <f aca="false">-I10</f>
        <v>-209240</v>
      </c>
    </row>
    <row r="11" customFormat="false" ht="12.75" hidden="false" customHeight="false" outlineLevel="0" collapsed="false">
      <c r="A11" s="11" t="s">
        <v>18</v>
      </c>
      <c r="B11" s="12"/>
      <c r="C11" s="3" t="n">
        <v>22</v>
      </c>
      <c r="D11" s="4" t="n">
        <v>50</v>
      </c>
      <c r="E11" s="14" t="n">
        <f aca="false">SUM(B11:D11)</f>
        <v>72</v>
      </c>
      <c r="F11" s="12" t="n">
        <v>10071</v>
      </c>
      <c r="G11" s="3" t="n">
        <v>54297</v>
      </c>
      <c r="H11" s="4" t="n">
        <v>0</v>
      </c>
      <c r="I11" s="14" t="n">
        <f aca="false">SUM(F11:H11)</f>
        <v>64368</v>
      </c>
      <c r="J11" s="16"/>
    </row>
    <row r="12" customFormat="false" ht="12.75" hidden="false" customHeight="false" outlineLevel="0" collapsed="false">
      <c r="A12" s="11" t="s">
        <v>19</v>
      </c>
      <c r="B12" s="12" t="n">
        <v>1311</v>
      </c>
      <c r="C12" s="3" t="n">
        <v>16127</v>
      </c>
      <c r="D12" s="3" t="n">
        <v>6781</v>
      </c>
      <c r="E12" s="14" t="n">
        <f aca="false">SUM(B12:D12)</f>
        <v>24219</v>
      </c>
      <c r="F12" s="12" t="n">
        <v>1227</v>
      </c>
      <c r="G12" s="3" t="n">
        <v>152245</v>
      </c>
      <c r="H12" s="4"/>
      <c r="I12" s="14" t="n">
        <f aca="false">SUM(F12:H12)</f>
        <v>153472</v>
      </c>
      <c r="J12" s="16" t="n">
        <f aca="false">-I12</f>
        <v>-153472</v>
      </c>
    </row>
    <row r="13" customFormat="false" ht="12.75" hidden="false" customHeight="false" outlineLevel="0" collapsed="false">
      <c r="A13" s="11" t="s">
        <v>20</v>
      </c>
      <c r="B13" s="12"/>
      <c r="C13" s="3" t="n">
        <v>54516</v>
      </c>
      <c r="D13" s="4"/>
      <c r="E13" s="14" t="n">
        <f aca="false">SUM(B13:D13)</f>
        <v>54516</v>
      </c>
      <c r="F13" s="12" t="n">
        <v>32700</v>
      </c>
      <c r="G13" s="3" t="n">
        <v>311606</v>
      </c>
      <c r="H13" s="4" t="n">
        <v>400</v>
      </c>
      <c r="I13" s="14" t="n">
        <f aca="false">SUM(F13:H13)</f>
        <v>344706</v>
      </c>
      <c r="J13" s="16" t="n">
        <f aca="false">-I13</f>
        <v>-344706</v>
      </c>
    </row>
    <row r="14" customFormat="false" ht="12.75" hidden="false" customHeight="false" outlineLevel="0" collapsed="false">
      <c r="A14" s="11" t="s">
        <v>21</v>
      </c>
      <c r="B14" s="12" t="n">
        <v>16585</v>
      </c>
      <c r="C14" s="3" t="n">
        <v>98538</v>
      </c>
      <c r="D14" s="4"/>
      <c r="E14" s="14" t="n">
        <f aca="false">SUM(B14:D14)</f>
        <v>115123</v>
      </c>
      <c r="F14" s="12"/>
      <c r="G14" s="3" t="n">
        <v>48329</v>
      </c>
      <c r="H14" s="4"/>
      <c r="I14" s="14" t="n">
        <f aca="false">SUM(F14:H14)</f>
        <v>48329</v>
      </c>
      <c r="J14" s="16" t="n">
        <f aca="false">+E14</f>
        <v>115123</v>
      </c>
    </row>
    <row r="15" customFormat="false" ht="12.75" hidden="false" customHeight="false" outlineLevel="0" collapsed="false">
      <c r="A15" s="11" t="s">
        <v>22</v>
      </c>
      <c r="B15" s="12" t="n">
        <v>40847</v>
      </c>
      <c r="C15" s="3" t="n">
        <v>150000</v>
      </c>
      <c r="D15" s="4" t="n">
        <v>0</v>
      </c>
      <c r="E15" s="14" t="n">
        <f aca="false">SUM(B15:D15)</f>
        <v>190847</v>
      </c>
      <c r="F15" s="12"/>
      <c r="G15" s="3" t="n">
        <v>30001</v>
      </c>
      <c r="H15" s="4" t="n">
        <v>0</v>
      </c>
      <c r="I15" s="14" t="n">
        <f aca="false">SUM(F15:H15)</f>
        <v>30001</v>
      </c>
      <c r="J15" s="16" t="n">
        <f aca="false">+E15</f>
        <v>190847</v>
      </c>
    </row>
    <row r="16" customFormat="false" ht="12.75" hidden="false" customHeight="false" outlineLevel="0" collapsed="false">
      <c r="A16" s="11" t="s">
        <v>23</v>
      </c>
      <c r="B16" s="12"/>
      <c r="C16" s="4" t="n">
        <v>3670</v>
      </c>
      <c r="D16" s="4"/>
      <c r="E16" s="14" t="n">
        <f aca="false">SUM(B16:D16)</f>
        <v>3670</v>
      </c>
      <c r="F16" s="12" t="n">
        <v>10000</v>
      </c>
      <c r="G16" s="3" t="n">
        <v>51181</v>
      </c>
      <c r="H16" s="4"/>
      <c r="I16" s="14" t="n">
        <f aca="false">SUM(F16:H16)</f>
        <v>61181</v>
      </c>
      <c r="J16" s="16" t="n">
        <f aca="false">-I16</f>
        <v>-61181</v>
      </c>
    </row>
    <row r="17" customFormat="false" ht="12.75" hidden="false" customHeight="false" outlineLevel="0" collapsed="false">
      <c r="A17" s="11" t="s">
        <v>24</v>
      </c>
      <c r="B17" s="12"/>
      <c r="C17" s="4"/>
      <c r="D17" s="4"/>
      <c r="E17" s="14" t="n">
        <f aca="false">SUM(B17:D17)</f>
        <v>0</v>
      </c>
      <c r="F17" s="12"/>
      <c r="G17" s="4"/>
      <c r="H17" s="3" t="n">
        <v>40000</v>
      </c>
      <c r="I17" s="14" t="n">
        <f aca="false">SUM(F17:H17)</f>
        <v>40000</v>
      </c>
      <c r="J17" s="16" t="n">
        <f aca="false">+E17</f>
        <v>0</v>
      </c>
    </row>
    <row r="18" customFormat="false" ht="12.75" hidden="false" customHeight="false" outlineLevel="0" collapsed="false">
      <c r="A18" s="11" t="s">
        <v>25</v>
      </c>
      <c r="B18" s="12"/>
      <c r="C18" s="4"/>
      <c r="D18" s="4"/>
      <c r="E18" s="14" t="n">
        <f aca="false">SUM(B18:D18)</f>
        <v>0</v>
      </c>
      <c r="F18" s="12" t="n">
        <v>1347</v>
      </c>
      <c r="G18" s="3" t="n">
        <v>56453</v>
      </c>
      <c r="H18" s="4"/>
      <c r="I18" s="14" t="n">
        <f aca="false">SUM(F18:H18)</f>
        <v>57800</v>
      </c>
      <c r="J18" s="16"/>
    </row>
    <row r="19" customFormat="false" ht="12.75" hidden="false" customHeight="false" outlineLevel="0" collapsed="false">
      <c r="A19" s="11" t="s">
        <v>26</v>
      </c>
      <c r="B19" s="12"/>
      <c r="C19" s="3" t="n">
        <v>1</v>
      </c>
      <c r="D19" s="4"/>
      <c r="E19" s="14" t="n">
        <f aca="false">SUM(B19:D19)</f>
        <v>1</v>
      </c>
      <c r="F19" s="12"/>
      <c r="G19" s="4" t="n">
        <v>49</v>
      </c>
      <c r="H19" s="4"/>
      <c r="I19" s="14" t="n">
        <f aca="false">SUM(F19:H19)</f>
        <v>49</v>
      </c>
      <c r="J19" s="16" t="n">
        <f aca="false">-I19</f>
        <v>-49</v>
      </c>
    </row>
    <row r="20" customFormat="false" ht="12.75" hidden="false" customHeight="false" outlineLevel="0" collapsed="false">
      <c r="A20" s="11" t="s">
        <v>27</v>
      </c>
      <c r="B20" s="12" t="n">
        <v>3103</v>
      </c>
      <c r="C20" s="3" t="n">
        <v>177959</v>
      </c>
      <c r="D20" s="4" t="n">
        <v>0</v>
      </c>
      <c r="E20" s="14" t="n">
        <f aca="false">SUM(B20:D20)</f>
        <v>181062</v>
      </c>
      <c r="F20" s="12" t="n">
        <v>30299</v>
      </c>
      <c r="G20" s="3" t="n">
        <v>152600</v>
      </c>
      <c r="H20" s="3" t="n">
        <v>5466</v>
      </c>
      <c r="I20" s="14" t="n">
        <f aca="false">SUM(F20:H20)</f>
        <v>188365</v>
      </c>
      <c r="J20" s="16" t="n">
        <f aca="false">-I20</f>
        <v>-188365</v>
      </c>
    </row>
    <row r="21" customFormat="false" ht="12.75" hidden="false" customHeight="false" outlineLevel="0" collapsed="false">
      <c r="A21" s="11" t="s">
        <v>28</v>
      </c>
      <c r="B21" s="12"/>
      <c r="C21" s="3" t="n">
        <v>5295</v>
      </c>
      <c r="D21" s="4" t="n">
        <v>0</v>
      </c>
      <c r="E21" s="14" t="n">
        <f aca="false">SUM(B21:D21)</f>
        <v>5295</v>
      </c>
      <c r="F21" s="12" t="n">
        <v>797</v>
      </c>
      <c r="G21" s="3" t="n">
        <v>30756</v>
      </c>
      <c r="H21" s="4"/>
      <c r="I21" s="14" t="n">
        <f aca="false">SUM(F21:H21)</f>
        <v>31553</v>
      </c>
      <c r="J21" s="16" t="n">
        <f aca="false">-I21</f>
        <v>-31553</v>
      </c>
    </row>
    <row r="22" customFormat="false" ht="12.75" hidden="false" customHeight="false" outlineLevel="0" collapsed="false">
      <c r="A22" s="11" t="s">
        <v>29</v>
      </c>
      <c r="B22" s="12"/>
      <c r="C22" s="3" t="n">
        <v>1097</v>
      </c>
      <c r="D22" s="4"/>
      <c r="E22" s="14" t="n">
        <f aca="false">SUM(B22:D22)</f>
        <v>1097</v>
      </c>
      <c r="F22" s="12"/>
      <c r="G22" s="3" t="n">
        <v>20020</v>
      </c>
      <c r="H22" s="4"/>
      <c r="I22" s="14" t="n">
        <f aca="false">SUM(F22:H22)</f>
        <v>20020</v>
      </c>
      <c r="J22" s="16" t="n">
        <f aca="false">-I22</f>
        <v>-20020</v>
      </c>
    </row>
    <row r="23" customFormat="false" ht="12.75" hidden="false" customHeight="false" outlineLevel="0" collapsed="false">
      <c r="A23" s="11" t="s">
        <v>30</v>
      </c>
      <c r="B23" s="12"/>
      <c r="C23" s="3" t="n">
        <v>20392</v>
      </c>
      <c r="D23" s="4"/>
      <c r="E23" s="14" t="n">
        <f aca="false">SUM(B23:D23)</f>
        <v>20392</v>
      </c>
      <c r="F23" s="12"/>
      <c r="G23" s="3" t="n">
        <v>4159</v>
      </c>
      <c r="H23" s="4" t="n">
        <v>0</v>
      </c>
      <c r="I23" s="14" t="n">
        <f aca="false">SUM(F23:H23)</f>
        <v>4159</v>
      </c>
      <c r="J23" s="16" t="n">
        <f aca="false">-I23</f>
        <v>-4159</v>
      </c>
    </row>
    <row r="24" customFormat="false" ht="12.75" hidden="false" customHeight="false" outlineLevel="0" collapsed="false">
      <c r="A24" s="11" t="s">
        <v>31</v>
      </c>
      <c r="B24" s="12"/>
      <c r="C24" s="4"/>
      <c r="D24" s="4"/>
      <c r="E24" s="14" t="n">
        <f aca="false">SUM(B24:D24)</f>
        <v>0</v>
      </c>
      <c r="F24" s="12" t="n">
        <v>170</v>
      </c>
      <c r="G24" s="3" t="n">
        <v>3201</v>
      </c>
      <c r="H24" s="4"/>
      <c r="I24" s="14" t="n">
        <f aca="false">SUM(F24:H24)</f>
        <v>3371</v>
      </c>
      <c r="J24" s="16" t="n">
        <f aca="false">-I24</f>
        <v>-3371</v>
      </c>
    </row>
    <row r="25" customFormat="false" ht="12.75" hidden="false" customHeight="false" outlineLevel="0" collapsed="false">
      <c r="A25" s="11" t="s">
        <v>32</v>
      </c>
      <c r="B25" s="12"/>
      <c r="C25" s="4" t="n">
        <v>1</v>
      </c>
      <c r="D25" s="4"/>
      <c r="E25" s="14" t="n">
        <f aca="false">SUM(B25:D25)</f>
        <v>1</v>
      </c>
      <c r="F25" s="12"/>
      <c r="G25" s="3" t="n">
        <v>1560</v>
      </c>
      <c r="H25" s="4"/>
      <c r="I25" s="14" t="n">
        <f aca="false">SUM(F25:H25)</f>
        <v>1560</v>
      </c>
      <c r="J25" s="17"/>
    </row>
    <row r="26" customFormat="false" ht="12.75" hidden="false" customHeight="false" outlineLevel="0" collapsed="false">
      <c r="A26" s="19" t="s">
        <v>33</v>
      </c>
      <c r="B26" s="20" t="n">
        <v>5954</v>
      </c>
      <c r="C26" s="21" t="n">
        <v>312</v>
      </c>
      <c r="D26" s="34"/>
      <c r="E26" s="22" t="n">
        <f aca="false">SUM(B26:D26)</f>
        <v>6266</v>
      </c>
      <c r="F26" s="20" t="n">
        <v>5954</v>
      </c>
      <c r="G26" s="20" t="n">
        <v>11740</v>
      </c>
      <c r="H26" s="34"/>
      <c r="I26" s="22" t="n">
        <f aca="false">SUM(F26:H26)</f>
        <v>17694</v>
      </c>
      <c r="J26" s="24"/>
    </row>
    <row r="27" customFormat="false" ht="12.75" hidden="false" customHeight="false" outlineLevel="0" collapsed="false">
      <c r="A27" s="25"/>
      <c r="B27" s="26"/>
      <c r="C27" s="26"/>
      <c r="D27" s="26"/>
      <c r="E27" s="27"/>
      <c r="F27" s="25"/>
      <c r="G27" s="26"/>
      <c r="H27" s="26"/>
      <c r="I27" s="26"/>
      <c r="J27" s="27"/>
    </row>
    <row r="28" customFormat="false" ht="13.5" hidden="false" customHeight="false" outlineLevel="0" collapsed="false">
      <c r="A28" s="28" t="s">
        <v>37</v>
      </c>
      <c r="B28" s="29" t="n">
        <f aca="false">SUM(B2:B27)</f>
        <v>246460</v>
      </c>
      <c r="C28" s="30"/>
      <c r="D28" s="30"/>
      <c r="E28" s="33" t="n">
        <f aca="false">SUM(E2:E26)</f>
        <v>1228570</v>
      </c>
      <c r="F28" s="32" t="n">
        <f aca="false">SUM(F2:F27)</f>
        <v>246460</v>
      </c>
      <c r="G28" s="30"/>
      <c r="H28" s="30"/>
      <c r="I28" s="29" t="n">
        <f aca="false">SUM(I2:I26)</f>
        <v>1462776</v>
      </c>
      <c r="J28" s="31"/>
    </row>
    <row r="29" customFormat="false" ht="12.75" hidden="false" customHeight="false" outlineLevel="0" collapsed="false">
      <c r="G29" s="5"/>
    </row>
    <row r="30" customFormat="false" ht="12.75" hidden="false" customHeight="false" outlineLevel="0" collapsed="false">
      <c r="A30" s="0" t="s">
        <v>38</v>
      </c>
      <c r="D30" s="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&amp;CMAY 2000 PREBID THROUGHPUT</oddHeader>
    <oddFooter>&amp;Lo:\NAES\Texas Transport\Capacity\&amp;F &amp;A&amp;RUpdated &amp;D at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1999-11-22T17:37:39Z</dcterms:created>
  <dc:creator>hwither</dc:creator>
  <dc:description/>
  <dc:language>en-US</dc:language>
  <cp:lastModifiedBy>hwither</cp:lastModifiedBy>
  <cp:lastPrinted>2000-07-24T16:45:10Z</cp:lastPrinted>
  <cp:revision>0</cp:revision>
  <dc:subject/>
  <dc:title/>
</cp:coreProperties>
</file>