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'MLP''s'!$A$1:$W$59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'MLP''s'!$A$1:$BC$47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'MLP''s'!$V$1:$BB$47</definedName>
    <definedName function="false" hidden="false" name="Print_Area_MI" vbProcedure="false">'MLP''s'!$A$1:$N$47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6</xdr:rowOff>
              </xdr:from>
              <xdr:to>
                <xdr:col>1</xdr:col>
                <xdr:colOff>2</xdr:colOff>
                <xdr:row>13</xdr:row>
                <xdr:rowOff>12</xdr:rowOff>
              </xdr:to>
            </anchor>
          </commentPr>
        </mc:Choice>
        <mc:Fallback/>
      </mc:AlternateContent>
    </comment>
    <comment ref="A21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17</xdr:row>
                <xdr:rowOff>22</xdr:rowOff>
              </xdr:from>
              <xdr:to>
                <xdr:col>1</xdr:col>
                <xdr:colOff>2</xdr:colOff>
                <xdr:row>19</xdr:row>
                <xdr:rowOff>20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20</xdr:row>
                <xdr:rowOff>6</xdr:rowOff>
              </xdr:from>
              <xdr:to>
                <xdr:col>1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5</xdr:row>
                <xdr:rowOff>8</xdr:rowOff>
              </xdr:from>
              <xdr:to>
                <xdr:col>8</xdr:col>
                <xdr:colOff>103</xdr:colOff>
                <xdr:row>7</xdr:row>
                <xdr:rowOff>10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<sst xmlns="http://schemas.openxmlformats.org/spreadsheetml/2006/main" count="182" uniqueCount="126">
  <si>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</si>
  <si>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</si>
  <si>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</si>
  <si>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</si>
  <si>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</si>
  <si>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</si>
  <si>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</si>
  <si>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</si>
  <si>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</si>
  <si>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</si>
  <si>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</si>
  <si>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</si>
  <si>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</si>
  <si>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</si>
  <si>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</si>
  <si>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</si>
  <si>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</si>
  <si>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</si>
  <si>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</si>
  <si>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</si>
  <si>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</si>
  <si>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</si>
  <si>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</si>
  <si>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</si>
  <si>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</si>
  <si>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</si>
  <si>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</si>
  <si>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</si>
  <si>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</si>
  <si>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</si>
  <si>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</si>
  <si>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</si>
  <si>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</si>
  <si>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</si>
  <si>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</si>
  <si>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</si>
  <si>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</si>
  <si>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</si>
  <si>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</si>
  <si>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</si>
  <si>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</si>
  <si>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</si>
  <si>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</si>
  <si>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</si>
  <si>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</si>
  <si>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</si>
  <si>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</si>
  <si>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</si>
  <si>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Enbridge Energy Partners</t>
  </si>
  <si>
    <t xml:space="preserve">EEP</t>
  </si>
  <si>
    <t xml:space="preserve">Enterprise Products</t>
  </si>
  <si>
    <t xml:space="preserve">EPD</t>
  </si>
  <si>
    <t xml:space="preserve">N/A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</si>
  <si>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</si>
  <si>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</si>
  <si>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</si>
  <si>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</si>
  <si>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</si>
  <si>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</si>
  <si>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</si>
  <si>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</si>
  <si>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</si>
  <si>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</si>
  <si>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</si>
  <si>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</si>
  <si>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</si>
  <si>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</si>
  <si>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</si>
  <si>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</si>
  <si>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</si>
  <si>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</si>
  <si>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</si>
  <si>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</si>
  <si>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</si>
  <si>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</si>
  <si>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</si>
  <si>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</si>
  <si>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</si>
  <si>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</si>
  <si>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</si>
  <si>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</si>
  <si>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</si>
  <si>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</si>
  <si>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</si>
  <si>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(3)Restructuring approved by unitholders 12/7/00.  Annual distribution reduced to $0.80 per year.  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</si>
  <si>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</si>
  <si>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</si>
  <si>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</si>
  <si>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</si>
  <si>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</si>
  <si>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</si>
  <si>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</si>
  <si>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</si>
  <si>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</si>
  <si>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</si>
  <si>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</si>
  <si>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</si>
  <si>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</si>
  <si>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</si>
  <si>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</si>
  <si>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</si>
  <si>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</si>
  <si>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</si>
  <si>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</si>
  <si>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</si>
  <si>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</si>
  <si>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</si>
  <si>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</si>
  <si>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</si>
  <si>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</si>
  <si>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</si>
  <si>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</si>
  <si>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</si>
  <si>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</si>
  <si>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</si>
  <si>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</si>
  <si>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</si>
  <si>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RBC Capital Markets</t>
  </si>
  <si>
    <t xml:space="preserve">Buy-Aggsv.</t>
  </si>
  <si>
    <t xml:space="preserve">Mark Easterbrook</t>
  </si>
  <si>
    <t xml:space="preserve">Salomon Smith Barney</t>
  </si>
  <si>
    <t xml:space="preserve">UBS Warburg (PaineWebber)</t>
  </si>
  <si>
    <t xml:space="preserve">Strong Buy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</si>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</sst>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37211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37204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18.5</v>
      </c>
      <c r="F10" s="102"/>
      <c r="G10" s="101" t="n">
        <f aca="false">DDE("REUTER","IDN","EOT,DIVIDEND,1")</f>
        <v>1.9</v>
      </c>
      <c r="H10" s="103"/>
      <c r="I10" s="104" t="n">
        <f aca="false">+G10/E10</f>
        <v>0.102702702702703</v>
      </c>
      <c r="J10" s="104"/>
      <c r="K10" s="105" t="n">
        <f aca="false">(+I10-E$30)*10000</f>
        <v>552.027027027027</v>
      </c>
      <c r="L10" s="100"/>
      <c r="M10" s="104" t="n">
        <f aca="false">(I10*AA10)+((I10*(1-AA10))*(1-0.3))</f>
        <v>0.101162162162162</v>
      </c>
      <c r="N10" s="100"/>
      <c r="O10" s="106" t="n">
        <f aca="false">+G10/Z10</f>
        <v>1.72727272727273</v>
      </c>
      <c r="P10" s="107"/>
      <c r="Q10" s="106" t="n">
        <f aca="false">(AF10+$E10-AG10)/AG10</f>
        <v>-0.0483539094650206</v>
      </c>
      <c r="R10" s="107"/>
      <c r="S10" s="106" t="n">
        <f aca="false">(AH10+$E10-AI10)/AI10</f>
        <v>-0.0416666666666666</v>
      </c>
      <c r="T10" s="103"/>
      <c r="U10" s="108" t="n">
        <f aca="false">(AJ10+E10-AK10)/AK10</f>
        <v>0.245801526717557</v>
      </c>
      <c r="V10" s="109"/>
      <c r="W10" s="18"/>
      <c r="X10" s="41"/>
      <c r="Y10" s="110" t="n">
        <f aca="false">G56</f>
        <v>0.902</v>
      </c>
      <c r="Z10" s="111" t="n">
        <f aca="false">I56</f>
        <v>1.1</v>
      </c>
      <c r="AA10" s="112" t="n">
        <v>0.95</v>
      </c>
      <c r="AB10" s="113"/>
      <c r="AC10" s="22"/>
      <c r="AD10" s="114" t="n">
        <v>37193</v>
      </c>
      <c r="AE10" s="115" t="n">
        <v>0.475</v>
      </c>
      <c r="AF10" s="116"/>
      <c r="AG10" s="117" t="n">
        <v>19.44</v>
      </c>
      <c r="AH10" s="118" t="n">
        <v>0.475</v>
      </c>
      <c r="AI10" s="119" t="n">
        <v>19.8</v>
      </c>
      <c r="AJ10" s="120" t="n">
        <f aca="false">0.475*4</f>
        <v>1.9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f aca="false">DDE("REUTER","IDN","NBP,LAST,1")</f>
        <v>38.25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0.0797385620915033</v>
      </c>
      <c r="J11" s="133"/>
      <c r="K11" s="134" t="n">
        <f aca="false">(+I11-E$30)*10000</f>
        <v>322.385620915033</v>
      </c>
      <c r="L11" s="129"/>
      <c r="M11" s="133" t="n">
        <f aca="false">(I11*AA11)+((I11*(1-AA11))*(1-0.3))</f>
        <v>0.0785424836601307</v>
      </c>
      <c r="N11" s="129"/>
      <c r="O11" s="135" t="n">
        <f aca="false">+G11/Z11</f>
        <v>1.03663141993958</v>
      </c>
      <c r="P11" s="136"/>
      <c r="Q11" s="135" t="n">
        <f aca="false">(AF11+$E11-AG11)/AG11</f>
        <v>-0.0343347639484978</v>
      </c>
      <c r="R11" s="136"/>
      <c r="S11" s="135" t="n">
        <f aca="false">(AH11+$E11-AI11)/AI11</f>
        <v>0.00418275418275422</v>
      </c>
      <c r="T11" s="132"/>
      <c r="U11" s="137" t="n">
        <f aca="false">(AJ11+$E11-AK11)/AK11</f>
        <v>0.314342629482072</v>
      </c>
      <c r="V11" s="109"/>
      <c r="W11" s="18"/>
      <c r="X11" s="41"/>
      <c r="Y11" s="110" t="n">
        <f aca="false">S56</f>
        <v>2.505</v>
      </c>
      <c r="Z11" s="111" t="n">
        <f aca="false">U56</f>
        <v>2.94222222222222</v>
      </c>
      <c r="AA11" s="112" t="n">
        <v>0.95</v>
      </c>
      <c r="AB11" s="113"/>
      <c r="AC11" s="11"/>
      <c r="AD11" s="114" t="n">
        <v>37193</v>
      </c>
      <c r="AE11" s="115" t="n">
        <v>0.7625</v>
      </c>
      <c r="AF11" s="116"/>
      <c r="AG11" s="117" t="n">
        <v>39.61</v>
      </c>
      <c r="AH11" s="118" t="n">
        <v>0.7625</v>
      </c>
      <c r="AI11" s="119" t="n">
        <v>38.85</v>
      </c>
      <c r="AJ11" s="120" t="n">
        <f aca="false">0.7+(0.7625*3)</f>
        <v>2.9875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23.89</v>
      </c>
      <c r="F13" s="139"/>
      <c r="G13" s="117" t="n">
        <f aca="false">DDE("REUTER","IDN","APU,DIVIDEND,1")</f>
        <v>2.2</v>
      </c>
      <c r="H13" s="13"/>
      <c r="I13" s="69" t="n">
        <f aca="false">+G13/E13</f>
        <v>0.0920887400586019</v>
      </c>
      <c r="J13" s="69"/>
      <c r="K13" s="146" t="n">
        <f aca="false">(+I13-E$30)*10000</f>
        <v>445.887400586019</v>
      </c>
      <c r="L13" s="23"/>
      <c r="M13" s="69" t="n">
        <f aca="false">(I13*AA13)+((I13*(1-AA13))*(1-0.3))</f>
        <v>0.0838007534533278</v>
      </c>
      <c r="N13" s="23"/>
      <c r="O13" s="33" t="n">
        <f aca="false">+G13/Y13</f>
        <v>2</v>
      </c>
      <c r="P13" s="141"/>
      <c r="Q13" s="33" t="n">
        <f aca="false">(AF13+$E13-AG13)/AG13</f>
        <v>-0.0248979591836734</v>
      </c>
      <c r="R13" s="141"/>
      <c r="S13" s="33" t="n">
        <f aca="false">(AH13+$E13-AI13)/AI13</f>
        <v>0.0644599303135889</v>
      </c>
      <c r="T13" s="13"/>
      <c r="U13" s="147" t="n">
        <f aca="false">(AJ13+E13-AK13)/AK13</f>
        <v>0.569323308270677</v>
      </c>
      <c r="V13" s="109"/>
      <c r="W13" s="18"/>
      <c r="X13" s="41"/>
      <c r="Y13" s="110" t="n">
        <v>1.1</v>
      </c>
      <c r="Z13" s="111" t="n">
        <v>1.12</v>
      </c>
      <c r="AA13" s="112" t="n">
        <v>0.7</v>
      </c>
      <c r="AB13" s="148"/>
      <c r="AC13" s="11"/>
      <c r="AD13" s="114" t="n">
        <v>37202</v>
      </c>
      <c r="AE13" s="115" t="n">
        <v>0.55</v>
      </c>
      <c r="AF13" s="116"/>
      <c r="AG13" s="117" t="n">
        <v>24.5</v>
      </c>
      <c r="AH13" s="118" t="n">
        <v>0.55</v>
      </c>
      <c r="AI13" s="119" t="n">
        <v>22.96</v>
      </c>
      <c r="AJ13" s="120" t="n">
        <f aca="false">0.55*4</f>
        <v>2.2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49" t="n">
        <v>25.1875</v>
      </c>
      <c r="AR13" s="91"/>
      <c r="AS13" s="92"/>
      <c r="AT13" s="14"/>
      <c r="AU13" s="92"/>
      <c r="AV13" s="92"/>
      <c r="AW13" s="14"/>
      <c r="AX13" s="150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36.15</v>
      </c>
      <c r="F14" s="139"/>
      <c r="G14" s="117" t="n">
        <f aca="false">DDE("REUTER","IDN","BPL,DIVIDEND,1")</f>
        <v>2.5</v>
      </c>
      <c r="H14" s="13"/>
      <c r="I14" s="69" t="n">
        <f aca="false">+G14/E14</f>
        <v>0.0691562932226833</v>
      </c>
      <c r="J14" s="69"/>
      <c r="K14" s="146" t="n">
        <f aca="false">(+I14-E$30)*10000</f>
        <v>216.562932226833</v>
      </c>
      <c r="L14" s="23"/>
      <c r="M14" s="69" t="n">
        <f aca="false">(I14*AA14)+((I14*(1-AA14))*(1-0.3))</f>
        <v>0.063969571230982</v>
      </c>
      <c r="N14" s="23"/>
      <c r="O14" s="33" t="n">
        <f aca="false">+G14/Z14</f>
        <v>1.01626016260163</v>
      </c>
      <c r="P14" s="141"/>
      <c r="Q14" s="33" t="n">
        <f aca="false">(AF14+$E14-AG14)/AG14</f>
        <v>0.0240793201133145</v>
      </c>
      <c r="R14" s="141"/>
      <c r="S14" s="33" t="n">
        <f aca="false">(AH14+$E14-AI14)/AI14</f>
        <v>0.0613275613275613</v>
      </c>
      <c r="T14" s="13"/>
      <c r="U14" s="147" t="n">
        <f aca="false">(AJ14+E14-AK14)/AK14</f>
        <v>0.336796536796537</v>
      </c>
      <c r="V14" s="109"/>
      <c r="W14" s="18"/>
      <c r="X14" s="41"/>
      <c r="Y14" s="110" t="n">
        <v>2.37</v>
      </c>
      <c r="Z14" s="111" t="n">
        <v>2.46</v>
      </c>
      <c r="AA14" s="112" t="n">
        <v>0.75</v>
      </c>
      <c r="AB14" s="113"/>
      <c r="AC14" s="11"/>
      <c r="AD14" s="114" t="n">
        <v>37197</v>
      </c>
      <c r="AE14" s="115" t="n">
        <v>0.625</v>
      </c>
      <c r="AF14" s="116"/>
      <c r="AG14" s="117" t="n">
        <v>35.3</v>
      </c>
      <c r="AH14" s="118" t="n">
        <v>0.625</v>
      </c>
      <c r="AI14" s="119" t="n">
        <v>34.65</v>
      </c>
      <c r="AJ14" s="120" t="n">
        <f aca="false">(0.6*2)+(0.625*2)</f>
        <v>2.45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49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DDE("REUTER","IDN","EEP,LAST,1")</f>
        <v>44.2</v>
      </c>
      <c r="F15" s="139"/>
      <c r="G15" s="117" t="n">
        <f aca="false">DDE("REUTER","IDN","EEP,DIVIDEND,1")</f>
        <v>3.5</v>
      </c>
      <c r="H15" s="13"/>
      <c r="I15" s="69" t="n">
        <f aca="false">+G15/E15</f>
        <v>0.079185520361991</v>
      </c>
      <c r="J15" s="69"/>
      <c r="K15" s="146" t="n">
        <f aca="false">(+I15-E$30)*10000</f>
        <v>316.855203619909</v>
      </c>
      <c r="L15" s="23"/>
      <c r="M15" s="69" t="n">
        <f aca="false">(I15*AA15)+((I15*(1-AA15))*(1-0.3))</f>
        <v>0.0779977375565611</v>
      </c>
      <c r="N15" s="23"/>
      <c r="O15" s="33" t="n">
        <f aca="false">+G15/Z15</f>
        <v>1.77664974619289</v>
      </c>
      <c r="P15" s="141"/>
      <c r="Q15" s="33" t="n">
        <f aca="false">(AF15+$E15-AG15)/AG15</f>
        <v>-0.00112994350282479</v>
      </c>
      <c r="R15" s="141"/>
      <c r="S15" s="33" t="n">
        <f aca="false">(AH15+$E15-AI15)/AI15</f>
        <v>-0.0108624094799209</v>
      </c>
      <c r="T15" s="13"/>
      <c r="U15" s="147" t="n">
        <f aca="false">(AJ15+E15-AK15)/AK15</f>
        <v>0.156363636363636</v>
      </c>
      <c r="V15" s="109"/>
      <c r="W15" s="18"/>
      <c r="X15" s="41"/>
      <c r="Y15" s="110" t="n">
        <v>1.38</v>
      </c>
      <c r="Z15" s="111" t="n">
        <v>1.97</v>
      </c>
      <c r="AA15" s="112" t="n">
        <v>0.95</v>
      </c>
      <c r="AB15" s="113"/>
      <c r="AC15" s="11"/>
      <c r="AD15" s="114" t="n">
        <v>37195</v>
      </c>
      <c r="AE15" s="115" t="n">
        <v>0.875</v>
      </c>
      <c r="AF15" s="116"/>
      <c r="AG15" s="117" t="n">
        <v>44.25</v>
      </c>
      <c r="AH15" s="118" t="n">
        <v>0.875</v>
      </c>
      <c r="AI15" s="119" t="n">
        <v>45.57</v>
      </c>
      <c r="AJ15" s="120" t="n">
        <f aca="false">0.875*4</f>
        <v>3.5</v>
      </c>
      <c r="AK15" s="121" t="n">
        <v>41.25</v>
      </c>
      <c r="AL15" s="122" t="n">
        <f aca="false">0.875*4</f>
        <v>3.5</v>
      </c>
      <c r="AM15" s="121" t="n">
        <v>34.8125</v>
      </c>
      <c r="AN15" s="120" t="n">
        <f aca="false">0.875*4</f>
        <v>3.5</v>
      </c>
      <c r="AO15" s="121" t="n">
        <v>48.5</v>
      </c>
      <c r="AP15" s="123" t="n">
        <f aca="false">0.78+0.86+0.86+0.86</f>
        <v>3.36</v>
      </c>
      <c r="AQ15" s="149" t="n">
        <v>43.6875</v>
      </c>
      <c r="AR15" s="91"/>
      <c r="AS15" s="92"/>
      <c r="AT15" s="92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46.8</v>
      </c>
      <c r="F16" s="139"/>
      <c r="G16" s="117" t="n">
        <f aca="false">DDE("REUTER","IDN","EPD,DIVIDEND,1")</f>
        <v>2.5</v>
      </c>
      <c r="H16" s="13"/>
      <c r="I16" s="69" t="n">
        <f aca="false">+G16/E16</f>
        <v>0.0534188034188034</v>
      </c>
      <c r="J16" s="69"/>
      <c r="K16" s="146" t="n">
        <f aca="false">(+I16-E$30)*10000</f>
        <v>59.1880341880342</v>
      </c>
      <c r="L16" s="23"/>
      <c r="M16" s="69" t="n">
        <f aca="false">(I16*AA16)+((I16*(1-AA16))*(1-0.3))</f>
        <v>0.0373931623931624</v>
      </c>
      <c r="N16" s="23"/>
      <c r="O16" s="33" t="n">
        <f aca="false">+G16/Z16</f>
        <v>0.961538461538462</v>
      </c>
      <c r="P16" s="141"/>
      <c r="Q16" s="33" t="n">
        <f aca="false">(AF16+$E16-AG16)/AG16</f>
        <v>-0.0330578512396695</v>
      </c>
      <c r="R16" s="141"/>
      <c r="S16" s="33" t="n">
        <f aca="false">(AH16+$E16-AI16)/AI16</f>
        <v>0.0242980561555076</v>
      </c>
      <c r="T16" s="13"/>
      <c r="U16" s="147" t="n">
        <f aca="false">(AJ16+E16-AK16)/AK16</f>
        <v>0.562306163021869</v>
      </c>
      <c r="V16" s="109"/>
      <c r="W16" s="18"/>
      <c r="X16" s="41"/>
      <c r="Y16" s="110" t="n">
        <v>2.61</v>
      </c>
      <c r="Z16" s="111" t="n">
        <v>2.6</v>
      </c>
      <c r="AA16" s="112"/>
      <c r="AB16" s="113"/>
      <c r="AC16" s="11"/>
      <c r="AD16" s="114" t="n">
        <v>37193</v>
      </c>
      <c r="AE16" s="115" t="n">
        <v>0.625</v>
      </c>
      <c r="AF16" s="116"/>
      <c r="AG16" s="117" t="n">
        <v>48.4</v>
      </c>
      <c r="AH16" s="118" t="n">
        <v>0.625</v>
      </c>
      <c r="AI16" s="119" t="n">
        <v>46.3</v>
      </c>
      <c r="AJ16" s="120" t="n">
        <f aca="false">(0.55*2)+0.5875+0.6275</f>
        <v>2.315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1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DDE("REUTER","IDN","EPN,LAST,1")</f>
        <v>37.02</v>
      </c>
      <c r="F17" s="139"/>
      <c r="G17" s="117" t="n">
        <f aca="false">DDE("REUTER","IDN","EPN,DIVIDEND,1")</f>
        <v>2.45</v>
      </c>
      <c r="H17" s="13"/>
      <c r="I17" s="69" t="n">
        <f aca="false">+G17/E17</f>
        <v>0.0661804430037817</v>
      </c>
      <c r="J17" s="69"/>
      <c r="K17" s="146" t="n">
        <f aca="false">(+I17-E$30)*10000</f>
        <v>186.804430037817</v>
      </c>
      <c r="L17" s="23"/>
      <c r="M17" s="69" t="n">
        <f aca="false">(I17*AA17)+((I17*(1-AA17))*(1-0.3))</f>
        <v>0.0653862776877364</v>
      </c>
      <c r="N17" s="23"/>
      <c r="O17" s="33" t="n">
        <f aca="false">+G17/Z17</f>
        <v>2.66304347826087</v>
      </c>
      <c r="P17" s="141"/>
      <c r="Q17" s="33" t="n">
        <f aca="false">(AF17+$E17-AG17)/AG17</f>
        <v>-0.0359374999999999</v>
      </c>
      <c r="R17" s="141"/>
      <c r="S17" s="33" t="n">
        <f aca="false">(AH17+$E17-AI17)/AI17</f>
        <v>0.0338598901098902</v>
      </c>
      <c r="T17" s="13"/>
      <c r="U17" s="147" t="n">
        <f aca="false">(AJ17+E17-AK17)/AK17</f>
        <v>0.433530751708428</v>
      </c>
      <c r="V17" s="109"/>
      <c r="W17" s="18"/>
      <c r="X17" s="41"/>
      <c r="Y17" s="110" t="n">
        <v>0.56</v>
      </c>
      <c r="Z17" s="111" t="n">
        <v>0.92</v>
      </c>
      <c r="AA17" s="112" t="n">
        <v>0.96</v>
      </c>
      <c r="AB17" s="113"/>
      <c r="AC17" s="11"/>
      <c r="AD17" s="114" t="n">
        <v>37193</v>
      </c>
      <c r="AE17" s="115" t="n">
        <v>0.6125</v>
      </c>
      <c r="AF17" s="116"/>
      <c r="AG17" s="117" t="n">
        <v>38.4</v>
      </c>
      <c r="AH17" s="118" t="n">
        <v>0.6125</v>
      </c>
      <c r="AI17" s="119" t="n">
        <v>36.4</v>
      </c>
      <c r="AJ17" s="120" t="n">
        <f aca="false">0.55+(0.575*2)+0.6125</f>
        <v>2.3125</v>
      </c>
      <c r="AK17" s="121" t="n">
        <v>27.4375</v>
      </c>
      <c r="AL17" s="122" t="n">
        <f aca="false">0.525+0.5375*2+0.55</f>
        <v>2.15</v>
      </c>
      <c r="AM17" s="121" t="n">
        <v>19</v>
      </c>
      <c r="AN17" s="120" t="n">
        <f aca="false">0.525*4</f>
        <v>2.1</v>
      </c>
      <c r="AO17" s="121" t="n">
        <v>20.125</v>
      </c>
      <c r="AP17" s="152" t="n">
        <f aca="false">0.5+0.525+0.525+0.525</f>
        <v>2.075</v>
      </c>
      <c r="AQ17" s="149" t="n">
        <v>30.625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tru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DDE("REUTER","IDN","FGP,LAST,1")</f>
        <v>19.85</v>
      </c>
      <c r="F18" s="139"/>
      <c r="G18" s="117" t="n">
        <f aca="false">DDE("REUTER","IDN","FGP,DIVIDEND,1")</f>
        <v>2</v>
      </c>
      <c r="H18" s="13"/>
      <c r="I18" s="69" t="n">
        <f aca="false">+G18/E18</f>
        <v>0.100755667506297</v>
      </c>
      <c r="J18" s="69"/>
      <c r="K18" s="146" t="n">
        <f aca="false">(+I18-E$30)*10000</f>
        <v>532.556675062972</v>
      </c>
      <c r="L18" s="23"/>
      <c r="M18" s="69" t="n">
        <f aca="false">(I18*AA18)+((I18*(1-AA18))*(1-0.3))</f>
        <v>0.100151133501259</v>
      </c>
      <c r="N18" s="23"/>
      <c r="O18" s="33" t="n">
        <f aca="false">+G18/Z18</f>
        <v>2.1505376344086</v>
      </c>
      <c r="P18" s="153"/>
      <c r="Q18" s="33" t="n">
        <f aca="false">(AF18+$E18-AG18)/AG18</f>
        <v>-0.00700350175087529</v>
      </c>
      <c r="R18" s="153"/>
      <c r="S18" s="33" t="n">
        <f aca="false">(AH18+$E18-AI18)/AI18</f>
        <v>0.0360125260960335</v>
      </c>
      <c r="T18" s="13"/>
      <c r="U18" s="147" t="n">
        <f aca="false">(AJ18+E18-AK18)/AK18</f>
        <v>0.618957345971564</v>
      </c>
      <c r="V18" s="109"/>
      <c r="W18" s="18"/>
      <c r="X18" s="41"/>
      <c r="Y18" s="110" t="n">
        <v>1.58</v>
      </c>
      <c r="Z18" s="111" t="n">
        <v>0.93</v>
      </c>
      <c r="AA18" s="112" t="n">
        <v>0.98</v>
      </c>
      <c r="AB18" s="113"/>
      <c r="AC18" s="11"/>
      <c r="AD18" s="154" t="n">
        <v>37132</v>
      </c>
      <c r="AE18" s="115" t="n">
        <v>0.5</v>
      </c>
      <c r="AF18" s="116"/>
      <c r="AG18" s="117" t="n">
        <v>19.99</v>
      </c>
      <c r="AH18" s="118"/>
      <c r="AI18" s="119" t="n">
        <v>19.16</v>
      </c>
      <c r="AJ18" s="120" t="n">
        <f aca="false">0.5*3</f>
        <v>1.5</v>
      </c>
      <c r="AK18" s="121" t="n">
        <v>13.1875</v>
      </c>
      <c r="AL18" s="122" t="n">
        <f aca="false">0.5+0.5+0.5+0.5</f>
        <v>2</v>
      </c>
      <c r="AM18" s="121" t="n">
        <v>12.625</v>
      </c>
      <c r="AN18" s="120" t="n">
        <f aca="false">0.5*4</f>
        <v>2</v>
      </c>
      <c r="AO18" s="121" t="n">
        <v>17.25</v>
      </c>
      <c r="AP18" s="123" t="n">
        <f aca="false">0.5+0.5+0.5+0.5</f>
        <v>2</v>
      </c>
      <c r="AQ18" s="149" t="n">
        <v>22.375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57</v>
      </c>
      <c r="B19" s="11"/>
      <c r="C19" s="36" t="s">
        <v>58</v>
      </c>
      <c r="D19" s="11"/>
      <c r="E19" s="117" t="n">
        <f aca="false">DDE("REUTER","IDN","GEL,LAST,1")</f>
        <v>5.1</v>
      </c>
      <c r="F19" s="139"/>
      <c r="G19" s="117" t="n">
        <f aca="false">DDE("REUTER","IDN","GEL,DIVIDEND,1")</f>
        <v>0.8</v>
      </c>
      <c r="H19" s="13" t="s">
        <v>59</v>
      </c>
      <c r="I19" s="69" t="n">
        <f aca="false">+G19/E19</f>
        <v>0.156862745098039</v>
      </c>
      <c r="J19" s="69"/>
      <c r="K19" s="146" t="n">
        <f aca="false">(+I19-E$30)*10000</f>
        <v>1093.62745098039</v>
      </c>
      <c r="L19" s="23"/>
      <c r="M19" s="69" t="n">
        <f aca="false">(I19*AA19)+((I19*(1-AA19))*(1-0.3))</f>
        <v>0.156862745098039</v>
      </c>
      <c r="N19" s="23"/>
      <c r="O19" s="33" t="n">
        <f aca="false">+G19/Z19</f>
        <v>5.33333333333333</v>
      </c>
      <c r="P19" s="141"/>
      <c r="Q19" s="33" t="n">
        <f aca="false">(AF19+$E19-AG19)/AG19</f>
        <v>0.197183098591549</v>
      </c>
      <c r="R19" s="141"/>
      <c r="S19" s="33" t="n">
        <f aca="false">(AH19+$E19-AI19)/AI19</f>
        <v>-0.0893470790378008</v>
      </c>
      <c r="T19" s="13"/>
      <c r="U19" s="147" t="n">
        <f aca="false">(AJ19+E19-AK19)/AK19</f>
        <v>0.627586206896552</v>
      </c>
      <c r="V19" s="109"/>
      <c r="W19" s="18"/>
      <c r="X19" s="41"/>
      <c r="Y19" s="110" t="n">
        <v>0.1</v>
      </c>
      <c r="Z19" s="111" t="n">
        <v>0.15</v>
      </c>
      <c r="AA19" s="112" t="n">
        <v>1</v>
      </c>
      <c r="AB19" s="113"/>
      <c r="AC19" s="11"/>
      <c r="AD19" s="114" t="n">
        <v>37193</v>
      </c>
      <c r="AE19" s="115" t="n">
        <v>0.2</v>
      </c>
      <c r="AF19" s="116"/>
      <c r="AG19" s="117" t="n">
        <v>4.26</v>
      </c>
      <c r="AH19" s="118" t="n">
        <v>0.2</v>
      </c>
      <c r="AI19" s="119" t="n">
        <v>5.82</v>
      </c>
      <c r="AJ19" s="120" t="n">
        <f aca="false">0.2*4</f>
        <v>0.8</v>
      </c>
      <c r="AK19" s="121" t="n">
        <v>3.625</v>
      </c>
      <c r="AL19" s="122" t="n">
        <f aca="false">0.5*4+0.28</f>
        <v>2.28</v>
      </c>
      <c r="AM19" s="121" t="n">
        <v>8.0625</v>
      </c>
      <c r="AN19" s="120" t="n">
        <f aca="false">0.5*4</f>
        <v>2</v>
      </c>
      <c r="AO19" s="121" t="n">
        <v>14.4375</v>
      </c>
      <c r="AP19" s="123" t="n">
        <f aca="false">0.5+0.5+0.5+0.5</f>
        <v>2</v>
      </c>
      <c r="AQ19" s="149" t="n">
        <v>16.375</v>
      </c>
      <c r="AR19" s="91"/>
      <c r="AS19" s="92"/>
      <c r="AT19" s="14"/>
      <c r="AU19" s="92"/>
      <c r="AV19" s="92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DDE("REUTER","IDN","KPP,LAST,1")</f>
        <v>40.21</v>
      </c>
      <c r="F20" s="139"/>
      <c r="G20" s="117" t="n">
        <f aca="false">DDE("REUTER","IDN","KPP,DIVIDEND,1")</f>
        <v>3</v>
      </c>
      <c r="H20" s="13"/>
      <c r="I20" s="69" t="n">
        <f aca="false">+G20/E20</f>
        <v>0.0746083063914449</v>
      </c>
      <c r="J20" s="69"/>
      <c r="K20" s="146" t="n">
        <f aca="false">(+I20-E$30)*10000</f>
        <v>271.083063914449</v>
      </c>
      <c r="L20" s="23"/>
      <c r="M20" s="69" t="n">
        <f aca="false">(I20*AA20)+((I20*(1-AA20))*(1-0.3))</f>
        <v>0.0701318080079582</v>
      </c>
      <c r="N20" s="23"/>
      <c r="O20" s="33" t="n">
        <f aca="false">+G20/Z20</f>
        <v>0.943396226415094</v>
      </c>
      <c r="P20" s="141"/>
      <c r="Q20" s="33" t="n">
        <f aca="false">(AF20+$E20-AG20)/AG20</f>
        <v>-0.0426190476190476</v>
      </c>
      <c r="R20" s="141"/>
      <c r="S20" s="33" t="n">
        <f aca="false">(AH20+$E20-AI20)/AI20</f>
        <v>0.0361750569187958</v>
      </c>
      <c r="T20" s="13"/>
      <c r="U20" s="147" t="n">
        <f aca="false">(AJ20+E20-AK20)/AK20</f>
        <v>0.374766734279919</v>
      </c>
      <c r="V20" s="109"/>
      <c r="W20" s="18"/>
      <c r="X20" s="41"/>
      <c r="Y20" s="110" t="n">
        <v>3.15</v>
      </c>
      <c r="Z20" s="111" t="n">
        <v>3.18</v>
      </c>
      <c r="AA20" s="112" t="n">
        <v>0.8</v>
      </c>
      <c r="AB20" s="113"/>
      <c r="AC20" s="11"/>
      <c r="AD20" s="114" t="n">
        <v>37193</v>
      </c>
      <c r="AE20" s="115" t="n">
        <v>0.75</v>
      </c>
      <c r="AF20" s="116"/>
      <c r="AG20" s="117" t="n">
        <v>42</v>
      </c>
      <c r="AH20" s="118" t="n">
        <v>0.75</v>
      </c>
      <c r="AI20" s="119" t="n">
        <v>39.53</v>
      </c>
      <c r="AJ20" s="120" t="n">
        <f aca="false">(0.7*2)+0.75</f>
        <v>2.15</v>
      </c>
      <c r="AK20" s="121" t="n">
        <v>30.8125</v>
      </c>
      <c r="AL20" s="122" t="n">
        <f aca="false">0.7*4</f>
        <v>2.8</v>
      </c>
      <c r="AM20" s="121" t="n">
        <v>24.6875</v>
      </c>
      <c r="AN20" s="155" t="n">
        <f aca="false">0.65*2+0.7*2</f>
        <v>2.7</v>
      </c>
      <c r="AO20" s="121" t="n">
        <v>33</v>
      </c>
      <c r="AP20" s="123" t="n">
        <f aca="false">0.65+0.65+0.65+0.65</f>
        <v>2.6</v>
      </c>
      <c r="AQ20" s="149" t="n">
        <v>35.75</v>
      </c>
      <c r="AR20" s="91"/>
      <c r="AS20" s="20"/>
      <c r="AT20" s="20"/>
      <c r="AU20" s="20"/>
      <c r="AV20" s="20"/>
      <c r="AW20" s="14"/>
      <c r="AX20" s="125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DDE("REUTER","IDN","KMP,LAST,1")</f>
        <v>34.64</v>
      </c>
      <c r="F21" s="139"/>
      <c r="G21" s="117" t="n">
        <f aca="false">DDE("REUTER","IDN","KMP,DIVIDEND,1")</f>
        <v>2.2</v>
      </c>
      <c r="H21" s="156"/>
      <c r="I21" s="69" t="n">
        <f aca="false">+G21/E21</f>
        <v>0.0635103926096998</v>
      </c>
      <c r="J21" s="69"/>
      <c r="K21" s="146" t="n">
        <f aca="false">(+I21-E$30)*10000</f>
        <v>160.103926096998</v>
      </c>
      <c r="L21" s="23"/>
      <c r="M21" s="69" t="n">
        <f aca="false">(I21*AA21)+((I21*(1-AA21))*(1-0.3))</f>
        <v>0.0616050808314088</v>
      </c>
      <c r="N21" s="23"/>
      <c r="O21" s="33" t="n">
        <f aca="false">+G21/Z21</f>
        <v>1.29411764705882</v>
      </c>
      <c r="P21" s="141"/>
      <c r="Q21" s="33" t="n">
        <f aca="false">(AF21+$E21-AG21)/AG21</f>
        <v>-0.109511568123393</v>
      </c>
      <c r="R21" s="141"/>
      <c r="S21" s="33" t="n">
        <f aca="false">(AH21+$E21-AI21)/AI21</f>
        <v>0.0167581623808147</v>
      </c>
      <c r="T21" s="13"/>
      <c r="U21" s="147" t="n">
        <f aca="false">(AJ21+E21-AK21)/AK21</f>
        <v>-0.348013318534961</v>
      </c>
      <c r="V21" s="109"/>
      <c r="W21" s="18"/>
      <c r="X21" s="41"/>
      <c r="Y21" s="110" t="n">
        <v>1.55</v>
      </c>
      <c r="Z21" s="111" t="n">
        <v>1.7</v>
      </c>
      <c r="AA21" s="112" t="n">
        <v>0.9</v>
      </c>
      <c r="AB21" s="148"/>
      <c r="AC21" s="11"/>
      <c r="AD21" s="114" t="n">
        <v>37193</v>
      </c>
      <c r="AE21" s="115" t="n">
        <v>0.55</v>
      </c>
      <c r="AF21" s="116"/>
      <c r="AG21" s="117" t="n">
        <v>38.9</v>
      </c>
      <c r="AH21" s="118" t="n">
        <v>0.55</v>
      </c>
      <c r="AI21" s="119" t="n">
        <v>34.61</v>
      </c>
      <c r="AJ21" s="120" t="n">
        <f aca="false">0.475+(0.525*2)+0.55</f>
        <v>2.075</v>
      </c>
      <c r="AK21" s="121" t="n">
        <v>56.3125</v>
      </c>
      <c r="AL21" s="122" t="n">
        <f aca="false">0.725+0.775+0.85*2</f>
        <v>3.2</v>
      </c>
      <c r="AM21" s="121" t="n">
        <v>41.4375</v>
      </c>
      <c r="AN21" s="155" t="n">
        <f aca="false">0.65+0.7*2+0.725</f>
        <v>2.775</v>
      </c>
      <c r="AO21" s="121" t="n">
        <v>36.25</v>
      </c>
      <c r="AP21" s="152" t="n">
        <f aca="false">0.5625+0.5625+0.63+0.63</f>
        <v>2.385</v>
      </c>
      <c r="AQ21" s="149" t="n">
        <v>33.875</v>
      </c>
      <c r="AR21" s="91"/>
      <c r="AS21" s="20"/>
      <c r="AT21" s="14"/>
      <c r="AU21" s="14"/>
      <c r="AV21" s="14"/>
      <c r="AW21" s="14"/>
      <c r="AX21" s="14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25.4</v>
      </c>
      <c r="F22" s="139"/>
      <c r="G22" s="117" t="n">
        <f aca="false">DDE("REUTER","IDN","PAA,DIVIDEND,1")</f>
        <v>2.05</v>
      </c>
      <c r="H22" s="156"/>
      <c r="I22" s="69" t="n">
        <f aca="false">+G22/E22</f>
        <v>0.0807086614173228</v>
      </c>
      <c r="J22" s="69"/>
      <c r="K22" s="146" t="n">
        <f aca="false">(+I22-E$30)*10000</f>
        <v>332.086614173228</v>
      </c>
      <c r="L22" s="23"/>
      <c r="M22" s="69" t="n">
        <f aca="false">(I22*AA22)+((I22*(1-AA22))*(1-0.3))</f>
        <v>0.0734448818897638</v>
      </c>
      <c r="N22" s="23"/>
      <c r="O22" s="33" t="n">
        <f aca="false">+G22/Z22</f>
        <v>1.19883040935673</v>
      </c>
      <c r="P22" s="141"/>
      <c r="Q22" s="33" t="n">
        <f aca="false">(AF22+$E22-AG22)/AG22</f>
        <v>-0.0447536667920271</v>
      </c>
      <c r="R22" s="141"/>
      <c r="S22" s="33" t="n">
        <f aca="false">(AH22+$E22-AI22)/AI22</f>
        <v>0.0122070312499999</v>
      </c>
      <c r="T22" s="13"/>
      <c r="U22" s="147" t="n">
        <f aca="false">(AJ22+E22-AK22)/AK22</f>
        <v>0.430065359477124</v>
      </c>
      <c r="V22" s="109"/>
      <c r="W22" s="18"/>
      <c r="X22" s="41"/>
      <c r="Y22" s="110" t="n">
        <v>1.46</v>
      </c>
      <c r="Z22" s="111" t="n">
        <v>1.71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/>
      <c r="AG22" s="117" t="n">
        <v>26.59</v>
      </c>
      <c r="AH22" s="118" t="n">
        <v>0.5125</v>
      </c>
      <c r="AI22" s="119" t="n">
        <v>25.6</v>
      </c>
      <c r="AJ22" s="120" t="n">
        <f aca="false">0.4625+0.475+0.5+0.5125</f>
        <v>1.95</v>
      </c>
      <c r="AK22" s="121" t="n">
        <v>19.125</v>
      </c>
      <c r="AL22" s="122" t="n">
        <f aca="false">0.45*2+0.4625*2</f>
        <v>1.825</v>
      </c>
      <c r="AM22" s="121" t="n">
        <v>13</v>
      </c>
      <c r="AN22" s="155" t="n">
        <f aca="false">0.193+0.45+0.463+0.48125</f>
        <v>1.58725</v>
      </c>
      <c r="AO22" s="121" t="n">
        <v>17.3125</v>
      </c>
      <c r="AP22" s="152" t="s">
        <v>66</v>
      </c>
      <c r="AQ22" s="151" t="s">
        <v>66</v>
      </c>
      <c r="AR22" s="91"/>
      <c r="AS22" s="157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24.85</v>
      </c>
      <c r="F23" s="139"/>
      <c r="G23" s="117" t="n">
        <f aca="false">DDE("REUTER","IDN","TCLPZ.O,DIVIDEND,1")</f>
        <v>2</v>
      </c>
      <c r="H23" s="13"/>
      <c r="I23" s="69" t="n">
        <f aca="false">+G23/E23</f>
        <v>0.0804828973843058</v>
      </c>
      <c r="J23" s="69"/>
      <c r="K23" s="146" t="n">
        <f aca="false">(+I23-E$30)*10000</f>
        <v>329.828973843058</v>
      </c>
      <c r="L23" s="23"/>
      <c r="M23" s="69" t="n">
        <f aca="false">(I23*AA23)+((I23*(1-AA23))*(1-0.3))</f>
        <v>0.0792756539235412</v>
      </c>
      <c r="N23" s="23"/>
      <c r="O23" s="33" t="n">
        <f aca="false">+G23/Z23</f>
        <v>0.829875518672199</v>
      </c>
      <c r="P23" s="141"/>
      <c r="Q23" s="33" t="n">
        <f aca="false">(AF23+$E23-AG23)/AG23</f>
        <v>-0.0500764525993883</v>
      </c>
      <c r="R23" s="141"/>
      <c r="S23" s="33" t="n">
        <f aca="false">(AH23+$E23-AI23)/AI23</f>
        <v>-0.032442748091603</v>
      </c>
      <c r="T23" s="13"/>
      <c r="U23" s="147" t="n">
        <f aca="false">(AJ23+E23-AK23)/AK23</f>
        <v>0.392207792207792</v>
      </c>
      <c r="V23" s="109"/>
      <c r="W23" s="18"/>
      <c r="X23" s="41"/>
      <c r="Y23" s="110" t="n">
        <v>2.33</v>
      </c>
      <c r="Z23" s="111" t="n">
        <v>2.41</v>
      </c>
      <c r="AA23" s="112" t="n">
        <v>0.95</v>
      </c>
      <c r="AB23" s="113"/>
      <c r="AC23" s="11"/>
      <c r="AD23" s="114" t="n">
        <v>37193</v>
      </c>
      <c r="AE23" s="115" t="n">
        <v>0.5</v>
      </c>
      <c r="AF23" s="116"/>
      <c r="AG23" s="158" t="n">
        <v>26.16</v>
      </c>
      <c r="AH23" s="118" t="n">
        <v>0.5</v>
      </c>
      <c r="AI23" s="159" t="n">
        <v>26.2</v>
      </c>
      <c r="AJ23" s="120" t="n">
        <f aca="false">(0.475*2)+(0.5*2)</f>
        <v>1.95</v>
      </c>
      <c r="AK23" s="121" t="n">
        <v>19.25</v>
      </c>
      <c r="AL23" s="122" t="n">
        <f aca="false">0.45*4</f>
        <v>1.8</v>
      </c>
      <c r="AM23" s="121" t="n">
        <v>14.25</v>
      </c>
      <c r="AN23" s="155" t="n">
        <f aca="false">0.168+0.45</f>
        <v>0.618</v>
      </c>
      <c r="AO23" s="121" t="s">
        <v>66</v>
      </c>
      <c r="AP23" s="151" t="s">
        <v>66</v>
      </c>
      <c r="AQ23" s="151"/>
      <c r="AR23" s="91"/>
      <c r="AS23" s="157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33.95</v>
      </c>
      <c r="F24" s="139"/>
      <c r="G24" s="117" t="n">
        <f aca="false">DDE("REUTER","IDN","TPP,DIVIDEND,1")</f>
        <v>2.3</v>
      </c>
      <c r="H24" s="13"/>
      <c r="I24" s="69" t="n">
        <f aca="false">+G24/E24</f>
        <v>0.0677466863033873</v>
      </c>
      <c r="J24" s="69"/>
      <c r="K24" s="146" t="n">
        <f aca="false">(+I24-E$30)*10000</f>
        <v>202.466863033873</v>
      </c>
      <c r="L24" s="23"/>
      <c r="M24" s="69" t="n">
        <f aca="false">(I24*AA24)+((I24*(1-AA24))*(1-0.3))</f>
        <v>0.0616494845360825</v>
      </c>
      <c r="N24" s="23"/>
      <c r="O24" s="33" t="n">
        <f aca="false">+G24/Z24</f>
        <v>1.13861386138614</v>
      </c>
      <c r="P24" s="141"/>
      <c r="Q24" s="33" t="n">
        <f aca="false">(AF24+$E24-AG24)/AG24</f>
        <v>-0.0492859143097171</v>
      </c>
      <c r="R24" s="141"/>
      <c r="S24" s="33" t="n">
        <f aca="false">(AH24+$E24-AI24)/AI24</f>
        <v>0.0789062500000002</v>
      </c>
      <c r="T24" s="13"/>
      <c r="U24" s="147" t="n">
        <f aca="false">(AJ24+E24-AK24)/AK24</f>
        <v>0.469720101781171</v>
      </c>
      <c r="V24" s="109"/>
      <c r="W24" s="18"/>
      <c r="X24" s="41"/>
      <c r="Y24" s="110" t="n">
        <v>1.92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/>
      <c r="AG24" s="117" t="n">
        <v>35.71</v>
      </c>
      <c r="AH24" s="118" t="n">
        <v>0.575</v>
      </c>
      <c r="AI24" s="119" t="n">
        <v>32</v>
      </c>
      <c r="AJ24" s="120" t="n">
        <f aca="false">(0.525*3)+0.575</f>
        <v>2.15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5" t="n">
        <f aca="false">0.45*2+0.475*2</f>
        <v>1.85</v>
      </c>
      <c r="AO24" s="121" t="n">
        <v>24.5625</v>
      </c>
      <c r="AP24" s="152" t="n">
        <f aca="false">(0.85+0.85+0.9)/2+0.45</f>
        <v>1.75</v>
      </c>
      <c r="AQ24" s="149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60" t="s">
        <v>71</v>
      </c>
      <c r="B25" s="14"/>
      <c r="C25" s="55" t="s">
        <v>72</v>
      </c>
      <c r="D25" s="14"/>
      <c r="E25" s="117" t="n">
        <f aca="false">DDE("REUTER","IDN","UDL,LAST,1")</f>
        <v>38</v>
      </c>
      <c r="F25" s="161"/>
      <c r="G25" s="117" t="n">
        <f aca="false">DDE("REUTER","IDN","UDL,DIVIDEND,1")</f>
        <v>2.4</v>
      </c>
      <c r="H25" s="156"/>
      <c r="I25" s="69" t="n">
        <f aca="false">+G25/E25</f>
        <v>0.0631578947368421</v>
      </c>
      <c r="J25" s="69"/>
      <c r="K25" s="146" t="n">
        <f aca="false">(+I25-E$30)*10000</f>
        <v>156.578947368421</v>
      </c>
      <c r="L25" s="23"/>
      <c r="M25" s="69" t="n">
        <f aca="false">(I25*AA25)+((I25*(1-AA25))*(1-0.3))</f>
        <v>0.0442105263157895</v>
      </c>
      <c r="N25" s="23"/>
      <c r="O25" s="33" t="n">
        <f aca="false">+G25/Z25</f>
        <v>0.882352941176471</v>
      </c>
      <c r="P25" s="141"/>
      <c r="Q25" s="33" t="n">
        <f aca="false">(AF25+$E25-AG25)/AG25</f>
        <v>-0.0594059405940594</v>
      </c>
      <c r="R25" s="141"/>
      <c r="S25" s="33" t="n">
        <f aca="false">(AH25+$E25-AI25)/AI25</f>
        <v>0.184049079754601</v>
      </c>
      <c r="T25" s="13"/>
      <c r="U25" s="147" t="n">
        <f aca="false">(AJ25+E25-AK25)/AK25</f>
        <v>0.595963265306123</v>
      </c>
      <c r="V25" s="109"/>
      <c r="W25" s="18"/>
      <c r="X25" s="41"/>
      <c r="Y25" s="110" t="n">
        <v>2.27</v>
      </c>
      <c r="Z25" s="162" t="n">
        <v>2.72</v>
      </c>
      <c r="AA25" s="163" t="n">
        <v>0</v>
      </c>
      <c r="AB25" s="112"/>
      <c r="AC25" s="164"/>
      <c r="AD25" s="114" t="n">
        <v>37194</v>
      </c>
      <c r="AE25" s="116" t="n">
        <v>0.6</v>
      </c>
      <c r="AF25" s="118"/>
      <c r="AG25" s="117" t="n">
        <v>40.4</v>
      </c>
      <c r="AH25" s="118" t="n">
        <v>0.6</v>
      </c>
      <c r="AI25" s="119" t="n">
        <v>32.6</v>
      </c>
      <c r="AJ25" s="120" t="n">
        <f aca="false">0.5011+0.6</f>
        <v>1.1011</v>
      </c>
      <c r="AK25" s="165" t="n">
        <v>24.5</v>
      </c>
      <c r="AL25" s="166" t="s">
        <v>66</v>
      </c>
      <c r="AM25" s="165" t="s">
        <v>66</v>
      </c>
      <c r="AN25" s="166" t="s">
        <v>66</v>
      </c>
      <c r="AO25" s="165" t="s">
        <v>66</v>
      </c>
      <c r="AP25" s="166" t="s">
        <v>66</v>
      </c>
      <c r="AQ25" s="167" t="s">
        <v>66</v>
      </c>
      <c r="AR25" s="168"/>
      <c r="AS25" s="157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60" t="s">
        <v>73</v>
      </c>
      <c r="B26" s="14"/>
      <c r="C26" s="55" t="s">
        <v>74</v>
      </c>
      <c r="D26" s="14"/>
      <c r="E26" s="117" t="n">
        <f aca="false">DDE("REUTER","IDN","WEG,LAST,1")</f>
        <v>40.1</v>
      </c>
      <c r="F26" s="161"/>
      <c r="G26" s="117" t="n">
        <f aca="false">DDE("REUTER","IDN","WEG,DIVIDEND,1")</f>
        <v>2.31</v>
      </c>
      <c r="H26" s="156"/>
      <c r="I26" s="69" t="n">
        <f aca="false">+G26/E26</f>
        <v>0.0576059850374065</v>
      </c>
      <c r="J26" s="69"/>
      <c r="K26" s="146" t="n">
        <f aca="false">(+I26-E$30)*10000</f>
        <v>101.059850374065</v>
      </c>
      <c r="L26" s="23"/>
      <c r="M26" s="69" t="n">
        <f aca="false">(I26*AA26)+((I26*(1-AA26))*(1-0.3))</f>
        <v>0.0403241895261845</v>
      </c>
      <c r="N26" s="23"/>
      <c r="O26" s="33" t="n">
        <f aca="false">+G26/Z26</f>
        <v>1.3125</v>
      </c>
      <c r="P26" s="141"/>
      <c r="Q26" s="33" t="n">
        <f aca="false">(AF26+$E26-AG26)/AG26</f>
        <v>-0.0309328177863703</v>
      </c>
      <c r="R26" s="141"/>
      <c r="S26" s="33" t="n">
        <f aca="false">(AH26+$E26-AI26)/AI26</f>
        <v>0.099391891891892</v>
      </c>
      <c r="T26" s="13"/>
      <c r="U26" s="147" t="n">
        <f aca="false">(AJ26+E26-AK26)/AK26</f>
        <v>0.931720930232558</v>
      </c>
      <c r="V26" s="109"/>
      <c r="W26" s="18"/>
      <c r="X26" s="41"/>
      <c r="Y26" s="110" t="n">
        <v>1.69</v>
      </c>
      <c r="Z26" s="162" t="n">
        <v>1.76</v>
      </c>
      <c r="AA26" s="163" t="n">
        <v>0</v>
      </c>
      <c r="AB26" s="112"/>
      <c r="AC26" s="164"/>
      <c r="AD26" s="114" t="n">
        <v>37194</v>
      </c>
      <c r="AE26" s="116" t="n">
        <v>0.5775</v>
      </c>
      <c r="AF26" s="118"/>
      <c r="AG26" s="117" t="n">
        <v>41.38</v>
      </c>
      <c r="AH26" s="118" t="n">
        <v>0.5775</v>
      </c>
      <c r="AI26" s="119" t="n">
        <v>37</v>
      </c>
      <c r="AJ26" s="120" t="n">
        <f aca="false">0.292+0.5625+0.5775</f>
        <v>1.432</v>
      </c>
      <c r="AK26" s="165" t="n">
        <v>21.5</v>
      </c>
      <c r="AL26" s="166" t="s">
        <v>66</v>
      </c>
      <c r="AM26" s="165" t="s">
        <v>66</v>
      </c>
      <c r="AN26" s="166" t="s">
        <v>66</v>
      </c>
      <c r="AO26" s="165" t="s">
        <v>66</v>
      </c>
      <c r="AP26" s="166" t="s">
        <v>66</v>
      </c>
      <c r="AQ26" s="167" t="s">
        <v>66</v>
      </c>
      <c r="AR26" s="168"/>
      <c r="AS26" s="157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9"/>
      <c r="AB27" s="170"/>
      <c r="AC27" s="22"/>
      <c r="AD27" s="29"/>
      <c r="AE27" s="171"/>
      <c r="AF27" s="19"/>
      <c r="AG27" s="14"/>
      <c r="AH27" s="172"/>
      <c r="AI27" s="173"/>
      <c r="AJ27" s="29"/>
      <c r="AK27" s="90"/>
      <c r="AL27" s="63"/>
      <c r="AM27" s="90"/>
      <c r="AN27" s="63"/>
      <c r="AO27" s="90"/>
      <c r="AP27" s="174"/>
      <c r="AQ27" s="175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6" t="s">
        <v>75</v>
      </c>
      <c r="B28" s="177"/>
      <c r="C28" s="178"/>
      <c r="D28" s="177"/>
      <c r="E28" s="179"/>
      <c r="F28" s="179"/>
      <c r="G28" s="180"/>
      <c r="H28" s="181"/>
      <c r="I28" s="182" t="n">
        <f aca="false">AVERAGEA(I13:I26)</f>
        <v>0.0789620740393291</v>
      </c>
      <c r="J28" s="182"/>
      <c r="K28" s="183" t="n">
        <f aca="false">(+I28-E$30)*10000</f>
        <v>314.620740393291</v>
      </c>
      <c r="L28" s="178"/>
      <c r="M28" s="182" t="n">
        <f aca="false">AVERAGEA(M13:M24)</f>
        <v>0.0776390241758186</v>
      </c>
      <c r="N28" s="178"/>
      <c r="O28" s="184" t="n">
        <f aca="false">AVERAGEA(O13:O26)</f>
        <v>1.67864638717152</v>
      </c>
      <c r="P28" s="185"/>
      <c r="Q28" s="184" t="n">
        <f aca="false">AVERAGEA(Q13:Q26)</f>
        <v>-0.0190964103425844</v>
      </c>
      <c r="R28" s="185"/>
      <c r="S28" s="184" t="n">
        <f aca="false">AVERAGEA(S13:S26)</f>
        <v>0.0367709428278115</v>
      </c>
      <c r="T28" s="181"/>
      <c r="U28" s="186" t="n">
        <f aca="false">AVERAGEA(U13:U26)</f>
        <v>0.439378200984213</v>
      </c>
      <c r="V28" s="18"/>
      <c r="W28" s="18"/>
      <c r="X28" s="41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 s="197"/>
      <c r="AJ28" s="198"/>
      <c r="AK28" s="193"/>
      <c r="AL28" s="199"/>
      <c r="AM28" s="193"/>
      <c r="AN28" s="199"/>
      <c r="AO28" s="193"/>
      <c r="AP28" s="200"/>
      <c r="AQ28" s="201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2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2" t="n">
        <v>98.7615157520131</v>
      </c>
      <c r="AH29" s="23"/>
      <c r="AI29" s="202" t="n">
        <v>98.7615157520131</v>
      </c>
      <c r="AJ29" s="23"/>
      <c r="AK29" s="202" t="n">
        <f aca="false">PV(AK30/2,60,-$AK$30*100/2,-100,0)</f>
        <v>100</v>
      </c>
      <c r="AL29" s="23" t="n">
        <f aca="false">+AM30*100</f>
        <v>6.482</v>
      </c>
      <c r="AM29" s="202" t="n">
        <f aca="false">PV(AM30/2,60,-$AM$30*100/2,-100,0)</f>
        <v>100</v>
      </c>
      <c r="AN29" s="23" t="n">
        <f aca="false">+AO30*100</f>
        <v>5.1</v>
      </c>
      <c r="AO29" s="202" t="n">
        <v>100</v>
      </c>
      <c r="AP29" s="202"/>
      <c r="AQ29" s="202"/>
      <c r="AR29" s="203" t="s">
        <v>76</v>
      </c>
      <c r="AS29" s="204"/>
      <c r="AT29" s="205"/>
      <c r="AU29" s="14"/>
      <c r="AV29" s="20"/>
      <c r="AW29" s="14"/>
      <c r="AX29" s="14"/>
      <c r="AY29" s="14"/>
      <c r="AZ29" s="14"/>
      <c r="BA29" s="150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6" t="n">
        <v>0.0475</v>
      </c>
      <c r="F30" s="11"/>
      <c r="G30" s="207"/>
      <c r="H30" s="13"/>
      <c r="I30" s="22"/>
      <c r="J30" s="206"/>
      <c r="K30" s="140"/>
      <c r="L30" s="23"/>
      <c r="M30" s="69" t="n">
        <f aca="false">(E30*AA30)+((E30*(1-AA30))*(1-0.3))</f>
        <v>0.03325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8"/>
      <c r="AE30" s="208"/>
      <c r="AF30" s="208"/>
      <c r="AG30" s="206" t="n">
        <v>0.0428</v>
      </c>
      <c r="AH30" s="209"/>
      <c r="AI30" s="206" t="n">
        <v>0.048424</v>
      </c>
      <c r="AJ30" s="209"/>
      <c r="AK30" s="210" t="n">
        <v>0.054601</v>
      </c>
      <c r="AL30" s="211"/>
      <c r="AM30" s="212" t="n">
        <v>0.06482</v>
      </c>
      <c r="AN30" s="213"/>
      <c r="AO30" s="213" t="n">
        <v>0.051</v>
      </c>
      <c r="AP30" s="214" t="s">
        <v>78</v>
      </c>
      <c r="AQ30" s="214"/>
      <c r="AR30" s="215" t="s">
        <v>79</v>
      </c>
      <c r="AS30" s="208"/>
      <c r="AT30" s="216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7"/>
      <c r="C31" s="218"/>
      <c r="D31" s="217"/>
      <c r="E31" s="2" t="s">
        <v>26</v>
      </c>
      <c r="F31" s="219"/>
      <c r="G31" s="220"/>
      <c r="H31" s="220"/>
      <c r="I31" s="221"/>
      <c r="J31" s="221"/>
      <c r="K31" s="222"/>
      <c r="L31" s="220"/>
      <c r="M31" s="221"/>
      <c r="N31" s="220"/>
      <c r="O31" s="223"/>
      <c r="P31" s="223"/>
      <c r="Q31" s="224" t="s">
        <v>80</v>
      </c>
      <c r="S31" s="224" t="s">
        <v>80</v>
      </c>
      <c r="U31" s="224" t="s">
        <v>80</v>
      </c>
      <c r="V31" s="225"/>
      <c r="W31" s="226"/>
      <c r="X31" s="226"/>
      <c r="Y31" s="226"/>
      <c r="Z31" s="226"/>
      <c r="AA31" s="226"/>
      <c r="AB31" s="226"/>
      <c r="AC31" s="226"/>
      <c r="AD31" s="226"/>
      <c r="AE31" s="226"/>
      <c r="AF31" s="202"/>
      <c r="AG31" s="9" t="s">
        <v>26</v>
      </c>
      <c r="AI31" s="9" t="s">
        <v>26</v>
      </c>
      <c r="AM31" s="23"/>
      <c r="AN31" s="23"/>
      <c r="AO31" s="23"/>
      <c r="AU31" s="205"/>
      <c r="AV31" s="227"/>
      <c r="AW31" s="205"/>
      <c r="AX31" s="205"/>
      <c r="AY31" s="205"/>
      <c r="AZ31" s="205"/>
      <c r="BA31" s="205"/>
    </row>
    <row r="32" customFormat="false" ht="19.5" hidden="true" customHeight="true" outlineLevel="0" collapsed="false">
      <c r="A32" s="228" t="s">
        <v>81</v>
      </c>
      <c r="B32" s="217"/>
      <c r="C32" s="218"/>
      <c r="D32" s="217"/>
      <c r="E32" s="219"/>
      <c r="F32" s="219"/>
      <c r="G32" s="220"/>
      <c r="H32" s="220"/>
      <c r="I32" s="221"/>
      <c r="J32" s="221"/>
      <c r="K32" s="222"/>
      <c r="L32" s="220"/>
      <c r="M32" s="221"/>
      <c r="N32" s="220"/>
      <c r="O32" s="223"/>
      <c r="P32" s="223"/>
      <c r="Q32" s="223"/>
      <c r="R32" s="223"/>
      <c r="S32" s="223"/>
      <c r="T32" s="220"/>
      <c r="U32" s="219"/>
      <c r="V32" s="225"/>
      <c r="W32" s="226"/>
      <c r="X32" s="226"/>
      <c r="Y32" s="226"/>
      <c r="Z32" s="226"/>
      <c r="AA32" s="226"/>
      <c r="AB32" s="226"/>
      <c r="AC32" s="226"/>
      <c r="AD32" s="226"/>
      <c r="AE32" s="226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4"/>
      <c r="AS32" s="204"/>
      <c r="AT32" s="205"/>
      <c r="AU32" s="205"/>
      <c r="AV32" s="227"/>
      <c r="AW32" s="205"/>
      <c r="AX32" s="205"/>
      <c r="AY32" s="205"/>
      <c r="AZ32" s="205"/>
      <c r="BA32" s="205"/>
    </row>
    <row r="33" customFormat="false" ht="19.5" hidden="false" customHeight="true" outlineLevel="0" collapsed="false">
      <c r="A33" s="228"/>
      <c r="B33" s="217"/>
      <c r="C33" s="218"/>
      <c r="D33" s="217"/>
      <c r="E33" s="229"/>
      <c r="F33" s="219"/>
      <c r="G33" s="220"/>
      <c r="H33" s="220"/>
      <c r="I33" s="221"/>
      <c r="J33" s="221"/>
      <c r="K33" s="222"/>
      <c r="L33" s="220"/>
      <c r="M33" s="221"/>
      <c r="N33" s="220"/>
      <c r="O33" s="223"/>
      <c r="P33" s="223"/>
      <c r="Q33" s="223"/>
      <c r="R33" s="223"/>
      <c r="S33" s="223"/>
      <c r="T33" s="220"/>
      <c r="U33" s="219"/>
      <c r="V33" s="225"/>
      <c r="W33" s="226"/>
      <c r="X33" s="226"/>
      <c r="Y33" s="226"/>
      <c r="Z33" s="226"/>
      <c r="AA33" s="226"/>
      <c r="AB33" s="226"/>
      <c r="AC33" s="226"/>
      <c r="AD33" s="226"/>
      <c r="AE33" s="226"/>
      <c r="AF33" s="202"/>
      <c r="AJ33" s="230"/>
      <c r="AK33" s="230"/>
      <c r="AL33" s="202"/>
      <c r="AM33" s="202"/>
      <c r="AN33" s="202"/>
      <c r="AO33" s="202"/>
      <c r="AP33" s="202"/>
      <c r="AQ33" s="202"/>
      <c r="AR33" s="204"/>
      <c r="AS33" s="204"/>
      <c r="AT33" s="205"/>
      <c r="AU33" s="205"/>
      <c r="AV33" s="227"/>
      <c r="AW33" s="205"/>
      <c r="AX33" s="205"/>
      <c r="AY33" s="205"/>
      <c r="AZ33" s="205"/>
      <c r="BA33" s="205"/>
    </row>
    <row r="34" customFormat="false" ht="27" hidden="false" customHeight="true" outlineLevel="0" collapsed="false">
      <c r="A34" s="231" t="s">
        <v>82</v>
      </c>
      <c r="B34" s="232"/>
      <c r="C34" s="233"/>
      <c r="D34" s="232"/>
      <c r="E34" s="117"/>
      <c r="F34" s="234"/>
      <c r="G34" s="235"/>
      <c r="H34" s="235"/>
      <c r="I34" s="236"/>
      <c r="J34" s="236"/>
      <c r="K34" s="237"/>
      <c r="L34" s="235"/>
      <c r="M34" s="236"/>
      <c r="N34" s="235"/>
      <c r="O34" s="238"/>
      <c r="P34" s="238"/>
      <c r="Q34" s="238"/>
      <c r="R34" s="238"/>
      <c r="S34" s="238"/>
      <c r="T34" s="235"/>
      <c r="U34" s="234"/>
      <c r="V34" s="239"/>
      <c r="W34" s="240"/>
      <c r="X34" s="240"/>
      <c r="Y34" s="240"/>
      <c r="Z34" s="240"/>
      <c r="AA34" s="240"/>
      <c r="AB34" s="240"/>
      <c r="AC34" s="240"/>
      <c r="AD34" s="240"/>
      <c r="AE34" s="241"/>
      <c r="AF34" s="202"/>
      <c r="AG34" s="202"/>
      <c r="AH34" s="202"/>
      <c r="AI34" s="242"/>
      <c r="AJ34" s="242"/>
      <c r="AK34" s="242"/>
      <c r="AL34" s="202"/>
      <c r="AM34" s="202"/>
      <c r="AN34" s="202"/>
      <c r="AO34" s="202"/>
      <c r="AP34" s="202"/>
      <c r="AQ34" s="202"/>
      <c r="AR34" s="243"/>
      <c r="AS34" s="243"/>
      <c r="AT34" s="244"/>
      <c r="AU34" s="244"/>
      <c r="AV34" s="245"/>
      <c r="AW34" s="244"/>
      <c r="AX34" s="244"/>
      <c r="AY34" s="244"/>
      <c r="AZ34" s="244"/>
      <c r="BA34" s="244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95" hidden="false" customHeight="true" outlineLevel="0" collapsed="false">
      <c r="A35" s="10"/>
      <c r="B35" s="232"/>
      <c r="C35" s="233"/>
      <c r="D35" s="232"/>
      <c r="E35" s="202"/>
      <c r="F35" s="234"/>
      <c r="G35" s="235"/>
      <c r="H35" s="235"/>
      <c r="I35" s="236"/>
      <c r="J35" s="236"/>
      <c r="K35" s="237"/>
      <c r="L35" s="235"/>
      <c r="M35" s="236"/>
      <c r="N35" s="235"/>
      <c r="O35" s="238"/>
      <c r="P35" s="238"/>
      <c r="Q35" s="238"/>
      <c r="R35" s="238"/>
      <c r="S35" s="238"/>
      <c r="T35" s="235"/>
      <c r="U35" s="234"/>
      <c r="V35" s="239"/>
      <c r="W35" s="240"/>
      <c r="X35" s="240"/>
      <c r="Y35" s="240"/>
      <c r="Z35" s="240"/>
      <c r="AA35" s="240"/>
      <c r="AB35" s="240"/>
      <c r="AC35" s="240"/>
      <c r="AD35" s="240"/>
      <c r="AE35" s="24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43"/>
      <c r="AS35" s="243"/>
      <c r="AT35" s="244"/>
      <c r="AU35" s="244"/>
      <c r="AV35" s="245"/>
      <c r="AW35" s="244"/>
      <c r="AX35" s="244"/>
      <c r="AY35" s="244"/>
      <c r="AZ35" s="244"/>
      <c r="BA35" s="244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27" hidden="false" customHeight="true" outlineLevel="0" collapsed="false">
      <c r="A36" s="231" t="s">
        <v>83</v>
      </c>
      <c r="B36" s="232"/>
      <c r="C36" s="233"/>
      <c r="D36" s="232"/>
      <c r="E36" s="234"/>
      <c r="F36" s="234"/>
      <c r="G36" s="235"/>
      <c r="H36" s="235"/>
      <c r="I36" s="236"/>
      <c r="J36" s="236"/>
      <c r="K36" s="237"/>
      <c r="L36" s="235"/>
      <c r="M36" s="236"/>
      <c r="N36" s="235"/>
      <c r="O36" s="238"/>
      <c r="P36" s="238"/>
      <c r="Q36" s="238"/>
      <c r="R36" s="238"/>
      <c r="S36" s="238"/>
      <c r="T36" s="235"/>
      <c r="U36" s="234"/>
      <c r="V36" s="239"/>
      <c r="W36" s="246"/>
      <c r="X36" s="246"/>
      <c r="Y36" s="246"/>
      <c r="Z36" s="246"/>
      <c r="AA36" s="246"/>
      <c r="AB36" s="246"/>
      <c r="AC36" s="246"/>
      <c r="AD36" s="246"/>
      <c r="AE36" s="246"/>
      <c r="AF36" s="240"/>
      <c r="AG36" s="202"/>
      <c r="AH36" s="240"/>
      <c r="AI36" s="240"/>
      <c r="AJ36" s="240"/>
      <c r="AK36" s="240"/>
      <c r="AL36" s="240"/>
      <c r="AM36" s="240"/>
      <c r="AN36" s="240"/>
      <c r="AO36" s="240"/>
      <c r="AP36" s="243"/>
      <c r="AQ36" s="240"/>
      <c r="AR36" s="240"/>
      <c r="AS36" s="247"/>
      <c r="AT36" s="244"/>
      <c r="AU36" s="244"/>
      <c r="AV36" s="245"/>
      <c r="AW36" s="244"/>
      <c r="AX36" s="244"/>
      <c r="AY36" s="244"/>
      <c r="AZ36" s="244"/>
      <c r="BA36" s="244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9.95" hidden="false" customHeight="true" outlineLevel="0" collapsed="false">
      <c r="A37" s="10"/>
      <c r="B37" s="232"/>
      <c r="C37" s="233"/>
      <c r="D37" s="232"/>
      <c r="E37" s="234"/>
      <c r="F37" s="234"/>
      <c r="G37" s="235"/>
      <c r="H37" s="235"/>
      <c r="I37" s="236"/>
      <c r="J37" s="236"/>
      <c r="K37" s="237"/>
      <c r="L37" s="235"/>
      <c r="M37" s="236"/>
      <c r="N37" s="235"/>
      <c r="O37" s="238"/>
      <c r="P37" s="238"/>
      <c r="Q37" s="238"/>
      <c r="R37" s="238"/>
      <c r="S37" s="238"/>
      <c r="T37" s="235"/>
      <c r="U37" s="234"/>
      <c r="V37" s="239"/>
      <c r="W37" s="246"/>
      <c r="X37" s="246"/>
      <c r="Y37" s="246"/>
      <c r="Z37" s="246"/>
      <c r="AA37" s="246"/>
      <c r="AB37" s="246"/>
      <c r="AC37" s="246"/>
      <c r="AD37" s="246"/>
      <c r="AE37" s="246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3"/>
      <c r="AQ37" s="240"/>
      <c r="AR37" s="240"/>
      <c r="AS37" s="247"/>
      <c r="AT37" s="244"/>
      <c r="AU37" s="244"/>
      <c r="AV37" s="245"/>
      <c r="AW37" s="244"/>
      <c r="AX37" s="244"/>
      <c r="AY37" s="244"/>
      <c r="AZ37" s="244"/>
      <c r="BA37" s="244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27" hidden="false" customHeight="true" outlineLevel="0" collapsed="false">
      <c r="A38" s="248" t="s">
        <v>84</v>
      </c>
      <c r="B38" s="249"/>
      <c r="C38" s="249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52"/>
      <c r="U38" s="253"/>
      <c r="V38" s="239"/>
      <c r="W38" s="239"/>
      <c r="X38" s="254"/>
      <c r="Y38" s="254"/>
      <c r="Z38" s="254"/>
      <c r="AA38" s="254"/>
      <c r="AB38" s="254"/>
      <c r="AC38" s="232"/>
      <c r="AD38" s="25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56"/>
      <c r="AQ38" s="257"/>
      <c r="AR38" s="258"/>
      <c r="AS38" s="258"/>
      <c r="AT38" s="244"/>
      <c r="AU38" s="244"/>
      <c r="AV38" s="245"/>
      <c r="AW38" s="244"/>
      <c r="AX38" s="244"/>
      <c r="AY38" s="244"/>
      <c r="AZ38" s="244"/>
      <c r="BA38" s="244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24" hidden="false" customHeight="true" outlineLevel="0" collapsed="false">
      <c r="A39" s="217"/>
      <c r="B39" s="249"/>
      <c r="C39" s="24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1"/>
      <c r="T39" s="252"/>
      <c r="U39" s="253"/>
      <c r="V39" s="239"/>
      <c r="W39" s="239"/>
      <c r="X39" s="254"/>
      <c r="Y39" s="254"/>
      <c r="Z39" s="254"/>
      <c r="AA39" s="254"/>
      <c r="AB39" s="254"/>
      <c r="AC39" s="232"/>
      <c r="AD39" s="25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56"/>
      <c r="AQ39" s="257"/>
      <c r="AR39" s="258"/>
      <c r="AS39" s="258"/>
      <c r="AT39" s="244"/>
      <c r="AU39" s="244"/>
      <c r="AV39" s="245"/>
      <c r="AW39" s="244"/>
      <c r="AX39" s="244"/>
      <c r="AY39" s="244"/>
      <c r="AZ39" s="244"/>
      <c r="BA39" s="244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20.1" hidden="false" customHeight="true" outlineLevel="0" collapsed="false">
      <c r="A40" s="259" t="s">
        <v>85</v>
      </c>
      <c r="B40" s="11"/>
      <c r="C40" s="36"/>
      <c r="D40" s="11"/>
      <c r="E40" s="117"/>
      <c r="F40" s="139"/>
      <c r="G40" s="117"/>
      <c r="H40" s="156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2"/>
      <c r="Z40" s="162"/>
      <c r="AA40" s="112"/>
      <c r="AB40" s="112"/>
      <c r="AC40" s="11"/>
      <c r="AD40" s="114"/>
      <c r="AE40" s="120"/>
      <c r="AF40" s="120"/>
      <c r="AG40" s="117"/>
      <c r="AH40" s="120"/>
      <c r="AI40" s="117"/>
      <c r="AJ40" s="165"/>
      <c r="AK40" s="165"/>
      <c r="AL40" s="165"/>
      <c r="AM40" s="165"/>
      <c r="AN40" s="165"/>
      <c r="AO40" s="165"/>
      <c r="AP40" s="165"/>
      <c r="AQ40" s="260"/>
      <c r="AR40" s="91"/>
      <c r="AS40" s="157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0.1" hidden="false" customHeight="true" outlineLevel="0" collapsed="false">
      <c r="A41" s="259" t="s">
        <v>86</v>
      </c>
      <c r="B41" s="250"/>
      <c r="C41" s="241"/>
      <c r="D41" s="250"/>
      <c r="E41" s="250"/>
      <c r="F41" s="139"/>
      <c r="G41" s="117"/>
      <c r="H41" s="156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2"/>
      <c r="Z41" s="162"/>
      <c r="AA41" s="112"/>
      <c r="AB41" s="112"/>
      <c r="AC41" s="11"/>
      <c r="AD41" s="114"/>
      <c r="AE41" s="120"/>
      <c r="AF41" s="120"/>
      <c r="AG41" s="117"/>
      <c r="AH41" s="120"/>
      <c r="AI41" s="117"/>
      <c r="AJ41" s="165"/>
      <c r="AK41" s="165"/>
      <c r="AL41" s="165"/>
      <c r="AM41" s="165"/>
      <c r="AN41" s="165"/>
      <c r="AO41" s="165"/>
      <c r="AP41" s="165"/>
      <c r="AQ41" s="260"/>
      <c r="AR41" s="91"/>
      <c r="AS41" s="157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2"/>
      <c r="B42" s="242"/>
      <c r="C42" s="242"/>
      <c r="D42" s="242"/>
      <c r="E42" s="242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252"/>
      <c r="U42" s="253"/>
      <c r="V42" s="239"/>
      <c r="W42" s="239"/>
      <c r="X42" s="254"/>
      <c r="Y42" s="254"/>
      <c r="Z42" s="254"/>
      <c r="AA42" s="254"/>
      <c r="AB42" s="254"/>
      <c r="AC42" s="232"/>
      <c r="AD42" s="255"/>
      <c r="AE42" s="245"/>
      <c r="AF42" s="245"/>
      <c r="AG42" s="230" t="s">
        <v>87</v>
      </c>
      <c r="AH42" s="245"/>
      <c r="AI42" s="230" t="s">
        <v>88</v>
      </c>
      <c r="AJ42" s="245"/>
      <c r="AK42" s="245"/>
      <c r="AL42" s="245"/>
      <c r="AM42" s="245"/>
      <c r="AN42" s="245"/>
      <c r="AO42" s="245"/>
      <c r="AP42" s="256"/>
      <c r="AQ42" s="257"/>
      <c r="AR42" s="258"/>
      <c r="AS42" s="258"/>
      <c r="AT42" s="244"/>
      <c r="AU42" s="244"/>
      <c r="AV42" s="245"/>
      <c r="AW42" s="244"/>
      <c r="AX42" s="244"/>
      <c r="AY42" s="244"/>
      <c r="AZ42" s="244"/>
      <c r="BA42" s="244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37.5" hidden="false" customHeight="true" outlineLevel="0" collapsed="false">
      <c r="A43" s="261"/>
      <c r="B43" s="262"/>
      <c r="C43" s="263"/>
      <c r="D43" s="262"/>
      <c r="E43" s="264" t="s">
        <v>40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5"/>
      <c r="Q43" s="264" t="s">
        <v>42</v>
      </c>
      <c r="R43" s="264"/>
      <c r="S43" s="264"/>
      <c r="T43" s="264"/>
      <c r="U43" s="264"/>
      <c r="V43" s="264"/>
      <c r="W43" s="264"/>
      <c r="X43" s="264"/>
      <c r="Y43" s="266"/>
      <c r="Z43" s="267" t="s">
        <v>89</v>
      </c>
      <c r="AA43" s="41"/>
      <c r="AB43" s="41"/>
      <c r="AC43" s="11"/>
      <c r="AD43" s="268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9"/>
      <c r="AQ43" s="270"/>
      <c r="AR43" s="271"/>
      <c r="AS43" s="271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2" t="s">
        <v>90</v>
      </c>
      <c r="B44" s="273"/>
      <c r="C44" s="273"/>
      <c r="D44" s="273"/>
      <c r="E44" s="274" t="s">
        <v>91</v>
      </c>
      <c r="F44" s="275"/>
      <c r="G44" s="276" t="s">
        <v>92</v>
      </c>
      <c r="H44" s="275"/>
      <c r="I44" s="276" t="s">
        <v>93</v>
      </c>
      <c r="J44" s="18"/>
      <c r="K44" s="276" t="s">
        <v>94</v>
      </c>
      <c r="L44" s="14"/>
      <c r="M44" s="15"/>
      <c r="N44" s="275"/>
      <c r="O44" s="277" t="s">
        <v>95</v>
      </c>
      <c r="P44" s="275"/>
      <c r="Q44" s="276" t="s">
        <v>91</v>
      </c>
      <c r="R44" s="273"/>
      <c r="S44" s="276" t="s">
        <v>92</v>
      </c>
      <c r="T44" s="275"/>
      <c r="U44" s="276" t="s">
        <v>93</v>
      </c>
      <c r="V44" s="276"/>
      <c r="W44" s="276" t="s">
        <v>94</v>
      </c>
      <c r="X44" s="276"/>
      <c r="Y44" s="278" t="s">
        <v>95</v>
      </c>
      <c r="Z44" s="41"/>
      <c r="AA44" s="41"/>
      <c r="AB44" s="41"/>
      <c r="AC44" s="41"/>
      <c r="AD44" s="11"/>
      <c r="AE44" s="279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69"/>
      <c r="AR44" s="270"/>
      <c r="AS44" s="271"/>
      <c r="AT44" s="271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0" t="s">
        <v>96</v>
      </c>
      <c r="B45" s="273"/>
      <c r="C45" s="273"/>
      <c r="D45" s="273"/>
      <c r="E45" s="281" t="s">
        <v>97</v>
      </c>
      <c r="F45" s="282"/>
      <c r="G45" s="281"/>
      <c r="H45" s="283"/>
      <c r="I45" s="284"/>
      <c r="J45" s="18"/>
      <c r="K45" s="285"/>
      <c r="L45" s="14"/>
      <c r="M45" s="15"/>
      <c r="N45" s="273"/>
      <c r="O45" s="286"/>
      <c r="P45" s="273"/>
      <c r="Q45" s="287" t="s">
        <v>98</v>
      </c>
      <c r="R45" s="273"/>
      <c r="S45" s="288" t="n">
        <v>2.5</v>
      </c>
      <c r="T45" s="273"/>
      <c r="U45" s="288" t="n">
        <v>2.95</v>
      </c>
      <c r="V45" s="273"/>
      <c r="W45" s="288" t="n">
        <v>42</v>
      </c>
      <c r="X45" s="285"/>
      <c r="Y45" s="289" t="n">
        <v>37139</v>
      </c>
      <c r="Z45" s="41" t="s">
        <v>99</v>
      </c>
      <c r="AA45" s="41"/>
      <c r="AB45" s="41"/>
      <c r="AC45" s="41"/>
      <c r="AD45" s="11"/>
      <c r="AE45" s="279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69"/>
      <c r="AR45" s="270"/>
      <c r="AS45" s="271"/>
      <c r="AT45" s="271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0" t="s">
        <v>100</v>
      </c>
      <c r="B46" s="273"/>
      <c r="C46" s="273"/>
      <c r="D46" s="273"/>
      <c r="E46" s="281" t="s">
        <v>101</v>
      </c>
      <c r="F46" s="282"/>
      <c r="G46" s="285"/>
      <c r="H46" s="283"/>
      <c r="I46" s="285"/>
      <c r="J46" s="18"/>
      <c r="K46" s="285"/>
      <c r="L46" s="14"/>
      <c r="M46" s="15"/>
      <c r="N46" s="273"/>
      <c r="O46" s="286"/>
      <c r="P46" s="273"/>
      <c r="Q46" s="287" t="s">
        <v>98</v>
      </c>
      <c r="R46" s="273"/>
      <c r="S46" s="288" t="n">
        <v>2.52</v>
      </c>
      <c r="T46" s="273"/>
      <c r="U46" s="288" t="n">
        <v>3</v>
      </c>
      <c r="V46" s="273"/>
      <c r="W46" s="288" t="n">
        <v>43</v>
      </c>
      <c r="X46" s="285"/>
      <c r="Y46" s="289" t="n">
        <v>37144</v>
      </c>
      <c r="Z46" s="41" t="s">
        <v>102</v>
      </c>
      <c r="AA46" s="41"/>
      <c r="AB46" s="41"/>
      <c r="AC46" s="41"/>
      <c r="AD46" s="11"/>
      <c r="AE46" s="279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69"/>
      <c r="AR46" s="270"/>
      <c r="AS46" s="271"/>
      <c r="AT46" s="271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0" t="s">
        <v>103</v>
      </c>
      <c r="B47" s="273"/>
      <c r="C47" s="273"/>
      <c r="D47" s="273"/>
      <c r="E47" s="281" t="s">
        <v>101</v>
      </c>
      <c r="F47" s="282"/>
      <c r="G47" s="281"/>
      <c r="H47" s="283"/>
      <c r="I47" s="284"/>
      <c r="J47" s="18"/>
      <c r="K47" s="285"/>
      <c r="L47" s="14"/>
      <c r="M47" s="15"/>
      <c r="N47" s="273"/>
      <c r="O47" s="286"/>
      <c r="P47" s="273"/>
      <c r="Q47" s="287" t="s">
        <v>98</v>
      </c>
      <c r="R47" s="273"/>
      <c r="S47" s="288" t="n">
        <v>2.6</v>
      </c>
      <c r="T47" s="273"/>
      <c r="U47" s="288"/>
      <c r="V47" s="273"/>
      <c r="W47" s="288" t="n">
        <v>33</v>
      </c>
      <c r="X47" s="285"/>
      <c r="Y47" s="289" t="n">
        <v>37113</v>
      </c>
      <c r="Z47" s="41" t="s">
        <v>104</v>
      </c>
      <c r="AA47" s="41"/>
      <c r="AB47" s="41"/>
      <c r="AC47" s="41"/>
      <c r="AD47" s="11"/>
      <c r="AE47" s="279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69"/>
      <c r="AR47" s="270"/>
      <c r="AS47" s="271"/>
      <c r="AT47" s="271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0" t="s">
        <v>105</v>
      </c>
      <c r="B48" s="273"/>
      <c r="C48" s="273"/>
      <c r="D48" s="273"/>
      <c r="E48" s="281" t="s">
        <v>106</v>
      </c>
      <c r="F48" s="282"/>
      <c r="G48" s="285"/>
      <c r="H48" s="283"/>
      <c r="I48" s="285"/>
      <c r="J48" s="18"/>
      <c r="K48" s="285"/>
      <c r="L48" s="14"/>
      <c r="M48" s="15"/>
      <c r="N48" s="273"/>
      <c r="O48" s="286"/>
      <c r="P48" s="273"/>
      <c r="Q48" s="287" t="s">
        <v>107</v>
      </c>
      <c r="R48" s="273"/>
      <c r="S48" s="288" t="n">
        <v>2.5</v>
      </c>
      <c r="T48" s="273"/>
      <c r="U48" s="288" t="n">
        <v>2.95</v>
      </c>
      <c r="V48" s="273"/>
      <c r="W48" s="288" t="n">
        <v>46</v>
      </c>
      <c r="X48" s="285"/>
      <c r="Y48" s="289" t="n">
        <v>37168</v>
      </c>
      <c r="Z48" s="41" t="s">
        <v>108</v>
      </c>
      <c r="AA48" s="41"/>
      <c r="AB48" s="41"/>
      <c r="AC48" s="41"/>
      <c r="AD48" s="11"/>
      <c r="AE48" s="279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69"/>
      <c r="AR48" s="270"/>
      <c r="AS48" s="271"/>
      <c r="AT48" s="271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0" t="s">
        <v>109</v>
      </c>
      <c r="B49" s="273"/>
      <c r="C49" s="273"/>
      <c r="D49" s="273"/>
      <c r="E49" s="281" t="s">
        <v>98</v>
      </c>
      <c r="F49" s="282"/>
      <c r="G49" s="290" t="n">
        <v>0.91</v>
      </c>
      <c r="H49" s="291"/>
      <c r="I49" s="288" t="n">
        <v>1</v>
      </c>
      <c r="J49" s="18"/>
      <c r="K49" s="290" t="n">
        <v>23</v>
      </c>
      <c r="L49" s="14"/>
      <c r="M49" s="15"/>
      <c r="N49" s="273"/>
      <c r="O49" s="286" t="n">
        <v>37167</v>
      </c>
      <c r="P49" s="273"/>
      <c r="Q49" s="287" t="s">
        <v>98</v>
      </c>
      <c r="R49" s="273"/>
      <c r="S49" s="288" t="n">
        <v>2.49</v>
      </c>
      <c r="T49" s="273"/>
      <c r="U49" s="288" t="n">
        <v>2.93</v>
      </c>
      <c r="V49" s="273"/>
      <c r="W49" s="288" t="n">
        <v>48</v>
      </c>
      <c r="X49" s="285"/>
      <c r="Y49" s="289" t="n">
        <v>37146</v>
      </c>
      <c r="Z49" s="41" t="s">
        <v>110</v>
      </c>
      <c r="AA49" s="41"/>
      <c r="AB49" s="41"/>
      <c r="AC49" s="41"/>
      <c r="AD49" s="11"/>
      <c r="AE49" s="279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69"/>
      <c r="AR49" s="270"/>
      <c r="AS49" s="271"/>
      <c r="AT49" s="271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0" t="s">
        <v>111</v>
      </c>
      <c r="B50" s="273"/>
      <c r="C50" s="273"/>
      <c r="D50" s="273"/>
      <c r="E50" s="281" t="s">
        <v>112</v>
      </c>
      <c r="F50" s="282"/>
      <c r="G50" s="288" t="n">
        <v>0.9</v>
      </c>
      <c r="H50" s="273"/>
      <c r="I50" s="288" t="n">
        <v>0.9</v>
      </c>
      <c r="J50" s="18"/>
      <c r="K50" s="288" t="n">
        <v>21</v>
      </c>
      <c r="L50" s="14"/>
      <c r="M50" s="15"/>
      <c r="N50" s="273"/>
      <c r="O50" s="286" t="n">
        <v>37118</v>
      </c>
      <c r="P50" s="273"/>
      <c r="Q50" s="287" t="s">
        <v>113</v>
      </c>
      <c r="R50" s="273"/>
      <c r="S50" s="288" t="n">
        <v>2.47</v>
      </c>
      <c r="T50" s="273"/>
      <c r="U50" s="288" t="n">
        <v>2.95</v>
      </c>
      <c r="V50" s="273"/>
      <c r="W50" s="288" t="n">
        <v>36</v>
      </c>
      <c r="X50" s="288"/>
      <c r="Y50" s="289" t="n">
        <v>37062</v>
      </c>
      <c r="Z50" s="41" t="s">
        <v>114</v>
      </c>
      <c r="AA50" s="41"/>
      <c r="AB50" s="41"/>
      <c r="AC50" s="41"/>
      <c r="AD50" s="22"/>
      <c r="AE50" s="279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69"/>
      <c r="AR50" s="270"/>
      <c r="AS50" s="271"/>
      <c r="AT50" s="271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0" t="s">
        <v>115</v>
      </c>
      <c r="B51" s="273"/>
      <c r="C51" s="273"/>
      <c r="D51" s="273"/>
      <c r="E51" s="281" t="s">
        <v>101</v>
      </c>
      <c r="F51" s="282"/>
      <c r="G51" s="285"/>
      <c r="H51" s="283"/>
      <c r="I51" s="285"/>
      <c r="J51" s="18"/>
      <c r="K51" s="285"/>
      <c r="L51" s="14"/>
      <c r="M51" s="15"/>
      <c r="N51" s="273"/>
      <c r="O51" s="286"/>
      <c r="P51" s="273"/>
      <c r="Q51" s="287" t="s">
        <v>106</v>
      </c>
      <c r="R51" s="273"/>
      <c r="S51" s="288"/>
      <c r="T51" s="273"/>
      <c r="U51" s="288"/>
      <c r="V51" s="273"/>
      <c r="W51" s="288" t="n">
        <v>40</v>
      </c>
      <c r="X51" s="285"/>
      <c r="Y51" s="289"/>
      <c r="Z51" s="41" t="s">
        <v>116</v>
      </c>
      <c r="AA51" s="41"/>
      <c r="AB51" s="41"/>
      <c r="AC51" s="41"/>
      <c r="AD51" s="11"/>
      <c r="AE51" s="279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69"/>
      <c r="AR51" s="270"/>
      <c r="AS51" s="271"/>
      <c r="AT51" s="271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0" t="s">
        <v>117</v>
      </c>
      <c r="B52" s="273"/>
      <c r="C52" s="273"/>
      <c r="D52" s="273"/>
      <c r="E52" s="281" t="s">
        <v>118</v>
      </c>
      <c r="F52" s="282"/>
      <c r="G52" s="288" t="n">
        <v>0.85</v>
      </c>
      <c r="H52" s="283"/>
      <c r="I52" s="285" t="n">
        <v>1.25</v>
      </c>
      <c r="J52" s="18"/>
      <c r="K52" s="285" t="n">
        <v>24</v>
      </c>
      <c r="L52" s="14"/>
      <c r="M52" s="15"/>
      <c r="N52" s="273"/>
      <c r="O52" s="286" t="n">
        <v>37188</v>
      </c>
      <c r="P52" s="273"/>
      <c r="Q52" s="287" t="s">
        <v>98</v>
      </c>
      <c r="R52" s="273"/>
      <c r="S52" s="288" t="n">
        <v>2.5</v>
      </c>
      <c r="T52" s="273"/>
      <c r="U52" s="288" t="n">
        <v>2.95</v>
      </c>
      <c r="V52" s="273"/>
      <c r="W52" s="288" t="n">
        <v>44</v>
      </c>
      <c r="X52" s="288"/>
      <c r="Y52" s="289" t="n">
        <v>37158</v>
      </c>
      <c r="Z52" s="41" t="s">
        <v>119</v>
      </c>
      <c r="AA52" s="41"/>
      <c r="AB52" s="41"/>
      <c r="AC52" s="41"/>
      <c r="AD52" s="11"/>
      <c r="AE52" s="27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69"/>
      <c r="AR52" s="270"/>
      <c r="AS52" s="271"/>
      <c r="AT52" s="271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92" t="s">
        <v>120</v>
      </c>
      <c r="B53" s="273"/>
      <c r="C53" s="273"/>
      <c r="D53" s="273"/>
      <c r="E53" s="281" t="s">
        <v>106</v>
      </c>
      <c r="F53" s="282"/>
      <c r="G53" s="288" t="n">
        <v>0.95</v>
      </c>
      <c r="H53" s="273"/>
      <c r="I53" s="288" t="n">
        <v>1.25</v>
      </c>
      <c r="J53" s="18"/>
      <c r="K53" s="288" t="n">
        <v>23</v>
      </c>
      <c r="L53" s="14"/>
      <c r="M53" s="15"/>
      <c r="N53" s="273"/>
      <c r="O53" s="286" t="n">
        <v>37155</v>
      </c>
      <c r="P53" s="273"/>
      <c r="Q53" s="287" t="s">
        <v>98</v>
      </c>
      <c r="R53" s="273"/>
      <c r="S53" s="288" t="n">
        <v>2.5</v>
      </c>
      <c r="T53" s="273"/>
      <c r="U53" s="288" t="n">
        <v>2.95</v>
      </c>
      <c r="V53" s="273"/>
      <c r="W53" s="288" t="n">
        <v>50</v>
      </c>
      <c r="X53" s="285"/>
      <c r="Y53" s="289" t="n">
        <v>37155</v>
      </c>
      <c r="Z53" s="41"/>
      <c r="AA53" s="41"/>
      <c r="AB53" s="41"/>
      <c r="AC53" s="41"/>
      <c r="AD53" s="11"/>
      <c r="AE53" s="27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69"/>
      <c r="AR53" s="270"/>
      <c r="AS53" s="271"/>
      <c r="AT53" s="271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2" t="s">
        <v>121</v>
      </c>
      <c r="B54" s="273"/>
      <c r="C54" s="273"/>
      <c r="D54" s="273"/>
      <c r="E54" s="281" t="s">
        <v>98</v>
      </c>
      <c r="F54" s="282"/>
      <c r="G54" s="288" t="n">
        <v>0.9</v>
      </c>
      <c r="H54" s="273"/>
      <c r="I54" s="288" t="n">
        <v>1.1</v>
      </c>
      <c r="J54" s="18"/>
      <c r="K54" s="288" t="n">
        <v>24</v>
      </c>
      <c r="L54" s="14"/>
      <c r="M54" s="15"/>
      <c r="N54" s="273"/>
      <c r="O54" s="286" t="n">
        <v>37141</v>
      </c>
      <c r="P54" s="273"/>
      <c r="Q54" s="287" t="s">
        <v>122</v>
      </c>
      <c r="R54" s="273"/>
      <c r="S54" s="288" t="n">
        <v>2.5</v>
      </c>
      <c r="T54" s="273"/>
      <c r="U54" s="288" t="n">
        <v>2.9</v>
      </c>
      <c r="V54" s="273"/>
      <c r="W54" s="288" t="n">
        <v>48.5</v>
      </c>
      <c r="X54" s="288"/>
      <c r="Y54" s="289" t="n">
        <v>37189</v>
      </c>
      <c r="Z54" s="41" t="s">
        <v>123</v>
      </c>
      <c r="AA54" s="41"/>
      <c r="AB54" s="41"/>
      <c r="AC54" s="41"/>
      <c r="AD54" s="22"/>
      <c r="AE54" s="27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69"/>
      <c r="AR54" s="270"/>
      <c r="AS54" s="271"/>
      <c r="AT54" s="271"/>
      <c r="AU54" s="20"/>
      <c r="AV54" s="20"/>
      <c r="AW54" s="20"/>
      <c r="AX54" s="20"/>
      <c r="AY54" s="20"/>
      <c r="AZ54" s="20"/>
      <c r="BA54" s="20"/>
      <c r="BB54" s="20"/>
      <c r="BC54" s="20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2" t="s">
        <v>124</v>
      </c>
      <c r="B55" s="273"/>
      <c r="C55" s="273"/>
      <c r="D55" s="273"/>
      <c r="E55" s="14"/>
      <c r="F55" s="282"/>
      <c r="G55" s="287"/>
      <c r="H55" s="273"/>
      <c r="I55" s="14"/>
      <c r="J55" s="14"/>
      <c r="K55" s="273"/>
      <c r="L55" s="14"/>
      <c r="M55" s="14"/>
      <c r="N55" s="273"/>
      <c r="O55" s="286"/>
      <c r="P55" s="273"/>
      <c r="Q55" s="14"/>
      <c r="R55" s="273"/>
      <c r="S55" s="288" t="n">
        <v>2.47</v>
      </c>
      <c r="T55" s="273"/>
      <c r="U55" s="288" t="n">
        <v>2.9</v>
      </c>
      <c r="V55" s="273"/>
      <c r="W55" s="288" t="n">
        <v>47</v>
      </c>
      <c r="X55" s="273"/>
      <c r="Y55" s="289" t="n">
        <v>37187</v>
      </c>
      <c r="Z55" s="41"/>
      <c r="AA55" s="41"/>
      <c r="AB55" s="41"/>
      <c r="AC55" s="41"/>
      <c r="AD55" s="20"/>
      <c r="AE55" s="27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69"/>
      <c r="AR55" s="270"/>
      <c r="AS55" s="271"/>
      <c r="AT55" s="27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6.1" hidden="false" customHeight="true" outlineLevel="0" collapsed="false">
      <c r="A56" s="292" t="s">
        <v>16</v>
      </c>
      <c r="B56" s="14"/>
      <c r="C56" s="23"/>
      <c r="D56" s="14"/>
      <c r="E56" s="14"/>
      <c r="F56" s="282"/>
      <c r="G56" s="293" t="n">
        <f aca="false">AVERAGEA(G45:G55)</f>
        <v>0.902</v>
      </c>
      <c r="H56" s="38"/>
      <c r="I56" s="293" t="n">
        <f aca="false">AVERAGEA(I45:I55)</f>
        <v>1.1</v>
      </c>
      <c r="J56" s="14"/>
      <c r="K56" s="293" t="n">
        <f aca="false">AVERAGEA(K45:K55)</f>
        <v>23</v>
      </c>
      <c r="L56" s="14"/>
      <c r="M56" s="14"/>
      <c r="N56" s="13"/>
      <c r="O56" s="294"/>
      <c r="P56" s="13"/>
      <c r="Q56" s="14"/>
      <c r="R56" s="14"/>
      <c r="S56" s="293" t="n">
        <f aca="false">AVERAGEA(S45:S55)</f>
        <v>2.505</v>
      </c>
      <c r="T56" s="13"/>
      <c r="U56" s="293" t="n">
        <f aca="false">AVERAGEA(U45:U55)</f>
        <v>2.94222222222222</v>
      </c>
      <c r="V56" s="15"/>
      <c r="W56" s="293" t="n">
        <f aca="false">AVERAGEA(W45:W55)</f>
        <v>43.4090909090909</v>
      </c>
      <c r="X56" s="295"/>
      <c r="Y56" s="296"/>
      <c r="Z56" s="41"/>
      <c r="AA56" s="41"/>
      <c r="AB56" s="41"/>
      <c r="AC56" s="41"/>
      <c r="AD56" s="20"/>
      <c r="AE56" s="27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69"/>
      <c r="AR56" s="270"/>
      <c r="AS56" s="271"/>
      <c r="AT56" s="271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4" hidden="false" customHeight="false" outlineLevel="0" collapsed="false">
      <c r="A57" s="292"/>
      <c r="B57" s="14"/>
      <c r="C57" s="23"/>
      <c r="D57" s="14"/>
      <c r="E57" s="14"/>
      <c r="F57" s="14"/>
      <c r="G57" s="13"/>
      <c r="H57" s="13"/>
      <c r="I57" s="295"/>
      <c r="J57" s="15"/>
      <c r="K57" s="14"/>
      <c r="L57" s="14"/>
      <c r="M57" s="37"/>
      <c r="N57" s="13"/>
      <c r="O57" s="15"/>
      <c r="P57" s="13"/>
      <c r="Q57" s="38"/>
      <c r="R57" s="282"/>
      <c r="S57" s="14"/>
      <c r="T57" s="38"/>
      <c r="U57" s="14"/>
      <c r="V57" s="295"/>
      <c r="W57" s="18"/>
      <c r="X57" s="41"/>
      <c r="Y57" s="83"/>
      <c r="Z57" s="41"/>
      <c r="AA57" s="41"/>
      <c r="AB57" s="41"/>
      <c r="AC57" s="20"/>
      <c r="AD57" s="279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69"/>
      <c r="AQ57" s="270"/>
      <c r="AR57" s="271"/>
      <c r="AS57" s="271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3.25" hidden="false" customHeight="false" outlineLevel="0" collapsed="false">
      <c r="A58" s="297" t="s">
        <v>125</v>
      </c>
      <c r="B58" s="14"/>
      <c r="C58" s="23"/>
      <c r="D58" s="14"/>
      <c r="E58" s="14"/>
      <c r="F58" s="14"/>
      <c r="G58" s="13"/>
      <c r="H58" s="13"/>
      <c r="I58" s="15"/>
      <c r="J58" s="15"/>
      <c r="K58" s="14"/>
      <c r="L58" s="14"/>
      <c r="M58" s="37"/>
      <c r="N58" s="13"/>
      <c r="O58" s="15"/>
      <c r="P58" s="13"/>
      <c r="Q58" s="38"/>
      <c r="R58" s="282"/>
      <c r="S58" s="14"/>
      <c r="T58" s="38"/>
      <c r="U58" s="14"/>
      <c r="V58" s="38"/>
      <c r="W58" s="18"/>
      <c r="X58" s="41"/>
      <c r="Y58" s="83"/>
      <c r="Z58" s="41"/>
      <c r="AA58" s="41"/>
      <c r="AB58" s="41"/>
      <c r="AC58" s="20"/>
      <c r="AD58" s="22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2"/>
      <c r="AQ58" s="22"/>
      <c r="AR58" s="298"/>
      <c r="AS58" s="22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3.25" hidden="false" customHeight="false" outlineLevel="0" collapsed="false">
      <c r="A59" s="299"/>
      <c r="B59" s="191"/>
      <c r="C59" s="300"/>
      <c r="D59" s="191"/>
      <c r="E59" s="191"/>
      <c r="F59" s="191"/>
      <c r="G59" s="301"/>
      <c r="H59" s="301"/>
      <c r="I59" s="302"/>
      <c r="J59" s="302"/>
      <c r="K59" s="191"/>
      <c r="L59" s="191"/>
      <c r="M59" s="303"/>
      <c r="N59" s="301"/>
      <c r="O59" s="302"/>
      <c r="P59" s="301"/>
      <c r="Q59" s="304"/>
      <c r="R59" s="305"/>
      <c r="S59" s="191"/>
      <c r="T59" s="304"/>
      <c r="U59" s="191"/>
      <c r="V59" s="304"/>
      <c r="W59" s="306"/>
      <c r="X59" s="307"/>
      <c r="Y59" s="188"/>
      <c r="Z59" s="41"/>
      <c r="AA59" s="41"/>
      <c r="AB59" s="41"/>
      <c r="AC59" s="20"/>
      <c r="AD59" s="22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2"/>
      <c r="AQ59" s="22"/>
      <c r="AR59" s="298"/>
      <c r="AS59" s="22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27"/>
      <c r="B60" s="227"/>
      <c r="C60" s="308"/>
      <c r="D60" s="227"/>
      <c r="E60" s="227"/>
      <c r="F60" s="227"/>
      <c r="G60" s="220"/>
      <c r="H60" s="309"/>
      <c r="I60" s="310"/>
      <c r="J60" s="310"/>
      <c r="K60" s="222"/>
      <c r="L60" s="309"/>
      <c r="M60" s="310"/>
      <c r="N60" s="309"/>
      <c r="O60" s="223"/>
      <c r="P60" s="223"/>
      <c r="Q60" s="223"/>
      <c r="R60" s="223"/>
      <c r="S60" s="223"/>
      <c r="T60" s="309"/>
      <c r="U60" s="227"/>
      <c r="AC60" s="227"/>
      <c r="AF60" s="117"/>
      <c r="AR60" s="309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27"/>
      <c r="CV60" s="227"/>
      <c r="CW60" s="227"/>
      <c r="CX60" s="227"/>
      <c r="CY60" s="227"/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  <c r="DQ60" s="227"/>
      <c r="DR60" s="227"/>
      <c r="DS60" s="227"/>
      <c r="DT60" s="227"/>
      <c r="DU60" s="227"/>
      <c r="DV60" s="227"/>
      <c r="DW60" s="227"/>
      <c r="DX60" s="227"/>
      <c r="DY60" s="227"/>
      <c r="DZ60" s="227"/>
      <c r="EA60" s="227"/>
      <c r="EB60" s="227"/>
      <c r="EC60" s="227"/>
      <c r="ED60" s="227"/>
      <c r="EE60" s="227"/>
      <c r="EF60" s="227"/>
      <c r="EG60" s="227"/>
      <c r="EH60" s="227"/>
      <c r="EI60" s="227"/>
      <c r="EJ60" s="227"/>
      <c r="EK60" s="227"/>
      <c r="EL60" s="227"/>
      <c r="EM60" s="227"/>
      <c r="EN60" s="227"/>
      <c r="EO60" s="227"/>
      <c r="EP60" s="227"/>
      <c r="EQ60" s="227"/>
      <c r="ER60" s="227"/>
      <c r="ES60" s="227"/>
      <c r="ET60" s="227"/>
      <c r="EU60" s="227"/>
      <c r="EV60" s="227"/>
      <c r="EW60" s="227"/>
      <c r="EX60" s="227"/>
      <c r="EY60" s="227"/>
      <c r="EZ60" s="227"/>
      <c r="FA60" s="227"/>
      <c r="FB60" s="227"/>
      <c r="FC60" s="227"/>
      <c r="FD60" s="227"/>
      <c r="FE60" s="227"/>
      <c r="FF60" s="227"/>
      <c r="FG60" s="227"/>
      <c r="FH60" s="227"/>
      <c r="FI60" s="227"/>
      <c r="FJ60" s="227"/>
      <c r="FK60" s="227"/>
      <c r="FL60" s="227"/>
      <c r="FM60" s="227"/>
      <c r="FN60" s="227"/>
      <c r="FO60" s="227"/>
      <c r="FP60" s="227"/>
      <c r="FQ60" s="227"/>
      <c r="FR60" s="227"/>
      <c r="FS60" s="227"/>
      <c r="FT60" s="227"/>
      <c r="FU60" s="227"/>
      <c r="FV60" s="227"/>
      <c r="FW60" s="227"/>
      <c r="FX60" s="227"/>
      <c r="FY60" s="227"/>
      <c r="FZ60" s="227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/>
      <c r="HK60" s="227"/>
      <c r="HL60" s="227"/>
      <c r="HM60" s="227"/>
      <c r="HN60" s="227"/>
      <c r="HO60" s="227"/>
      <c r="HP60" s="227"/>
      <c r="HQ60" s="227"/>
      <c r="HR60" s="227"/>
      <c r="HS60" s="227"/>
      <c r="HT60" s="227"/>
      <c r="HU60" s="227"/>
      <c r="HV60" s="227"/>
      <c r="HW60" s="227"/>
      <c r="HX60" s="227"/>
      <c r="HY60" s="227"/>
      <c r="HZ60" s="227"/>
      <c r="IA60" s="227"/>
      <c r="IB60" s="227"/>
      <c r="IC60" s="227"/>
      <c r="ID60" s="227"/>
      <c r="IE60" s="227"/>
      <c r="IF60" s="227"/>
      <c r="IG60" s="227"/>
      <c r="IH60" s="227"/>
      <c r="II60" s="227"/>
      <c r="IJ60" s="227"/>
      <c r="IK60" s="227"/>
      <c r="IL60" s="227"/>
      <c r="IM60" s="227"/>
      <c r="IN60" s="227"/>
      <c r="IO60" s="227"/>
      <c r="IP60" s="227"/>
      <c r="IQ60" s="227"/>
      <c r="IR60" s="227"/>
      <c r="IS60" s="227"/>
      <c r="IT60" s="227"/>
      <c r="IU60" s="227"/>
      <c r="IV60" s="227"/>
      <c r="IW60" s="227"/>
    </row>
    <row r="61" customFormat="false" ht="23.25" hidden="false" customHeight="false" outlineLevel="0" collapsed="false">
      <c r="A61" s="227"/>
      <c r="B61" s="227"/>
      <c r="C61" s="308"/>
      <c r="D61" s="227"/>
      <c r="F61" s="227"/>
      <c r="G61" s="220"/>
      <c r="H61" s="309"/>
      <c r="I61" s="310"/>
      <c r="J61" s="310"/>
      <c r="K61" s="222"/>
      <c r="L61" s="309"/>
      <c r="M61" s="310"/>
      <c r="N61" s="309"/>
      <c r="O61" s="223"/>
      <c r="P61" s="223"/>
      <c r="Q61" s="227"/>
      <c r="R61" s="227"/>
      <c r="S61" s="227"/>
      <c r="T61" s="227"/>
      <c r="U61" s="227"/>
      <c r="V61" s="227"/>
      <c r="W61" s="227"/>
      <c r="AC61" s="227"/>
      <c r="AF61" s="117"/>
      <c r="AR61" s="309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  <c r="IM61" s="227"/>
      <c r="IN61" s="227"/>
      <c r="IO61" s="227"/>
      <c r="IP61" s="227"/>
      <c r="IQ61" s="227"/>
      <c r="IR61" s="227"/>
      <c r="IS61" s="227"/>
      <c r="IT61" s="227"/>
      <c r="IU61" s="227"/>
      <c r="IV61" s="227"/>
      <c r="IW61" s="227"/>
    </row>
    <row r="62" customFormat="false" ht="23.25" hidden="false" customHeight="false" outlineLevel="0" collapsed="false">
      <c r="A62" s="227"/>
      <c r="B62" s="227"/>
      <c r="C62" s="308"/>
      <c r="D62" s="227"/>
      <c r="F62" s="227"/>
      <c r="G62" s="220"/>
      <c r="H62" s="227"/>
      <c r="I62" s="310"/>
      <c r="J62" s="310"/>
      <c r="K62" s="311"/>
      <c r="L62" s="227"/>
      <c r="M62" s="310"/>
      <c r="N62" s="227"/>
      <c r="O62" s="312"/>
      <c r="P62" s="312"/>
      <c r="Q62" s="227"/>
      <c r="R62" s="227"/>
      <c r="S62" s="227"/>
      <c r="T62" s="227"/>
      <c r="U62" s="227"/>
      <c r="V62" s="227"/>
      <c r="W62" s="227"/>
      <c r="X62" s="313"/>
      <c r="Y62" s="313"/>
      <c r="Z62" s="313"/>
      <c r="AA62" s="313"/>
      <c r="AB62" s="313"/>
      <c r="AC62" s="227"/>
      <c r="AF62" s="117"/>
      <c r="AR62" s="309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  <c r="IM62" s="227"/>
      <c r="IN62" s="227"/>
      <c r="IO62" s="227"/>
      <c r="IP62" s="227"/>
      <c r="IQ62" s="227"/>
      <c r="IR62" s="227"/>
      <c r="IS62" s="227"/>
      <c r="IT62" s="227"/>
      <c r="IU62" s="227"/>
      <c r="IV62" s="227"/>
      <c r="IW62" s="227"/>
    </row>
    <row r="63" customFormat="false" ht="23.25" hidden="false" customHeight="false" outlineLevel="0" collapsed="false">
      <c r="A63" s="227"/>
      <c r="B63" s="227"/>
      <c r="C63" s="308"/>
      <c r="D63" s="227"/>
      <c r="F63" s="227"/>
      <c r="G63" s="220"/>
      <c r="H63" s="227"/>
      <c r="I63" s="310"/>
      <c r="J63" s="310"/>
      <c r="K63" s="311"/>
      <c r="L63" s="227"/>
      <c r="M63" s="310"/>
      <c r="N63" s="227"/>
      <c r="O63" s="7"/>
      <c r="Q63" s="227"/>
      <c r="R63" s="227"/>
      <c r="S63" s="227"/>
      <c r="T63" s="227"/>
      <c r="U63" s="227"/>
      <c r="V63" s="227"/>
      <c r="W63" s="227"/>
      <c r="X63" s="313"/>
      <c r="Y63" s="313"/>
      <c r="Z63" s="313"/>
      <c r="AA63" s="313"/>
      <c r="AB63" s="313"/>
      <c r="AC63" s="227"/>
      <c r="AF63" s="117"/>
      <c r="AR63" s="309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  <c r="IW63" s="227"/>
    </row>
    <row r="64" customFormat="false" ht="23.25" hidden="false" customHeight="false" outlineLevel="0" collapsed="false">
      <c r="O64" s="314"/>
      <c r="P64" s="315"/>
      <c r="X64" s="313"/>
      <c r="Y64" s="313"/>
      <c r="Z64" s="313"/>
      <c r="AA64" s="313"/>
      <c r="AB64" s="313"/>
      <c r="AE64" s="316"/>
      <c r="AF64" s="117"/>
      <c r="AG64" s="316"/>
      <c r="AH64" s="316"/>
      <c r="AI64" s="316"/>
      <c r="AJ64" s="316"/>
      <c r="AK64" s="316"/>
      <c r="AL64" s="316"/>
      <c r="AM64" s="316"/>
      <c r="AN64" s="316"/>
      <c r="AO64" s="316"/>
      <c r="AR64" s="205"/>
      <c r="AT64" s="227"/>
      <c r="AU64" s="227"/>
      <c r="AV64" s="227"/>
      <c r="AX64" s="227"/>
      <c r="AY64" s="227"/>
      <c r="AZ64" s="227"/>
      <c r="BC64" s="317"/>
    </row>
    <row r="65" customFormat="false" ht="23.25" hidden="false" customHeight="false" outlineLevel="0" collapsed="false">
      <c r="O65" s="314"/>
      <c r="P65" s="315"/>
      <c r="X65" s="313"/>
      <c r="Y65" s="313"/>
      <c r="Z65" s="313"/>
      <c r="AA65" s="313"/>
      <c r="AB65" s="313"/>
      <c r="AE65" s="316"/>
      <c r="AF65" s="117"/>
      <c r="AG65" s="316"/>
      <c r="AH65" s="316"/>
      <c r="AI65" s="316"/>
      <c r="AJ65" s="316"/>
      <c r="AK65" s="316"/>
      <c r="AL65" s="316"/>
      <c r="AM65" s="316"/>
      <c r="AN65" s="316"/>
      <c r="AO65" s="316"/>
      <c r="AR65" s="205"/>
      <c r="AT65" s="227"/>
      <c r="AU65" s="227"/>
      <c r="AV65" s="227"/>
      <c r="AX65" s="227"/>
      <c r="AY65" s="227"/>
      <c r="AZ65" s="227"/>
      <c r="BC65" s="317"/>
    </row>
    <row r="66" customFormat="false" ht="23.25" hidden="false" customHeight="false" outlineLevel="0" collapsed="false">
      <c r="O66" s="314"/>
      <c r="P66" s="315"/>
      <c r="X66" s="313"/>
      <c r="Y66" s="313"/>
      <c r="Z66" s="313"/>
      <c r="AA66" s="313"/>
      <c r="AB66" s="313"/>
      <c r="AE66" s="316"/>
      <c r="AF66" s="117"/>
      <c r="AG66" s="316"/>
      <c r="AH66" s="316"/>
      <c r="AI66" s="316"/>
      <c r="AJ66" s="316"/>
      <c r="AK66" s="316"/>
      <c r="AL66" s="316"/>
      <c r="AM66" s="316"/>
      <c r="AN66" s="316"/>
      <c r="AO66" s="316"/>
      <c r="AR66" s="217"/>
      <c r="AT66" s="227"/>
      <c r="AU66" s="227"/>
      <c r="AV66" s="227"/>
      <c r="AX66" s="227"/>
      <c r="AY66" s="227"/>
      <c r="AZ66" s="227"/>
      <c r="BC66" s="317"/>
    </row>
    <row r="67" customFormat="false" ht="23.25" hidden="false" customHeight="false" outlineLevel="0" collapsed="false">
      <c r="O67" s="314"/>
      <c r="P67" s="315"/>
      <c r="X67" s="313"/>
      <c r="Y67" s="313"/>
      <c r="Z67" s="313"/>
      <c r="AA67" s="313"/>
      <c r="AB67" s="313"/>
      <c r="AE67" s="316"/>
      <c r="AF67" s="117"/>
      <c r="AG67" s="316"/>
      <c r="AH67" s="316"/>
      <c r="AI67" s="316"/>
      <c r="AJ67" s="316"/>
      <c r="AK67" s="316"/>
      <c r="AL67" s="316"/>
      <c r="AM67" s="316"/>
      <c r="AN67" s="316"/>
      <c r="AO67" s="316"/>
      <c r="AR67" s="217"/>
      <c r="AT67" s="227"/>
      <c r="AU67" s="227"/>
      <c r="AV67" s="227"/>
      <c r="AX67" s="227"/>
      <c r="AY67" s="227"/>
      <c r="AZ67" s="227"/>
      <c r="BC67" s="317"/>
    </row>
    <row r="68" customFormat="false" ht="23.25" hidden="false" customHeight="false" outlineLevel="0" collapsed="false">
      <c r="O68" s="314"/>
      <c r="P68" s="315"/>
      <c r="X68" s="313"/>
      <c r="Y68" s="313"/>
      <c r="Z68" s="313"/>
      <c r="AA68" s="313"/>
      <c r="AB68" s="313"/>
      <c r="AE68" s="316"/>
      <c r="AF68" s="117"/>
      <c r="AG68" s="316"/>
      <c r="AH68" s="316"/>
      <c r="AI68" s="316"/>
      <c r="AJ68" s="316"/>
      <c r="AK68" s="316"/>
      <c r="AL68" s="316"/>
      <c r="AM68" s="316"/>
      <c r="AN68" s="316"/>
      <c r="AO68" s="316"/>
      <c r="AR68" s="217"/>
      <c r="AT68" s="227"/>
      <c r="AU68" s="227"/>
      <c r="AV68" s="227"/>
      <c r="AX68" s="227"/>
      <c r="AY68" s="227"/>
      <c r="AZ68" s="227"/>
      <c r="BC68" s="317"/>
    </row>
    <row r="69" customFormat="false" ht="23.25" hidden="false" customHeight="false" outlineLevel="0" collapsed="false">
      <c r="O69" s="314"/>
      <c r="P69" s="315"/>
      <c r="X69" s="313"/>
      <c r="Y69" s="313"/>
      <c r="Z69" s="313"/>
      <c r="AA69" s="313"/>
      <c r="AB69" s="313"/>
      <c r="AE69" s="316"/>
      <c r="AF69" s="117"/>
      <c r="AG69" s="316"/>
      <c r="AH69" s="316"/>
      <c r="AI69" s="316"/>
      <c r="AJ69" s="316"/>
      <c r="AK69" s="316"/>
      <c r="AL69" s="316"/>
      <c r="AM69" s="316"/>
      <c r="AN69" s="316"/>
      <c r="AO69" s="316"/>
      <c r="AR69" s="217"/>
      <c r="AT69" s="227"/>
      <c r="AU69" s="227"/>
      <c r="AV69" s="227"/>
      <c r="AX69" s="227"/>
      <c r="AY69" s="227"/>
      <c r="AZ69" s="227"/>
      <c r="BC69" s="317"/>
    </row>
    <row r="70" customFormat="false" ht="23.25" hidden="false" customHeight="false" outlineLevel="0" collapsed="false">
      <c r="O70" s="314"/>
      <c r="P70" s="315"/>
      <c r="X70" s="313"/>
      <c r="Y70" s="313"/>
      <c r="Z70" s="313"/>
      <c r="AA70" s="313"/>
      <c r="AB70" s="313"/>
      <c r="AE70" s="316"/>
      <c r="AF70" s="117"/>
      <c r="AG70" s="316"/>
      <c r="AH70" s="316"/>
      <c r="AI70" s="316"/>
      <c r="AJ70" s="316"/>
      <c r="AK70" s="316"/>
      <c r="AL70" s="316"/>
      <c r="AM70" s="316"/>
      <c r="AN70" s="316"/>
      <c r="AO70" s="316"/>
      <c r="AR70" s="217"/>
      <c r="AT70" s="227"/>
      <c r="AU70" s="227"/>
      <c r="AV70" s="227"/>
      <c r="AX70" s="227"/>
      <c r="AY70" s="227"/>
      <c r="AZ70" s="227"/>
      <c r="BC70" s="317"/>
    </row>
    <row r="71" customFormat="false" ht="23.25" hidden="false" customHeight="false" outlineLevel="0" collapsed="false">
      <c r="O71" s="314"/>
      <c r="P71" s="315"/>
      <c r="X71" s="313"/>
      <c r="Y71" s="313"/>
      <c r="Z71" s="313"/>
      <c r="AA71" s="313"/>
      <c r="AB71" s="313"/>
      <c r="AE71" s="316"/>
      <c r="AF71" s="117"/>
      <c r="AG71" s="316"/>
      <c r="AH71" s="316"/>
      <c r="AI71" s="316"/>
      <c r="AJ71" s="316"/>
      <c r="AK71" s="316"/>
      <c r="AL71" s="316"/>
      <c r="AM71" s="316"/>
      <c r="AN71" s="316"/>
      <c r="AO71" s="316"/>
      <c r="AR71" s="217"/>
      <c r="AT71" s="227"/>
      <c r="AU71" s="227"/>
      <c r="AV71" s="227"/>
      <c r="AX71" s="227"/>
      <c r="AY71" s="227"/>
      <c r="AZ71" s="227"/>
      <c r="BC71" s="317"/>
    </row>
    <row r="72" customFormat="false" ht="18" hidden="false" customHeight="false" outlineLevel="0" collapsed="false">
      <c r="O72" s="314"/>
      <c r="P72" s="315"/>
      <c r="X72" s="313"/>
      <c r="Y72" s="313"/>
      <c r="Z72" s="313"/>
      <c r="AA72" s="313"/>
      <c r="AB72" s="313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R72" s="217"/>
      <c r="AT72" s="227"/>
      <c r="AU72" s="227"/>
      <c r="AV72" s="227"/>
      <c r="AX72" s="227"/>
      <c r="AY72" s="227"/>
      <c r="AZ72" s="227"/>
      <c r="BC72" s="317"/>
    </row>
    <row r="73" customFormat="false" ht="18" hidden="false" customHeight="false" outlineLevel="0" collapsed="false">
      <c r="O73" s="314"/>
      <c r="P73" s="315"/>
      <c r="X73" s="313"/>
      <c r="Y73" s="313"/>
      <c r="Z73" s="313"/>
      <c r="AA73" s="313"/>
      <c r="AB73" s="313"/>
      <c r="AE73" s="316"/>
      <c r="AF73" s="316"/>
      <c r="AG73" s="316"/>
      <c r="AH73" s="316"/>
      <c r="AI73" s="316"/>
      <c r="AJ73" s="316"/>
      <c r="AK73" s="316"/>
      <c r="AL73" s="316"/>
      <c r="AM73" s="316"/>
      <c r="AN73" s="316"/>
      <c r="AO73" s="316"/>
      <c r="AR73" s="217"/>
      <c r="AT73" s="227"/>
      <c r="AU73" s="227"/>
      <c r="AV73" s="227"/>
      <c r="AX73" s="227"/>
      <c r="AY73" s="227"/>
      <c r="AZ73" s="227"/>
      <c r="BC73" s="317"/>
    </row>
    <row r="74" customFormat="false" ht="18" hidden="false" customHeight="false" outlineLevel="0" collapsed="false">
      <c r="O74" s="314"/>
      <c r="P74" s="315"/>
      <c r="X74" s="313"/>
      <c r="Y74" s="313"/>
      <c r="Z74" s="313"/>
      <c r="AA74" s="313"/>
      <c r="AB74" s="313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6"/>
      <c r="AR74" s="217"/>
      <c r="AT74" s="227"/>
      <c r="AU74" s="227"/>
      <c r="AV74" s="227"/>
      <c r="AX74" s="227"/>
      <c r="AY74" s="227"/>
      <c r="AZ74" s="227"/>
      <c r="BC74" s="317"/>
    </row>
    <row r="75" customFormat="false" ht="18" hidden="false" customHeight="false" outlineLevel="0" collapsed="false">
      <c r="O75" s="314"/>
      <c r="P75" s="315"/>
      <c r="X75" s="313"/>
      <c r="Y75" s="313"/>
      <c r="Z75" s="313"/>
      <c r="AA75" s="313"/>
      <c r="AB75" s="313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R75" s="217"/>
      <c r="AT75" s="227"/>
      <c r="AU75" s="227"/>
      <c r="AV75" s="227"/>
      <c r="AX75" s="227"/>
      <c r="AY75" s="227"/>
      <c r="AZ75" s="227"/>
      <c r="BC75" s="317"/>
    </row>
    <row r="76" customFormat="false" ht="18" hidden="false" customHeight="false" outlineLevel="0" collapsed="false">
      <c r="O76" s="314"/>
      <c r="P76" s="315"/>
      <c r="X76" s="313"/>
      <c r="Y76" s="313"/>
      <c r="Z76" s="313"/>
      <c r="AA76" s="313"/>
      <c r="AB76" s="313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R76" s="217"/>
      <c r="AT76" s="227"/>
      <c r="AU76" s="227"/>
      <c r="AV76" s="227"/>
      <c r="AX76" s="227"/>
      <c r="AY76" s="227"/>
      <c r="AZ76" s="227"/>
      <c r="BC76" s="317"/>
    </row>
    <row r="77" customFormat="false" ht="18" hidden="false" customHeight="false" outlineLevel="0" collapsed="false">
      <c r="V77" s="313"/>
      <c r="W77" s="313"/>
      <c r="X77" s="313"/>
      <c r="Y77" s="313"/>
      <c r="Z77" s="313"/>
      <c r="AA77" s="313"/>
      <c r="AB77" s="313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R77" s="217"/>
      <c r="AT77" s="227"/>
      <c r="AU77" s="227"/>
      <c r="AV77" s="227"/>
      <c r="AX77" s="227"/>
      <c r="AY77" s="227"/>
      <c r="AZ77" s="227"/>
    </row>
    <row r="78" customFormat="false" ht="18" hidden="false" customHeight="false" outlineLevel="0" collapsed="false">
      <c r="V78" s="313"/>
      <c r="W78" s="313"/>
      <c r="X78" s="313"/>
      <c r="Y78" s="313"/>
      <c r="Z78" s="313"/>
      <c r="AA78" s="313"/>
      <c r="AB78" s="313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R78" s="217"/>
      <c r="AT78" s="227"/>
      <c r="AU78" s="227"/>
      <c r="AV78" s="227"/>
      <c r="AX78" s="227"/>
      <c r="AY78" s="227"/>
      <c r="AZ78" s="227"/>
    </row>
    <row r="79" customFormat="false" ht="18" hidden="false" customHeight="false" outlineLevel="0" collapsed="false">
      <c r="V79" s="313"/>
      <c r="W79" s="313"/>
      <c r="X79" s="313"/>
      <c r="Y79" s="313"/>
      <c r="Z79" s="313"/>
      <c r="AA79" s="313"/>
      <c r="AB79" s="313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R79" s="217"/>
      <c r="AT79" s="227"/>
      <c r="AU79" s="227"/>
      <c r="AV79" s="227"/>
      <c r="AX79" s="227"/>
      <c r="AY79" s="227"/>
      <c r="AZ79" s="227"/>
    </row>
    <row r="80" customFormat="false" ht="18" hidden="false" customHeight="false" outlineLevel="0" collapsed="false">
      <c r="V80" s="313"/>
      <c r="W80" s="313"/>
      <c r="X80" s="313"/>
      <c r="Y80" s="313"/>
      <c r="Z80" s="313"/>
      <c r="AA80" s="313"/>
      <c r="AB80" s="313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R80" s="217"/>
      <c r="AT80" s="227"/>
      <c r="AU80" s="227"/>
      <c r="AV80" s="227"/>
      <c r="AX80" s="227"/>
      <c r="AY80" s="227"/>
      <c r="AZ80" s="227"/>
    </row>
    <row r="81" customFormat="false" ht="18" hidden="false" customHeight="false" outlineLevel="0" collapsed="false">
      <c r="V81" s="313"/>
      <c r="W81" s="313"/>
      <c r="X81" s="313"/>
      <c r="Y81" s="313"/>
      <c r="Z81" s="313"/>
      <c r="AA81" s="313"/>
      <c r="AB81" s="313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R81" s="217"/>
    </row>
    <row r="82" customFormat="false" ht="18" hidden="false" customHeight="false" outlineLevel="0" collapsed="false">
      <c r="V82" s="313"/>
      <c r="W82" s="313"/>
      <c r="X82" s="313"/>
      <c r="Y82" s="313"/>
      <c r="Z82" s="313"/>
      <c r="AA82" s="313"/>
      <c r="AB82" s="313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R82" s="217"/>
    </row>
    <row r="83" customFormat="false" ht="18" hidden="false" customHeight="false" outlineLevel="0" collapsed="false">
      <c r="V83" s="313"/>
      <c r="W83" s="313"/>
      <c r="X83" s="313"/>
      <c r="Y83" s="313"/>
      <c r="Z83" s="313"/>
      <c r="AA83" s="313"/>
      <c r="AB83" s="313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R83" s="217"/>
    </row>
    <row r="84" customFormat="false" ht="18" hidden="false" customHeight="false" outlineLevel="0" collapsed="false">
      <c r="V84" s="313"/>
      <c r="W84" s="313"/>
      <c r="X84" s="313"/>
      <c r="Y84" s="313"/>
      <c r="Z84" s="313"/>
      <c r="AA84" s="313"/>
      <c r="AB84" s="313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R84" s="217"/>
    </row>
    <row r="85" customFormat="false" ht="18" hidden="false" customHeight="false" outlineLevel="0" collapsed="false">
      <c r="V85" s="313"/>
      <c r="W85" s="313"/>
      <c r="X85" s="313"/>
      <c r="Y85" s="313"/>
      <c r="Z85" s="313"/>
      <c r="AA85" s="313"/>
      <c r="AB85" s="313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R85" s="217"/>
    </row>
    <row r="86" customFormat="false" ht="18" hidden="false" customHeight="false" outlineLevel="0" collapsed="false">
      <c r="V86" s="313"/>
      <c r="W86" s="313"/>
      <c r="X86" s="313"/>
      <c r="Y86" s="313"/>
      <c r="Z86" s="313"/>
      <c r="AA86" s="313"/>
      <c r="AB86" s="313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R86" s="217"/>
    </row>
    <row r="87" customFormat="false" ht="18" hidden="false" customHeight="false" outlineLevel="0" collapsed="false">
      <c r="V87" s="313"/>
      <c r="W87" s="313"/>
      <c r="X87" s="313"/>
      <c r="Y87" s="313"/>
      <c r="Z87" s="313"/>
      <c r="AA87" s="313"/>
      <c r="AB87" s="313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R87" s="217"/>
    </row>
    <row r="88" customFormat="false" ht="18" hidden="false" customHeight="false" outlineLevel="0" collapsed="false">
      <c r="V88" s="313"/>
      <c r="W88" s="313"/>
      <c r="X88" s="313"/>
      <c r="Y88" s="313"/>
      <c r="Z88" s="313"/>
      <c r="AA88" s="313"/>
      <c r="AB88" s="313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R88" s="217"/>
    </row>
    <row r="89" customFormat="false" ht="18" hidden="false" customHeight="false" outlineLevel="0" collapsed="false">
      <c r="V89" s="313"/>
      <c r="W89" s="313"/>
      <c r="X89" s="313"/>
      <c r="Y89" s="313"/>
      <c r="Z89" s="313"/>
      <c r="AA89" s="313"/>
      <c r="AB89" s="313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R89" s="217"/>
    </row>
    <row r="90" customFormat="false" ht="18" hidden="false" customHeight="false" outlineLevel="0" collapsed="false">
      <c r="V90" s="313"/>
      <c r="W90" s="313"/>
      <c r="X90" s="313"/>
      <c r="Y90" s="313"/>
      <c r="Z90" s="313"/>
      <c r="AA90" s="313"/>
      <c r="AB90" s="313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R90" s="217"/>
    </row>
    <row r="91" customFormat="false" ht="18" hidden="false" customHeight="false" outlineLevel="0" collapsed="false">
      <c r="V91" s="313"/>
      <c r="W91" s="313"/>
      <c r="X91" s="313"/>
      <c r="Y91" s="313"/>
      <c r="Z91" s="313"/>
      <c r="AA91" s="313"/>
      <c r="AB91" s="313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R91" s="217"/>
    </row>
    <row r="92" customFormat="false" ht="18" hidden="false" customHeight="false" outlineLevel="0" collapsed="false">
      <c r="V92" s="313"/>
      <c r="W92" s="313"/>
      <c r="X92" s="313"/>
      <c r="Y92" s="313"/>
      <c r="Z92" s="313"/>
      <c r="AA92" s="313"/>
      <c r="AB92" s="313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R92" s="217"/>
    </row>
    <row r="93" customFormat="false" ht="18" hidden="false" customHeight="false" outlineLevel="0" collapsed="false">
      <c r="V93" s="313"/>
      <c r="W93" s="313"/>
      <c r="X93" s="313"/>
      <c r="Y93" s="313"/>
      <c r="Z93" s="313"/>
      <c r="AA93" s="313"/>
      <c r="AB93" s="313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R93" s="217"/>
    </row>
    <row r="94" customFormat="false" ht="18" hidden="false" customHeight="false" outlineLevel="0" collapsed="false">
      <c r="V94" s="313"/>
      <c r="W94" s="313"/>
      <c r="X94" s="313"/>
      <c r="Y94" s="313"/>
      <c r="Z94" s="313"/>
      <c r="AA94" s="313"/>
      <c r="AB94" s="313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R94" s="217"/>
    </row>
    <row r="95" customFormat="false" ht="18" hidden="false" customHeight="false" outlineLevel="0" collapsed="false">
      <c r="V95" s="313"/>
      <c r="W95" s="313"/>
      <c r="X95" s="313"/>
      <c r="Y95" s="313"/>
      <c r="Z95" s="313"/>
      <c r="AA95" s="313"/>
      <c r="AB95" s="313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R95" s="217"/>
    </row>
    <row r="96" customFormat="false" ht="18" hidden="false" customHeight="false" outlineLevel="0" collapsed="false"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R96" s="217"/>
    </row>
    <row r="97" customFormat="false" ht="18" hidden="false" customHeight="false" outlineLevel="0" collapsed="false"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R97" s="217"/>
    </row>
    <row r="98" customFormat="false" ht="18" hidden="false" customHeight="false" outlineLevel="0" collapsed="false"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R98" s="217"/>
    </row>
    <row r="99" customFormat="false" ht="18" hidden="false" customHeight="false" outlineLevel="0" collapsed="false"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R99" s="217"/>
    </row>
    <row r="100" customFormat="false" ht="18" hidden="false" customHeight="false" outlineLevel="0" collapsed="false"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R100" s="217"/>
    </row>
    <row r="101" customFormat="false" ht="18" hidden="false" customHeight="false" outlineLevel="0" collapsed="false"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R101" s="217"/>
    </row>
    <row r="102" customFormat="false" ht="18" hidden="false" customHeight="false" outlineLevel="0" collapsed="false"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R102" s="217"/>
    </row>
    <row r="103" customFormat="false" ht="18" hidden="false" customHeight="false" outlineLevel="0" collapsed="false"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R103" s="217"/>
    </row>
    <row r="104" customFormat="false" ht="18" hidden="false" customHeight="false" outlineLevel="0" collapsed="false"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R104" s="217"/>
    </row>
    <row r="105" customFormat="false" ht="18" hidden="false" customHeight="false" outlineLevel="0" collapsed="false"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R105" s="217"/>
    </row>
    <row r="106" customFormat="false" ht="18" hidden="false" customHeight="false" outlineLevel="0" collapsed="false"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R106" s="217"/>
    </row>
    <row r="107" customFormat="false" ht="18" hidden="false" customHeight="false" outlineLevel="0" collapsed="false"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R107" s="217"/>
    </row>
    <row r="108" customFormat="false" ht="18" hidden="false" customHeight="false" outlineLevel="0" collapsed="false"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R108" s="217"/>
    </row>
    <row r="109" customFormat="false" ht="18" hidden="false" customHeight="false" outlineLevel="0" collapsed="false"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R109" s="217"/>
    </row>
    <row r="110" customFormat="false" ht="18" hidden="false" customHeight="false" outlineLevel="0" collapsed="false"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R110" s="217"/>
    </row>
    <row r="111" customFormat="false" ht="18" hidden="false" customHeight="false" outlineLevel="0" collapsed="false"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R111" s="217"/>
    </row>
    <row r="112" customFormat="false" ht="18" hidden="false" customHeight="false" outlineLevel="0" collapsed="false"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R112" s="217"/>
    </row>
    <row r="113" customFormat="false" ht="18" hidden="false" customHeight="false" outlineLevel="0" collapsed="false"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R113" s="217"/>
    </row>
    <row r="114" customFormat="false" ht="18" hidden="false" customHeight="false" outlineLevel="0" collapsed="false"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R114" s="217"/>
    </row>
    <row r="115" customFormat="false" ht="18" hidden="false" customHeight="false" outlineLevel="0" collapsed="false"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R115" s="217"/>
    </row>
    <row r="116" customFormat="false" ht="18" hidden="false" customHeight="false" outlineLevel="0" collapsed="false"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R116" s="217"/>
    </row>
    <row r="117" customFormat="false" ht="18" hidden="false" customHeight="false" outlineLevel="0" collapsed="false"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R117" s="217"/>
    </row>
    <row r="118" customFormat="false" ht="18" hidden="false" customHeight="false" outlineLevel="0" collapsed="false"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R118" s="217"/>
    </row>
    <row r="119" customFormat="false" ht="18" hidden="false" customHeight="false" outlineLevel="0" collapsed="false"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R119" s="217"/>
    </row>
    <row r="120" customFormat="false" ht="18" hidden="false" customHeight="false" outlineLevel="0" collapsed="false"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R120" s="217"/>
    </row>
    <row r="121" customFormat="false" ht="18" hidden="false" customHeight="false" outlineLevel="0" collapsed="false"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R121" s="217"/>
    </row>
    <row r="122" customFormat="false" ht="18" hidden="false" customHeight="false" outlineLevel="0" collapsed="false"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R122" s="217"/>
    </row>
    <row r="123" customFormat="false" ht="18" hidden="false" customHeight="false" outlineLevel="0" collapsed="false"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R123" s="217"/>
    </row>
    <row r="124" customFormat="false" ht="18" hidden="false" customHeight="false" outlineLevel="0" collapsed="false"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R124" s="217"/>
    </row>
    <row r="125" customFormat="false" ht="18" hidden="false" customHeight="false" outlineLevel="0" collapsed="false"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R125" s="217"/>
    </row>
    <row r="126" customFormat="false" ht="18" hidden="false" customHeight="false" outlineLevel="0" collapsed="false"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R126" s="217"/>
    </row>
    <row r="127" customFormat="false" ht="18" hidden="false" customHeight="false" outlineLevel="0" collapsed="false"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R127" s="217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2001-10-26T17:57:03Z</cp:lastPrinted>
  <dcterms:modified xsi:type="dcterms:W3CDTF">2001-11-16T18:34:17Z</dcterms:modified>
  <cp:revision>0</cp:revision>
  <dc:subject/>
  <dc:title/>
</cp:coreProperties>
</file>