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5</xdr:rowOff>
              </xdr:from>
              <xdr:to>
                <xdr:col>1</xdr:col>
                <xdr:colOff>2</xdr:colOff>
                <xdr:row>13</xdr:row>
                <xdr:rowOff>11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19</xdr:rowOff>
              </xdr:from>
              <xdr:to>
                <xdr:col>1</xdr:col>
                <xdr:colOff>2</xdr:colOff>
                <xdr:row>18</xdr:row>
                <xdr:rowOff>17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34</xdr:rowOff>
              </xdr:from>
              <xdr:to>
                <xdr:col>1</xdr:col>
                <xdr:colOff>2</xdr:colOff>
                <xdr:row>22</xdr:row>
                <xdr:rowOff>5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<sst xmlns="http://schemas.openxmlformats.org/spreadsheetml/2006/main" count="187" uniqueCount="129">
  <si>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</si>
  <si>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</si>
  <si>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</si>
  <si>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</si>
  <si>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</si>
  <si>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</si>
  <si>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</si>
  <si>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</si>
  <si>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</si>
  <si>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</si>
  <si>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</si>
  <si>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</si>
  <si>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</si>
  <si>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</si>
  <si>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</si>
  <si>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</si>
  <si>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</si>
  <si>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</si>
  <si>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</si>
  <si>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</si>
  <si>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</si>
  <si>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</si>
  <si>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</si>
  <si>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</si>
  <si>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</si>
  <si>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</si>
  <si>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</si>
  <si>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</si>
  <si>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</si>
  <si>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</si>
  <si>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</si>
  <si>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</si>
  <si>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</si>
  <si>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</si>
  <si>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</si>
  <si>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</si>
  <si>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</si>
  <si>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</si>
  <si>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</si>
  <si>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</si>
  <si>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</si>
  <si>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</si>
  <si>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</si>
  <si>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</si>
  <si>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</si>
  <si>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</si>
  <si>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</si>
  <si>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</si>
  <si>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</si>
  <si>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</si>
  <si>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</si>
  <si>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</si>
  <si>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</si>
  <si>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</si>
  <si>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</si>
  <si>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</si>
  <si>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</si>
  <si>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</si>
  <si>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</si>
  <si>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</si>
  <si>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</si>
  <si>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</si>
  <si>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Enbridge Energy Partners</t>
  </si>
  <si>
    <t xml:space="preserve">EEP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</si>
  <si>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</si>
  <si>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</si>
  <si>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</si>
  <si>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</si>
  <si>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</si>
  <si>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</si>
  <si>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</si>
  <si>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</si>
  <si>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</si>
  <si>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</si>
  <si>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</si>
  <si>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</si>
  <si>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</si>
  <si>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</si>
  <si>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</si>
  <si>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</si>
  <si>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</si>
  <si>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</si>
  <si>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</si>
  <si>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</si>
  <si>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6"/>
        <rFont val="Arial"/>
        <family val="2"/>
      </rPr>
      <t xml:space="preserve">(3)</t>
    </r>
    <r>
      <rPr>
        <sz val="18"/>
        <rFont val="Arial"/>
        <family val="2"/>
      </rPr>
      <t xml:space="preserve"> </t>
    </r>
    <r>
      <rPr>
        <b val="true"/>
        <sz val="18"/>
        <rFont val="Arial"/>
        <family val="2"/>
      </rPr>
      <t xml:space="preserve">Restructuring approved by unitholders 12/7/00.  Annual distribution reduced to $0.80 per year.  </t>
    </r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</si>
  <si>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</si>
  <si>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</si>
  <si>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</si>
  <si>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</si>
  <si>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</si>
  <si>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</si>
  <si>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</si>
  <si>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</si>
  <si>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</si>
  <si>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</si>
  <si>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</si>
  <si>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</si>
  <si>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</si>
  <si>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</si>
  <si>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</si>
  <si>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</si>
  <si>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</si>
  <si>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</si>
  <si>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</si>
  <si>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</si>
  <si>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</si>
  <si>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</si>
  <si>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</si>
  <si>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</si>
  <si>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</si>
  <si>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</si>
  <si>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</si>
  <si>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</si>
  <si>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</si>
  <si>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</si>
  <si>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</si>
  <si>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</si>
  <si>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</si>
  <si>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</si>
  <si>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</si>
  <si>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</si>
  <si>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</si>
  <si>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</si>
  <si>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</si>
  <si>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</si>
  <si>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</si>
  <si>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</si>
  <si>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Wachovia Securities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</si>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</sst>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2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37183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37176</v>
      </c>
      <c r="AH6" s="61" t="s">
        <v>20</v>
      </c>
      <c r="AI6" s="62" t="n">
        <v>37162</v>
      </c>
      <c r="AJ6" s="61" t="s">
        <v>20</v>
      </c>
      <c r="AK6" s="62" t="n">
        <v>36889</v>
      </c>
      <c r="AL6" s="63" t="n">
        <v>2000</v>
      </c>
      <c r="AM6" s="62" t="n">
        <v>36523</v>
      </c>
      <c r="AN6" s="63" t="s">
        <v>21</v>
      </c>
      <c r="AO6" s="62" t="n">
        <v>36160</v>
      </c>
      <c r="AP6" s="59" t="n">
        <v>1998</v>
      </c>
      <c r="AQ6" s="64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5" t="s">
        <v>22</v>
      </c>
      <c r="B7" s="11"/>
      <c r="C7" s="65" t="s">
        <v>23</v>
      </c>
      <c r="D7" s="11"/>
      <c r="E7" s="66" t="s">
        <v>24</v>
      </c>
      <c r="F7" s="67"/>
      <c r="G7" s="65" t="s">
        <v>25</v>
      </c>
      <c r="H7" s="13"/>
      <c r="I7" s="68" t="s">
        <v>26</v>
      </c>
      <c r="J7" s="69"/>
      <c r="K7" s="70" t="s">
        <v>27</v>
      </c>
      <c r="L7" s="13"/>
      <c r="M7" s="68" t="s">
        <v>28</v>
      </c>
      <c r="N7" s="13"/>
      <c r="O7" s="71" t="s">
        <v>29</v>
      </c>
      <c r="P7" s="33"/>
      <c r="Q7" s="71" t="s">
        <v>30</v>
      </c>
      <c r="R7" s="33"/>
      <c r="S7" s="65" t="s">
        <v>31</v>
      </c>
      <c r="T7" s="13"/>
      <c r="U7" s="65" t="s">
        <v>31</v>
      </c>
      <c r="V7" s="40"/>
      <c r="W7" s="18"/>
      <c r="X7" s="41"/>
      <c r="Y7" s="72" t="s">
        <v>32</v>
      </c>
      <c r="Z7" s="73" t="s">
        <v>32</v>
      </c>
      <c r="AA7" s="74" t="s">
        <v>33</v>
      </c>
      <c r="AB7" s="74" t="s">
        <v>33</v>
      </c>
      <c r="AC7" s="75"/>
      <c r="AD7" s="76" t="s">
        <v>34</v>
      </c>
      <c r="AE7" s="77" t="s">
        <v>35</v>
      </c>
      <c r="AF7" s="78" t="s">
        <v>30</v>
      </c>
      <c r="AG7" s="79" t="s">
        <v>36</v>
      </c>
      <c r="AH7" s="78" t="s">
        <v>37</v>
      </c>
      <c r="AI7" s="79" t="s">
        <v>36</v>
      </c>
      <c r="AJ7" s="78" t="s">
        <v>38</v>
      </c>
      <c r="AK7" s="79" t="s">
        <v>36</v>
      </c>
      <c r="AL7" s="80" t="s">
        <v>39</v>
      </c>
      <c r="AM7" s="79" t="s">
        <v>36</v>
      </c>
      <c r="AN7" s="80" t="s">
        <v>39</v>
      </c>
      <c r="AO7" s="79" t="s">
        <v>36</v>
      </c>
      <c r="AP7" s="76" t="s">
        <v>39</v>
      </c>
      <c r="AQ7" s="81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2"/>
      <c r="Z8" s="83"/>
      <c r="AA8" s="41"/>
      <c r="AB8" s="83"/>
      <c r="AC8" s="11"/>
      <c r="AD8" s="84"/>
      <c r="AE8" s="85"/>
      <c r="AF8" s="86"/>
      <c r="AG8" s="86"/>
      <c r="AH8" s="87"/>
      <c r="AI8" s="88"/>
      <c r="AJ8" s="86"/>
      <c r="AK8" s="86"/>
      <c r="AL8" s="87"/>
      <c r="AM8" s="86"/>
      <c r="AN8" s="87"/>
      <c r="AO8" s="86"/>
      <c r="AP8" s="89"/>
      <c r="AQ8" s="90"/>
      <c r="AR8" s="91"/>
      <c r="AS8" s="91"/>
      <c r="AT8" s="91"/>
      <c r="AU8" s="92"/>
      <c r="AV8" s="92"/>
      <c r="AW8" s="92"/>
      <c r="AX8" s="92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3"/>
      <c r="AA9" s="93"/>
      <c r="AC9" s="94"/>
      <c r="AF9" s="95"/>
      <c r="AH9" s="95"/>
      <c r="AI9" s="96"/>
      <c r="AL9" s="95"/>
      <c r="AN9" s="95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21.35</v>
      </c>
      <c r="F10" s="102"/>
      <c r="G10" s="101" t="n">
        <f aca="false">DDE("REUTER","IDN","EOT,DIVIDEND,1")</f>
        <v>1.9</v>
      </c>
      <c r="H10" s="103"/>
      <c r="I10" s="104" t="n">
        <f aca="false">+G10/E10</f>
        <v>0.0889929742388759</v>
      </c>
      <c r="J10" s="104"/>
      <c r="K10" s="105" t="n">
        <f aca="false">(+I10-E$30)*10000</f>
        <v>405.929742388759</v>
      </c>
      <c r="L10" s="100"/>
      <c r="M10" s="104" t="n">
        <f aca="false">(I10*AA10)+((I10*(1-AA10))*(1-0.3))</f>
        <v>0.0876580796252927</v>
      </c>
      <c r="N10" s="100"/>
      <c r="O10" s="106" t="n">
        <f aca="false">+G10/Z10</f>
        <v>1.71171171171171</v>
      </c>
      <c r="P10" s="107"/>
      <c r="Q10" s="106" t="n">
        <f aca="false">(AF10+$E10-AG10)/AG10</f>
        <v>0.0142517814726841</v>
      </c>
      <c r="R10" s="107"/>
      <c r="S10" s="106" t="n">
        <f aca="false">(AH10+$E10-AI10)/AI10</f>
        <v>0.0782828282828283</v>
      </c>
      <c r="T10" s="103"/>
      <c r="U10" s="108" t="n">
        <f aca="false">(AJ10+E10-AK10)/AK10</f>
        <v>0.390839694656489</v>
      </c>
      <c r="V10" s="109"/>
      <c r="W10" s="18"/>
      <c r="X10" s="41"/>
      <c r="Y10" s="110" t="n">
        <f aca="false">G58</f>
        <v>0.886</v>
      </c>
      <c r="Z10" s="111" t="n">
        <f aca="false">I58</f>
        <v>1.11</v>
      </c>
      <c r="AA10" s="112" t="n">
        <v>0.95</v>
      </c>
      <c r="AB10" s="113"/>
      <c r="AC10" s="22"/>
      <c r="AD10" s="114" t="n">
        <v>37099</v>
      </c>
      <c r="AE10" s="115" t="n">
        <v>0.475</v>
      </c>
      <c r="AF10" s="116"/>
      <c r="AG10" s="117" t="n">
        <v>21.05</v>
      </c>
      <c r="AH10" s="118"/>
      <c r="AI10" s="119" t="n">
        <v>19.8</v>
      </c>
      <c r="AJ10" s="120" t="n">
        <f aca="false">0.475*3</f>
        <v>1.425</v>
      </c>
      <c r="AK10" s="121" t="n">
        <v>16.375</v>
      </c>
      <c r="AL10" s="122" t="n">
        <f aca="false">0.475*4</f>
        <v>1.9</v>
      </c>
      <c r="AM10" s="121" t="n">
        <v>13</v>
      </c>
      <c r="AN10" s="120" t="n">
        <f aca="false">0.475*4</f>
        <v>1.9</v>
      </c>
      <c r="AO10" s="121" t="n">
        <v>15.75</v>
      </c>
      <c r="AP10" s="123" t="n">
        <f aca="false">0.475+0.475+0.475+0.475</f>
        <v>1.9</v>
      </c>
      <c r="AQ10" s="124" t="n">
        <v>17.125</v>
      </c>
      <c r="AR10" s="91"/>
      <c r="AS10" s="92"/>
      <c r="AT10" s="14"/>
      <c r="AU10" s="92"/>
      <c r="AV10" s="92"/>
      <c r="AW10" s="14"/>
      <c r="AX10" s="125"/>
      <c r="AY10" s="126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7" t="s">
        <v>42</v>
      </c>
      <c r="B11" s="128"/>
      <c r="C11" s="129" t="s">
        <v>43</v>
      </c>
      <c r="D11" s="128"/>
      <c r="E11" s="130" t="n">
        <f aca="false">DDE("REUTER","IDN","NBP,LAST,1")</f>
        <v>41.01</v>
      </c>
      <c r="F11" s="131"/>
      <c r="G11" s="130" t="n">
        <f aca="false">DDE("REUTER","IDN","NBP,DIVIDEND,1")</f>
        <v>3.05</v>
      </c>
      <c r="H11" s="132"/>
      <c r="I11" s="133" t="n">
        <f aca="false">+G11/E11</f>
        <v>0.0743721043647891</v>
      </c>
      <c r="J11" s="133"/>
      <c r="K11" s="134" t="n">
        <f aca="false">(+I11-E$30)*10000</f>
        <v>259.721043647891</v>
      </c>
      <c r="L11" s="129"/>
      <c r="M11" s="133" t="n">
        <f aca="false">(I11*AA11)+((I11*(1-AA11))*(1-0.3))</f>
        <v>0.0732565227993172</v>
      </c>
      <c r="N11" s="129"/>
      <c r="O11" s="135" t="n">
        <f aca="false">+G11/Z11</f>
        <v>1.03859250851305</v>
      </c>
      <c r="P11" s="136"/>
      <c r="Q11" s="135" t="n">
        <f aca="false">(AF11+$E11-AG11)/AG11</f>
        <v>0.0229483661761036</v>
      </c>
      <c r="R11" s="136"/>
      <c r="S11" s="135" t="n">
        <f aca="false">(AH11+$E11-AI11)/AI11</f>
        <v>0.0555984555984555</v>
      </c>
      <c r="T11" s="132"/>
      <c r="U11" s="137" t="n">
        <f aca="false">(AJ11+$E11-AK11)/AK11</f>
        <v>0.37800796812749</v>
      </c>
      <c r="V11" s="109"/>
      <c r="W11" s="18"/>
      <c r="X11" s="41"/>
      <c r="Y11" s="110" t="n">
        <f aca="false">S58</f>
        <v>2.515</v>
      </c>
      <c r="Z11" s="111" t="n">
        <f aca="false">U58</f>
        <v>2.93666666666667</v>
      </c>
      <c r="AA11" s="112" t="n">
        <v>0.95</v>
      </c>
      <c r="AB11" s="113"/>
      <c r="AC11" s="11"/>
      <c r="AD11" s="114" t="n">
        <v>37099</v>
      </c>
      <c r="AE11" s="115" t="n">
        <v>0.7625</v>
      </c>
      <c r="AF11" s="116"/>
      <c r="AG11" s="117" t="n">
        <v>40.09</v>
      </c>
      <c r="AH11" s="118"/>
      <c r="AI11" s="119" t="n">
        <v>38.85</v>
      </c>
      <c r="AJ11" s="120" t="n">
        <f aca="false">0.7+0.7625+0.7625</f>
        <v>2.225</v>
      </c>
      <c r="AK11" s="121" t="n">
        <v>31.375</v>
      </c>
      <c r="AL11" s="122" t="n">
        <f aca="false">0.65*3+0.7</f>
        <v>2.65</v>
      </c>
      <c r="AM11" s="121" t="n">
        <v>23</v>
      </c>
      <c r="AN11" s="120" t="n">
        <f aca="false">0.61*3+0.65</f>
        <v>2.48</v>
      </c>
      <c r="AO11" s="121" t="n">
        <v>32.5625</v>
      </c>
      <c r="AP11" s="138" t="n">
        <f aca="false">0.575+0.575+0.575+0.575</f>
        <v>2.3</v>
      </c>
      <c r="AQ11" s="124" t="n">
        <v>34</v>
      </c>
      <c r="AR11" s="91"/>
      <c r="AS11" s="92"/>
      <c r="AT11" s="92"/>
      <c r="AU11" s="92"/>
      <c r="AV11" s="92"/>
      <c r="AW11" s="14"/>
      <c r="AX11" s="125"/>
      <c r="AY11" s="126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9"/>
      <c r="G12" s="117"/>
      <c r="H12" s="13"/>
      <c r="I12" s="15"/>
      <c r="J12" s="15"/>
      <c r="K12" s="140"/>
      <c r="L12" s="23"/>
      <c r="M12" s="15"/>
      <c r="N12" s="23"/>
      <c r="O12" s="33"/>
      <c r="P12" s="141"/>
      <c r="Q12" s="33"/>
      <c r="R12" s="141"/>
      <c r="S12" s="33"/>
      <c r="T12" s="13"/>
      <c r="U12" s="142"/>
      <c r="V12" s="109"/>
      <c r="W12" s="18"/>
      <c r="X12" s="41"/>
      <c r="Y12" s="110"/>
      <c r="Z12" s="111"/>
      <c r="AA12" s="112"/>
      <c r="AB12" s="113"/>
      <c r="AC12" s="11"/>
      <c r="AD12" s="143"/>
      <c r="AE12" s="115"/>
      <c r="AF12" s="120"/>
      <c r="AG12" s="117"/>
      <c r="AH12" s="122"/>
      <c r="AI12" s="119"/>
      <c r="AJ12" s="120"/>
      <c r="AK12" s="121"/>
      <c r="AL12" s="122"/>
      <c r="AM12" s="121"/>
      <c r="AN12" s="120"/>
      <c r="AO12" s="121"/>
      <c r="AP12" s="144"/>
      <c r="AQ12" s="145"/>
      <c r="AR12" s="91"/>
      <c r="AS12" s="92"/>
      <c r="AT12" s="14"/>
      <c r="AU12" s="92"/>
      <c r="AV12" s="92"/>
      <c r="AW12" s="14"/>
      <c r="AX12" s="125"/>
      <c r="AY12" s="12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23.85</v>
      </c>
      <c r="F13" s="139"/>
      <c r="G13" s="117" t="n">
        <f aca="false">DDE("REUTER","IDN","APU,DIVIDEND,1")</f>
        <v>2.2</v>
      </c>
      <c r="H13" s="13"/>
      <c r="I13" s="69" t="n">
        <f aca="false">+G13/E13</f>
        <v>0.0922431865828092</v>
      </c>
      <c r="J13" s="69"/>
      <c r="K13" s="146" t="n">
        <f aca="false">(+I13-E$30)*10000</f>
        <v>438.431865828092</v>
      </c>
      <c r="L13" s="23"/>
      <c r="M13" s="69" t="n">
        <f aca="false">(I13*AA13)+((I13*(1-AA13))*(1-0.3))</f>
        <v>0.0839412997903564</v>
      </c>
      <c r="N13" s="23"/>
      <c r="O13" s="33" t="n">
        <f aca="false">+G13/Y13</f>
        <v>2</v>
      </c>
      <c r="P13" s="141"/>
      <c r="Q13" s="33" t="n">
        <f aca="false">(AF13+$E13-AG13)/AG13</f>
        <v>-0.00583576490204239</v>
      </c>
      <c r="R13" s="141"/>
      <c r="S13" s="33" t="n">
        <f aca="false">(AH13+$E13-AI13)/AI13</f>
        <v>0.0387630662020906</v>
      </c>
      <c r="T13" s="13"/>
      <c r="U13" s="147" t="n">
        <f aca="false">(AJ13+E13-AK13)/AK13</f>
        <v>0.533834586466165</v>
      </c>
      <c r="V13" s="109"/>
      <c r="W13" s="18"/>
      <c r="X13" s="41"/>
      <c r="Y13" s="110" t="n">
        <v>1.1</v>
      </c>
      <c r="Z13" s="111" t="n">
        <v>1.12</v>
      </c>
      <c r="AA13" s="112" t="n">
        <v>0.7</v>
      </c>
      <c r="AB13" s="148"/>
      <c r="AC13" s="11"/>
      <c r="AD13" s="114" t="n">
        <v>37111</v>
      </c>
      <c r="AE13" s="115" t="n">
        <v>0.55</v>
      </c>
      <c r="AF13" s="116"/>
      <c r="AG13" s="117" t="n">
        <v>23.99</v>
      </c>
      <c r="AH13" s="118"/>
      <c r="AI13" s="119" t="n">
        <v>22.96</v>
      </c>
      <c r="AJ13" s="120" t="n">
        <f aca="false">0.55*3</f>
        <v>1.65</v>
      </c>
      <c r="AK13" s="121" t="n">
        <v>16.625</v>
      </c>
      <c r="AL13" s="122" t="n">
        <f aca="false">0.55*4</f>
        <v>2.2</v>
      </c>
      <c r="AM13" s="121" t="n">
        <v>14.875</v>
      </c>
      <c r="AN13" s="120" t="n">
        <f aca="false">0.55*4</f>
        <v>2.2</v>
      </c>
      <c r="AO13" s="121" t="n">
        <v>22.875</v>
      </c>
      <c r="AP13" s="123" t="n">
        <f aca="false">0.55+0.55+0.55+0.55</f>
        <v>2.2</v>
      </c>
      <c r="AQ13" s="149" t="n">
        <v>25.1875</v>
      </c>
      <c r="AR13" s="91"/>
      <c r="AS13" s="92"/>
      <c r="AT13" s="14"/>
      <c r="AU13" s="92"/>
      <c r="AV13" s="92"/>
      <c r="AW13" s="14"/>
      <c r="AX13" s="150"/>
      <c r="AY13" s="12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35.3</v>
      </c>
      <c r="F14" s="139"/>
      <c r="G14" s="117" t="n">
        <f aca="false">DDE("REUTER","IDN","BPL,DIVIDEND,1")</f>
        <v>2.5</v>
      </c>
      <c r="H14" s="13"/>
      <c r="I14" s="69" t="n">
        <f aca="false">+G14/E14</f>
        <v>0.0708215297450425</v>
      </c>
      <c r="J14" s="69"/>
      <c r="K14" s="146" t="n">
        <f aca="false">(+I14-E$30)*10000</f>
        <v>224.215297450425</v>
      </c>
      <c r="L14" s="23"/>
      <c r="M14" s="69" t="n">
        <f aca="false">(I14*AA14)+((I14*(1-AA14))*(1-0.3))</f>
        <v>0.0655099150141643</v>
      </c>
      <c r="N14" s="23"/>
      <c r="O14" s="33" t="n">
        <f aca="false">+G14/Z14</f>
        <v>1.00401606425703</v>
      </c>
      <c r="P14" s="141"/>
      <c r="Q14" s="33" t="n">
        <f aca="false">(AF14+$E14-AG14)/AG14</f>
        <v>-0.0235131396957124</v>
      </c>
      <c r="R14" s="141"/>
      <c r="S14" s="33" t="n">
        <f aca="false">(AH14+$E14-AI14)/AI14</f>
        <v>0.0187590187590187</v>
      </c>
      <c r="T14" s="13"/>
      <c r="U14" s="147" t="n">
        <f aca="false">(AJ14+E14-AK14)/AK14</f>
        <v>0.285714285714286</v>
      </c>
      <c r="V14" s="109"/>
      <c r="W14" s="18"/>
      <c r="X14" s="41"/>
      <c r="Y14" s="110" t="n">
        <v>2.41</v>
      </c>
      <c r="Z14" s="111" t="n">
        <v>2.49</v>
      </c>
      <c r="AA14" s="112" t="n">
        <v>0.75</v>
      </c>
      <c r="AB14" s="113"/>
      <c r="AC14" s="11"/>
      <c r="AD14" s="114" t="n">
        <v>37105</v>
      </c>
      <c r="AE14" s="115" t="n">
        <v>0.625</v>
      </c>
      <c r="AF14" s="116"/>
      <c r="AG14" s="117" t="n">
        <v>36.15</v>
      </c>
      <c r="AH14" s="118"/>
      <c r="AI14" s="119" t="n">
        <v>34.65</v>
      </c>
      <c r="AJ14" s="120" t="n">
        <f aca="false">(0.6*2)+0.625</f>
        <v>1.825</v>
      </c>
      <c r="AK14" s="121" t="n">
        <v>28.875</v>
      </c>
      <c r="AL14" s="122" t="n">
        <f aca="false">0.6*4</f>
        <v>2.4</v>
      </c>
      <c r="AM14" s="121" t="n">
        <v>26</v>
      </c>
      <c r="AN14" s="120" t="n">
        <f aca="false">0.525+0.55*3</f>
        <v>2.175</v>
      </c>
      <c r="AO14" s="121" t="n">
        <v>29</v>
      </c>
      <c r="AP14" s="123" t="n">
        <f aca="false">0.525+0.525+0.525+0.525</f>
        <v>2.1</v>
      </c>
      <c r="AQ14" s="149" t="n">
        <f aca="false">57.9375/2</f>
        <v>28.96875</v>
      </c>
      <c r="AR14" s="91"/>
      <c r="AS14" s="92"/>
      <c r="AT14" s="14"/>
      <c r="AU14" s="92"/>
      <c r="AV14" s="92"/>
      <c r="AW14" s="14"/>
      <c r="AX14" s="125"/>
      <c r="AY14" s="12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DDE("REUTER","IDN","EPN,LAST,1")</f>
        <v>39.43</v>
      </c>
      <c r="F15" s="139"/>
      <c r="G15" s="117" t="n">
        <f aca="false">DDE("REUTER","IDN","EPN,DIVIDEND,1")</f>
        <v>2.45</v>
      </c>
      <c r="H15" s="13"/>
      <c r="I15" s="69" t="n">
        <f aca="false">+G15/E15</f>
        <v>0.0621354298757292</v>
      </c>
      <c r="J15" s="69"/>
      <c r="K15" s="146" t="n">
        <f aca="false">(+I15-E$30)*10000</f>
        <v>137.354298757292</v>
      </c>
      <c r="L15" s="23"/>
      <c r="M15" s="69" t="n">
        <f aca="false">(I15*AA15)+((I15*(1-AA15))*(1-0.3))</f>
        <v>0.0613898047172204</v>
      </c>
      <c r="N15" s="23"/>
      <c r="O15" s="33" t="n">
        <f aca="false">+G15/Z15</f>
        <v>2.81609195402299</v>
      </c>
      <c r="P15" s="141"/>
      <c r="Q15" s="33" t="n">
        <f aca="false">(AF15+$E15-AG15)/AG15</f>
        <v>-0.0144963759060235</v>
      </c>
      <c r="R15" s="141"/>
      <c r="S15" s="33" t="n">
        <f aca="false">(AH15+$E15-AI15)/AI15</f>
        <v>0.0832417582417583</v>
      </c>
      <c r="T15" s="13"/>
      <c r="U15" s="147" t="n">
        <f aca="false">(AJ15+E15-AK15)/AK15</f>
        <v>0.499043280182232</v>
      </c>
      <c r="V15" s="109"/>
      <c r="W15" s="18"/>
      <c r="X15" s="41"/>
      <c r="Y15" s="110" t="n">
        <v>0.54</v>
      </c>
      <c r="Z15" s="111" t="n">
        <v>0.87</v>
      </c>
      <c r="AA15" s="112" t="n">
        <v>0.96</v>
      </c>
      <c r="AB15" s="113"/>
      <c r="AC15" s="11"/>
      <c r="AD15" s="114" t="n">
        <v>37193</v>
      </c>
      <c r="AE15" s="115" t="n">
        <v>0.6125</v>
      </c>
      <c r="AF15" s="116"/>
      <c r="AG15" s="117" t="n">
        <v>40.01</v>
      </c>
      <c r="AH15" s="118"/>
      <c r="AI15" s="119" t="n">
        <v>36.4</v>
      </c>
      <c r="AJ15" s="120" t="n">
        <f aca="false">0.55+(0.575*2)</f>
        <v>1.7</v>
      </c>
      <c r="AK15" s="121" t="n">
        <v>27.4375</v>
      </c>
      <c r="AL15" s="122" t="n">
        <f aca="false">0.525+0.5375*2+0.55</f>
        <v>2.15</v>
      </c>
      <c r="AM15" s="121" t="n">
        <v>19</v>
      </c>
      <c r="AN15" s="120" t="n">
        <f aca="false">0.525*4</f>
        <v>2.1</v>
      </c>
      <c r="AO15" s="121" t="n">
        <v>20.125</v>
      </c>
      <c r="AP15" s="151" t="n">
        <f aca="false">0.5+0.525+0.525+0.525</f>
        <v>2.075</v>
      </c>
      <c r="AQ15" s="149" t="n">
        <v>30.625</v>
      </c>
      <c r="AR15" s="91"/>
      <c r="AS15" s="92"/>
      <c r="AT15" s="14"/>
      <c r="AU15" s="92"/>
      <c r="AV15" s="92"/>
      <c r="AW15" s="14"/>
      <c r="AX15" s="125"/>
      <c r="AY15" s="12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50.7</v>
      </c>
      <c r="F16" s="139"/>
      <c r="G16" s="117" t="n">
        <f aca="false">DDE("REUTER","IDN","EPD,DIVIDEND,1")</f>
        <v>2.5</v>
      </c>
      <c r="H16" s="13"/>
      <c r="I16" s="69" t="n">
        <f aca="false">+G16/E16</f>
        <v>0.0493096646942801</v>
      </c>
      <c r="J16" s="69"/>
      <c r="K16" s="146" t="n">
        <f aca="false">(+I16-E$30)*10000</f>
        <v>9.09664694280076</v>
      </c>
      <c r="L16" s="23"/>
      <c r="M16" s="69" t="n">
        <f aca="false">(I16*AA16)+((I16*(1-AA16))*(1-0.3))</f>
        <v>0.0345167652859961</v>
      </c>
      <c r="N16" s="23"/>
      <c r="O16" s="33" t="n">
        <f aca="false">+G16/Z16</f>
        <v>0.980392156862745</v>
      </c>
      <c r="P16" s="141"/>
      <c r="Q16" s="33" t="n">
        <f aca="false">(AF16+$E16-AG16)/AG16</f>
        <v>0.015015015015015</v>
      </c>
      <c r="R16" s="141"/>
      <c r="S16" s="33" t="n">
        <f aca="false">(AH16+$E16-AI16)/AI16</f>
        <v>0.0950323974082075</v>
      </c>
      <c r="T16" s="13"/>
      <c r="U16" s="147" t="n">
        <f aca="false">(AJ16+E16-AK16)/AK16</f>
        <v>0.666401590457257</v>
      </c>
      <c r="V16" s="109"/>
      <c r="W16" s="18"/>
      <c r="X16" s="41"/>
      <c r="Y16" s="110" t="n">
        <v>2.28</v>
      </c>
      <c r="Z16" s="111" t="n">
        <v>2.55</v>
      </c>
      <c r="AA16" s="112"/>
      <c r="AB16" s="113"/>
      <c r="AC16" s="11"/>
      <c r="AD16" s="114" t="n">
        <v>37193</v>
      </c>
      <c r="AE16" s="115" t="n">
        <v>0.625</v>
      </c>
      <c r="AF16" s="116"/>
      <c r="AG16" s="117" t="n">
        <v>49.95</v>
      </c>
      <c r="AH16" s="118"/>
      <c r="AI16" s="119" t="n">
        <v>46.3</v>
      </c>
      <c r="AJ16" s="120" t="n">
        <f aca="false">(0.55*2)+0.5875</f>
        <v>1.6875</v>
      </c>
      <c r="AK16" s="121" t="n">
        <v>31.4375</v>
      </c>
      <c r="AL16" s="122" t="n">
        <f aca="false">0.525+0.525+0.5+0.5</f>
        <v>2.05</v>
      </c>
      <c r="AM16" s="121" t="n">
        <v>18.4375</v>
      </c>
      <c r="AN16" s="120" t="n">
        <f aca="false">0.45+0.45+0.45+0.45</f>
        <v>1.8</v>
      </c>
      <c r="AO16" s="121" t="n">
        <v>14.875</v>
      </c>
      <c r="AP16" s="123" t="n">
        <v>0.32</v>
      </c>
      <c r="AQ16" s="152" t="s">
        <v>52</v>
      </c>
      <c r="AR16" s="91"/>
      <c r="AS16" s="92"/>
      <c r="AT16" s="14"/>
      <c r="AU16" s="92"/>
      <c r="AV16" s="92"/>
      <c r="AW16" s="14"/>
      <c r="AX16" s="125"/>
      <c r="AY16" s="12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DDE("REUTER","IDN","FGP,LAST,1")</f>
        <v>19.81</v>
      </c>
      <c r="F17" s="139"/>
      <c r="G17" s="117" t="n">
        <f aca="false">DDE("REUTER","IDN","FGP,DIVIDEND,1")</f>
        <v>2</v>
      </c>
      <c r="H17" s="13"/>
      <c r="I17" s="69" t="n">
        <f aca="false">+G17/E17</f>
        <v>0.100959111559818</v>
      </c>
      <c r="J17" s="69"/>
      <c r="K17" s="146" t="n">
        <f aca="false">(+I17-E$30)*10000</f>
        <v>525.591115598183</v>
      </c>
      <c r="L17" s="23"/>
      <c r="M17" s="69" t="n">
        <f aca="false">(I17*AA17)+((I17*(1-AA17))*(1-0.3))</f>
        <v>0.100353356890459</v>
      </c>
      <c r="N17" s="23"/>
      <c r="O17" s="33" t="n">
        <f aca="false">+G17/Z17</f>
        <v>2.1505376344086</v>
      </c>
      <c r="P17" s="153"/>
      <c r="Q17" s="33" t="n">
        <f aca="false">(AF17+$E17-AG17)/AG17</f>
        <v>0.00303797468354424</v>
      </c>
      <c r="R17" s="153"/>
      <c r="S17" s="33" t="n">
        <f aca="false">(AH17+$E17-AI17)/AI17</f>
        <v>0.0339248434237995</v>
      </c>
      <c r="T17" s="13"/>
      <c r="U17" s="147" t="n">
        <f aca="false">(AJ17+E17-AK17)/AK17</f>
        <v>0.615924170616114</v>
      </c>
      <c r="V17" s="109"/>
      <c r="W17" s="18"/>
      <c r="X17" s="41"/>
      <c r="Y17" s="110" t="n">
        <v>1.58</v>
      </c>
      <c r="Z17" s="111" t="n">
        <v>0.93</v>
      </c>
      <c r="AA17" s="112" t="n">
        <v>0.98</v>
      </c>
      <c r="AB17" s="113"/>
      <c r="AC17" s="11"/>
      <c r="AD17" s="114" t="n">
        <v>37132</v>
      </c>
      <c r="AE17" s="115" t="n">
        <v>0.5</v>
      </c>
      <c r="AF17" s="116"/>
      <c r="AG17" s="117" t="n">
        <v>19.75</v>
      </c>
      <c r="AH17" s="118"/>
      <c r="AI17" s="119" t="n">
        <v>19.16</v>
      </c>
      <c r="AJ17" s="120" t="n">
        <f aca="false">0.5*3</f>
        <v>1.5</v>
      </c>
      <c r="AK17" s="121" t="n">
        <v>13.1875</v>
      </c>
      <c r="AL17" s="122" t="n">
        <f aca="false">0.5+0.5+0.5+0.5</f>
        <v>2</v>
      </c>
      <c r="AM17" s="121" t="n">
        <v>12.625</v>
      </c>
      <c r="AN17" s="120" t="n">
        <f aca="false">0.5*4</f>
        <v>2</v>
      </c>
      <c r="AO17" s="121" t="n">
        <v>17.25</v>
      </c>
      <c r="AP17" s="123" t="n">
        <f aca="false">0.5+0.5+0.5+0.5</f>
        <v>2</v>
      </c>
      <c r="AQ17" s="149" t="n">
        <v>22.375</v>
      </c>
      <c r="AR17" s="91"/>
      <c r="AS17" s="92"/>
      <c r="AT17" s="14"/>
      <c r="AU17" s="92"/>
      <c r="AV17" s="92"/>
      <c r="AW17" s="14"/>
      <c r="AX17" s="125"/>
      <c r="AY17" s="12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DDE("REUTER","IDN","GEL,LAST,1")</f>
        <v>6.63</v>
      </c>
      <c r="F18" s="139"/>
      <c r="G18" s="117" t="n">
        <f aca="false">DDE("REUTER","IDN","GEL,DIVIDEND,1")</f>
        <v>0.8</v>
      </c>
      <c r="H18" s="13" t="s">
        <v>57</v>
      </c>
      <c r="I18" s="69" t="n">
        <f aca="false">+G18/E18</f>
        <v>0.120663650075415</v>
      </c>
      <c r="J18" s="69"/>
      <c r="K18" s="146" t="n">
        <f aca="false">(+I18-E$30)*10000</f>
        <v>722.636500754148</v>
      </c>
      <c r="L18" s="23"/>
      <c r="M18" s="69" t="n">
        <f aca="false">(I18*AA18)+((I18*(1-AA18))*(1-0.3))</f>
        <v>0.120663650075415</v>
      </c>
      <c r="N18" s="23"/>
      <c r="O18" s="33" t="n">
        <f aca="false">+G18/Z18</f>
        <v>5.33333333333333</v>
      </c>
      <c r="P18" s="141"/>
      <c r="Q18" s="33" t="n">
        <f aca="false">(AF18+$E18-AG18)/AG18</f>
        <v>0.0440944881889764</v>
      </c>
      <c r="R18" s="141"/>
      <c r="S18" s="33" t="n">
        <f aca="false">(AH18+$E18-AI18)/AI18</f>
        <v>0.139175257731959</v>
      </c>
      <c r="T18" s="13"/>
      <c r="U18" s="147" t="n">
        <f aca="false">(AJ18+E18-AK18)/AK18</f>
        <v>0.99448275862069</v>
      </c>
      <c r="V18" s="109"/>
      <c r="W18" s="18"/>
      <c r="X18" s="41"/>
      <c r="Y18" s="110" t="n">
        <v>0.1</v>
      </c>
      <c r="Z18" s="111" t="n">
        <v>0.15</v>
      </c>
      <c r="AA18" s="112" t="n">
        <v>1</v>
      </c>
      <c r="AB18" s="113"/>
      <c r="AC18" s="11"/>
      <c r="AD18" s="114" t="n">
        <v>37193</v>
      </c>
      <c r="AE18" s="115" t="n">
        <v>0.2</v>
      </c>
      <c r="AF18" s="116"/>
      <c r="AG18" s="117" t="n">
        <v>6.35</v>
      </c>
      <c r="AH18" s="118"/>
      <c r="AI18" s="119" t="n">
        <v>5.82</v>
      </c>
      <c r="AJ18" s="120" t="n">
        <f aca="false">0.2*3</f>
        <v>0.6</v>
      </c>
      <c r="AK18" s="121" t="n">
        <v>3.625</v>
      </c>
      <c r="AL18" s="122" t="n">
        <f aca="false">0.5*4+0.28</f>
        <v>2.28</v>
      </c>
      <c r="AM18" s="121" t="n">
        <v>8.0625</v>
      </c>
      <c r="AN18" s="120" t="n">
        <f aca="false">0.5*4</f>
        <v>2</v>
      </c>
      <c r="AO18" s="121" t="n">
        <v>14.4375</v>
      </c>
      <c r="AP18" s="123" t="n">
        <f aca="false">0.5+0.5+0.5+0.5</f>
        <v>2</v>
      </c>
      <c r="AQ18" s="149" t="n">
        <v>16.375</v>
      </c>
      <c r="AR18" s="91"/>
      <c r="AS18" s="92"/>
      <c r="AT18" s="14"/>
      <c r="AU18" s="92"/>
      <c r="AV18" s="92"/>
      <c r="AW18" s="14"/>
      <c r="AX18" s="125"/>
      <c r="AY18" s="12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6" t="s">
        <v>59</v>
      </c>
      <c r="D19" s="11"/>
      <c r="E19" s="117" t="n">
        <f aca="false">DDE("REUTER","IDN","KPP,LAST,1")</f>
        <v>43.2</v>
      </c>
      <c r="F19" s="139"/>
      <c r="G19" s="117" t="n">
        <f aca="false">DDE("REUTER","IDN","KPP,DIVIDEND,1")</f>
        <v>3</v>
      </c>
      <c r="H19" s="13"/>
      <c r="I19" s="69" t="n">
        <f aca="false">+G19/E19</f>
        <v>0.0694444444444444</v>
      </c>
      <c r="J19" s="69"/>
      <c r="K19" s="146" t="n">
        <f aca="false">(+I19-E$30)*10000</f>
        <v>210.444444444444</v>
      </c>
      <c r="L19" s="23"/>
      <c r="M19" s="69" t="n">
        <f aca="false">(I19*AA19)+((I19*(1-AA19))*(1-0.3))</f>
        <v>0.0652777777777778</v>
      </c>
      <c r="N19" s="23"/>
      <c r="O19" s="33" t="n">
        <f aca="false">+G19/Z19</f>
        <v>0.977198697068404</v>
      </c>
      <c r="P19" s="141"/>
      <c r="Q19" s="33" t="n">
        <f aca="false">(AF19+$E19-AG19)/AG19</f>
        <v>0.0195893320745812</v>
      </c>
      <c r="R19" s="141"/>
      <c r="S19" s="33" t="n">
        <f aca="false">(AH19+$E19-AI19)/AI19</f>
        <v>0.0928408803440426</v>
      </c>
      <c r="T19" s="13"/>
      <c r="U19" s="147" t="n">
        <f aca="false">(AJ19+E19-AK19)/AK19</f>
        <v>0.447464503042596</v>
      </c>
      <c r="V19" s="109"/>
      <c r="W19" s="18"/>
      <c r="X19" s="41"/>
      <c r="Y19" s="110" t="n">
        <v>2.98</v>
      </c>
      <c r="Z19" s="111" t="n">
        <v>3.07</v>
      </c>
      <c r="AA19" s="112" t="n">
        <v>0.8</v>
      </c>
      <c r="AB19" s="113"/>
      <c r="AC19" s="11"/>
      <c r="AD19" s="114" t="n">
        <v>37193</v>
      </c>
      <c r="AE19" s="115" t="n">
        <v>0.75</v>
      </c>
      <c r="AF19" s="116"/>
      <c r="AG19" s="117" t="n">
        <v>42.37</v>
      </c>
      <c r="AH19" s="118"/>
      <c r="AI19" s="119" t="n">
        <v>39.53</v>
      </c>
      <c r="AJ19" s="120" t="n">
        <f aca="false">0.7*2</f>
        <v>1.4</v>
      </c>
      <c r="AK19" s="121" t="n">
        <v>30.8125</v>
      </c>
      <c r="AL19" s="122" t="n">
        <f aca="false">0.7*4</f>
        <v>2.8</v>
      </c>
      <c r="AM19" s="121" t="n">
        <v>24.6875</v>
      </c>
      <c r="AN19" s="154" t="n">
        <f aca="false">0.65*2+0.7*2</f>
        <v>2.7</v>
      </c>
      <c r="AO19" s="121" t="n">
        <v>33</v>
      </c>
      <c r="AP19" s="123" t="n">
        <f aca="false">0.65+0.65+0.65+0.65</f>
        <v>2.6</v>
      </c>
      <c r="AQ19" s="149" t="n">
        <v>35.75</v>
      </c>
      <c r="AR19" s="91"/>
      <c r="AS19" s="20"/>
      <c r="AT19" s="20"/>
      <c r="AU19" s="20"/>
      <c r="AV19" s="20"/>
      <c r="AW19" s="14"/>
      <c r="AX19" s="125"/>
      <c r="AY19" s="12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DDE("REUTER","IDN","KMP,LAST,1")</f>
        <v>37.3</v>
      </c>
      <c r="F20" s="139"/>
      <c r="G20" s="117" t="n">
        <f aca="false">DDE("REUTER","IDN","KMP,DIVIDEND,1")</f>
        <v>2.2</v>
      </c>
      <c r="H20" s="155"/>
      <c r="I20" s="69" t="n">
        <f aca="false">+G20/E20</f>
        <v>0.0589812332439678</v>
      </c>
      <c r="J20" s="69"/>
      <c r="K20" s="146" t="n">
        <f aca="false">(+I20-E$30)*10000</f>
        <v>105.812332439678</v>
      </c>
      <c r="L20" s="23"/>
      <c r="M20" s="69" t="n">
        <f aca="false">(I20*AA20)+((I20*(1-AA20))*(1-0.3))</f>
        <v>0.0572117962466488</v>
      </c>
      <c r="N20" s="23"/>
      <c r="O20" s="33" t="n">
        <f aca="false">+G20/Z20</f>
        <v>1.29411764705882</v>
      </c>
      <c r="P20" s="141"/>
      <c r="Q20" s="33" t="n">
        <f aca="false">(AF20+$E20-AG20)/AG20</f>
        <v>0.0264171711612546</v>
      </c>
      <c r="R20" s="141"/>
      <c r="S20" s="33" t="n">
        <f aca="false">(AH20+$E20-AI20)/AI20</f>
        <v>0.0777232013868823</v>
      </c>
      <c r="T20" s="13"/>
      <c r="U20" s="147" t="n">
        <f aca="false">(AJ20+E20-AK20)/AK20</f>
        <v>-0.2834628190899</v>
      </c>
      <c r="V20" s="109"/>
      <c r="W20" s="18"/>
      <c r="X20" s="41"/>
      <c r="Y20" s="110" t="n">
        <v>1.55</v>
      </c>
      <c r="Z20" s="111" t="n">
        <v>1.7</v>
      </c>
      <c r="AA20" s="112" t="n">
        <v>0.9</v>
      </c>
      <c r="AB20" s="148"/>
      <c r="AC20" s="11"/>
      <c r="AD20" s="114" t="n">
        <v>37193</v>
      </c>
      <c r="AE20" s="115" t="n">
        <v>0.55</v>
      </c>
      <c r="AF20" s="120"/>
      <c r="AG20" s="117" t="n">
        <v>36.34</v>
      </c>
      <c r="AH20" s="118"/>
      <c r="AI20" s="119" t="n">
        <v>34.61</v>
      </c>
      <c r="AJ20" s="120" t="n">
        <f aca="false">0.95+(1.05*2)</f>
        <v>3.05</v>
      </c>
      <c r="AK20" s="121" t="n">
        <v>56.3125</v>
      </c>
      <c r="AL20" s="122" t="n">
        <f aca="false">0.725+0.775+0.85*2</f>
        <v>3.2</v>
      </c>
      <c r="AM20" s="121" t="n">
        <v>41.4375</v>
      </c>
      <c r="AN20" s="154" t="n">
        <f aca="false">0.65+0.7*2+0.725</f>
        <v>2.775</v>
      </c>
      <c r="AO20" s="121" t="n">
        <v>36.25</v>
      </c>
      <c r="AP20" s="151" t="n">
        <f aca="false">0.5625+0.5625+0.63+0.63</f>
        <v>2.385</v>
      </c>
      <c r="AQ20" s="149" t="n">
        <v>33.875</v>
      </c>
      <c r="AR20" s="91"/>
      <c r="AS20" s="20"/>
      <c r="AT20" s="14"/>
      <c r="AU20" s="14"/>
      <c r="AV20" s="14"/>
      <c r="AW20" s="14"/>
      <c r="AX20" s="14"/>
      <c r="AY20" s="12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DDE("REUTER","IDN","EEP,LAST,1")</f>
        <v>47.4</v>
      </c>
      <c r="F21" s="139"/>
      <c r="G21" s="117" t="n">
        <f aca="false">DDE("REUTER","IDN","EEP,DIVIDEND,1")</f>
        <v>3.5</v>
      </c>
      <c r="H21" s="13"/>
      <c r="I21" s="69" t="n">
        <f aca="false">+G21/E21</f>
        <v>0.0738396624472574</v>
      </c>
      <c r="J21" s="69"/>
      <c r="K21" s="146" t="n">
        <f aca="false">(+I21-E$30)*10000</f>
        <v>254.396624472574</v>
      </c>
      <c r="L21" s="23"/>
      <c r="M21" s="69" t="n">
        <f aca="false">(I21*AA21)+((I21*(1-AA21))*(1-0.3))</f>
        <v>0.0727320675105485</v>
      </c>
      <c r="N21" s="23"/>
      <c r="O21" s="33" t="n">
        <f aca="false">+G21/Z21</f>
        <v>1.60550458715596</v>
      </c>
      <c r="P21" s="141"/>
      <c r="Q21" s="33" t="n">
        <f aca="false">(AF21+$E21-AG21)/AG21</f>
        <v>-0.0168014934660859</v>
      </c>
      <c r="R21" s="141"/>
      <c r="S21" s="33" t="n">
        <f aca="false">(AH21+$E21-AI21)/AI21</f>
        <v>0.0401579986833443</v>
      </c>
      <c r="T21" s="13"/>
      <c r="U21" s="147" t="n">
        <f aca="false">(AJ21+E21-AK21)/AK21</f>
        <v>0.212727272727273</v>
      </c>
      <c r="V21" s="109"/>
      <c r="W21" s="18"/>
      <c r="X21" s="41"/>
      <c r="Y21" s="110" t="n">
        <v>1.92</v>
      </c>
      <c r="Z21" s="111" t="n">
        <v>2.18</v>
      </c>
      <c r="AA21" s="112" t="n">
        <v>0.95</v>
      </c>
      <c r="AB21" s="113"/>
      <c r="AC21" s="11"/>
      <c r="AD21" s="114" t="n">
        <v>37099</v>
      </c>
      <c r="AE21" s="115" t="n">
        <v>0.875</v>
      </c>
      <c r="AF21" s="116"/>
      <c r="AG21" s="117" t="n">
        <v>48.21</v>
      </c>
      <c r="AH21" s="118"/>
      <c r="AI21" s="119" t="n">
        <v>45.57</v>
      </c>
      <c r="AJ21" s="120" t="n">
        <f aca="false">0.875*3</f>
        <v>2.625</v>
      </c>
      <c r="AK21" s="121" t="n">
        <v>41.25</v>
      </c>
      <c r="AL21" s="122" t="n">
        <f aca="false">0.875*4</f>
        <v>3.5</v>
      </c>
      <c r="AM21" s="121" t="n">
        <v>34.8125</v>
      </c>
      <c r="AN21" s="120" t="n">
        <f aca="false">0.875*4</f>
        <v>3.5</v>
      </c>
      <c r="AO21" s="121" t="n">
        <v>48.5</v>
      </c>
      <c r="AP21" s="123" t="n">
        <f aca="false">0.78+0.86+0.86+0.86</f>
        <v>3.36</v>
      </c>
      <c r="AQ21" s="149" t="n">
        <v>43.6875</v>
      </c>
      <c r="AR21" s="91"/>
      <c r="AS21" s="92"/>
      <c r="AT21" s="92"/>
      <c r="AU21" s="92"/>
      <c r="AV21" s="92"/>
      <c r="AW21" s="14"/>
      <c r="AX21" s="125"/>
      <c r="AY21" s="12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27.2</v>
      </c>
      <c r="F22" s="139"/>
      <c r="G22" s="117" t="n">
        <f aca="false">DDE("REUTER","IDN","PAA,DIVIDEND,1")</f>
        <v>2.05</v>
      </c>
      <c r="H22" s="155"/>
      <c r="I22" s="69" t="n">
        <f aca="false">+G22/E22</f>
        <v>0.0753676470588235</v>
      </c>
      <c r="J22" s="69"/>
      <c r="K22" s="146" t="n">
        <f aca="false">(+I22-E$30)*10000</f>
        <v>269.676470588235</v>
      </c>
      <c r="L22" s="23"/>
      <c r="M22" s="69" t="n">
        <f aca="false">(I22*AA22)+((I22*(1-AA22))*(1-0.3))</f>
        <v>0.0685845588235294</v>
      </c>
      <c r="N22" s="23"/>
      <c r="O22" s="33" t="n">
        <f aca="false">+G22/Z22</f>
        <v>1.1849710982659</v>
      </c>
      <c r="P22" s="141"/>
      <c r="Q22" s="33" t="n">
        <f aca="false">(AF22+$E22-AG22)/AG22</f>
        <v>-0.00729927007299268</v>
      </c>
      <c r="R22" s="141"/>
      <c r="S22" s="33" t="n">
        <f aca="false">(AH22+$E22-AI22)/AI22</f>
        <v>0.0624999999999999</v>
      </c>
      <c r="T22" s="13"/>
      <c r="U22" s="147" t="n">
        <f aca="false">(AJ22+E22-AK22)/AK22</f>
        <v>0.497385620915033</v>
      </c>
      <c r="V22" s="109"/>
      <c r="W22" s="18"/>
      <c r="X22" s="41"/>
      <c r="Y22" s="110" t="n">
        <v>1.51</v>
      </c>
      <c r="Z22" s="111" t="n">
        <v>1.73</v>
      </c>
      <c r="AA22" s="112" t="n">
        <v>0.7</v>
      </c>
      <c r="AB22" s="113"/>
      <c r="AC22" s="11"/>
      <c r="AD22" s="114" t="n">
        <v>37195</v>
      </c>
      <c r="AE22" s="115" t="n">
        <v>0.5125</v>
      </c>
      <c r="AF22" s="116"/>
      <c r="AG22" s="117" t="n">
        <v>27.4</v>
      </c>
      <c r="AH22" s="118"/>
      <c r="AI22" s="119" t="n">
        <v>25.6</v>
      </c>
      <c r="AJ22" s="120" t="n">
        <f aca="false">0.4625+0.475+0.5</f>
        <v>1.4375</v>
      </c>
      <c r="AK22" s="121" t="n">
        <v>19.125</v>
      </c>
      <c r="AL22" s="122" t="n">
        <f aca="false">0.45*2+0.4625*2</f>
        <v>1.825</v>
      </c>
      <c r="AM22" s="121" t="n">
        <v>13</v>
      </c>
      <c r="AN22" s="154" t="n">
        <f aca="false">0.193+0.45+0.463+0.48125</f>
        <v>1.58725</v>
      </c>
      <c r="AO22" s="121" t="n">
        <v>17.3125</v>
      </c>
      <c r="AP22" s="151" t="s">
        <v>66</v>
      </c>
      <c r="AQ22" s="152" t="s">
        <v>66</v>
      </c>
      <c r="AR22" s="91"/>
      <c r="AS22" s="156"/>
      <c r="AT22" s="92"/>
      <c r="AU22" s="92"/>
      <c r="AV22" s="92"/>
      <c r="AW22" s="14"/>
      <c r="AX22" s="125"/>
      <c r="AY22" s="12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26.85</v>
      </c>
      <c r="F23" s="139"/>
      <c r="G23" s="117" t="n">
        <f aca="false">DDE("REUTER","IDN","TCLPZ.O,DIVIDEND,1")</f>
        <v>2</v>
      </c>
      <c r="H23" s="13"/>
      <c r="I23" s="69" t="n">
        <f aca="false">+G23/E23</f>
        <v>0.074487895716946</v>
      </c>
      <c r="J23" s="69"/>
      <c r="K23" s="146" t="n">
        <f aca="false">(+I23-E$30)*10000</f>
        <v>260.87895716946</v>
      </c>
      <c r="L23" s="23"/>
      <c r="M23" s="69" t="n">
        <f aca="false">(I23*AA23)+((I23*(1-AA23))*(1-0.3))</f>
        <v>0.0733705772811918</v>
      </c>
      <c r="N23" s="23"/>
      <c r="O23" s="33" t="n">
        <f aca="false">+G23/Z23</f>
        <v>0.869565217391304</v>
      </c>
      <c r="P23" s="141"/>
      <c r="Q23" s="33" t="n">
        <f aca="false">(AF23+$E23-AG23)/AG23</f>
        <v>0.0189753320683112</v>
      </c>
      <c r="R23" s="141"/>
      <c r="S23" s="33" t="n">
        <f aca="false">(AH23+$E23-AI23)/AI23</f>
        <v>0.0248091603053436</v>
      </c>
      <c r="T23" s="13"/>
      <c r="U23" s="147" t="n">
        <f aca="false">(AJ23+E23-AK23)/AK23</f>
        <v>0.47012987012987</v>
      </c>
      <c r="V23" s="109"/>
      <c r="W23" s="18"/>
      <c r="X23" s="41"/>
      <c r="Y23" s="110" t="n">
        <v>2.23</v>
      </c>
      <c r="Z23" s="111" t="n">
        <v>2.3</v>
      </c>
      <c r="AA23" s="112" t="n">
        <v>0.95</v>
      </c>
      <c r="AB23" s="113"/>
      <c r="AC23" s="11"/>
      <c r="AD23" s="114" t="n">
        <v>37099</v>
      </c>
      <c r="AE23" s="115" t="n">
        <v>0.5</v>
      </c>
      <c r="AF23" s="116"/>
      <c r="AG23" s="157" t="n">
        <v>26.35</v>
      </c>
      <c r="AH23" s="118"/>
      <c r="AI23" s="158" t="n">
        <v>26.2</v>
      </c>
      <c r="AJ23" s="120" t="n">
        <f aca="false">(0.475*2)+0.5</f>
        <v>1.45</v>
      </c>
      <c r="AK23" s="121" t="n">
        <v>19.25</v>
      </c>
      <c r="AL23" s="122" t="n">
        <f aca="false">0.45*4</f>
        <v>1.8</v>
      </c>
      <c r="AM23" s="121" t="n">
        <v>14.25</v>
      </c>
      <c r="AN23" s="154" t="n">
        <f aca="false">0.168+0.45</f>
        <v>0.618</v>
      </c>
      <c r="AO23" s="121" t="s">
        <v>66</v>
      </c>
      <c r="AP23" s="152" t="s">
        <v>66</v>
      </c>
      <c r="AQ23" s="152"/>
      <c r="AR23" s="91"/>
      <c r="AS23" s="156"/>
      <c r="AT23" s="92"/>
      <c r="AU23" s="92"/>
      <c r="AV23" s="92"/>
      <c r="AW23" s="14"/>
      <c r="AX23" s="125"/>
      <c r="AY23" s="12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33.25</v>
      </c>
      <c r="F24" s="139"/>
      <c r="G24" s="117" t="n">
        <f aca="false">DDE("REUTER","IDN","TPP,DIVIDEND,1")</f>
        <v>2.3</v>
      </c>
      <c r="H24" s="13"/>
      <c r="I24" s="69" t="n">
        <f aca="false">+G24/E24</f>
        <v>0.0691729323308271</v>
      </c>
      <c r="J24" s="69"/>
      <c r="K24" s="146" t="n">
        <f aca="false">(+I24-E$30)*10000</f>
        <v>207.729323308271</v>
      </c>
      <c r="L24" s="23"/>
      <c r="M24" s="69" t="n">
        <f aca="false">(I24*AA24)+((I24*(1-AA24))*(1-0.3))</f>
        <v>0.0629473684210526</v>
      </c>
      <c r="N24" s="23"/>
      <c r="O24" s="33" t="n">
        <f aca="false">+G24/Z24</f>
        <v>1.13861386138614</v>
      </c>
      <c r="P24" s="141"/>
      <c r="Q24" s="33" t="n">
        <f aca="false">(AF24+$E24-AG24)/AG24</f>
        <v>-0.00150150150150142</v>
      </c>
      <c r="R24" s="141"/>
      <c r="S24" s="33" t="n">
        <f aca="false">(AH24+$E24-AI24)/AI24</f>
        <v>0.0390625</v>
      </c>
      <c r="T24" s="13"/>
      <c r="U24" s="147" t="n">
        <f aca="false">(AJ24+E24-AK24)/AK24</f>
        <v>0.417811704834606</v>
      </c>
      <c r="V24" s="109"/>
      <c r="W24" s="18"/>
      <c r="X24" s="41"/>
      <c r="Y24" s="110" t="n">
        <v>1.94</v>
      </c>
      <c r="Z24" s="111" t="n">
        <v>2.02</v>
      </c>
      <c r="AA24" s="112" t="n">
        <v>0.7</v>
      </c>
      <c r="AB24" s="113"/>
      <c r="AC24" s="11"/>
      <c r="AD24" s="114" t="n">
        <v>37193</v>
      </c>
      <c r="AE24" s="115" t="n">
        <v>0.575</v>
      </c>
      <c r="AF24" s="116"/>
      <c r="AG24" s="117" t="n">
        <v>33.3</v>
      </c>
      <c r="AH24" s="118"/>
      <c r="AI24" s="119" t="n">
        <v>32</v>
      </c>
      <c r="AJ24" s="120" t="n">
        <f aca="false">0.525*3</f>
        <v>1.575</v>
      </c>
      <c r="AK24" s="121" t="n">
        <v>24.5625</v>
      </c>
      <c r="AL24" s="122" t="n">
        <f aca="false">0.475+0.5+0.5+0.525</f>
        <v>2</v>
      </c>
      <c r="AM24" s="121" t="n">
        <v>19.3125</v>
      </c>
      <c r="AN24" s="154" t="n">
        <f aca="false">0.45*2+0.475*2</f>
        <v>1.85</v>
      </c>
      <c r="AO24" s="121" t="n">
        <v>24.5625</v>
      </c>
      <c r="AP24" s="151" t="n">
        <f aca="false">(0.85+0.85+0.9)/2+0.45</f>
        <v>1.75</v>
      </c>
      <c r="AQ24" s="149" t="n">
        <f aca="false">52.6875/2</f>
        <v>26.34375</v>
      </c>
      <c r="AR24" s="91"/>
      <c r="AS24" s="20"/>
      <c r="AT24" s="20"/>
      <c r="AU24" s="20"/>
      <c r="AV24" s="20"/>
      <c r="AW24" s="20"/>
      <c r="AX24" s="125"/>
      <c r="AY24" s="12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59" t="s">
        <v>71</v>
      </c>
      <c r="B25" s="14"/>
      <c r="C25" s="55" t="s">
        <v>72</v>
      </c>
      <c r="D25" s="14"/>
      <c r="E25" s="117" t="n">
        <f aca="false">DDE("REUTER","IDN","UDL,LAST,1")</f>
        <v>38.36</v>
      </c>
      <c r="F25" s="160"/>
      <c r="G25" s="117" t="n">
        <f aca="false">DDE("REUTER","IDN","UDL,DIVIDEND,1")</f>
        <v>0.5</v>
      </c>
      <c r="H25" s="155"/>
      <c r="I25" s="69" t="n">
        <f aca="false">+G25/E25</f>
        <v>0.0130344108446298</v>
      </c>
      <c r="J25" s="69"/>
      <c r="K25" s="146" t="n">
        <f aca="false">(+I25-E$30)*10000</f>
        <v>-353.655891553702</v>
      </c>
      <c r="L25" s="23"/>
      <c r="M25" s="69" t="n">
        <f aca="false">(I25*AA25)+((I25*(1-AA25))*(1-0.3))</f>
        <v>0.00912408759124088</v>
      </c>
      <c r="N25" s="23"/>
      <c r="O25" s="33" t="n">
        <f aca="false">+G25/Z25</f>
        <v>0.194552529182879</v>
      </c>
      <c r="P25" s="141"/>
      <c r="Q25" s="33" t="n">
        <f aca="false">(AF25+$E25-AG25)/AG25</f>
        <v>0.0584988962472405</v>
      </c>
      <c r="R25" s="141"/>
      <c r="S25" s="33" t="n">
        <f aca="false">(AH25+$E25-AI25)/AI25</f>
        <v>0.176687116564417</v>
      </c>
      <c r="T25" s="13"/>
      <c r="U25" s="147" t="n">
        <f aca="false">(AJ25+E25-AK25)/AK25</f>
        <v>0.586167346938776</v>
      </c>
      <c r="V25" s="109"/>
      <c r="W25" s="18"/>
      <c r="X25" s="41"/>
      <c r="Y25" s="110" t="n">
        <v>2.15</v>
      </c>
      <c r="Z25" s="161" t="n">
        <v>2.57</v>
      </c>
      <c r="AA25" s="162" t="n">
        <v>0</v>
      </c>
      <c r="AB25" s="112"/>
      <c r="AC25" s="163"/>
      <c r="AD25" s="114" t="n">
        <v>37194</v>
      </c>
      <c r="AE25" s="116" t="n">
        <v>0.6</v>
      </c>
      <c r="AF25" s="118"/>
      <c r="AG25" s="117" t="n">
        <v>36.24</v>
      </c>
      <c r="AH25" s="118"/>
      <c r="AI25" s="119" t="n">
        <v>32.6</v>
      </c>
      <c r="AJ25" s="120" t="n">
        <v>0.5011</v>
      </c>
      <c r="AK25" s="164" t="n">
        <v>24.5</v>
      </c>
      <c r="AL25" s="165" t="s">
        <v>66</v>
      </c>
      <c r="AM25" s="164" t="s">
        <v>66</v>
      </c>
      <c r="AN25" s="165" t="s">
        <v>66</v>
      </c>
      <c r="AO25" s="164" t="s">
        <v>66</v>
      </c>
      <c r="AP25" s="165" t="s">
        <v>66</v>
      </c>
      <c r="AQ25" s="166" t="s">
        <v>66</v>
      </c>
      <c r="AR25" s="167"/>
      <c r="AS25" s="156"/>
      <c r="AT25" s="92"/>
      <c r="AU25" s="92"/>
      <c r="AV25" s="92"/>
      <c r="AW25" s="14"/>
      <c r="AX25" s="125"/>
      <c r="AY25" s="126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59" t="s">
        <v>73</v>
      </c>
      <c r="B26" s="14"/>
      <c r="C26" s="55" t="s">
        <v>74</v>
      </c>
      <c r="D26" s="14"/>
      <c r="E26" s="117" t="n">
        <f aca="false">DDE("REUTER","IDN","WEG,LAST,1")</f>
        <v>40.85</v>
      </c>
      <c r="F26" s="160"/>
      <c r="G26" s="117" t="n">
        <f aca="false">DDE("REUTER","IDN","WEG,DIVIDEND,1")</f>
        <v>2.25</v>
      </c>
      <c r="H26" s="155"/>
      <c r="I26" s="69" t="n">
        <f aca="false">+G26/E26</f>
        <v>0.0550795593635251</v>
      </c>
      <c r="J26" s="69"/>
      <c r="K26" s="146" t="n">
        <f aca="false">(+I26-E$30)*10000</f>
        <v>66.7955936352509</v>
      </c>
      <c r="L26" s="23"/>
      <c r="M26" s="69" t="n">
        <f aca="false">(I26*AA26)+((I26*(1-AA26))*(1-0.3))</f>
        <v>0.0385556915544676</v>
      </c>
      <c r="N26" s="23"/>
      <c r="O26" s="33" t="n">
        <f aca="false">+G26/Z26</f>
        <v>1.29310344827586</v>
      </c>
      <c r="P26" s="141"/>
      <c r="Q26" s="33" t="n">
        <f aca="false">(AF26+$E26-AG26)/AG26</f>
        <v>0.0149068322981367</v>
      </c>
      <c r="R26" s="141"/>
      <c r="S26" s="33" t="n">
        <f aca="false">(AH26+$E26-AI26)/AI26</f>
        <v>0.104054054054054</v>
      </c>
      <c r="T26" s="13"/>
      <c r="U26" s="147" t="n">
        <f aca="false">(AJ26+E26-AK26)/AK26</f>
        <v>0.939744186046512</v>
      </c>
      <c r="V26" s="109"/>
      <c r="W26" s="18"/>
      <c r="X26" s="41"/>
      <c r="Y26" s="110" t="n">
        <v>1.65</v>
      </c>
      <c r="Z26" s="161" t="n">
        <v>1.74</v>
      </c>
      <c r="AA26" s="162" t="n">
        <v>0</v>
      </c>
      <c r="AB26" s="112"/>
      <c r="AC26" s="163"/>
      <c r="AD26" s="114" t="n">
        <v>37103</v>
      </c>
      <c r="AE26" s="116" t="n">
        <v>0.5625</v>
      </c>
      <c r="AF26" s="118"/>
      <c r="AG26" s="117" t="n">
        <v>40.25</v>
      </c>
      <c r="AH26" s="118"/>
      <c r="AI26" s="119" t="n">
        <v>37</v>
      </c>
      <c r="AJ26" s="120" t="n">
        <f aca="false">0.292+0.5625</f>
        <v>0.8545</v>
      </c>
      <c r="AK26" s="164" t="n">
        <v>21.5</v>
      </c>
      <c r="AL26" s="165" t="s">
        <v>66</v>
      </c>
      <c r="AM26" s="164" t="s">
        <v>66</v>
      </c>
      <c r="AN26" s="165" t="s">
        <v>66</v>
      </c>
      <c r="AO26" s="164" t="s">
        <v>66</v>
      </c>
      <c r="AP26" s="165" t="s">
        <v>66</v>
      </c>
      <c r="AQ26" s="166" t="s">
        <v>66</v>
      </c>
      <c r="AR26" s="167"/>
      <c r="AS26" s="156"/>
      <c r="AT26" s="92"/>
      <c r="AU26" s="92"/>
      <c r="AV26" s="92"/>
      <c r="AW26" s="14"/>
      <c r="AX26" s="125"/>
      <c r="AY26" s="126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40"/>
      <c r="L27" s="23"/>
      <c r="M27" s="15"/>
      <c r="N27" s="23"/>
      <c r="O27" s="33"/>
      <c r="P27" s="141"/>
      <c r="Q27" s="33"/>
      <c r="R27" s="141"/>
      <c r="S27" s="33"/>
      <c r="T27" s="13"/>
      <c r="U27" s="12"/>
      <c r="V27" s="18"/>
      <c r="W27" s="18"/>
      <c r="X27" s="41"/>
      <c r="Y27" s="82"/>
      <c r="Z27" s="41"/>
      <c r="AA27" s="168"/>
      <c r="AB27" s="169"/>
      <c r="AC27" s="22"/>
      <c r="AD27" s="29"/>
      <c r="AE27" s="170"/>
      <c r="AF27" s="19"/>
      <c r="AG27" s="14"/>
      <c r="AH27" s="171"/>
      <c r="AI27" s="172"/>
      <c r="AJ27" s="29"/>
      <c r="AK27" s="90"/>
      <c r="AL27" s="63"/>
      <c r="AM27" s="90"/>
      <c r="AN27" s="63"/>
      <c r="AO27" s="90"/>
      <c r="AP27" s="173"/>
      <c r="AQ27" s="174"/>
      <c r="AR27" s="20"/>
      <c r="AS27" s="20"/>
      <c r="AT27" s="20"/>
      <c r="AU27" s="20"/>
      <c r="AV27" s="20"/>
      <c r="AW27" s="20"/>
      <c r="AX27" s="125"/>
      <c r="AY27" s="125"/>
      <c r="AZ27" s="12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5" t="s">
        <v>75</v>
      </c>
      <c r="B28" s="176"/>
      <c r="C28" s="177"/>
      <c r="D28" s="176"/>
      <c r="E28" s="178"/>
      <c r="F28" s="178"/>
      <c r="G28" s="179"/>
      <c r="H28" s="180"/>
      <c r="I28" s="181" t="n">
        <f aca="false">AVERAGEA(I13:I26)</f>
        <v>0.0703957398559654</v>
      </c>
      <c r="J28" s="181"/>
      <c r="K28" s="182" t="n">
        <f aca="false">(+I28-E$30)*10000</f>
        <v>219.957398559654</v>
      </c>
      <c r="L28" s="177"/>
      <c r="M28" s="181" t="n">
        <f aca="false">AVERAGEA(M13:M24)</f>
        <v>0.07220824481953</v>
      </c>
      <c r="N28" s="177"/>
      <c r="O28" s="183" t="n">
        <f aca="false">AVERAGEA(O13:O26)</f>
        <v>1.63157130204785</v>
      </c>
      <c r="P28" s="184"/>
      <c r="Q28" s="183" t="n">
        <f aca="false">AVERAGEA(Q13:Q26)</f>
        <v>0.00936339258519298</v>
      </c>
      <c r="R28" s="184"/>
      <c r="S28" s="183" t="n">
        <f aca="false">AVERAGEA(S13:S26)</f>
        <v>0.0733379466503512</v>
      </c>
      <c r="T28" s="180"/>
      <c r="U28" s="185" t="n">
        <f aca="false">AVERAGEA(U13:U26)</f>
        <v>0.491669168400108</v>
      </c>
      <c r="V28" s="18"/>
      <c r="W28" s="18"/>
      <c r="X28" s="41"/>
      <c r="Y28" s="186"/>
      <c r="Z28" s="187"/>
      <c r="AA28" s="188"/>
      <c r="AB28" s="189"/>
      <c r="AC28" s="190"/>
      <c r="AD28" s="191"/>
      <c r="AE28" s="192"/>
      <c r="AF28" s="193"/>
      <c r="AG28" s="194"/>
      <c r="AH28" s="195"/>
      <c r="AI28" s="196"/>
      <c r="AJ28" s="197"/>
      <c r="AK28" s="192"/>
      <c r="AL28" s="198"/>
      <c r="AM28" s="192"/>
      <c r="AN28" s="198"/>
      <c r="AO28" s="192"/>
      <c r="AP28" s="199"/>
      <c r="AQ28" s="200"/>
      <c r="AR28" s="20"/>
      <c r="AS28" s="20"/>
      <c r="AT28" s="20"/>
      <c r="AU28" s="20"/>
      <c r="AV28" s="20"/>
      <c r="AW28" s="20"/>
      <c r="AX28" s="14"/>
      <c r="AY28" s="14"/>
      <c r="AZ28" s="126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201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41"/>
      <c r="Q29" s="33"/>
      <c r="R29" s="141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201" t="n">
        <v>98.7615157520131</v>
      </c>
      <c r="AH29" s="23"/>
      <c r="AI29" s="201" t="n">
        <v>98.7615157520131</v>
      </c>
      <c r="AJ29" s="23"/>
      <c r="AK29" s="201" t="n">
        <f aca="false">PV(AK30/2,60,-$AK$30*100/2,-100,0)</f>
        <v>100</v>
      </c>
      <c r="AL29" s="23" t="n">
        <f aca="false">+AM30*100</f>
        <v>6.482</v>
      </c>
      <c r="AM29" s="201" t="n">
        <f aca="false">PV(AM30/2,60,-$AM$30*100/2,-100,0)</f>
        <v>100</v>
      </c>
      <c r="AN29" s="23" t="n">
        <f aca="false">+AO30*100</f>
        <v>5.1</v>
      </c>
      <c r="AO29" s="201" t="n">
        <v>100</v>
      </c>
      <c r="AP29" s="201"/>
      <c r="AQ29" s="201"/>
      <c r="AR29" s="202" t="s">
        <v>76</v>
      </c>
      <c r="AS29" s="203"/>
      <c r="AT29" s="204"/>
      <c r="AU29" s="14"/>
      <c r="AV29" s="20"/>
      <c r="AW29" s="14"/>
      <c r="AX29" s="14"/>
      <c r="AY29" s="14"/>
      <c r="AZ29" s="14"/>
      <c r="BA29" s="150"/>
      <c r="BB29" s="126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5" t="n">
        <v>0.0484</v>
      </c>
      <c r="F30" s="11"/>
      <c r="G30" s="206"/>
      <c r="H30" s="13"/>
      <c r="I30" s="22"/>
      <c r="J30" s="205"/>
      <c r="K30" s="140"/>
      <c r="L30" s="23"/>
      <c r="M30" s="69" t="n">
        <f aca="false">(E30*AA30)+((E30*(1-AA30))*(1-0.3))</f>
        <v>0.03388</v>
      </c>
      <c r="N30" s="23"/>
      <c r="O30" s="33"/>
      <c r="P30" s="141"/>
      <c r="Q30" s="33" t="n">
        <f aca="false">(AF29+$E29-AG29)/AG29</f>
        <v>0</v>
      </c>
      <c r="R30" s="141"/>
      <c r="S30" s="33" t="n">
        <f aca="false">(AH29+$E29-AI29)/AI29</f>
        <v>0</v>
      </c>
      <c r="T30" s="13"/>
      <c r="U30" s="147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7"/>
      <c r="AE30" s="207"/>
      <c r="AF30" s="207"/>
      <c r="AG30" s="205" t="n">
        <v>0.0484</v>
      </c>
      <c r="AH30" s="208"/>
      <c r="AI30" s="205" t="n">
        <v>0.048424</v>
      </c>
      <c r="AJ30" s="208"/>
      <c r="AK30" s="209" t="n">
        <v>0.054601</v>
      </c>
      <c r="AL30" s="210"/>
      <c r="AM30" s="211" t="n">
        <v>0.06482</v>
      </c>
      <c r="AN30" s="212"/>
      <c r="AO30" s="212" t="n">
        <v>0.051</v>
      </c>
      <c r="AP30" s="213" t="s">
        <v>78</v>
      </c>
      <c r="AQ30" s="213"/>
      <c r="AR30" s="214" t="s">
        <v>79</v>
      </c>
      <c r="AS30" s="207"/>
      <c r="AT30" s="215" t="n">
        <v>36525</v>
      </c>
      <c r="AU30" s="14"/>
      <c r="AV30" s="20"/>
      <c r="AW30" s="14"/>
      <c r="AX30" s="14"/>
      <c r="AY30" s="14"/>
      <c r="AZ30" s="14"/>
      <c r="BA30" s="14"/>
      <c r="BB30" s="12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6"/>
      <c r="C31" s="217"/>
      <c r="D31" s="216"/>
      <c r="E31" s="2" t="s">
        <v>26</v>
      </c>
      <c r="F31" s="218"/>
      <c r="G31" s="219"/>
      <c r="H31" s="219"/>
      <c r="I31" s="220"/>
      <c r="J31" s="220"/>
      <c r="K31" s="221"/>
      <c r="L31" s="219"/>
      <c r="M31" s="220"/>
      <c r="N31" s="219"/>
      <c r="O31" s="222"/>
      <c r="P31" s="222"/>
      <c r="Q31" s="223" t="s">
        <v>80</v>
      </c>
      <c r="S31" s="223" t="s">
        <v>80</v>
      </c>
      <c r="U31" s="223" t="s">
        <v>80</v>
      </c>
      <c r="V31" s="224"/>
      <c r="W31" s="225"/>
      <c r="X31" s="225"/>
      <c r="Y31" s="225"/>
      <c r="Z31" s="225"/>
      <c r="AA31" s="225"/>
      <c r="AB31" s="225"/>
      <c r="AC31" s="225"/>
      <c r="AD31" s="225"/>
      <c r="AE31" s="225"/>
      <c r="AF31" s="201"/>
      <c r="AG31" s="9" t="s">
        <v>26</v>
      </c>
      <c r="AI31" s="9" t="s">
        <v>26</v>
      </c>
      <c r="AM31" s="23"/>
      <c r="AN31" s="23"/>
      <c r="AO31" s="23"/>
      <c r="AU31" s="204"/>
      <c r="AV31" s="226"/>
      <c r="AW31" s="204"/>
      <c r="AX31" s="204"/>
      <c r="AY31" s="204"/>
      <c r="AZ31" s="204"/>
      <c r="BA31" s="204"/>
    </row>
    <row r="32" customFormat="false" ht="19.5" hidden="true" customHeight="true" outlineLevel="0" collapsed="false">
      <c r="A32" s="227" t="s">
        <v>81</v>
      </c>
      <c r="B32" s="216"/>
      <c r="C32" s="217"/>
      <c r="D32" s="216"/>
      <c r="E32" s="218"/>
      <c r="F32" s="218"/>
      <c r="G32" s="219"/>
      <c r="H32" s="219"/>
      <c r="I32" s="220"/>
      <c r="J32" s="220"/>
      <c r="K32" s="221"/>
      <c r="L32" s="219"/>
      <c r="M32" s="220"/>
      <c r="N32" s="219"/>
      <c r="O32" s="222"/>
      <c r="P32" s="222"/>
      <c r="Q32" s="222"/>
      <c r="R32" s="222"/>
      <c r="S32" s="222"/>
      <c r="T32" s="219"/>
      <c r="U32" s="218"/>
      <c r="V32" s="224"/>
      <c r="W32" s="225"/>
      <c r="X32" s="225"/>
      <c r="Y32" s="225"/>
      <c r="Z32" s="225"/>
      <c r="AA32" s="225"/>
      <c r="AB32" s="225"/>
      <c r="AC32" s="225"/>
      <c r="AD32" s="225"/>
      <c r="AE32" s="225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3"/>
      <c r="AS32" s="203"/>
      <c r="AT32" s="204"/>
      <c r="AU32" s="204"/>
      <c r="AV32" s="226"/>
      <c r="AW32" s="204"/>
      <c r="AX32" s="204"/>
      <c r="AY32" s="204"/>
      <c r="AZ32" s="204"/>
      <c r="BA32" s="204"/>
    </row>
    <row r="33" customFormat="false" ht="19.5" hidden="false" customHeight="true" outlineLevel="0" collapsed="false">
      <c r="A33" s="227"/>
      <c r="B33" s="216"/>
      <c r="C33" s="217"/>
      <c r="D33" s="216"/>
      <c r="E33" s="228"/>
      <c r="F33" s="218"/>
      <c r="G33" s="219"/>
      <c r="H33" s="219"/>
      <c r="I33" s="220"/>
      <c r="J33" s="220"/>
      <c r="K33" s="221"/>
      <c r="L33" s="219"/>
      <c r="M33" s="220"/>
      <c r="N33" s="219"/>
      <c r="O33" s="222"/>
      <c r="P33" s="222"/>
      <c r="Q33" s="222"/>
      <c r="R33" s="222"/>
      <c r="S33" s="222"/>
      <c r="T33" s="219"/>
      <c r="U33" s="218"/>
      <c r="V33" s="224"/>
      <c r="W33" s="225"/>
      <c r="X33" s="225"/>
      <c r="Y33" s="225"/>
      <c r="Z33" s="225"/>
      <c r="AA33" s="225"/>
      <c r="AB33" s="225"/>
      <c r="AC33" s="225"/>
      <c r="AD33" s="225"/>
      <c r="AE33" s="225"/>
      <c r="AF33" s="201"/>
      <c r="AJ33" s="229"/>
      <c r="AK33" s="229"/>
      <c r="AL33" s="201"/>
      <c r="AM33" s="201"/>
      <c r="AN33" s="201"/>
      <c r="AO33" s="201"/>
      <c r="AP33" s="201"/>
      <c r="AQ33" s="201"/>
      <c r="AR33" s="203"/>
      <c r="AS33" s="203"/>
      <c r="AT33" s="204"/>
      <c r="AU33" s="204"/>
      <c r="AV33" s="226"/>
      <c r="AW33" s="204"/>
      <c r="AX33" s="204"/>
      <c r="AY33" s="204"/>
      <c r="AZ33" s="204"/>
      <c r="BA33" s="204"/>
    </row>
    <row r="34" customFormat="false" ht="26.25" hidden="false" customHeight="false" outlineLevel="0" collapsed="false">
      <c r="A34" s="230" t="s">
        <v>82</v>
      </c>
      <c r="B34" s="231"/>
      <c r="C34" s="232"/>
      <c r="D34" s="231"/>
      <c r="E34" s="117"/>
      <c r="F34" s="233"/>
      <c r="G34" s="234"/>
      <c r="H34" s="234"/>
      <c r="I34" s="235"/>
      <c r="J34" s="235"/>
      <c r="K34" s="236"/>
      <c r="L34" s="234"/>
      <c r="M34" s="235"/>
      <c r="N34" s="234"/>
      <c r="O34" s="237"/>
      <c r="P34" s="237"/>
      <c r="Q34" s="237"/>
      <c r="R34" s="237"/>
      <c r="S34" s="237"/>
      <c r="T34" s="234"/>
      <c r="U34" s="233"/>
      <c r="V34" s="238"/>
      <c r="W34" s="239"/>
      <c r="X34" s="239"/>
      <c r="Y34" s="239"/>
      <c r="Z34" s="239"/>
      <c r="AA34" s="239"/>
      <c r="AB34" s="239"/>
      <c r="AC34" s="239"/>
      <c r="AD34" s="239"/>
      <c r="AE34" s="240"/>
      <c r="AF34" s="201"/>
      <c r="AG34" s="201"/>
      <c r="AH34" s="201"/>
      <c r="AI34" s="241"/>
      <c r="AJ34" s="241"/>
      <c r="AK34" s="241"/>
      <c r="AL34" s="201"/>
      <c r="AM34" s="201"/>
      <c r="AN34" s="201"/>
      <c r="AO34" s="201"/>
      <c r="AP34" s="201"/>
      <c r="AQ34" s="201"/>
      <c r="AR34" s="242"/>
      <c r="AS34" s="242"/>
      <c r="AT34" s="243"/>
      <c r="AU34" s="243"/>
      <c r="AV34" s="244"/>
      <c r="AW34" s="243"/>
      <c r="AX34" s="243"/>
      <c r="AY34" s="243"/>
      <c r="AZ34" s="243"/>
      <c r="BA34" s="243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1"/>
      <c r="CH34" s="241"/>
      <c r="CI34" s="241"/>
      <c r="CJ34" s="241"/>
      <c r="CK34" s="241"/>
      <c r="CL34" s="241"/>
      <c r="CM34" s="241"/>
      <c r="CN34" s="241"/>
      <c r="CO34" s="241"/>
      <c r="CP34" s="241"/>
      <c r="CQ34" s="241"/>
      <c r="CR34" s="241"/>
      <c r="CS34" s="241"/>
      <c r="CT34" s="241"/>
      <c r="CU34" s="241"/>
      <c r="CV34" s="241"/>
      <c r="CW34" s="241"/>
      <c r="CX34" s="241"/>
      <c r="CY34" s="241"/>
      <c r="CZ34" s="241"/>
      <c r="DA34" s="241"/>
      <c r="DB34" s="241"/>
      <c r="DC34" s="241"/>
      <c r="DD34" s="241"/>
      <c r="DE34" s="241"/>
      <c r="DF34" s="241"/>
      <c r="DG34" s="241"/>
      <c r="DH34" s="241"/>
      <c r="DI34" s="241"/>
      <c r="DJ34" s="241"/>
      <c r="DK34" s="241"/>
      <c r="DL34" s="241"/>
      <c r="DM34" s="241"/>
      <c r="DN34" s="241"/>
      <c r="DO34" s="241"/>
      <c r="DP34" s="241"/>
      <c r="DQ34" s="241"/>
      <c r="DR34" s="241"/>
      <c r="DS34" s="241"/>
      <c r="DT34" s="241"/>
      <c r="DU34" s="241"/>
      <c r="DV34" s="241"/>
      <c r="DW34" s="241"/>
      <c r="DX34" s="241"/>
      <c r="DY34" s="241"/>
      <c r="DZ34" s="241"/>
      <c r="EA34" s="241"/>
      <c r="EB34" s="241"/>
      <c r="EC34" s="241"/>
      <c r="ED34" s="241"/>
      <c r="EE34" s="241"/>
      <c r="EF34" s="241"/>
      <c r="EG34" s="241"/>
      <c r="EH34" s="241"/>
      <c r="EI34" s="241"/>
      <c r="EJ34" s="241"/>
      <c r="EK34" s="241"/>
      <c r="EL34" s="241"/>
      <c r="EM34" s="241"/>
      <c r="EN34" s="241"/>
      <c r="EO34" s="241"/>
      <c r="EP34" s="241"/>
      <c r="EQ34" s="241"/>
      <c r="ER34" s="241"/>
      <c r="ES34" s="241"/>
      <c r="ET34" s="241"/>
      <c r="EU34" s="241"/>
      <c r="EV34" s="241"/>
      <c r="EW34" s="241"/>
      <c r="EX34" s="241"/>
      <c r="EY34" s="241"/>
      <c r="EZ34" s="241"/>
      <c r="FA34" s="241"/>
      <c r="FB34" s="241"/>
      <c r="FC34" s="241"/>
      <c r="FD34" s="241"/>
      <c r="FE34" s="241"/>
      <c r="FF34" s="241"/>
      <c r="FG34" s="241"/>
      <c r="FH34" s="241"/>
      <c r="FI34" s="241"/>
      <c r="FJ34" s="241"/>
      <c r="FK34" s="241"/>
      <c r="FL34" s="241"/>
      <c r="FM34" s="241"/>
      <c r="FN34" s="241"/>
      <c r="FO34" s="241"/>
      <c r="FP34" s="241"/>
      <c r="FQ34" s="241"/>
      <c r="FR34" s="241"/>
      <c r="FS34" s="241"/>
      <c r="FT34" s="241"/>
      <c r="FU34" s="241"/>
      <c r="FV34" s="241"/>
      <c r="FW34" s="241"/>
      <c r="FX34" s="241"/>
      <c r="FY34" s="241"/>
      <c r="FZ34" s="241"/>
      <c r="GA34" s="241"/>
      <c r="GB34" s="241"/>
      <c r="GC34" s="241"/>
      <c r="GD34" s="241"/>
      <c r="GE34" s="241"/>
      <c r="GF34" s="241"/>
      <c r="GG34" s="241"/>
      <c r="GH34" s="241"/>
      <c r="GI34" s="241"/>
      <c r="GJ34" s="241"/>
      <c r="GK34" s="241"/>
      <c r="GL34" s="241"/>
      <c r="GM34" s="241"/>
      <c r="GN34" s="241"/>
      <c r="GO34" s="241"/>
      <c r="GP34" s="241"/>
      <c r="GQ34" s="241"/>
      <c r="GR34" s="241"/>
      <c r="GS34" s="241"/>
      <c r="GT34" s="241"/>
      <c r="GU34" s="241"/>
      <c r="GV34" s="241"/>
      <c r="GW34" s="241"/>
      <c r="GX34" s="241"/>
      <c r="GY34" s="241"/>
      <c r="GZ34" s="241"/>
      <c r="HA34" s="241"/>
      <c r="HB34" s="241"/>
      <c r="HC34" s="241"/>
      <c r="HD34" s="241"/>
      <c r="HE34" s="241"/>
      <c r="HF34" s="241"/>
      <c r="HG34" s="241"/>
      <c r="HH34" s="241"/>
      <c r="HI34" s="241"/>
      <c r="HJ34" s="241"/>
      <c r="HK34" s="241"/>
      <c r="HL34" s="241"/>
      <c r="HM34" s="241"/>
      <c r="HN34" s="241"/>
      <c r="HO34" s="241"/>
      <c r="HP34" s="241"/>
      <c r="HQ34" s="241"/>
      <c r="HR34" s="241"/>
      <c r="HS34" s="241"/>
      <c r="HT34" s="241"/>
      <c r="HU34" s="241"/>
      <c r="HV34" s="241"/>
      <c r="HW34" s="241"/>
      <c r="HX34" s="241"/>
      <c r="HY34" s="241"/>
      <c r="HZ34" s="241"/>
      <c r="IA34" s="241"/>
      <c r="IB34" s="241"/>
      <c r="IC34" s="241"/>
      <c r="ID34" s="241"/>
      <c r="IE34" s="241"/>
      <c r="IF34" s="241"/>
      <c r="IG34" s="241"/>
      <c r="IH34" s="241"/>
      <c r="II34" s="241"/>
      <c r="IJ34" s="241"/>
      <c r="IK34" s="241"/>
      <c r="IL34" s="241"/>
      <c r="IM34" s="241"/>
      <c r="IN34" s="241"/>
      <c r="IO34" s="241"/>
      <c r="IP34" s="241"/>
      <c r="IQ34" s="241"/>
      <c r="IR34" s="241"/>
      <c r="IS34" s="241"/>
      <c r="IT34" s="241"/>
      <c r="IU34" s="241"/>
      <c r="IV34" s="241"/>
      <c r="IW34" s="241"/>
    </row>
    <row r="35" customFormat="false" ht="9.75" hidden="false" customHeight="true" outlineLevel="0" collapsed="false">
      <c r="A35" s="10"/>
      <c r="B35" s="231"/>
      <c r="C35" s="232"/>
      <c r="D35" s="231"/>
      <c r="E35" s="201"/>
      <c r="F35" s="233"/>
      <c r="G35" s="234"/>
      <c r="H35" s="234"/>
      <c r="I35" s="235"/>
      <c r="J35" s="235"/>
      <c r="K35" s="236"/>
      <c r="L35" s="234"/>
      <c r="M35" s="235"/>
      <c r="N35" s="234"/>
      <c r="O35" s="237"/>
      <c r="P35" s="237"/>
      <c r="Q35" s="237"/>
      <c r="R35" s="237"/>
      <c r="S35" s="237"/>
      <c r="T35" s="234"/>
      <c r="U35" s="233"/>
      <c r="V35" s="238"/>
      <c r="W35" s="239"/>
      <c r="X35" s="239"/>
      <c r="Y35" s="239"/>
      <c r="Z35" s="239"/>
      <c r="AA35" s="239"/>
      <c r="AB35" s="239"/>
      <c r="AC35" s="239"/>
      <c r="AD35" s="239"/>
      <c r="AE35" s="240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42"/>
      <c r="AS35" s="242"/>
      <c r="AT35" s="243"/>
      <c r="AU35" s="243"/>
      <c r="AV35" s="244"/>
      <c r="AW35" s="243"/>
      <c r="AX35" s="243"/>
      <c r="AY35" s="243"/>
      <c r="AZ35" s="243"/>
      <c r="BA35" s="243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1"/>
      <c r="CB35" s="241"/>
      <c r="CC35" s="241"/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1"/>
      <c r="CT35" s="241"/>
      <c r="CU35" s="241"/>
      <c r="CV35" s="241"/>
      <c r="CW35" s="241"/>
      <c r="CX35" s="241"/>
      <c r="CY35" s="241"/>
      <c r="CZ35" s="241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  <c r="DP35" s="241"/>
      <c r="DQ35" s="241"/>
      <c r="DR35" s="241"/>
      <c r="DS35" s="241"/>
      <c r="DT35" s="241"/>
      <c r="DU35" s="241"/>
      <c r="DV35" s="241"/>
      <c r="DW35" s="241"/>
      <c r="DX35" s="241"/>
      <c r="DY35" s="241"/>
      <c r="DZ35" s="241"/>
      <c r="EA35" s="241"/>
      <c r="EB35" s="241"/>
      <c r="EC35" s="241"/>
      <c r="ED35" s="241"/>
      <c r="EE35" s="241"/>
      <c r="EF35" s="241"/>
      <c r="EG35" s="241"/>
      <c r="EH35" s="241"/>
      <c r="EI35" s="241"/>
      <c r="EJ35" s="241"/>
      <c r="EK35" s="241"/>
      <c r="EL35" s="241"/>
      <c r="EM35" s="241"/>
      <c r="EN35" s="241"/>
      <c r="EO35" s="241"/>
      <c r="EP35" s="241"/>
      <c r="EQ35" s="241"/>
      <c r="ER35" s="241"/>
      <c r="ES35" s="241"/>
      <c r="ET35" s="241"/>
      <c r="EU35" s="241"/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1"/>
      <c r="FG35" s="241"/>
      <c r="FH35" s="241"/>
      <c r="FI35" s="241"/>
      <c r="FJ35" s="241"/>
      <c r="FK35" s="241"/>
      <c r="FL35" s="241"/>
      <c r="FM35" s="241"/>
      <c r="FN35" s="241"/>
      <c r="FO35" s="241"/>
      <c r="FP35" s="241"/>
      <c r="FQ35" s="241"/>
      <c r="FR35" s="241"/>
      <c r="FS35" s="241"/>
      <c r="FT35" s="241"/>
      <c r="FU35" s="241"/>
      <c r="FV35" s="241"/>
      <c r="FW35" s="241"/>
      <c r="FX35" s="241"/>
      <c r="FY35" s="241"/>
      <c r="FZ35" s="241"/>
      <c r="GA35" s="241"/>
      <c r="GB35" s="241"/>
      <c r="GC35" s="241"/>
      <c r="GD35" s="241"/>
      <c r="GE35" s="241"/>
      <c r="GF35" s="241"/>
      <c r="GG35" s="241"/>
      <c r="GH35" s="241"/>
      <c r="GI35" s="241"/>
      <c r="GJ35" s="241"/>
      <c r="GK35" s="241"/>
      <c r="GL35" s="241"/>
      <c r="GM35" s="241"/>
      <c r="GN35" s="241"/>
      <c r="GO35" s="241"/>
      <c r="GP35" s="241"/>
      <c r="GQ35" s="241"/>
      <c r="GR35" s="241"/>
      <c r="GS35" s="241"/>
      <c r="GT35" s="241"/>
      <c r="GU35" s="241"/>
      <c r="GV35" s="241"/>
      <c r="GW35" s="241"/>
      <c r="GX35" s="241"/>
      <c r="GY35" s="241"/>
      <c r="GZ35" s="241"/>
      <c r="HA35" s="241"/>
      <c r="HB35" s="241"/>
      <c r="HC35" s="241"/>
      <c r="HD35" s="241"/>
      <c r="HE35" s="241"/>
      <c r="HF35" s="241"/>
      <c r="HG35" s="241"/>
      <c r="HH35" s="241"/>
      <c r="HI35" s="241"/>
      <c r="HJ35" s="241"/>
      <c r="HK35" s="241"/>
      <c r="HL35" s="241"/>
      <c r="HM35" s="241"/>
      <c r="HN35" s="241"/>
      <c r="HO35" s="241"/>
      <c r="HP35" s="241"/>
      <c r="HQ35" s="241"/>
      <c r="HR35" s="241"/>
      <c r="HS35" s="241"/>
      <c r="HT35" s="241"/>
      <c r="HU35" s="241"/>
      <c r="HV35" s="241"/>
      <c r="HW35" s="241"/>
      <c r="HX35" s="241"/>
      <c r="HY35" s="241"/>
      <c r="HZ35" s="241"/>
      <c r="IA35" s="241"/>
      <c r="IB35" s="241"/>
      <c r="IC35" s="241"/>
      <c r="ID35" s="241"/>
      <c r="IE35" s="241"/>
      <c r="IF35" s="241"/>
      <c r="IG35" s="241"/>
      <c r="IH35" s="241"/>
      <c r="II35" s="241"/>
      <c r="IJ35" s="241"/>
      <c r="IK35" s="241"/>
      <c r="IL35" s="241"/>
      <c r="IM35" s="241"/>
      <c r="IN35" s="241"/>
      <c r="IO35" s="241"/>
      <c r="IP35" s="241"/>
      <c r="IQ35" s="241"/>
      <c r="IR35" s="241"/>
      <c r="IS35" s="241"/>
      <c r="IT35" s="241"/>
      <c r="IU35" s="241"/>
      <c r="IV35" s="241"/>
      <c r="IW35" s="241"/>
    </row>
    <row r="36" customFormat="false" ht="26.25" hidden="false" customHeight="false" outlineLevel="0" collapsed="false">
      <c r="A36" s="230" t="s">
        <v>83</v>
      </c>
      <c r="B36" s="231"/>
      <c r="C36" s="232"/>
      <c r="D36" s="231"/>
      <c r="E36" s="233"/>
      <c r="F36" s="233"/>
      <c r="G36" s="234"/>
      <c r="H36" s="234"/>
      <c r="I36" s="235"/>
      <c r="J36" s="235"/>
      <c r="K36" s="236"/>
      <c r="L36" s="234"/>
      <c r="M36" s="235"/>
      <c r="N36" s="234"/>
      <c r="O36" s="237"/>
      <c r="P36" s="237"/>
      <c r="Q36" s="237"/>
      <c r="R36" s="237"/>
      <c r="S36" s="237"/>
      <c r="T36" s="234"/>
      <c r="U36" s="233"/>
      <c r="V36" s="238"/>
      <c r="W36" s="245"/>
      <c r="X36" s="245"/>
      <c r="Y36" s="245"/>
      <c r="Z36" s="245"/>
      <c r="AA36" s="245"/>
      <c r="AB36" s="245"/>
      <c r="AC36" s="245"/>
      <c r="AD36" s="245"/>
      <c r="AE36" s="245"/>
      <c r="AF36" s="239"/>
      <c r="AG36" s="201"/>
      <c r="AH36" s="239"/>
      <c r="AI36" s="239"/>
      <c r="AJ36" s="239"/>
      <c r="AK36" s="239"/>
      <c r="AL36" s="239"/>
      <c r="AM36" s="239"/>
      <c r="AN36" s="239"/>
      <c r="AO36" s="239"/>
      <c r="AP36" s="242"/>
      <c r="AQ36" s="239"/>
      <c r="AR36" s="239"/>
      <c r="AS36" s="246"/>
      <c r="AT36" s="243"/>
      <c r="AU36" s="243"/>
      <c r="AV36" s="244"/>
      <c r="AW36" s="243"/>
      <c r="AX36" s="243"/>
      <c r="AY36" s="243"/>
      <c r="AZ36" s="243"/>
      <c r="BA36" s="243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41"/>
      <c r="FK36" s="241"/>
      <c r="FL36" s="241"/>
      <c r="FM36" s="241"/>
      <c r="FN36" s="241"/>
      <c r="FO36" s="241"/>
      <c r="FP36" s="241"/>
      <c r="FQ36" s="241"/>
      <c r="FR36" s="241"/>
      <c r="FS36" s="241"/>
      <c r="FT36" s="241"/>
      <c r="FU36" s="241"/>
      <c r="FV36" s="241"/>
      <c r="FW36" s="241"/>
      <c r="FX36" s="241"/>
      <c r="FY36" s="241"/>
      <c r="FZ36" s="241"/>
      <c r="GA36" s="241"/>
      <c r="GB36" s="241"/>
      <c r="GC36" s="241"/>
      <c r="GD36" s="241"/>
      <c r="GE36" s="241"/>
      <c r="GF36" s="241"/>
      <c r="GG36" s="241"/>
      <c r="GH36" s="241"/>
      <c r="GI36" s="241"/>
      <c r="GJ36" s="241"/>
      <c r="GK36" s="241"/>
      <c r="GL36" s="241"/>
      <c r="GM36" s="241"/>
      <c r="GN36" s="241"/>
      <c r="GO36" s="241"/>
      <c r="GP36" s="241"/>
      <c r="GQ36" s="241"/>
      <c r="GR36" s="241"/>
      <c r="GS36" s="241"/>
      <c r="GT36" s="241"/>
      <c r="GU36" s="241"/>
      <c r="GV36" s="241"/>
      <c r="GW36" s="241"/>
      <c r="GX36" s="241"/>
      <c r="GY36" s="241"/>
      <c r="GZ36" s="241"/>
      <c r="HA36" s="241"/>
      <c r="HB36" s="241"/>
      <c r="HC36" s="241"/>
      <c r="HD36" s="241"/>
      <c r="HE36" s="241"/>
      <c r="HF36" s="241"/>
      <c r="HG36" s="241"/>
      <c r="HH36" s="241"/>
      <c r="HI36" s="241"/>
      <c r="HJ36" s="241"/>
      <c r="HK36" s="241"/>
      <c r="HL36" s="241"/>
      <c r="HM36" s="241"/>
      <c r="HN36" s="241"/>
      <c r="HO36" s="241"/>
      <c r="HP36" s="241"/>
      <c r="HQ36" s="241"/>
      <c r="HR36" s="241"/>
      <c r="HS36" s="241"/>
      <c r="HT36" s="241"/>
      <c r="HU36" s="241"/>
      <c r="HV36" s="241"/>
      <c r="HW36" s="241"/>
      <c r="HX36" s="241"/>
      <c r="HY36" s="241"/>
      <c r="HZ36" s="241"/>
      <c r="IA36" s="241"/>
      <c r="IB36" s="241"/>
      <c r="IC36" s="241"/>
      <c r="ID36" s="241"/>
      <c r="IE36" s="241"/>
      <c r="IF36" s="241"/>
      <c r="IG36" s="241"/>
      <c r="IH36" s="241"/>
      <c r="II36" s="241"/>
      <c r="IJ36" s="241"/>
      <c r="IK36" s="241"/>
      <c r="IL36" s="241"/>
      <c r="IM36" s="241"/>
      <c r="IN36" s="241"/>
      <c r="IO36" s="241"/>
      <c r="IP36" s="241"/>
      <c r="IQ36" s="241"/>
      <c r="IR36" s="241"/>
      <c r="IS36" s="241"/>
      <c r="IT36" s="241"/>
      <c r="IU36" s="241"/>
      <c r="IV36" s="241"/>
      <c r="IW36" s="241"/>
    </row>
    <row r="37" customFormat="false" ht="6.75" hidden="false" customHeight="true" outlineLevel="0" collapsed="false">
      <c r="A37" s="10"/>
      <c r="B37" s="231"/>
      <c r="C37" s="232"/>
      <c r="D37" s="231"/>
      <c r="E37" s="233"/>
      <c r="F37" s="233"/>
      <c r="G37" s="234"/>
      <c r="H37" s="234"/>
      <c r="I37" s="235"/>
      <c r="J37" s="235"/>
      <c r="K37" s="236"/>
      <c r="L37" s="234"/>
      <c r="M37" s="235"/>
      <c r="N37" s="234"/>
      <c r="O37" s="237"/>
      <c r="P37" s="237"/>
      <c r="Q37" s="237"/>
      <c r="R37" s="237"/>
      <c r="S37" s="237"/>
      <c r="T37" s="234"/>
      <c r="U37" s="233"/>
      <c r="V37" s="238"/>
      <c r="W37" s="245"/>
      <c r="X37" s="245"/>
      <c r="Y37" s="245"/>
      <c r="Z37" s="245"/>
      <c r="AA37" s="245"/>
      <c r="AB37" s="245"/>
      <c r="AC37" s="245"/>
      <c r="AD37" s="245"/>
      <c r="AE37" s="245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42"/>
      <c r="AQ37" s="239"/>
      <c r="AR37" s="239"/>
      <c r="AS37" s="246"/>
      <c r="AT37" s="243"/>
      <c r="AU37" s="243"/>
      <c r="AV37" s="244"/>
      <c r="AW37" s="243"/>
      <c r="AX37" s="243"/>
      <c r="AY37" s="243"/>
      <c r="AZ37" s="243"/>
      <c r="BA37" s="243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41"/>
      <c r="FK37" s="241"/>
      <c r="FL37" s="241"/>
      <c r="FM37" s="241"/>
      <c r="FN37" s="241"/>
      <c r="FO37" s="241"/>
      <c r="FP37" s="241"/>
      <c r="FQ37" s="241"/>
      <c r="FR37" s="241"/>
      <c r="FS37" s="241"/>
      <c r="FT37" s="241"/>
      <c r="FU37" s="241"/>
      <c r="FV37" s="241"/>
      <c r="FW37" s="241"/>
      <c r="FX37" s="241"/>
      <c r="FY37" s="241"/>
      <c r="FZ37" s="241"/>
      <c r="GA37" s="241"/>
      <c r="GB37" s="241"/>
      <c r="GC37" s="241"/>
      <c r="GD37" s="241"/>
      <c r="GE37" s="241"/>
      <c r="GF37" s="241"/>
      <c r="GG37" s="241"/>
      <c r="GH37" s="241"/>
      <c r="GI37" s="241"/>
      <c r="GJ37" s="241"/>
      <c r="GK37" s="241"/>
      <c r="GL37" s="241"/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  <c r="HK37" s="241"/>
      <c r="HL37" s="241"/>
      <c r="HM37" s="241"/>
      <c r="HN37" s="241"/>
      <c r="HO37" s="241"/>
      <c r="HP37" s="241"/>
      <c r="HQ37" s="241"/>
      <c r="HR37" s="241"/>
      <c r="HS37" s="241"/>
      <c r="HT37" s="241"/>
      <c r="HU37" s="241"/>
      <c r="HV37" s="241"/>
      <c r="HW37" s="241"/>
      <c r="HX37" s="241"/>
      <c r="HY37" s="241"/>
      <c r="HZ37" s="241"/>
      <c r="IA37" s="241"/>
      <c r="IB37" s="241"/>
      <c r="IC37" s="241"/>
      <c r="ID37" s="241"/>
      <c r="IE37" s="241"/>
      <c r="IF37" s="241"/>
      <c r="IG37" s="241"/>
      <c r="IH37" s="241"/>
      <c r="II37" s="241"/>
      <c r="IJ37" s="241"/>
      <c r="IK37" s="241"/>
      <c r="IL37" s="241"/>
      <c r="IM37" s="241"/>
      <c r="IN37" s="241"/>
      <c r="IO37" s="241"/>
      <c r="IP37" s="241"/>
      <c r="IQ37" s="241"/>
      <c r="IR37" s="241"/>
      <c r="IS37" s="241"/>
      <c r="IT37" s="241"/>
      <c r="IU37" s="241"/>
      <c r="IV37" s="241"/>
      <c r="IW37" s="241"/>
    </row>
    <row r="38" customFormat="false" ht="31.5" hidden="false" customHeight="true" outlineLevel="0" collapsed="false">
      <c r="A38" s="247" t="s">
        <v>84</v>
      </c>
      <c r="B38" s="248"/>
      <c r="C38" s="248"/>
      <c r="D38" s="248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50"/>
      <c r="T38" s="251"/>
      <c r="U38" s="252"/>
      <c r="V38" s="238"/>
      <c r="W38" s="238"/>
      <c r="X38" s="253"/>
      <c r="Y38" s="253"/>
      <c r="Z38" s="253"/>
      <c r="AA38" s="253"/>
      <c r="AB38" s="253"/>
      <c r="AC38" s="231"/>
      <c r="AD38" s="25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55"/>
      <c r="AQ38" s="256"/>
      <c r="AR38" s="257"/>
      <c r="AS38" s="257"/>
      <c r="AT38" s="243"/>
      <c r="AU38" s="243"/>
      <c r="AV38" s="244"/>
      <c r="AW38" s="243"/>
      <c r="AX38" s="243"/>
      <c r="AY38" s="243"/>
      <c r="AZ38" s="243"/>
      <c r="BA38" s="243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41"/>
      <c r="FK38" s="241"/>
      <c r="FL38" s="241"/>
      <c r="FM38" s="241"/>
      <c r="FN38" s="241"/>
      <c r="FO38" s="241"/>
      <c r="FP38" s="241"/>
      <c r="FQ38" s="241"/>
      <c r="FR38" s="241"/>
      <c r="FS38" s="241"/>
      <c r="FT38" s="241"/>
      <c r="FU38" s="241"/>
      <c r="FV38" s="241"/>
      <c r="FW38" s="241"/>
      <c r="FX38" s="241"/>
      <c r="FY38" s="241"/>
      <c r="FZ38" s="241"/>
      <c r="GA38" s="241"/>
      <c r="GB38" s="241"/>
      <c r="GC38" s="241"/>
      <c r="GD38" s="241"/>
      <c r="GE38" s="241"/>
      <c r="GF38" s="241"/>
      <c r="GG38" s="241"/>
      <c r="GH38" s="241"/>
      <c r="GI38" s="241"/>
      <c r="GJ38" s="241"/>
      <c r="GK38" s="241"/>
      <c r="GL38" s="241"/>
      <c r="GM38" s="241"/>
      <c r="GN38" s="241"/>
      <c r="GO38" s="241"/>
      <c r="GP38" s="241"/>
      <c r="GQ38" s="241"/>
      <c r="GR38" s="241"/>
      <c r="GS38" s="241"/>
      <c r="GT38" s="241"/>
      <c r="GU38" s="241"/>
      <c r="GV38" s="241"/>
      <c r="GW38" s="241"/>
      <c r="GX38" s="241"/>
      <c r="GY38" s="241"/>
      <c r="GZ38" s="241"/>
      <c r="HA38" s="241"/>
      <c r="HB38" s="241"/>
      <c r="HC38" s="241"/>
      <c r="HD38" s="241"/>
      <c r="HE38" s="241"/>
      <c r="HF38" s="241"/>
      <c r="HG38" s="241"/>
      <c r="HH38" s="241"/>
      <c r="HI38" s="241"/>
      <c r="HJ38" s="241"/>
      <c r="HK38" s="241"/>
      <c r="HL38" s="241"/>
      <c r="HM38" s="241"/>
      <c r="HN38" s="241"/>
      <c r="HO38" s="241"/>
      <c r="HP38" s="241"/>
      <c r="HQ38" s="241"/>
      <c r="HR38" s="241"/>
      <c r="HS38" s="241"/>
      <c r="HT38" s="241"/>
      <c r="HU38" s="241"/>
      <c r="HV38" s="241"/>
      <c r="HW38" s="241"/>
      <c r="HX38" s="241"/>
      <c r="HY38" s="241"/>
      <c r="HZ38" s="241"/>
      <c r="IA38" s="241"/>
      <c r="IB38" s="241"/>
      <c r="IC38" s="241"/>
      <c r="ID38" s="241"/>
      <c r="IE38" s="241"/>
      <c r="IF38" s="241"/>
      <c r="IG38" s="241"/>
      <c r="IH38" s="241"/>
      <c r="II38" s="241"/>
      <c r="IJ38" s="241"/>
      <c r="IK38" s="241"/>
      <c r="IL38" s="241"/>
      <c r="IM38" s="241"/>
      <c r="IN38" s="241"/>
      <c r="IO38" s="241"/>
      <c r="IP38" s="241"/>
      <c r="IQ38" s="241"/>
      <c r="IR38" s="241"/>
      <c r="IS38" s="241"/>
      <c r="IT38" s="241"/>
      <c r="IU38" s="241"/>
      <c r="IV38" s="241"/>
      <c r="IW38" s="241"/>
    </row>
    <row r="39" customFormat="false" ht="31.5" hidden="false" customHeight="true" outlineLevel="0" collapsed="false">
      <c r="A39" s="216"/>
      <c r="B39" s="248"/>
      <c r="C39" s="248"/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50"/>
      <c r="T39" s="251"/>
      <c r="U39" s="252"/>
      <c r="V39" s="238"/>
      <c r="W39" s="238"/>
      <c r="X39" s="253"/>
      <c r="Y39" s="253"/>
      <c r="Z39" s="253"/>
      <c r="AA39" s="253"/>
      <c r="AB39" s="253"/>
      <c r="AC39" s="231"/>
      <c r="AD39" s="25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55"/>
      <c r="AQ39" s="256"/>
      <c r="AR39" s="257"/>
      <c r="AS39" s="257"/>
      <c r="AT39" s="243"/>
      <c r="AU39" s="243"/>
      <c r="AV39" s="244"/>
      <c r="AW39" s="243"/>
      <c r="AX39" s="243"/>
      <c r="AY39" s="243"/>
      <c r="AZ39" s="243"/>
      <c r="BA39" s="243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41"/>
      <c r="FK39" s="241"/>
      <c r="FL39" s="241"/>
      <c r="FM39" s="241"/>
      <c r="FN39" s="241"/>
      <c r="FO39" s="241"/>
      <c r="FP39" s="241"/>
      <c r="FQ39" s="241"/>
      <c r="FR39" s="241"/>
      <c r="FS39" s="241"/>
      <c r="FT39" s="241"/>
      <c r="FU39" s="241"/>
      <c r="FV39" s="241"/>
      <c r="FW39" s="241"/>
      <c r="FX39" s="241"/>
      <c r="FY39" s="241"/>
      <c r="FZ39" s="241"/>
      <c r="GA39" s="241"/>
      <c r="GB39" s="241"/>
      <c r="GC39" s="241"/>
      <c r="GD39" s="241"/>
      <c r="GE39" s="241"/>
      <c r="GF39" s="241"/>
      <c r="GG39" s="241"/>
      <c r="GH39" s="241"/>
      <c r="GI39" s="241"/>
      <c r="GJ39" s="241"/>
      <c r="GK39" s="241"/>
      <c r="GL39" s="241"/>
      <c r="GM39" s="241"/>
      <c r="GN39" s="241"/>
      <c r="GO39" s="241"/>
      <c r="GP39" s="241"/>
      <c r="GQ39" s="241"/>
      <c r="GR39" s="241"/>
      <c r="GS39" s="241"/>
      <c r="GT39" s="241"/>
      <c r="GU39" s="241"/>
      <c r="GV39" s="241"/>
      <c r="GW39" s="241"/>
      <c r="GX39" s="241"/>
      <c r="GY39" s="241"/>
      <c r="GZ39" s="241"/>
      <c r="HA39" s="241"/>
      <c r="HB39" s="241"/>
      <c r="HC39" s="241"/>
      <c r="HD39" s="241"/>
      <c r="HE39" s="241"/>
      <c r="HF39" s="241"/>
      <c r="HG39" s="241"/>
      <c r="HH39" s="241"/>
      <c r="HI39" s="241"/>
      <c r="HJ39" s="241"/>
      <c r="HK39" s="241"/>
      <c r="HL39" s="241"/>
      <c r="HM39" s="241"/>
      <c r="HN39" s="241"/>
      <c r="HO39" s="241"/>
      <c r="HP39" s="241"/>
      <c r="HQ39" s="241"/>
      <c r="HR39" s="241"/>
      <c r="HS39" s="241"/>
      <c r="HT39" s="241"/>
      <c r="HU39" s="241"/>
      <c r="HV39" s="241"/>
      <c r="HW39" s="241"/>
      <c r="HX39" s="241"/>
      <c r="HY39" s="241"/>
      <c r="HZ39" s="241"/>
      <c r="IA39" s="241"/>
      <c r="IB39" s="241"/>
      <c r="IC39" s="241"/>
      <c r="ID39" s="241"/>
      <c r="IE39" s="241"/>
      <c r="IF39" s="241"/>
      <c r="IG39" s="241"/>
      <c r="IH39" s="241"/>
      <c r="II39" s="241"/>
      <c r="IJ39" s="241"/>
      <c r="IK39" s="241"/>
      <c r="IL39" s="241"/>
      <c r="IM39" s="241"/>
      <c r="IN39" s="241"/>
      <c r="IO39" s="241"/>
      <c r="IP39" s="241"/>
      <c r="IQ39" s="241"/>
      <c r="IR39" s="241"/>
      <c r="IS39" s="241"/>
      <c r="IT39" s="241"/>
      <c r="IU39" s="241"/>
      <c r="IV39" s="241"/>
      <c r="IW39" s="241"/>
    </row>
    <row r="40" customFormat="false" ht="18.75" hidden="false" customHeight="true" outlineLevel="0" collapsed="false">
      <c r="A40" s="258" t="s">
        <v>85</v>
      </c>
      <c r="B40" s="11"/>
      <c r="C40" s="36"/>
      <c r="D40" s="11"/>
      <c r="E40" s="117"/>
      <c r="F40" s="139"/>
      <c r="G40" s="117"/>
      <c r="H40" s="155"/>
      <c r="I40" s="69"/>
      <c r="J40" s="69"/>
      <c r="K40" s="146"/>
      <c r="L40" s="23"/>
      <c r="M40" s="69"/>
      <c r="N40" s="23"/>
      <c r="O40" s="33"/>
      <c r="P40" s="141"/>
      <c r="Q40" s="33"/>
      <c r="R40" s="141"/>
      <c r="S40" s="33"/>
      <c r="T40" s="13"/>
      <c r="U40" s="147"/>
      <c r="V40" s="109"/>
      <c r="W40" s="18"/>
      <c r="X40" s="41"/>
      <c r="Y40" s="161"/>
      <c r="Z40" s="161"/>
      <c r="AA40" s="112"/>
      <c r="AB40" s="112"/>
      <c r="AC40" s="11"/>
      <c r="AD40" s="114"/>
      <c r="AE40" s="120"/>
      <c r="AF40" s="120"/>
      <c r="AG40" s="117"/>
      <c r="AH40" s="120"/>
      <c r="AI40" s="117"/>
      <c r="AJ40" s="164"/>
      <c r="AK40" s="164"/>
      <c r="AL40" s="164"/>
      <c r="AM40" s="164"/>
      <c r="AN40" s="164"/>
      <c r="AO40" s="164"/>
      <c r="AP40" s="164"/>
      <c r="AQ40" s="259"/>
      <c r="AR40" s="91"/>
      <c r="AS40" s="156"/>
      <c r="AT40" s="92"/>
      <c r="AU40" s="92"/>
      <c r="AV40" s="92"/>
      <c r="AW40" s="14"/>
      <c r="AX40" s="125"/>
      <c r="AY40" s="12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58" t="s">
        <v>86</v>
      </c>
      <c r="B41" s="249"/>
      <c r="C41" s="240"/>
      <c r="D41" s="249"/>
      <c r="E41" s="249"/>
      <c r="F41" s="139"/>
      <c r="G41" s="117"/>
      <c r="H41" s="155"/>
      <c r="I41" s="69"/>
      <c r="J41" s="69"/>
      <c r="K41" s="146"/>
      <c r="L41" s="23"/>
      <c r="M41" s="69"/>
      <c r="N41" s="23"/>
      <c r="O41" s="33"/>
      <c r="P41" s="141"/>
      <c r="Q41" s="33"/>
      <c r="R41" s="141"/>
      <c r="S41" s="33"/>
      <c r="T41" s="13"/>
      <c r="U41" s="147"/>
      <c r="V41" s="109"/>
      <c r="W41" s="18"/>
      <c r="X41" s="41"/>
      <c r="Y41" s="161"/>
      <c r="Z41" s="161"/>
      <c r="AA41" s="112"/>
      <c r="AB41" s="112"/>
      <c r="AC41" s="11"/>
      <c r="AD41" s="114"/>
      <c r="AE41" s="120"/>
      <c r="AF41" s="120"/>
      <c r="AG41" s="117"/>
      <c r="AH41" s="120"/>
      <c r="AI41" s="117"/>
      <c r="AJ41" s="164"/>
      <c r="AK41" s="164"/>
      <c r="AL41" s="164"/>
      <c r="AM41" s="164"/>
      <c r="AN41" s="164"/>
      <c r="AO41" s="164"/>
      <c r="AP41" s="164"/>
      <c r="AQ41" s="259"/>
      <c r="AR41" s="91"/>
      <c r="AS41" s="156"/>
      <c r="AT41" s="92"/>
      <c r="AU41" s="92"/>
      <c r="AV41" s="92"/>
      <c r="AW41" s="14"/>
      <c r="AX41" s="125"/>
      <c r="AY41" s="12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41"/>
      <c r="B42" s="241"/>
      <c r="C42" s="241"/>
      <c r="D42" s="241"/>
      <c r="E42" s="241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50"/>
      <c r="T42" s="251"/>
      <c r="U42" s="252"/>
      <c r="V42" s="238"/>
      <c r="W42" s="238"/>
      <c r="X42" s="253"/>
      <c r="Y42" s="253"/>
      <c r="Z42" s="253"/>
      <c r="AA42" s="253"/>
      <c r="AB42" s="253"/>
      <c r="AC42" s="231"/>
      <c r="AD42" s="254"/>
      <c r="AE42" s="244"/>
      <c r="AF42" s="244"/>
      <c r="AG42" s="229" t="s">
        <v>87</v>
      </c>
      <c r="AH42" s="244"/>
      <c r="AI42" s="229" t="s">
        <v>88</v>
      </c>
      <c r="AJ42" s="244"/>
      <c r="AK42" s="244"/>
      <c r="AL42" s="244"/>
      <c r="AM42" s="244"/>
      <c r="AN42" s="244"/>
      <c r="AO42" s="244"/>
      <c r="AP42" s="255"/>
      <c r="AQ42" s="256"/>
      <c r="AR42" s="257"/>
      <c r="AS42" s="257"/>
      <c r="AT42" s="243"/>
      <c r="AU42" s="243"/>
      <c r="AV42" s="244"/>
      <c r="AW42" s="243"/>
      <c r="AX42" s="243"/>
      <c r="AY42" s="243"/>
      <c r="AZ42" s="243"/>
      <c r="BA42" s="243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41"/>
      <c r="FK42" s="241"/>
      <c r="FL42" s="241"/>
      <c r="FM42" s="241"/>
      <c r="FN42" s="241"/>
      <c r="FO42" s="241"/>
      <c r="FP42" s="241"/>
      <c r="FQ42" s="241"/>
      <c r="FR42" s="241"/>
      <c r="FS42" s="241"/>
      <c r="FT42" s="241"/>
      <c r="FU42" s="241"/>
      <c r="FV42" s="241"/>
      <c r="FW42" s="241"/>
      <c r="FX42" s="241"/>
      <c r="FY42" s="241"/>
      <c r="FZ42" s="241"/>
      <c r="GA42" s="241"/>
      <c r="GB42" s="241"/>
      <c r="GC42" s="241"/>
      <c r="GD42" s="241"/>
      <c r="GE42" s="241"/>
      <c r="GF42" s="241"/>
      <c r="GG42" s="241"/>
      <c r="GH42" s="241"/>
      <c r="GI42" s="241"/>
      <c r="GJ42" s="241"/>
      <c r="GK42" s="241"/>
      <c r="GL42" s="241"/>
      <c r="GM42" s="241"/>
      <c r="GN42" s="241"/>
      <c r="GO42" s="241"/>
      <c r="GP42" s="241"/>
      <c r="GQ42" s="241"/>
      <c r="GR42" s="241"/>
      <c r="GS42" s="241"/>
      <c r="GT42" s="241"/>
      <c r="GU42" s="241"/>
      <c r="GV42" s="241"/>
      <c r="GW42" s="241"/>
      <c r="GX42" s="241"/>
      <c r="GY42" s="241"/>
      <c r="GZ42" s="241"/>
      <c r="HA42" s="241"/>
      <c r="HB42" s="241"/>
      <c r="HC42" s="241"/>
      <c r="HD42" s="241"/>
      <c r="HE42" s="241"/>
      <c r="HF42" s="241"/>
      <c r="HG42" s="241"/>
      <c r="HH42" s="241"/>
      <c r="HI42" s="241"/>
      <c r="HJ42" s="241"/>
      <c r="HK42" s="241"/>
      <c r="HL42" s="241"/>
      <c r="HM42" s="241"/>
      <c r="HN42" s="241"/>
      <c r="HO42" s="241"/>
      <c r="HP42" s="241"/>
      <c r="HQ42" s="241"/>
      <c r="HR42" s="241"/>
      <c r="HS42" s="241"/>
      <c r="HT42" s="241"/>
      <c r="HU42" s="241"/>
      <c r="HV42" s="241"/>
      <c r="HW42" s="241"/>
      <c r="HX42" s="241"/>
      <c r="HY42" s="241"/>
      <c r="HZ42" s="241"/>
      <c r="IA42" s="241"/>
      <c r="IB42" s="241"/>
      <c r="IC42" s="241"/>
      <c r="ID42" s="241"/>
      <c r="IE42" s="241"/>
      <c r="IF42" s="241"/>
      <c r="IG42" s="241"/>
      <c r="IH42" s="241"/>
      <c r="II42" s="241"/>
      <c r="IJ42" s="241"/>
      <c r="IK42" s="241"/>
      <c r="IL42" s="241"/>
      <c r="IM42" s="241"/>
      <c r="IN42" s="241"/>
      <c r="IO42" s="241"/>
      <c r="IP42" s="241"/>
      <c r="IQ42" s="241"/>
      <c r="IR42" s="241"/>
      <c r="IS42" s="241"/>
      <c r="IT42" s="241"/>
      <c r="IU42" s="241"/>
      <c r="IV42" s="241"/>
      <c r="IW42" s="241"/>
    </row>
    <row r="43" customFormat="false" ht="37.5" hidden="false" customHeight="true" outlineLevel="0" collapsed="false">
      <c r="A43" s="260"/>
      <c r="B43" s="261"/>
      <c r="C43" s="262"/>
      <c r="D43" s="261"/>
      <c r="E43" s="263" t="s">
        <v>40</v>
      </c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4"/>
      <c r="Q43" s="263" t="s">
        <v>42</v>
      </c>
      <c r="R43" s="263"/>
      <c r="S43" s="263"/>
      <c r="T43" s="263"/>
      <c r="U43" s="263"/>
      <c r="V43" s="263"/>
      <c r="W43" s="263"/>
      <c r="X43" s="263"/>
      <c r="Y43" s="265"/>
      <c r="Z43" s="266" t="s">
        <v>89</v>
      </c>
      <c r="AA43" s="41"/>
      <c r="AB43" s="41"/>
      <c r="AC43" s="11"/>
      <c r="AD43" s="267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8"/>
      <c r="AQ43" s="269"/>
      <c r="AR43" s="270"/>
      <c r="AS43" s="270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1" t="s">
        <v>90</v>
      </c>
      <c r="B44" s="272"/>
      <c r="C44" s="272"/>
      <c r="D44" s="272"/>
      <c r="E44" s="273" t="s">
        <v>91</v>
      </c>
      <c r="F44" s="274"/>
      <c r="G44" s="275" t="s">
        <v>92</v>
      </c>
      <c r="H44" s="274"/>
      <c r="I44" s="275" t="s">
        <v>93</v>
      </c>
      <c r="J44" s="18"/>
      <c r="K44" s="275" t="s">
        <v>94</v>
      </c>
      <c r="L44" s="14"/>
      <c r="M44" s="15"/>
      <c r="N44" s="274"/>
      <c r="O44" s="276" t="s">
        <v>95</v>
      </c>
      <c r="P44" s="274"/>
      <c r="Q44" s="275" t="s">
        <v>91</v>
      </c>
      <c r="R44" s="272"/>
      <c r="S44" s="275" t="s">
        <v>92</v>
      </c>
      <c r="T44" s="274"/>
      <c r="U44" s="275" t="s">
        <v>93</v>
      </c>
      <c r="V44" s="275"/>
      <c r="W44" s="275" t="s">
        <v>94</v>
      </c>
      <c r="X44" s="275"/>
      <c r="Y44" s="277" t="s">
        <v>95</v>
      </c>
      <c r="Z44" s="41"/>
      <c r="AA44" s="41"/>
      <c r="AB44" s="41"/>
      <c r="AC44" s="41"/>
      <c r="AD44" s="11"/>
      <c r="AE44" s="278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8"/>
      <c r="AR44" s="269"/>
      <c r="AS44" s="270"/>
      <c r="AT44" s="270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79" t="s">
        <v>96</v>
      </c>
      <c r="B45" s="272"/>
      <c r="C45" s="272"/>
      <c r="D45" s="272"/>
      <c r="E45" s="280" t="s">
        <v>97</v>
      </c>
      <c r="F45" s="281"/>
      <c r="G45" s="280"/>
      <c r="H45" s="282"/>
      <c r="I45" s="283"/>
      <c r="J45" s="18"/>
      <c r="K45" s="284"/>
      <c r="L45" s="14"/>
      <c r="M45" s="15"/>
      <c r="N45" s="272"/>
      <c r="O45" s="285"/>
      <c r="P45" s="272"/>
      <c r="Q45" s="286" t="s">
        <v>98</v>
      </c>
      <c r="R45" s="272"/>
      <c r="S45" s="287" t="n">
        <v>2.52</v>
      </c>
      <c r="T45" s="272"/>
      <c r="U45" s="287" t="n">
        <v>2.95</v>
      </c>
      <c r="V45" s="272"/>
      <c r="W45" s="287" t="n">
        <v>42</v>
      </c>
      <c r="X45" s="284"/>
      <c r="Y45" s="288" t="n">
        <v>37139</v>
      </c>
      <c r="Z45" s="41" t="s">
        <v>99</v>
      </c>
      <c r="AA45" s="41"/>
      <c r="AB45" s="41"/>
      <c r="AC45" s="41"/>
      <c r="AD45" s="11"/>
      <c r="AE45" s="278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8"/>
      <c r="AR45" s="269"/>
      <c r="AS45" s="270"/>
      <c r="AT45" s="270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79" t="s">
        <v>100</v>
      </c>
      <c r="B46" s="272"/>
      <c r="C46" s="272"/>
      <c r="D46" s="272"/>
      <c r="E46" s="280" t="s">
        <v>101</v>
      </c>
      <c r="F46" s="281"/>
      <c r="G46" s="284"/>
      <c r="H46" s="282"/>
      <c r="I46" s="284"/>
      <c r="J46" s="18"/>
      <c r="K46" s="284"/>
      <c r="L46" s="14"/>
      <c r="M46" s="15"/>
      <c r="N46" s="272"/>
      <c r="O46" s="285"/>
      <c r="P46" s="272"/>
      <c r="Q46" s="286" t="s">
        <v>98</v>
      </c>
      <c r="R46" s="272"/>
      <c r="S46" s="287" t="n">
        <v>2.65</v>
      </c>
      <c r="T46" s="272"/>
      <c r="U46" s="287" t="n">
        <v>3</v>
      </c>
      <c r="V46" s="272"/>
      <c r="W46" s="287" t="n">
        <v>43</v>
      </c>
      <c r="X46" s="284"/>
      <c r="Y46" s="288" t="n">
        <v>37144</v>
      </c>
      <c r="Z46" s="41" t="s">
        <v>102</v>
      </c>
      <c r="AA46" s="41"/>
      <c r="AB46" s="41"/>
      <c r="AC46" s="41"/>
      <c r="AD46" s="11"/>
      <c r="AE46" s="278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8"/>
      <c r="AR46" s="269"/>
      <c r="AS46" s="270"/>
      <c r="AT46" s="270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79" t="s">
        <v>103</v>
      </c>
      <c r="B47" s="272"/>
      <c r="C47" s="272"/>
      <c r="D47" s="272"/>
      <c r="E47" s="280" t="s">
        <v>101</v>
      </c>
      <c r="F47" s="281"/>
      <c r="G47" s="280"/>
      <c r="H47" s="282"/>
      <c r="I47" s="283"/>
      <c r="J47" s="18"/>
      <c r="K47" s="284"/>
      <c r="L47" s="14"/>
      <c r="M47" s="15"/>
      <c r="N47" s="272"/>
      <c r="O47" s="285"/>
      <c r="P47" s="272"/>
      <c r="Q47" s="286" t="s">
        <v>98</v>
      </c>
      <c r="R47" s="272"/>
      <c r="S47" s="287" t="n">
        <v>2.6</v>
      </c>
      <c r="T47" s="272"/>
      <c r="U47" s="287"/>
      <c r="V47" s="272"/>
      <c r="W47" s="287" t="n">
        <v>33</v>
      </c>
      <c r="X47" s="284"/>
      <c r="Y47" s="288" t="n">
        <v>37113</v>
      </c>
      <c r="Z47" s="41" t="s">
        <v>104</v>
      </c>
      <c r="AA47" s="41"/>
      <c r="AB47" s="41"/>
      <c r="AC47" s="41"/>
      <c r="AD47" s="11"/>
      <c r="AE47" s="278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8"/>
      <c r="AR47" s="269"/>
      <c r="AS47" s="270"/>
      <c r="AT47" s="270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79" t="s">
        <v>105</v>
      </c>
      <c r="B48" s="272"/>
      <c r="C48" s="272"/>
      <c r="D48" s="272"/>
      <c r="E48" s="280" t="s">
        <v>106</v>
      </c>
      <c r="F48" s="281"/>
      <c r="G48" s="287" t="n">
        <v>0.8</v>
      </c>
      <c r="H48" s="272"/>
      <c r="I48" s="287" t="n">
        <v>1.25</v>
      </c>
      <c r="J48" s="18"/>
      <c r="K48" s="287" t="n">
        <v>24</v>
      </c>
      <c r="L48" s="14"/>
      <c r="M48" s="15"/>
      <c r="N48" s="272"/>
      <c r="O48" s="285" t="n">
        <v>37145</v>
      </c>
      <c r="P48" s="272"/>
      <c r="Q48" s="286" t="s">
        <v>98</v>
      </c>
      <c r="R48" s="272"/>
      <c r="S48" s="287" t="n">
        <v>2.5</v>
      </c>
      <c r="T48" s="272"/>
      <c r="U48" s="287" t="n">
        <v>2.95</v>
      </c>
      <c r="V48" s="272"/>
      <c r="W48" s="287" t="n">
        <v>44</v>
      </c>
      <c r="X48" s="287"/>
      <c r="Y48" s="288" t="n">
        <v>37158</v>
      </c>
      <c r="Z48" s="41" t="s">
        <v>107</v>
      </c>
      <c r="AA48" s="41"/>
      <c r="AB48" s="41"/>
      <c r="AC48" s="41"/>
      <c r="AD48" s="11"/>
      <c r="AE48" s="278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8"/>
      <c r="AR48" s="269"/>
      <c r="AS48" s="270"/>
      <c r="AT48" s="270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79" t="s">
        <v>108</v>
      </c>
      <c r="B49" s="272"/>
      <c r="C49" s="272"/>
      <c r="D49" s="272"/>
      <c r="E49" s="280"/>
      <c r="F49" s="281"/>
      <c r="G49" s="287"/>
      <c r="H49" s="272"/>
      <c r="I49" s="287"/>
      <c r="J49" s="18"/>
      <c r="K49" s="287"/>
      <c r="L49" s="14"/>
      <c r="M49" s="15"/>
      <c r="N49" s="272"/>
      <c r="O49" s="285"/>
      <c r="P49" s="272"/>
      <c r="Q49" s="286" t="s">
        <v>109</v>
      </c>
      <c r="R49" s="272"/>
      <c r="S49" s="287"/>
      <c r="T49" s="272"/>
      <c r="U49" s="287"/>
      <c r="V49" s="272"/>
      <c r="W49" s="287" t="n">
        <v>43</v>
      </c>
      <c r="X49" s="287"/>
      <c r="Y49" s="288" t="n">
        <v>37126</v>
      </c>
      <c r="Z49" s="41"/>
      <c r="AA49" s="41"/>
      <c r="AB49" s="41"/>
      <c r="AC49" s="41"/>
      <c r="AD49" s="11"/>
      <c r="AE49" s="278"/>
      <c r="AF49" s="269"/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8"/>
      <c r="AR49" s="269"/>
      <c r="AS49" s="270"/>
      <c r="AT49" s="270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79" t="s">
        <v>110</v>
      </c>
      <c r="B50" s="272"/>
      <c r="C50" s="272"/>
      <c r="D50" s="272"/>
      <c r="E50" s="280" t="s">
        <v>111</v>
      </c>
      <c r="F50" s="281"/>
      <c r="G50" s="284"/>
      <c r="H50" s="282"/>
      <c r="I50" s="284"/>
      <c r="J50" s="18"/>
      <c r="K50" s="284"/>
      <c r="L50" s="14"/>
      <c r="M50" s="15"/>
      <c r="N50" s="272"/>
      <c r="O50" s="285"/>
      <c r="P50" s="272"/>
      <c r="Q50" s="286" t="s">
        <v>112</v>
      </c>
      <c r="R50" s="272"/>
      <c r="S50" s="287" t="n">
        <v>2.4</v>
      </c>
      <c r="T50" s="272"/>
      <c r="U50" s="287" t="n">
        <v>2.9</v>
      </c>
      <c r="V50" s="272"/>
      <c r="W50" s="287" t="n">
        <v>46</v>
      </c>
      <c r="X50" s="284"/>
      <c r="Y50" s="288" t="n">
        <v>37168</v>
      </c>
      <c r="Z50" s="41" t="s">
        <v>113</v>
      </c>
      <c r="AA50" s="41"/>
      <c r="AB50" s="41"/>
      <c r="AC50" s="41"/>
      <c r="AD50" s="11"/>
      <c r="AE50" s="278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8"/>
      <c r="AR50" s="269"/>
      <c r="AS50" s="270"/>
      <c r="AT50" s="270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79" t="s">
        <v>114</v>
      </c>
      <c r="B51" s="272"/>
      <c r="C51" s="272"/>
      <c r="D51" s="272"/>
      <c r="E51" s="280" t="s">
        <v>98</v>
      </c>
      <c r="F51" s="281"/>
      <c r="G51" s="289"/>
      <c r="H51" s="290"/>
      <c r="I51" s="289"/>
      <c r="J51" s="18"/>
      <c r="K51" s="289"/>
      <c r="L51" s="14"/>
      <c r="M51" s="15"/>
      <c r="N51" s="272"/>
      <c r="O51" s="285"/>
      <c r="P51" s="272"/>
      <c r="Q51" s="286"/>
      <c r="R51" s="272"/>
      <c r="S51" s="287"/>
      <c r="T51" s="272"/>
      <c r="U51" s="287"/>
      <c r="V51" s="272"/>
      <c r="W51" s="287"/>
      <c r="X51" s="284"/>
      <c r="Y51" s="288"/>
      <c r="Z51" s="41" t="s">
        <v>115</v>
      </c>
      <c r="AA51" s="41"/>
      <c r="AB51" s="41"/>
      <c r="AC51" s="41"/>
      <c r="AD51" s="11"/>
      <c r="AE51" s="278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8"/>
      <c r="AR51" s="269"/>
      <c r="AS51" s="270"/>
      <c r="AT51" s="270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79" t="s">
        <v>116</v>
      </c>
      <c r="B52" s="272"/>
      <c r="C52" s="272"/>
      <c r="D52" s="272"/>
      <c r="E52" s="280" t="s">
        <v>98</v>
      </c>
      <c r="F52" s="281"/>
      <c r="G52" s="289" t="n">
        <v>0.91</v>
      </c>
      <c r="H52" s="290"/>
      <c r="I52" s="287" t="n">
        <v>1.05</v>
      </c>
      <c r="J52" s="18"/>
      <c r="K52" s="289" t="n">
        <v>23</v>
      </c>
      <c r="L52" s="14"/>
      <c r="M52" s="15"/>
      <c r="N52" s="272"/>
      <c r="O52" s="285" t="n">
        <v>37167</v>
      </c>
      <c r="P52" s="272"/>
      <c r="Q52" s="286" t="s">
        <v>98</v>
      </c>
      <c r="R52" s="272"/>
      <c r="S52" s="287" t="n">
        <v>2.49</v>
      </c>
      <c r="T52" s="272"/>
      <c r="U52" s="287" t="n">
        <v>2.93</v>
      </c>
      <c r="V52" s="272"/>
      <c r="W52" s="287" t="n">
        <v>48</v>
      </c>
      <c r="X52" s="284"/>
      <c r="Y52" s="288" t="n">
        <v>37146</v>
      </c>
      <c r="Z52" s="41" t="s">
        <v>117</v>
      </c>
      <c r="AA52" s="41"/>
      <c r="AB52" s="41"/>
      <c r="AC52" s="41"/>
      <c r="AD52" s="11"/>
      <c r="AE52" s="278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8"/>
      <c r="AR52" s="269"/>
      <c r="AS52" s="270"/>
      <c r="AT52" s="270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79" t="s">
        <v>118</v>
      </c>
      <c r="B53" s="272"/>
      <c r="C53" s="272"/>
      <c r="D53" s="272"/>
      <c r="E53" s="280" t="s">
        <v>119</v>
      </c>
      <c r="F53" s="281"/>
      <c r="G53" s="287" t="n">
        <v>0.82</v>
      </c>
      <c r="H53" s="272"/>
      <c r="I53" s="287" t="n">
        <v>0.9</v>
      </c>
      <c r="J53" s="18"/>
      <c r="K53" s="287" t="n">
        <v>21</v>
      </c>
      <c r="L53" s="14"/>
      <c r="M53" s="15"/>
      <c r="N53" s="272"/>
      <c r="O53" s="285" t="n">
        <v>37118</v>
      </c>
      <c r="P53" s="272"/>
      <c r="Q53" s="286" t="s">
        <v>120</v>
      </c>
      <c r="R53" s="272"/>
      <c r="S53" s="287" t="n">
        <v>2.52</v>
      </c>
      <c r="T53" s="272"/>
      <c r="U53" s="287" t="n">
        <v>2.95</v>
      </c>
      <c r="V53" s="272"/>
      <c r="W53" s="287" t="n">
        <v>36</v>
      </c>
      <c r="X53" s="287"/>
      <c r="Y53" s="288" t="n">
        <v>37062</v>
      </c>
      <c r="Z53" s="41" t="s">
        <v>121</v>
      </c>
      <c r="AA53" s="41"/>
      <c r="AB53" s="41"/>
      <c r="AC53" s="41"/>
      <c r="AD53" s="22"/>
      <c r="AE53" s="278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8"/>
      <c r="AR53" s="269"/>
      <c r="AS53" s="270"/>
      <c r="AT53" s="270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79" t="s">
        <v>122</v>
      </c>
      <c r="B54" s="272"/>
      <c r="C54" s="272"/>
      <c r="D54" s="272"/>
      <c r="E54" s="280" t="s">
        <v>101</v>
      </c>
      <c r="F54" s="281"/>
      <c r="G54" s="284"/>
      <c r="H54" s="282"/>
      <c r="I54" s="284"/>
      <c r="J54" s="18"/>
      <c r="K54" s="284"/>
      <c r="L54" s="14"/>
      <c r="M54" s="15"/>
      <c r="N54" s="272"/>
      <c r="O54" s="285"/>
      <c r="P54" s="272"/>
      <c r="Q54" s="286" t="s">
        <v>111</v>
      </c>
      <c r="R54" s="272"/>
      <c r="S54" s="287"/>
      <c r="T54" s="272"/>
      <c r="U54" s="287"/>
      <c r="V54" s="272"/>
      <c r="W54" s="287" t="n">
        <v>40</v>
      </c>
      <c r="X54" s="284"/>
      <c r="Y54" s="288"/>
      <c r="Z54" s="41" t="s">
        <v>123</v>
      </c>
      <c r="AA54" s="41"/>
      <c r="AB54" s="41"/>
      <c r="AC54" s="41"/>
      <c r="AD54" s="11"/>
      <c r="AE54" s="278"/>
      <c r="AF54" s="269"/>
      <c r="AG54" s="269"/>
      <c r="AH54" s="269"/>
      <c r="AI54" s="269"/>
      <c r="AJ54" s="269"/>
      <c r="AK54" s="269"/>
      <c r="AL54" s="269"/>
      <c r="AM54" s="269"/>
      <c r="AN54" s="269"/>
      <c r="AO54" s="269"/>
      <c r="AP54" s="269"/>
      <c r="AQ54" s="268"/>
      <c r="AR54" s="269"/>
      <c r="AS54" s="270"/>
      <c r="AT54" s="270"/>
      <c r="AU54" s="20"/>
      <c r="AV54" s="20"/>
      <c r="AW54" s="20"/>
      <c r="AX54" s="20"/>
      <c r="AY54" s="20"/>
      <c r="AZ54" s="20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1" t="s">
        <v>124</v>
      </c>
      <c r="B55" s="272"/>
      <c r="C55" s="272"/>
      <c r="D55" s="272"/>
      <c r="E55" s="280" t="s">
        <v>111</v>
      </c>
      <c r="F55" s="281"/>
      <c r="G55" s="287" t="n">
        <v>0.95</v>
      </c>
      <c r="H55" s="272"/>
      <c r="I55" s="287" t="n">
        <v>1.25</v>
      </c>
      <c r="J55" s="18"/>
      <c r="K55" s="287" t="n">
        <v>23</v>
      </c>
      <c r="L55" s="14"/>
      <c r="M55" s="15"/>
      <c r="N55" s="272"/>
      <c r="O55" s="285" t="n">
        <v>37155</v>
      </c>
      <c r="P55" s="272"/>
      <c r="Q55" s="286" t="s">
        <v>98</v>
      </c>
      <c r="R55" s="272"/>
      <c r="S55" s="287" t="n">
        <v>2.5</v>
      </c>
      <c r="T55" s="272"/>
      <c r="U55" s="287" t="n">
        <v>2.95</v>
      </c>
      <c r="V55" s="272"/>
      <c r="W55" s="287" t="n">
        <v>50</v>
      </c>
      <c r="X55" s="284"/>
      <c r="Y55" s="288" t="n">
        <v>37155</v>
      </c>
      <c r="Z55" s="41"/>
      <c r="AA55" s="41"/>
      <c r="AB55" s="41"/>
      <c r="AC55" s="41"/>
      <c r="AD55" s="11"/>
      <c r="AE55" s="278"/>
      <c r="AF55" s="269"/>
      <c r="AG55" s="269"/>
      <c r="AH55" s="269"/>
      <c r="AI55" s="269"/>
      <c r="AJ55" s="269"/>
      <c r="AK55" s="269"/>
      <c r="AL55" s="269"/>
      <c r="AM55" s="269"/>
      <c r="AN55" s="269"/>
      <c r="AO55" s="269"/>
      <c r="AP55" s="269"/>
      <c r="AQ55" s="268"/>
      <c r="AR55" s="269"/>
      <c r="AS55" s="270"/>
      <c r="AT55" s="270"/>
      <c r="AU55" s="20"/>
      <c r="AV55" s="20"/>
      <c r="AW55" s="20"/>
      <c r="AX55" s="20"/>
      <c r="AY55" s="20"/>
      <c r="AZ55" s="20"/>
      <c r="BA55" s="20"/>
      <c r="BB55" s="20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1" t="s">
        <v>125</v>
      </c>
      <c r="B56" s="272"/>
      <c r="C56" s="272"/>
      <c r="D56" s="272"/>
      <c r="E56" s="280" t="s">
        <v>98</v>
      </c>
      <c r="F56" s="281"/>
      <c r="G56" s="287" t="n">
        <v>0.95</v>
      </c>
      <c r="H56" s="272"/>
      <c r="I56" s="287" t="n">
        <v>1.1</v>
      </c>
      <c r="J56" s="18"/>
      <c r="K56" s="287" t="n">
        <v>24</v>
      </c>
      <c r="L56" s="14"/>
      <c r="M56" s="15"/>
      <c r="N56" s="272"/>
      <c r="O56" s="285" t="n">
        <v>37141</v>
      </c>
      <c r="P56" s="272"/>
      <c r="Q56" s="286" t="s">
        <v>109</v>
      </c>
      <c r="R56" s="272"/>
      <c r="S56" s="287" t="n">
        <v>2.5</v>
      </c>
      <c r="T56" s="272"/>
      <c r="U56" s="287" t="n">
        <v>2.9</v>
      </c>
      <c r="V56" s="272"/>
      <c r="W56" s="287" t="n">
        <v>47</v>
      </c>
      <c r="X56" s="287"/>
      <c r="Y56" s="288" t="n">
        <v>37098</v>
      </c>
      <c r="Z56" s="41" t="s">
        <v>126</v>
      </c>
      <c r="AA56" s="41"/>
      <c r="AB56" s="41"/>
      <c r="AC56" s="41"/>
      <c r="AD56" s="22"/>
      <c r="AE56" s="278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8"/>
      <c r="AR56" s="269"/>
      <c r="AS56" s="270"/>
      <c r="AT56" s="270"/>
      <c r="AU56" s="20"/>
      <c r="AV56" s="20"/>
      <c r="AW56" s="20"/>
      <c r="AX56" s="20"/>
      <c r="AY56" s="20"/>
      <c r="AZ56" s="20"/>
      <c r="BA56" s="20"/>
      <c r="BB56" s="20"/>
      <c r="BC56" s="20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1" t="s">
        <v>127</v>
      </c>
      <c r="B57" s="272"/>
      <c r="C57" s="272"/>
      <c r="D57" s="272"/>
      <c r="E57" s="14"/>
      <c r="F57" s="281"/>
      <c r="G57" s="286"/>
      <c r="H57" s="272"/>
      <c r="I57" s="14"/>
      <c r="J57" s="14"/>
      <c r="K57" s="272"/>
      <c r="L57" s="14"/>
      <c r="M57" s="14"/>
      <c r="N57" s="272"/>
      <c r="O57" s="285"/>
      <c r="P57" s="272"/>
      <c r="Q57" s="14"/>
      <c r="R57" s="272"/>
      <c r="S57" s="287" t="n">
        <v>2.47</v>
      </c>
      <c r="T57" s="272"/>
      <c r="U57" s="287" t="n">
        <v>2.9</v>
      </c>
      <c r="V57" s="272"/>
      <c r="W57" s="287" t="n">
        <v>43</v>
      </c>
      <c r="X57" s="272"/>
      <c r="Y57" s="288" t="n">
        <v>37168</v>
      </c>
      <c r="Z57" s="41"/>
      <c r="AA57" s="41"/>
      <c r="AB57" s="41"/>
      <c r="AC57" s="41"/>
      <c r="AD57" s="20"/>
      <c r="AE57" s="278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8"/>
      <c r="AR57" s="269"/>
      <c r="AS57" s="270"/>
      <c r="AT57" s="27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1" t="s">
        <v>16</v>
      </c>
      <c r="B58" s="14"/>
      <c r="C58" s="23"/>
      <c r="D58" s="14"/>
      <c r="E58" s="14"/>
      <c r="F58" s="281"/>
      <c r="G58" s="292" t="n">
        <f aca="false">AVERAGEA(G45:G56)</f>
        <v>0.886</v>
      </c>
      <c r="H58" s="38"/>
      <c r="I58" s="292" t="n">
        <f aca="false">AVERAGEA(I45:I56)</f>
        <v>1.11</v>
      </c>
      <c r="J58" s="14"/>
      <c r="K58" s="292" t="n">
        <f aca="false">AVERAGEA(K45:K56)</f>
        <v>23</v>
      </c>
      <c r="L58" s="14"/>
      <c r="M58" s="14"/>
      <c r="N58" s="13"/>
      <c r="O58" s="293"/>
      <c r="P58" s="13"/>
      <c r="Q58" s="14"/>
      <c r="R58" s="14"/>
      <c r="S58" s="292" t="n">
        <f aca="false">AVERAGEA(S45:S57)</f>
        <v>2.515</v>
      </c>
      <c r="T58" s="13"/>
      <c r="U58" s="292" t="n">
        <f aca="false">AVERAGEA(U45:U57)</f>
        <v>2.93666666666667</v>
      </c>
      <c r="V58" s="15"/>
      <c r="W58" s="292" t="n">
        <f aca="false">AVERAGEA(W45:W57)</f>
        <v>42.9166666666667</v>
      </c>
      <c r="X58" s="294"/>
      <c r="Y58" s="295"/>
      <c r="Z58" s="41"/>
      <c r="AA58" s="41"/>
      <c r="AB58" s="41"/>
      <c r="AC58" s="41"/>
      <c r="AD58" s="20"/>
      <c r="AE58" s="278"/>
      <c r="AF58" s="269"/>
      <c r="AG58" s="269"/>
      <c r="AH58" s="269"/>
      <c r="AI58" s="269"/>
      <c r="AJ58" s="269"/>
      <c r="AK58" s="269"/>
      <c r="AL58" s="269"/>
      <c r="AM58" s="269"/>
      <c r="AN58" s="269"/>
      <c r="AO58" s="269"/>
      <c r="AP58" s="269"/>
      <c r="AQ58" s="268"/>
      <c r="AR58" s="269"/>
      <c r="AS58" s="270"/>
      <c r="AT58" s="27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1"/>
      <c r="B59" s="14"/>
      <c r="C59" s="23"/>
      <c r="D59" s="14"/>
      <c r="E59" s="14"/>
      <c r="F59" s="14"/>
      <c r="G59" s="13"/>
      <c r="H59" s="13"/>
      <c r="I59" s="294"/>
      <c r="J59" s="15"/>
      <c r="K59" s="14"/>
      <c r="L59" s="14"/>
      <c r="M59" s="37"/>
      <c r="N59" s="13"/>
      <c r="O59" s="15"/>
      <c r="P59" s="13"/>
      <c r="Q59" s="38"/>
      <c r="R59" s="281"/>
      <c r="S59" s="14"/>
      <c r="T59" s="38"/>
      <c r="U59" s="14"/>
      <c r="V59" s="294"/>
      <c r="W59" s="18"/>
      <c r="X59" s="41"/>
      <c r="Y59" s="83"/>
      <c r="Z59" s="41"/>
      <c r="AA59" s="41"/>
      <c r="AB59" s="41"/>
      <c r="AC59" s="20"/>
      <c r="AD59" s="278"/>
      <c r="AE59" s="269"/>
      <c r="AF59" s="269"/>
      <c r="AG59" s="269"/>
      <c r="AH59" s="269"/>
      <c r="AI59" s="269"/>
      <c r="AJ59" s="269"/>
      <c r="AK59" s="269"/>
      <c r="AL59" s="269"/>
      <c r="AM59" s="269"/>
      <c r="AN59" s="269"/>
      <c r="AO59" s="269"/>
      <c r="AP59" s="268"/>
      <c r="AQ59" s="269"/>
      <c r="AR59" s="270"/>
      <c r="AS59" s="27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296" t="s">
        <v>128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7"/>
      <c r="N60" s="13"/>
      <c r="O60" s="15"/>
      <c r="P60" s="13"/>
      <c r="Q60" s="38"/>
      <c r="R60" s="281"/>
      <c r="S60" s="14"/>
      <c r="T60" s="38"/>
      <c r="U60" s="14"/>
      <c r="V60" s="38"/>
      <c r="W60" s="18"/>
      <c r="X60" s="41"/>
      <c r="Y60" s="83"/>
      <c r="Z60" s="41"/>
      <c r="AA60" s="41"/>
      <c r="AB60" s="41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297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296"/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7"/>
      <c r="N61" s="13"/>
      <c r="O61" s="15"/>
      <c r="P61" s="13"/>
      <c r="Q61" s="38"/>
      <c r="R61" s="281"/>
      <c r="S61" s="14"/>
      <c r="T61" s="38"/>
      <c r="U61" s="14"/>
      <c r="V61" s="38"/>
      <c r="W61" s="18"/>
      <c r="X61" s="41"/>
      <c r="Y61" s="83"/>
      <c r="Z61" s="41"/>
      <c r="AA61" s="41"/>
      <c r="AB61" s="41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297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298"/>
      <c r="B62" s="190"/>
      <c r="C62" s="299"/>
      <c r="D62" s="190"/>
      <c r="E62" s="190"/>
      <c r="F62" s="190"/>
      <c r="G62" s="300"/>
      <c r="H62" s="300"/>
      <c r="I62" s="301"/>
      <c r="J62" s="301"/>
      <c r="K62" s="190"/>
      <c r="L62" s="190"/>
      <c r="M62" s="302"/>
      <c r="N62" s="300"/>
      <c r="O62" s="301"/>
      <c r="P62" s="300"/>
      <c r="Q62" s="303"/>
      <c r="R62" s="304"/>
      <c r="S62" s="190"/>
      <c r="T62" s="303"/>
      <c r="U62" s="190"/>
      <c r="V62" s="303"/>
      <c r="W62" s="305"/>
      <c r="X62" s="306"/>
      <c r="Y62" s="187"/>
      <c r="Z62" s="41"/>
      <c r="AA62" s="41"/>
      <c r="AB62" s="41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297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226"/>
      <c r="B63" s="226"/>
      <c r="C63" s="307"/>
      <c r="D63" s="226"/>
      <c r="E63" s="226"/>
      <c r="F63" s="226"/>
      <c r="G63" s="219"/>
      <c r="H63" s="308"/>
      <c r="I63" s="309"/>
      <c r="J63" s="309"/>
      <c r="K63" s="221"/>
      <c r="L63" s="308"/>
      <c r="M63" s="309"/>
      <c r="N63" s="308"/>
      <c r="O63" s="222"/>
      <c r="P63" s="222"/>
      <c r="Q63" s="222"/>
      <c r="R63" s="222"/>
      <c r="S63" s="222"/>
      <c r="T63" s="308"/>
      <c r="U63" s="226"/>
      <c r="AC63" s="226"/>
      <c r="AF63" s="117"/>
      <c r="AR63" s="308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6"/>
      <c r="BN63" s="226"/>
      <c r="BO63" s="226"/>
      <c r="BP63" s="226"/>
      <c r="BQ63" s="226"/>
      <c r="BR63" s="226"/>
      <c r="BS63" s="226"/>
      <c r="BT63" s="226"/>
      <c r="BU63" s="226"/>
      <c r="BV63" s="226"/>
      <c r="BW63" s="226"/>
      <c r="BX63" s="226"/>
      <c r="BY63" s="226"/>
      <c r="BZ63" s="226"/>
      <c r="CA63" s="226"/>
      <c r="CB63" s="226"/>
      <c r="CC63" s="226"/>
      <c r="CD63" s="226"/>
      <c r="CE63" s="226"/>
      <c r="CF63" s="226"/>
      <c r="CG63" s="226"/>
      <c r="CH63" s="226"/>
      <c r="CI63" s="226"/>
      <c r="CJ63" s="226"/>
      <c r="CK63" s="226"/>
      <c r="CL63" s="226"/>
      <c r="CM63" s="226"/>
      <c r="CN63" s="226"/>
      <c r="CO63" s="226"/>
      <c r="CP63" s="226"/>
      <c r="CQ63" s="226"/>
      <c r="CR63" s="226"/>
      <c r="CS63" s="226"/>
      <c r="CT63" s="226"/>
      <c r="CU63" s="226"/>
      <c r="CV63" s="226"/>
      <c r="CW63" s="226"/>
      <c r="CX63" s="226"/>
      <c r="CY63" s="226"/>
      <c r="CZ63" s="226"/>
      <c r="DA63" s="226"/>
      <c r="DB63" s="226"/>
      <c r="DC63" s="226"/>
      <c r="DD63" s="226"/>
      <c r="DE63" s="226"/>
      <c r="DF63" s="226"/>
      <c r="DG63" s="226"/>
      <c r="DH63" s="226"/>
      <c r="DI63" s="226"/>
      <c r="DJ63" s="226"/>
      <c r="DK63" s="226"/>
      <c r="DL63" s="226"/>
      <c r="DM63" s="226"/>
      <c r="DN63" s="226"/>
      <c r="DO63" s="226"/>
      <c r="DP63" s="226"/>
      <c r="DQ63" s="226"/>
      <c r="DR63" s="226"/>
      <c r="DS63" s="226"/>
      <c r="DT63" s="226"/>
      <c r="DU63" s="226"/>
      <c r="DV63" s="226"/>
      <c r="DW63" s="226"/>
      <c r="DX63" s="226"/>
      <c r="DY63" s="226"/>
      <c r="DZ63" s="226"/>
      <c r="EA63" s="226"/>
      <c r="EB63" s="226"/>
      <c r="EC63" s="226"/>
      <c r="ED63" s="226"/>
      <c r="EE63" s="226"/>
      <c r="EF63" s="226"/>
      <c r="EG63" s="226"/>
      <c r="EH63" s="226"/>
      <c r="EI63" s="226"/>
      <c r="EJ63" s="226"/>
      <c r="EK63" s="226"/>
      <c r="EL63" s="226"/>
      <c r="EM63" s="226"/>
      <c r="EN63" s="226"/>
      <c r="EO63" s="226"/>
      <c r="EP63" s="226"/>
      <c r="EQ63" s="226"/>
      <c r="ER63" s="226"/>
      <c r="ES63" s="226"/>
      <c r="ET63" s="226"/>
      <c r="EU63" s="226"/>
      <c r="EV63" s="226"/>
      <c r="EW63" s="226"/>
      <c r="EX63" s="226"/>
      <c r="EY63" s="226"/>
      <c r="EZ63" s="226"/>
      <c r="FA63" s="226"/>
      <c r="FB63" s="226"/>
      <c r="FC63" s="226"/>
      <c r="FD63" s="226"/>
      <c r="FE63" s="226"/>
      <c r="FF63" s="226"/>
      <c r="FG63" s="226"/>
      <c r="FH63" s="226"/>
      <c r="FI63" s="226"/>
      <c r="FJ63" s="226"/>
      <c r="FK63" s="226"/>
      <c r="FL63" s="226"/>
      <c r="FM63" s="226"/>
      <c r="FN63" s="226"/>
      <c r="FO63" s="226"/>
      <c r="FP63" s="226"/>
      <c r="FQ63" s="226"/>
      <c r="FR63" s="226"/>
      <c r="FS63" s="226"/>
      <c r="FT63" s="226"/>
      <c r="FU63" s="226"/>
      <c r="FV63" s="226"/>
      <c r="FW63" s="226"/>
      <c r="FX63" s="226"/>
      <c r="FY63" s="226"/>
      <c r="FZ63" s="226"/>
      <c r="GA63" s="226"/>
      <c r="GB63" s="226"/>
      <c r="GC63" s="226"/>
      <c r="GD63" s="226"/>
      <c r="GE63" s="226"/>
      <c r="GF63" s="226"/>
      <c r="GG63" s="226"/>
      <c r="GH63" s="226"/>
      <c r="GI63" s="226"/>
      <c r="GJ63" s="226"/>
      <c r="GK63" s="226"/>
      <c r="GL63" s="226"/>
      <c r="GM63" s="226"/>
      <c r="GN63" s="226"/>
      <c r="GO63" s="226"/>
      <c r="GP63" s="226"/>
      <c r="GQ63" s="226"/>
      <c r="GR63" s="226"/>
      <c r="GS63" s="226"/>
      <c r="GT63" s="226"/>
      <c r="GU63" s="226"/>
      <c r="GV63" s="226"/>
      <c r="GW63" s="226"/>
      <c r="GX63" s="226"/>
      <c r="GY63" s="226"/>
      <c r="GZ63" s="226"/>
      <c r="HA63" s="226"/>
      <c r="HB63" s="226"/>
      <c r="HC63" s="226"/>
      <c r="HD63" s="226"/>
      <c r="HE63" s="226"/>
      <c r="HF63" s="226"/>
      <c r="HG63" s="226"/>
      <c r="HH63" s="226"/>
      <c r="HI63" s="226"/>
      <c r="HJ63" s="226"/>
      <c r="HK63" s="226"/>
      <c r="HL63" s="226"/>
      <c r="HM63" s="226"/>
      <c r="HN63" s="226"/>
      <c r="HO63" s="226"/>
      <c r="HP63" s="226"/>
      <c r="HQ63" s="226"/>
      <c r="HR63" s="226"/>
      <c r="HS63" s="226"/>
      <c r="HT63" s="226"/>
      <c r="HU63" s="226"/>
      <c r="HV63" s="226"/>
      <c r="HW63" s="226"/>
      <c r="HX63" s="226"/>
      <c r="HY63" s="226"/>
      <c r="HZ63" s="226"/>
      <c r="IA63" s="226"/>
      <c r="IB63" s="226"/>
      <c r="IC63" s="226"/>
      <c r="ID63" s="226"/>
      <c r="IE63" s="226"/>
      <c r="IF63" s="226"/>
      <c r="IG63" s="226"/>
      <c r="IH63" s="226"/>
      <c r="II63" s="226"/>
      <c r="IJ63" s="226"/>
      <c r="IK63" s="226"/>
      <c r="IL63" s="226"/>
      <c r="IM63" s="226"/>
      <c r="IN63" s="226"/>
      <c r="IO63" s="226"/>
      <c r="IP63" s="226"/>
      <c r="IQ63" s="226"/>
      <c r="IR63" s="226"/>
      <c r="IS63" s="226"/>
      <c r="IT63" s="226"/>
      <c r="IU63" s="226"/>
      <c r="IV63" s="226"/>
      <c r="IW63" s="226"/>
    </row>
    <row r="64" customFormat="false" ht="23.25" hidden="false" customHeight="false" outlineLevel="0" collapsed="false">
      <c r="A64" s="226"/>
      <c r="B64" s="226"/>
      <c r="C64" s="307"/>
      <c r="D64" s="226"/>
      <c r="F64" s="226"/>
      <c r="G64" s="219"/>
      <c r="H64" s="308"/>
      <c r="I64" s="309"/>
      <c r="J64" s="309"/>
      <c r="K64" s="221"/>
      <c r="L64" s="308"/>
      <c r="M64" s="309"/>
      <c r="N64" s="308"/>
      <c r="O64" s="222"/>
      <c r="P64" s="222"/>
      <c r="Q64" s="226"/>
      <c r="R64" s="226"/>
      <c r="S64" s="226"/>
      <c r="T64" s="226"/>
      <c r="U64" s="226"/>
      <c r="V64" s="226"/>
      <c r="W64" s="226"/>
      <c r="AC64" s="226"/>
      <c r="AF64" s="117"/>
      <c r="AR64" s="308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6"/>
      <c r="BN64" s="226"/>
      <c r="BO64" s="226"/>
      <c r="BP64" s="226"/>
      <c r="BQ64" s="226"/>
      <c r="BR64" s="226"/>
      <c r="BS64" s="226"/>
      <c r="BT64" s="226"/>
      <c r="BU64" s="226"/>
      <c r="BV64" s="226"/>
      <c r="BW64" s="226"/>
      <c r="BX64" s="226"/>
      <c r="BY64" s="226"/>
      <c r="BZ64" s="226"/>
      <c r="CA64" s="226"/>
      <c r="CB64" s="226"/>
      <c r="CC64" s="226"/>
      <c r="CD64" s="226"/>
      <c r="CE64" s="226"/>
      <c r="CF64" s="226"/>
      <c r="CG64" s="226"/>
      <c r="CH64" s="226"/>
      <c r="CI64" s="226"/>
      <c r="CJ64" s="226"/>
      <c r="CK64" s="226"/>
      <c r="CL64" s="226"/>
      <c r="CM64" s="226"/>
      <c r="CN64" s="226"/>
      <c r="CO64" s="226"/>
      <c r="CP64" s="226"/>
      <c r="CQ64" s="226"/>
      <c r="CR64" s="226"/>
      <c r="CS64" s="226"/>
      <c r="CT64" s="226"/>
      <c r="CU64" s="226"/>
      <c r="CV64" s="226"/>
      <c r="CW64" s="226"/>
      <c r="CX64" s="226"/>
      <c r="CY64" s="226"/>
      <c r="CZ64" s="226"/>
      <c r="DA64" s="226"/>
      <c r="DB64" s="226"/>
      <c r="DC64" s="226"/>
      <c r="DD64" s="226"/>
      <c r="DE64" s="226"/>
      <c r="DF64" s="226"/>
      <c r="DG64" s="226"/>
      <c r="DH64" s="226"/>
      <c r="DI64" s="226"/>
      <c r="DJ64" s="226"/>
      <c r="DK64" s="226"/>
      <c r="DL64" s="226"/>
      <c r="DM64" s="226"/>
      <c r="DN64" s="226"/>
      <c r="DO64" s="226"/>
      <c r="DP64" s="226"/>
      <c r="DQ64" s="226"/>
      <c r="DR64" s="226"/>
      <c r="DS64" s="226"/>
      <c r="DT64" s="226"/>
      <c r="DU64" s="226"/>
      <c r="DV64" s="226"/>
      <c r="DW64" s="226"/>
      <c r="DX64" s="226"/>
      <c r="DY64" s="226"/>
      <c r="DZ64" s="226"/>
      <c r="EA64" s="226"/>
      <c r="EB64" s="226"/>
      <c r="EC64" s="226"/>
      <c r="ED64" s="226"/>
      <c r="EE64" s="226"/>
      <c r="EF64" s="226"/>
      <c r="EG64" s="226"/>
      <c r="EH64" s="226"/>
      <c r="EI64" s="226"/>
      <c r="EJ64" s="226"/>
      <c r="EK64" s="226"/>
      <c r="EL64" s="226"/>
      <c r="EM64" s="226"/>
      <c r="EN64" s="226"/>
      <c r="EO64" s="226"/>
      <c r="EP64" s="226"/>
      <c r="EQ64" s="226"/>
      <c r="ER64" s="226"/>
      <c r="ES64" s="226"/>
      <c r="ET64" s="226"/>
      <c r="EU64" s="226"/>
      <c r="EV64" s="226"/>
      <c r="EW64" s="226"/>
      <c r="EX64" s="226"/>
      <c r="EY64" s="226"/>
      <c r="EZ64" s="226"/>
      <c r="FA64" s="226"/>
      <c r="FB64" s="226"/>
      <c r="FC64" s="226"/>
      <c r="FD64" s="226"/>
      <c r="FE64" s="226"/>
      <c r="FF64" s="226"/>
      <c r="FG64" s="226"/>
      <c r="FH64" s="226"/>
      <c r="FI64" s="226"/>
      <c r="FJ64" s="226"/>
      <c r="FK64" s="226"/>
      <c r="FL64" s="226"/>
      <c r="FM64" s="226"/>
      <c r="FN64" s="226"/>
      <c r="FO64" s="226"/>
      <c r="FP64" s="226"/>
      <c r="FQ64" s="226"/>
      <c r="FR64" s="226"/>
      <c r="FS64" s="226"/>
      <c r="FT64" s="226"/>
      <c r="FU64" s="226"/>
      <c r="FV64" s="226"/>
      <c r="FW64" s="226"/>
      <c r="FX64" s="226"/>
      <c r="FY64" s="226"/>
      <c r="FZ64" s="226"/>
      <c r="GA64" s="226"/>
      <c r="GB64" s="226"/>
      <c r="GC64" s="226"/>
      <c r="GD64" s="226"/>
      <c r="GE64" s="226"/>
      <c r="GF64" s="226"/>
      <c r="GG64" s="226"/>
      <c r="GH64" s="226"/>
      <c r="GI64" s="226"/>
      <c r="GJ64" s="226"/>
      <c r="GK64" s="226"/>
      <c r="GL64" s="226"/>
      <c r="GM64" s="226"/>
      <c r="GN64" s="226"/>
      <c r="GO64" s="226"/>
      <c r="GP64" s="226"/>
      <c r="GQ64" s="226"/>
      <c r="GR64" s="226"/>
      <c r="GS64" s="226"/>
      <c r="GT64" s="226"/>
      <c r="GU64" s="226"/>
      <c r="GV64" s="226"/>
      <c r="GW64" s="226"/>
      <c r="GX64" s="226"/>
      <c r="GY64" s="226"/>
      <c r="GZ64" s="226"/>
      <c r="HA64" s="226"/>
      <c r="HB64" s="226"/>
      <c r="HC64" s="226"/>
      <c r="HD64" s="226"/>
      <c r="HE64" s="226"/>
      <c r="HF64" s="226"/>
      <c r="HG64" s="226"/>
      <c r="HH64" s="226"/>
      <c r="HI64" s="226"/>
      <c r="HJ64" s="226"/>
      <c r="HK64" s="226"/>
      <c r="HL64" s="226"/>
      <c r="HM64" s="226"/>
      <c r="HN64" s="226"/>
      <c r="HO64" s="226"/>
      <c r="HP64" s="226"/>
      <c r="HQ64" s="226"/>
      <c r="HR64" s="226"/>
      <c r="HS64" s="226"/>
      <c r="HT64" s="226"/>
      <c r="HU64" s="226"/>
      <c r="HV64" s="226"/>
      <c r="HW64" s="226"/>
      <c r="HX64" s="226"/>
      <c r="HY64" s="226"/>
      <c r="HZ64" s="226"/>
      <c r="IA64" s="226"/>
      <c r="IB64" s="226"/>
      <c r="IC64" s="226"/>
      <c r="ID64" s="226"/>
      <c r="IE64" s="226"/>
      <c r="IF64" s="226"/>
      <c r="IG64" s="226"/>
      <c r="IH64" s="226"/>
      <c r="II64" s="226"/>
      <c r="IJ64" s="226"/>
      <c r="IK64" s="226"/>
      <c r="IL64" s="226"/>
      <c r="IM64" s="226"/>
      <c r="IN64" s="226"/>
      <c r="IO64" s="226"/>
      <c r="IP64" s="226"/>
      <c r="IQ64" s="226"/>
      <c r="IR64" s="226"/>
      <c r="IS64" s="226"/>
      <c r="IT64" s="226"/>
      <c r="IU64" s="226"/>
      <c r="IV64" s="226"/>
      <c r="IW64" s="226"/>
    </row>
    <row r="65" customFormat="false" ht="23.25" hidden="false" customHeight="false" outlineLevel="0" collapsed="false">
      <c r="A65" s="226"/>
      <c r="B65" s="226"/>
      <c r="C65" s="307"/>
      <c r="D65" s="226"/>
      <c r="F65" s="226"/>
      <c r="G65" s="219"/>
      <c r="H65" s="226"/>
      <c r="I65" s="309"/>
      <c r="J65" s="309"/>
      <c r="K65" s="310"/>
      <c r="L65" s="226"/>
      <c r="M65" s="309"/>
      <c r="N65" s="226"/>
      <c r="O65" s="311"/>
      <c r="P65" s="311"/>
      <c r="Q65" s="226"/>
      <c r="R65" s="226"/>
      <c r="S65" s="226"/>
      <c r="T65" s="226"/>
      <c r="U65" s="226"/>
      <c r="V65" s="226"/>
      <c r="W65" s="226"/>
      <c r="X65" s="312"/>
      <c r="Y65" s="312"/>
      <c r="Z65" s="312"/>
      <c r="AA65" s="312"/>
      <c r="AB65" s="312"/>
      <c r="AC65" s="226"/>
      <c r="AF65" s="117"/>
      <c r="AR65" s="308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6"/>
      <c r="BN65" s="226"/>
      <c r="BO65" s="226"/>
      <c r="BP65" s="226"/>
      <c r="BQ65" s="226"/>
      <c r="BR65" s="226"/>
      <c r="BS65" s="226"/>
      <c r="BT65" s="226"/>
      <c r="BU65" s="226"/>
      <c r="BV65" s="226"/>
      <c r="BW65" s="226"/>
      <c r="BX65" s="226"/>
      <c r="BY65" s="226"/>
      <c r="BZ65" s="226"/>
      <c r="CA65" s="226"/>
      <c r="CB65" s="226"/>
      <c r="CC65" s="226"/>
      <c r="CD65" s="226"/>
      <c r="CE65" s="226"/>
      <c r="CF65" s="226"/>
      <c r="CG65" s="226"/>
      <c r="CH65" s="226"/>
      <c r="CI65" s="226"/>
      <c r="CJ65" s="226"/>
      <c r="CK65" s="226"/>
      <c r="CL65" s="226"/>
      <c r="CM65" s="226"/>
      <c r="CN65" s="226"/>
      <c r="CO65" s="226"/>
      <c r="CP65" s="226"/>
      <c r="CQ65" s="226"/>
      <c r="CR65" s="226"/>
      <c r="CS65" s="226"/>
      <c r="CT65" s="226"/>
      <c r="CU65" s="226"/>
      <c r="CV65" s="226"/>
      <c r="CW65" s="226"/>
      <c r="CX65" s="226"/>
      <c r="CY65" s="226"/>
      <c r="CZ65" s="226"/>
      <c r="DA65" s="226"/>
      <c r="DB65" s="226"/>
      <c r="DC65" s="226"/>
      <c r="DD65" s="226"/>
      <c r="DE65" s="226"/>
      <c r="DF65" s="226"/>
      <c r="DG65" s="226"/>
      <c r="DH65" s="226"/>
      <c r="DI65" s="226"/>
      <c r="DJ65" s="226"/>
      <c r="DK65" s="226"/>
      <c r="DL65" s="226"/>
      <c r="DM65" s="226"/>
      <c r="DN65" s="226"/>
      <c r="DO65" s="226"/>
      <c r="DP65" s="226"/>
      <c r="DQ65" s="226"/>
      <c r="DR65" s="226"/>
      <c r="DS65" s="226"/>
      <c r="DT65" s="226"/>
      <c r="DU65" s="226"/>
      <c r="DV65" s="226"/>
      <c r="DW65" s="226"/>
      <c r="DX65" s="226"/>
      <c r="DY65" s="226"/>
      <c r="DZ65" s="226"/>
      <c r="EA65" s="226"/>
      <c r="EB65" s="226"/>
      <c r="EC65" s="226"/>
      <c r="ED65" s="226"/>
      <c r="EE65" s="226"/>
      <c r="EF65" s="226"/>
      <c r="EG65" s="226"/>
      <c r="EH65" s="226"/>
      <c r="EI65" s="226"/>
      <c r="EJ65" s="226"/>
      <c r="EK65" s="226"/>
      <c r="EL65" s="226"/>
      <c r="EM65" s="226"/>
      <c r="EN65" s="226"/>
      <c r="EO65" s="226"/>
      <c r="EP65" s="226"/>
      <c r="EQ65" s="226"/>
      <c r="ER65" s="226"/>
      <c r="ES65" s="226"/>
      <c r="ET65" s="226"/>
      <c r="EU65" s="226"/>
      <c r="EV65" s="226"/>
      <c r="EW65" s="226"/>
      <c r="EX65" s="226"/>
      <c r="EY65" s="226"/>
      <c r="EZ65" s="226"/>
      <c r="FA65" s="226"/>
      <c r="FB65" s="226"/>
      <c r="FC65" s="226"/>
      <c r="FD65" s="226"/>
      <c r="FE65" s="226"/>
      <c r="FF65" s="226"/>
      <c r="FG65" s="226"/>
      <c r="FH65" s="226"/>
      <c r="FI65" s="226"/>
      <c r="FJ65" s="226"/>
      <c r="FK65" s="226"/>
      <c r="FL65" s="226"/>
      <c r="FM65" s="226"/>
      <c r="FN65" s="226"/>
      <c r="FO65" s="226"/>
      <c r="FP65" s="226"/>
      <c r="FQ65" s="226"/>
      <c r="FR65" s="226"/>
      <c r="FS65" s="226"/>
      <c r="FT65" s="226"/>
      <c r="FU65" s="226"/>
      <c r="FV65" s="226"/>
      <c r="FW65" s="226"/>
      <c r="FX65" s="226"/>
      <c r="FY65" s="226"/>
      <c r="FZ65" s="226"/>
      <c r="GA65" s="226"/>
      <c r="GB65" s="226"/>
      <c r="GC65" s="226"/>
      <c r="GD65" s="226"/>
      <c r="GE65" s="226"/>
      <c r="GF65" s="226"/>
      <c r="GG65" s="226"/>
      <c r="GH65" s="226"/>
      <c r="GI65" s="226"/>
      <c r="GJ65" s="226"/>
      <c r="GK65" s="226"/>
      <c r="GL65" s="226"/>
      <c r="GM65" s="226"/>
      <c r="GN65" s="226"/>
      <c r="GO65" s="226"/>
      <c r="GP65" s="226"/>
      <c r="GQ65" s="226"/>
      <c r="GR65" s="226"/>
      <c r="GS65" s="226"/>
      <c r="GT65" s="226"/>
      <c r="GU65" s="226"/>
      <c r="GV65" s="226"/>
      <c r="GW65" s="226"/>
      <c r="GX65" s="226"/>
      <c r="GY65" s="226"/>
      <c r="GZ65" s="226"/>
      <c r="HA65" s="226"/>
      <c r="HB65" s="226"/>
      <c r="HC65" s="226"/>
      <c r="HD65" s="226"/>
      <c r="HE65" s="226"/>
      <c r="HF65" s="226"/>
      <c r="HG65" s="226"/>
      <c r="HH65" s="226"/>
      <c r="HI65" s="226"/>
      <c r="HJ65" s="226"/>
      <c r="HK65" s="226"/>
      <c r="HL65" s="226"/>
      <c r="HM65" s="226"/>
      <c r="HN65" s="226"/>
      <c r="HO65" s="226"/>
      <c r="HP65" s="226"/>
      <c r="HQ65" s="226"/>
      <c r="HR65" s="226"/>
      <c r="HS65" s="226"/>
      <c r="HT65" s="226"/>
      <c r="HU65" s="226"/>
      <c r="HV65" s="226"/>
      <c r="HW65" s="226"/>
      <c r="HX65" s="226"/>
      <c r="HY65" s="226"/>
      <c r="HZ65" s="226"/>
      <c r="IA65" s="226"/>
      <c r="IB65" s="226"/>
      <c r="IC65" s="226"/>
      <c r="ID65" s="226"/>
      <c r="IE65" s="226"/>
      <c r="IF65" s="226"/>
      <c r="IG65" s="226"/>
      <c r="IH65" s="226"/>
      <c r="II65" s="226"/>
      <c r="IJ65" s="226"/>
      <c r="IK65" s="226"/>
      <c r="IL65" s="226"/>
      <c r="IM65" s="226"/>
      <c r="IN65" s="226"/>
      <c r="IO65" s="226"/>
      <c r="IP65" s="226"/>
      <c r="IQ65" s="226"/>
      <c r="IR65" s="226"/>
      <c r="IS65" s="226"/>
      <c r="IT65" s="226"/>
      <c r="IU65" s="226"/>
      <c r="IV65" s="226"/>
      <c r="IW65" s="226"/>
    </row>
    <row r="66" customFormat="false" ht="23.25" hidden="false" customHeight="false" outlineLevel="0" collapsed="false">
      <c r="A66" s="226"/>
      <c r="B66" s="226"/>
      <c r="C66" s="307"/>
      <c r="D66" s="226"/>
      <c r="F66" s="226"/>
      <c r="G66" s="219"/>
      <c r="H66" s="226"/>
      <c r="I66" s="309"/>
      <c r="J66" s="309"/>
      <c r="K66" s="310"/>
      <c r="L66" s="226"/>
      <c r="M66" s="309"/>
      <c r="N66" s="226"/>
      <c r="O66" s="7"/>
      <c r="Q66" s="226"/>
      <c r="R66" s="226"/>
      <c r="S66" s="226"/>
      <c r="T66" s="226"/>
      <c r="U66" s="226"/>
      <c r="V66" s="226"/>
      <c r="W66" s="226"/>
      <c r="X66" s="312"/>
      <c r="Y66" s="312"/>
      <c r="Z66" s="312"/>
      <c r="AA66" s="312"/>
      <c r="AB66" s="312"/>
      <c r="AC66" s="226"/>
      <c r="AF66" s="117"/>
      <c r="AR66" s="308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6"/>
      <c r="BN66" s="226"/>
      <c r="BO66" s="226"/>
      <c r="BP66" s="226"/>
      <c r="BQ66" s="226"/>
      <c r="BR66" s="226"/>
      <c r="BS66" s="226"/>
      <c r="BT66" s="226"/>
      <c r="BU66" s="226"/>
      <c r="BV66" s="226"/>
      <c r="BW66" s="226"/>
      <c r="BX66" s="226"/>
      <c r="BY66" s="226"/>
      <c r="BZ66" s="226"/>
      <c r="CA66" s="226"/>
      <c r="CB66" s="226"/>
      <c r="CC66" s="226"/>
      <c r="CD66" s="226"/>
      <c r="CE66" s="226"/>
      <c r="CF66" s="226"/>
      <c r="CG66" s="226"/>
      <c r="CH66" s="226"/>
      <c r="CI66" s="226"/>
      <c r="CJ66" s="226"/>
      <c r="CK66" s="226"/>
      <c r="CL66" s="226"/>
      <c r="CM66" s="226"/>
      <c r="CN66" s="226"/>
      <c r="CO66" s="226"/>
      <c r="CP66" s="226"/>
      <c r="CQ66" s="226"/>
      <c r="CR66" s="226"/>
      <c r="CS66" s="226"/>
      <c r="CT66" s="226"/>
      <c r="CU66" s="226"/>
      <c r="CV66" s="226"/>
      <c r="CW66" s="226"/>
      <c r="CX66" s="226"/>
      <c r="CY66" s="226"/>
      <c r="CZ66" s="226"/>
      <c r="DA66" s="226"/>
      <c r="DB66" s="226"/>
      <c r="DC66" s="226"/>
      <c r="DD66" s="226"/>
      <c r="DE66" s="226"/>
      <c r="DF66" s="226"/>
      <c r="DG66" s="226"/>
      <c r="DH66" s="226"/>
      <c r="DI66" s="226"/>
      <c r="DJ66" s="226"/>
      <c r="DK66" s="226"/>
      <c r="DL66" s="226"/>
      <c r="DM66" s="226"/>
      <c r="DN66" s="226"/>
      <c r="DO66" s="226"/>
      <c r="DP66" s="226"/>
      <c r="DQ66" s="226"/>
      <c r="DR66" s="226"/>
      <c r="DS66" s="226"/>
      <c r="DT66" s="226"/>
      <c r="DU66" s="226"/>
      <c r="DV66" s="226"/>
      <c r="DW66" s="226"/>
      <c r="DX66" s="226"/>
      <c r="DY66" s="226"/>
      <c r="DZ66" s="226"/>
      <c r="EA66" s="226"/>
      <c r="EB66" s="226"/>
      <c r="EC66" s="226"/>
      <c r="ED66" s="226"/>
      <c r="EE66" s="226"/>
      <c r="EF66" s="226"/>
      <c r="EG66" s="226"/>
      <c r="EH66" s="226"/>
      <c r="EI66" s="226"/>
      <c r="EJ66" s="226"/>
      <c r="EK66" s="226"/>
      <c r="EL66" s="226"/>
      <c r="EM66" s="226"/>
      <c r="EN66" s="226"/>
      <c r="EO66" s="226"/>
      <c r="EP66" s="226"/>
      <c r="EQ66" s="226"/>
      <c r="ER66" s="226"/>
      <c r="ES66" s="226"/>
      <c r="ET66" s="226"/>
      <c r="EU66" s="226"/>
      <c r="EV66" s="226"/>
      <c r="EW66" s="226"/>
      <c r="EX66" s="226"/>
      <c r="EY66" s="226"/>
      <c r="EZ66" s="226"/>
      <c r="FA66" s="226"/>
      <c r="FB66" s="226"/>
      <c r="FC66" s="226"/>
      <c r="FD66" s="226"/>
      <c r="FE66" s="226"/>
      <c r="FF66" s="226"/>
      <c r="FG66" s="226"/>
      <c r="FH66" s="226"/>
      <c r="FI66" s="226"/>
      <c r="FJ66" s="226"/>
      <c r="FK66" s="226"/>
      <c r="FL66" s="226"/>
      <c r="FM66" s="226"/>
      <c r="FN66" s="226"/>
      <c r="FO66" s="226"/>
      <c r="FP66" s="226"/>
      <c r="FQ66" s="226"/>
      <c r="FR66" s="226"/>
      <c r="FS66" s="226"/>
      <c r="FT66" s="226"/>
      <c r="FU66" s="226"/>
      <c r="FV66" s="226"/>
      <c r="FW66" s="226"/>
      <c r="FX66" s="226"/>
      <c r="FY66" s="226"/>
      <c r="FZ66" s="226"/>
      <c r="GA66" s="226"/>
      <c r="GB66" s="226"/>
      <c r="GC66" s="226"/>
      <c r="GD66" s="226"/>
      <c r="GE66" s="226"/>
      <c r="GF66" s="226"/>
      <c r="GG66" s="226"/>
      <c r="GH66" s="226"/>
      <c r="GI66" s="226"/>
      <c r="GJ66" s="226"/>
      <c r="GK66" s="226"/>
      <c r="GL66" s="226"/>
      <c r="GM66" s="226"/>
      <c r="GN66" s="226"/>
      <c r="GO66" s="226"/>
      <c r="GP66" s="226"/>
      <c r="GQ66" s="226"/>
      <c r="GR66" s="226"/>
      <c r="GS66" s="226"/>
      <c r="GT66" s="226"/>
      <c r="GU66" s="226"/>
      <c r="GV66" s="226"/>
      <c r="GW66" s="226"/>
      <c r="GX66" s="226"/>
      <c r="GY66" s="226"/>
      <c r="GZ66" s="226"/>
      <c r="HA66" s="226"/>
      <c r="HB66" s="226"/>
      <c r="HC66" s="226"/>
      <c r="HD66" s="226"/>
      <c r="HE66" s="226"/>
      <c r="HF66" s="226"/>
      <c r="HG66" s="226"/>
      <c r="HH66" s="226"/>
      <c r="HI66" s="226"/>
      <c r="HJ66" s="226"/>
      <c r="HK66" s="226"/>
      <c r="HL66" s="226"/>
      <c r="HM66" s="226"/>
      <c r="HN66" s="226"/>
      <c r="HO66" s="226"/>
      <c r="HP66" s="226"/>
      <c r="HQ66" s="226"/>
      <c r="HR66" s="226"/>
      <c r="HS66" s="226"/>
      <c r="HT66" s="226"/>
      <c r="HU66" s="226"/>
      <c r="HV66" s="226"/>
      <c r="HW66" s="226"/>
      <c r="HX66" s="226"/>
      <c r="HY66" s="226"/>
      <c r="HZ66" s="226"/>
      <c r="IA66" s="226"/>
      <c r="IB66" s="226"/>
      <c r="IC66" s="226"/>
      <c r="ID66" s="226"/>
      <c r="IE66" s="226"/>
      <c r="IF66" s="226"/>
      <c r="IG66" s="226"/>
      <c r="IH66" s="226"/>
      <c r="II66" s="226"/>
      <c r="IJ66" s="226"/>
      <c r="IK66" s="226"/>
      <c r="IL66" s="226"/>
      <c r="IM66" s="226"/>
      <c r="IN66" s="226"/>
      <c r="IO66" s="226"/>
      <c r="IP66" s="226"/>
      <c r="IQ66" s="226"/>
      <c r="IR66" s="226"/>
      <c r="IS66" s="226"/>
      <c r="IT66" s="226"/>
      <c r="IU66" s="226"/>
      <c r="IV66" s="226"/>
      <c r="IW66" s="226"/>
    </row>
    <row r="67" customFormat="false" ht="23.25" hidden="false" customHeight="false" outlineLevel="0" collapsed="false">
      <c r="O67" s="313"/>
      <c r="P67" s="314"/>
      <c r="X67" s="312"/>
      <c r="Y67" s="312"/>
      <c r="Z67" s="312"/>
      <c r="AA67" s="312"/>
      <c r="AB67" s="312"/>
      <c r="AE67" s="315"/>
      <c r="AF67" s="117"/>
      <c r="AG67" s="315"/>
      <c r="AH67" s="315"/>
      <c r="AI67" s="315"/>
      <c r="AJ67" s="315"/>
      <c r="AK67" s="315"/>
      <c r="AL67" s="315"/>
      <c r="AM67" s="315"/>
      <c r="AN67" s="315"/>
      <c r="AO67" s="315"/>
      <c r="AR67" s="204"/>
      <c r="AT67" s="226"/>
      <c r="AU67" s="226"/>
      <c r="AV67" s="226"/>
      <c r="AX67" s="226"/>
      <c r="AY67" s="226"/>
      <c r="AZ67" s="226"/>
      <c r="BC67" s="316"/>
    </row>
    <row r="68" customFormat="false" ht="23.25" hidden="false" customHeight="false" outlineLevel="0" collapsed="false">
      <c r="O68" s="313"/>
      <c r="P68" s="314"/>
      <c r="X68" s="312"/>
      <c r="Y68" s="312"/>
      <c r="Z68" s="312"/>
      <c r="AA68" s="312"/>
      <c r="AB68" s="312"/>
      <c r="AE68" s="315"/>
      <c r="AF68" s="117"/>
      <c r="AG68" s="315"/>
      <c r="AH68" s="315"/>
      <c r="AI68" s="315"/>
      <c r="AJ68" s="315"/>
      <c r="AK68" s="315"/>
      <c r="AL68" s="315"/>
      <c r="AM68" s="315"/>
      <c r="AN68" s="315"/>
      <c r="AO68" s="315"/>
      <c r="AR68" s="204"/>
      <c r="AT68" s="226"/>
      <c r="AU68" s="226"/>
      <c r="AV68" s="226"/>
      <c r="AX68" s="226"/>
      <c r="AY68" s="226"/>
      <c r="AZ68" s="226"/>
      <c r="BC68" s="316"/>
    </row>
    <row r="69" customFormat="false" ht="23.25" hidden="false" customHeight="false" outlineLevel="0" collapsed="false">
      <c r="O69" s="313"/>
      <c r="P69" s="314"/>
      <c r="X69" s="312"/>
      <c r="Y69" s="312"/>
      <c r="Z69" s="312"/>
      <c r="AA69" s="312"/>
      <c r="AB69" s="312"/>
      <c r="AE69" s="315"/>
      <c r="AF69" s="117"/>
      <c r="AG69" s="315"/>
      <c r="AH69" s="315"/>
      <c r="AI69" s="315"/>
      <c r="AJ69" s="315"/>
      <c r="AK69" s="315"/>
      <c r="AL69" s="315"/>
      <c r="AM69" s="315"/>
      <c r="AN69" s="315"/>
      <c r="AO69" s="315"/>
      <c r="AR69" s="216"/>
      <c r="AT69" s="226"/>
      <c r="AU69" s="226"/>
      <c r="AV69" s="226"/>
      <c r="AX69" s="226"/>
      <c r="AY69" s="226"/>
      <c r="AZ69" s="226"/>
      <c r="BC69" s="316"/>
    </row>
    <row r="70" customFormat="false" ht="23.25" hidden="false" customHeight="false" outlineLevel="0" collapsed="false">
      <c r="O70" s="313"/>
      <c r="P70" s="314"/>
      <c r="X70" s="312"/>
      <c r="Y70" s="312"/>
      <c r="Z70" s="312"/>
      <c r="AA70" s="312"/>
      <c r="AB70" s="312"/>
      <c r="AE70" s="315"/>
      <c r="AF70" s="117"/>
      <c r="AG70" s="315"/>
      <c r="AH70" s="315"/>
      <c r="AI70" s="315"/>
      <c r="AJ70" s="315"/>
      <c r="AK70" s="315"/>
      <c r="AL70" s="315"/>
      <c r="AM70" s="315"/>
      <c r="AN70" s="315"/>
      <c r="AO70" s="315"/>
      <c r="AR70" s="216"/>
      <c r="AT70" s="226"/>
      <c r="AU70" s="226"/>
      <c r="AV70" s="226"/>
      <c r="AX70" s="226"/>
      <c r="AY70" s="226"/>
      <c r="AZ70" s="226"/>
      <c r="BC70" s="316"/>
    </row>
    <row r="71" customFormat="false" ht="23.25" hidden="false" customHeight="false" outlineLevel="0" collapsed="false">
      <c r="O71" s="313"/>
      <c r="P71" s="314"/>
      <c r="X71" s="312"/>
      <c r="Y71" s="312"/>
      <c r="Z71" s="312"/>
      <c r="AA71" s="312"/>
      <c r="AB71" s="312"/>
      <c r="AE71" s="315"/>
      <c r="AF71" s="117"/>
      <c r="AG71" s="315"/>
      <c r="AH71" s="315"/>
      <c r="AI71" s="315"/>
      <c r="AJ71" s="315"/>
      <c r="AK71" s="315"/>
      <c r="AL71" s="315"/>
      <c r="AM71" s="315"/>
      <c r="AN71" s="315"/>
      <c r="AO71" s="315"/>
      <c r="AR71" s="216"/>
      <c r="AT71" s="226"/>
      <c r="AU71" s="226"/>
      <c r="AV71" s="226"/>
      <c r="AX71" s="226"/>
      <c r="AY71" s="226"/>
      <c r="AZ71" s="226"/>
      <c r="BC71" s="316"/>
    </row>
    <row r="72" customFormat="false" ht="23.25" hidden="false" customHeight="false" outlineLevel="0" collapsed="false">
      <c r="O72" s="313"/>
      <c r="P72" s="314"/>
      <c r="X72" s="312"/>
      <c r="Y72" s="312"/>
      <c r="Z72" s="312"/>
      <c r="AA72" s="312"/>
      <c r="AB72" s="312"/>
      <c r="AE72" s="315"/>
      <c r="AF72" s="117"/>
      <c r="AG72" s="315"/>
      <c r="AH72" s="315"/>
      <c r="AI72" s="315"/>
      <c r="AJ72" s="315"/>
      <c r="AK72" s="315"/>
      <c r="AL72" s="315"/>
      <c r="AM72" s="315"/>
      <c r="AN72" s="315"/>
      <c r="AO72" s="315"/>
      <c r="AR72" s="216"/>
      <c r="AT72" s="226"/>
      <c r="AU72" s="226"/>
      <c r="AV72" s="226"/>
      <c r="AX72" s="226"/>
      <c r="AY72" s="226"/>
      <c r="AZ72" s="226"/>
      <c r="BC72" s="316"/>
    </row>
    <row r="73" customFormat="false" ht="23.25" hidden="false" customHeight="false" outlineLevel="0" collapsed="false">
      <c r="O73" s="313"/>
      <c r="P73" s="314"/>
      <c r="X73" s="312"/>
      <c r="Y73" s="312"/>
      <c r="Z73" s="312"/>
      <c r="AA73" s="312"/>
      <c r="AB73" s="312"/>
      <c r="AE73" s="315"/>
      <c r="AF73" s="117"/>
      <c r="AG73" s="315"/>
      <c r="AH73" s="315"/>
      <c r="AI73" s="315"/>
      <c r="AJ73" s="315"/>
      <c r="AK73" s="315"/>
      <c r="AL73" s="315"/>
      <c r="AM73" s="315"/>
      <c r="AN73" s="315"/>
      <c r="AO73" s="315"/>
      <c r="AR73" s="216"/>
      <c r="AT73" s="226"/>
      <c r="AU73" s="226"/>
      <c r="AV73" s="226"/>
      <c r="AX73" s="226"/>
      <c r="AY73" s="226"/>
      <c r="AZ73" s="226"/>
      <c r="BC73" s="316"/>
    </row>
    <row r="74" customFormat="false" ht="23.25" hidden="false" customHeight="false" outlineLevel="0" collapsed="false">
      <c r="O74" s="313"/>
      <c r="P74" s="314"/>
      <c r="X74" s="312"/>
      <c r="Y74" s="312"/>
      <c r="Z74" s="312"/>
      <c r="AA74" s="312"/>
      <c r="AB74" s="312"/>
      <c r="AE74" s="315"/>
      <c r="AF74" s="117"/>
      <c r="AG74" s="315"/>
      <c r="AH74" s="315"/>
      <c r="AI74" s="315"/>
      <c r="AJ74" s="315"/>
      <c r="AK74" s="315"/>
      <c r="AL74" s="315"/>
      <c r="AM74" s="315"/>
      <c r="AN74" s="315"/>
      <c r="AO74" s="315"/>
      <c r="AR74" s="216"/>
      <c r="AT74" s="226"/>
      <c r="AU74" s="226"/>
      <c r="AV74" s="226"/>
      <c r="AX74" s="226"/>
      <c r="AY74" s="226"/>
      <c r="AZ74" s="226"/>
      <c r="BC74" s="316"/>
    </row>
    <row r="75" customFormat="false" ht="18" hidden="false" customHeight="false" outlineLevel="0" collapsed="false">
      <c r="O75" s="313"/>
      <c r="P75" s="314"/>
      <c r="X75" s="312"/>
      <c r="Y75" s="312"/>
      <c r="Z75" s="312"/>
      <c r="AA75" s="312"/>
      <c r="AB75" s="312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R75" s="216"/>
      <c r="AT75" s="226"/>
      <c r="AU75" s="226"/>
      <c r="AV75" s="226"/>
      <c r="AX75" s="226"/>
      <c r="AY75" s="226"/>
      <c r="AZ75" s="226"/>
      <c r="BC75" s="316"/>
    </row>
    <row r="76" customFormat="false" ht="18" hidden="false" customHeight="false" outlineLevel="0" collapsed="false">
      <c r="O76" s="313"/>
      <c r="P76" s="314"/>
      <c r="X76" s="312"/>
      <c r="Y76" s="312"/>
      <c r="Z76" s="312"/>
      <c r="AA76" s="312"/>
      <c r="AB76" s="312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R76" s="216"/>
      <c r="AT76" s="226"/>
      <c r="AU76" s="226"/>
      <c r="AV76" s="226"/>
      <c r="AX76" s="226"/>
      <c r="AY76" s="226"/>
      <c r="AZ76" s="226"/>
      <c r="BC76" s="316"/>
    </row>
    <row r="77" customFormat="false" ht="18" hidden="false" customHeight="false" outlineLevel="0" collapsed="false">
      <c r="O77" s="313"/>
      <c r="P77" s="314"/>
      <c r="X77" s="312"/>
      <c r="Y77" s="312"/>
      <c r="Z77" s="312"/>
      <c r="AA77" s="312"/>
      <c r="AB77" s="312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R77" s="216"/>
      <c r="AT77" s="226"/>
      <c r="AU77" s="226"/>
      <c r="AV77" s="226"/>
      <c r="AX77" s="226"/>
      <c r="AY77" s="226"/>
      <c r="AZ77" s="226"/>
      <c r="BC77" s="316"/>
    </row>
    <row r="78" customFormat="false" ht="18" hidden="false" customHeight="false" outlineLevel="0" collapsed="false">
      <c r="O78" s="313"/>
      <c r="P78" s="314"/>
      <c r="X78" s="312"/>
      <c r="Y78" s="312"/>
      <c r="Z78" s="312"/>
      <c r="AA78" s="312"/>
      <c r="AB78" s="312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R78" s="216"/>
      <c r="AT78" s="226"/>
      <c r="AU78" s="226"/>
      <c r="AV78" s="226"/>
      <c r="AX78" s="226"/>
      <c r="AY78" s="226"/>
      <c r="AZ78" s="226"/>
      <c r="BC78" s="316"/>
    </row>
    <row r="79" customFormat="false" ht="18" hidden="false" customHeight="false" outlineLevel="0" collapsed="false">
      <c r="O79" s="313"/>
      <c r="P79" s="314"/>
      <c r="X79" s="312"/>
      <c r="Y79" s="312"/>
      <c r="Z79" s="312"/>
      <c r="AA79" s="312"/>
      <c r="AB79" s="312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R79" s="216"/>
      <c r="AT79" s="226"/>
      <c r="AU79" s="226"/>
      <c r="AV79" s="226"/>
      <c r="AX79" s="226"/>
      <c r="AY79" s="226"/>
      <c r="AZ79" s="226"/>
      <c r="BC79" s="316"/>
    </row>
    <row r="80" customFormat="false" ht="18" hidden="false" customHeight="false" outlineLevel="0" collapsed="false">
      <c r="V80" s="312"/>
      <c r="W80" s="312"/>
      <c r="X80" s="312"/>
      <c r="Y80" s="312"/>
      <c r="Z80" s="312"/>
      <c r="AA80" s="312"/>
      <c r="AB80" s="312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R80" s="216"/>
      <c r="AT80" s="226"/>
      <c r="AU80" s="226"/>
      <c r="AV80" s="226"/>
      <c r="AX80" s="226"/>
      <c r="AY80" s="226"/>
      <c r="AZ80" s="226"/>
    </row>
    <row r="81" customFormat="false" ht="18" hidden="false" customHeight="false" outlineLevel="0" collapsed="false">
      <c r="V81" s="312"/>
      <c r="W81" s="312"/>
      <c r="X81" s="312"/>
      <c r="Y81" s="312"/>
      <c r="Z81" s="312"/>
      <c r="AA81" s="312"/>
      <c r="AB81" s="312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R81" s="216"/>
      <c r="AT81" s="226"/>
      <c r="AU81" s="226"/>
      <c r="AV81" s="226"/>
      <c r="AX81" s="226"/>
      <c r="AY81" s="226"/>
      <c r="AZ81" s="226"/>
    </row>
    <row r="82" customFormat="false" ht="18" hidden="false" customHeight="false" outlineLevel="0" collapsed="false">
      <c r="V82" s="312"/>
      <c r="W82" s="312"/>
      <c r="X82" s="312"/>
      <c r="Y82" s="312"/>
      <c r="Z82" s="312"/>
      <c r="AA82" s="312"/>
      <c r="AB82" s="312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R82" s="216"/>
      <c r="AT82" s="226"/>
      <c r="AU82" s="226"/>
      <c r="AV82" s="226"/>
      <c r="AX82" s="226"/>
      <c r="AY82" s="226"/>
      <c r="AZ82" s="226"/>
    </row>
    <row r="83" customFormat="false" ht="18" hidden="false" customHeight="false" outlineLevel="0" collapsed="false">
      <c r="V83" s="312"/>
      <c r="W83" s="312"/>
      <c r="X83" s="312"/>
      <c r="Y83" s="312"/>
      <c r="Z83" s="312"/>
      <c r="AA83" s="312"/>
      <c r="AB83" s="312"/>
      <c r="AE83" s="315"/>
      <c r="AF83" s="315"/>
      <c r="AG83" s="315"/>
      <c r="AH83" s="315"/>
      <c r="AI83" s="315"/>
      <c r="AJ83" s="315"/>
      <c r="AK83" s="315"/>
      <c r="AL83" s="315"/>
      <c r="AM83" s="315"/>
      <c r="AN83" s="315"/>
      <c r="AO83" s="315"/>
      <c r="AR83" s="216"/>
      <c r="AT83" s="226"/>
      <c r="AU83" s="226"/>
      <c r="AV83" s="226"/>
      <c r="AX83" s="226"/>
      <c r="AY83" s="226"/>
      <c r="AZ83" s="226"/>
    </row>
    <row r="84" customFormat="false" ht="18" hidden="false" customHeight="false" outlineLevel="0" collapsed="false">
      <c r="V84" s="312"/>
      <c r="W84" s="312"/>
      <c r="X84" s="312"/>
      <c r="Y84" s="312"/>
      <c r="Z84" s="312"/>
      <c r="AA84" s="312"/>
      <c r="AB84" s="312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R84" s="216"/>
    </row>
    <row r="85" customFormat="false" ht="18" hidden="false" customHeight="false" outlineLevel="0" collapsed="false">
      <c r="V85" s="312"/>
      <c r="W85" s="312"/>
      <c r="X85" s="312"/>
      <c r="Y85" s="312"/>
      <c r="Z85" s="312"/>
      <c r="AA85" s="312"/>
      <c r="AB85" s="312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R85" s="216"/>
    </row>
    <row r="86" customFormat="false" ht="18" hidden="false" customHeight="false" outlineLevel="0" collapsed="false">
      <c r="V86" s="312"/>
      <c r="W86" s="312"/>
      <c r="X86" s="312"/>
      <c r="Y86" s="312"/>
      <c r="Z86" s="312"/>
      <c r="AA86" s="312"/>
      <c r="AB86" s="312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R86" s="216"/>
    </row>
    <row r="87" customFormat="false" ht="18" hidden="false" customHeight="false" outlineLevel="0" collapsed="false">
      <c r="V87" s="312"/>
      <c r="W87" s="312"/>
      <c r="X87" s="312"/>
      <c r="Y87" s="312"/>
      <c r="Z87" s="312"/>
      <c r="AA87" s="312"/>
      <c r="AB87" s="312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R87" s="216"/>
    </row>
    <row r="88" customFormat="false" ht="18" hidden="false" customHeight="false" outlineLevel="0" collapsed="false">
      <c r="V88" s="312"/>
      <c r="W88" s="312"/>
      <c r="X88" s="312"/>
      <c r="Y88" s="312"/>
      <c r="Z88" s="312"/>
      <c r="AA88" s="312"/>
      <c r="AB88" s="312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  <c r="AO88" s="315"/>
      <c r="AR88" s="216"/>
    </row>
    <row r="89" customFormat="false" ht="18" hidden="false" customHeight="false" outlineLevel="0" collapsed="false">
      <c r="V89" s="312"/>
      <c r="W89" s="312"/>
      <c r="X89" s="312"/>
      <c r="Y89" s="312"/>
      <c r="Z89" s="312"/>
      <c r="AA89" s="312"/>
      <c r="AB89" s="312"/>
      <c r="AE89" s="315"/>
      <c r="AF89" s="315"/>
      <c r="AG89" s="315"/>
      <c r="AH89" s="315"/>
      <c r="AI89" s="315"/>
      <c r="AJ89" s="315"/>
      <c r="AK89" s="315"/>
      <c r="AL89" s="315"/>
      <c r="AM89" s="315"/>
      <c r="AN89" s="315"/>
      <c r="AO89" s="315"/>
      <c r="AR89" s="216"/>
    </row>
    <row r="90" customFormat="false" ht="18" hidden="false" customHeight="false" outlineLevel="0" collapsed="false">
      <c r="V90" s="312"/>
      <c r="W90" s="312"/>
      <c r="X90" s="312"/>
      <c r="Y90" s="312"/>
      <c r="Z90" s="312"/>
      <c r="AA90" s="312"/>
      <c r="AB90" s="312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  <c r="AO90" s="315"/>
      <c r="AR90" s="216"/>
    </row>
    <row r="91" customFormat="false" ht="18" hidden="false" customHeight="false" outlineLevel="0" collapsed="false">
      <c r="V91" s="312"/>
      <c r="W91" s="312"/>
      <c r="X91" s="312"/>
      <c r="Y91" s="312"/>
      <c r="Z91" s="312"/>
      <c r="AA91" s="312"/>
      <c r="AB91" s="312"/>
      <c r="AE91" s="315"/>
      <c r="AF91" s="315"/>
      <c r="AG91" s="315"/>
      <c r="AH91" s="315"/>
      <c r="AI91" s="315"/>
      <c r="AJ91" s="315"/>
      <c r="AK91" s="315"/>
      <c r="AL91" s="315"/>
      <c r="AM91" s="315"/>
      <c r="AN91" s="315"/>
      <c r="AO91" s="315"/>
      <c r="AR91" s="216"/>
    </row>
    <row r="92" customFormat="false" ht="18" hidden="false" customHeight="false" outlineLevel="0" collapsed="false">
      <c r="V92" s="312"/>
      <c r="W92" s="312"/>
      <c r="X92" s="312"/>
      <c r="Y92" s="312"/>
      <c r="Z92" s="312"/>
      <c r="AA92" s="312"/>
      <c r="AB92" s="312"/>
      <c r="AE92" s="315"/>
      <c r="AF92" s="315"/>
      <c r="AG92" s="315"/>
      <c r="AH92" s="315"/>
      <c r="AI92" s="315"/>
      <c r="AJ92" s="315"/>
      <c r="AK92" s="315"/>
      <c r="AL92" s="315"/>
      <c r="AM92" s="315"/>
      <c r="AN92" s="315"/>
      <c r="AO92" s="315"/>
      <c r="AR92" s="216"/>
    </row>
    <row r="93" customFormat="false" ht="18" hidden="false" customHeight="false" outlineLevel="0" collapsed="false">
      <c r="V93" s="312"/>
      <c r="W93" s="312"/>
      <c r="X93" s="312"/>
      <c r="Y93" s="312"/>
      <c r="Z93" s="312"/>
      <c r="AA93" s="312"/>
      <c r="AB93" s="312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  <c r="AO93" s="315"/>
      <c r="AR93" s="216"/>
    </row>
    <row r="94" customFormat="false" ht="18" hidden="false" customHeight="false" outlineLevel="0" collapsed="false">
      <c r="V94" s="312"/>
      <c r="W94" s="312"/>
      <c r="X94" s="312"/>
      <c r="Y94" s="312"/>
      <c r="Z94" s="312"/>
      <c r="AA94" s="312"/>
      <c r="AB94" s="312"/>
      <c r="AE94" s="315"/>
      <c r="AF94" s="315"/>
      <c r="AG94" s="315"/>
      <c r="AH94" s="315"/>
      <c r="AI94" s="315"/>
      <c r="AJ94" s="315"/>
      <c r="AK94" s="315"/>
      <c r="AL94" s="315"/>
      <c r="AM94" s="315"/>
      <c r="AN94" s="315"/>
      <c r="AO94" s="315"/>
      <c r="AR94" s="216"/>
    </row>
    <row r="95" customFormat="false" ht="18" hidden="false" customHeight="false" outlineLevel="0" collapsed="false">
      <c r="V95" s="312"/>
      <c r="W95" s="312"/>
      <c r="X95" s="312"/>
      <c r="Y95" s="312"/>
      <c r="Z95" s="312"/>
      <c r="AA95" s="312"/>
      <c r="AB95" s="312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  <c r="AO95" s="315"/>
      <c r="AR95" s="216"/>
    </row>
    <row r="96" customFormat="false" ht="18" hidden="false" customHeight="false" outlineLevel="0" collapsed="false">
      <c r="V96" s="312"/>
      <c r="W96" s="312"/>
      <c r="X96" s="312"/>
      <c r="Y96" s="312"/>
      <c r="Z96" s="312"/>
      <c r="AA96" s="312"/>
      <c r="AB96" s="312"/>
      <c r="AE96" s="315"/>
      <c r="AF96" s="315"/>
      <c r="AG96" s="315"/>
      <c r="AH96" s="315"/>
      <c r="AI96" s="315"/>
      <c r="AJ96" s="315"/>
      <c r="AK96" s="315"/>
      <c r="AL96" s="315"/>
      <c r="AM96" s="315"/>
      <c r="AN96" s="315"/>
      <c r="AO96" s="315"/>
      <c r="AR96" s="216"/>
    </row>
    <row r="97" customFormat="false" ht="18" hidden="false" customHeight="false" outlineLevel="0" collapsed="false">
      <c r="V97" s="312"/>
      <c r="W97" s="312"/>
      <c r="X97" s="312"/>
      <c r="Y97" s="312"/>
      <c r="Z97" s="312"/>
      <c r="AA97" s="312"/>
      <c r="AB97" s="312"/>
      <c r="AE97" s="315"/>
      <c r="AF97" s="315"/>
      <c r="AG97" s="315"/>
      <c r="AH97" s="315"/>
      <c r="AI97" s="315"/>
      <c r="AJ97" s="315"/>
      <c r="AK97" s="315"/>
      <c r="AL97" s="315"/>
      <c r="AM97" s="315"/>
      <c r="AN97" s="315"/>
      <c r="AO97" s="315"/>
      <c r="AR97" s="216"/>
    </row>
    <row r="98" customFormat="false" ht="18" hidden="false" customHeight="false" outlineLevel="0" collapsed="false">
      <c r="V98" s="312"/>
      <c r="W98" s="312"/>
      <c r="X98" s="312"/>
      <c r="Y98" s="312"/>
      <c r="Z98" s="312"/>
      <c r="AA98" s="312"/>
      <c r="AB98" s="312"/>
      <c r="AE98" s="315"/>
      <c r="AF98" s="315"/>
      <c r="AG98" s="315"/>
      <c r="AH98" s="315"/>
      <c r="AI98" s="315"/>
      <c r="AJ98" s="315"/>
      <c r="AK98" s="315"/>
      <c r="AL98" s="315"/>
      <c r="AM98" s="315"/>
      <c r="AN98" s="315"/>
      <c r="AO98" s="315"/>
      <c r="AR98" s="216"/>
    </row>
    <row r="99" customFormat="false" ht="18" hidden="false" customHeight="false" outlineLevel="0" collapsed="false">
      <c r="AE99" s="315"/>
      <c r="AF99" s="315"/>
      <c r="AG99" s="315"/>
      <c r="AH99" s="315"/>
      <c r="AI99" s="315"/>
      <c r="AJ99" s="315"/>
      <c r="AK99" s="315"/>
      <c r="AL99" s="315"/>
      <c r="AM99" s="315"/>
      <c r="AN99" s="315"/>
      <c r="AO99" s="315"/>
      <c r="AR99" s="216"/>
    </row>
    <row r="100" customFormat="false" ht="18" hidden="false" customHeight="false" outlineLevel="0" collapsed="false">
      <c r="AE100" s="315"/>
      <c r="AF100" s="315"/>
      <c r="AG100" s="315"/>
      <c r="AH100" s="315"/>
      <c r="AI100" s="315"/>
      <c r="AJ100" s="315"/>
      <c r="AK100" s="315"/>
      <c r="AL100" s="315"/>
      <c r="AM100" s="315"/>
      <c r="AN100" s="315"/>
      <c r="AO100" s="315"/>
      <c r="AR100" s="216"/>
    </row>
    <row r="101" customFormat="false" ht="18" hidden="false" customHeight="false" outlineLevel="0" collapsed="false">
      <c r="AE101" s="315"/>
      <c r="AF101" s="315"/>
      <c r="AG101" s="315"/>
      <c r="AH101" s="315"/>
      <c r="AI101" s="315"/>
      <c r="AJ101" s="315"/>
      <c r="AK101" s="315"/>
      <c r="AL101" s="315"/>
      <c r="AM101" s="315"/>
      <c r="AN101" s="315"/>
      <c r="AO101" s="315"/>
      <c r="AR101" s="216"/>
    </row>
    <row r="102" customFormat="false" ht="18" hidden="false" customHeight="false" outlineLevel="0" collapsed="false"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  <c r="AO102" s="315"/>
      <c r="AR102" s="216"/>
    </row>
    <row r="103" customFormat="false" ht="18" hidden="false" customHeight="false" outlineLevel="0" collapsed="false">
      <c r="AE103" s="315"/>
      <c r="AF103" s="315"/>
      <c r="AG103" s="315"/>
      <c r="AH103" s="315"/>
      <c r="AI103" s="315"/>
      <c r="AJ103" s="315"/>
      <c r="AK103" s="315"/>
      <c r="AL103" s="315"/>
      <c r="AM103" s="315"/>
      <c r="AN103" s="315"/>
      <c r="AO103" s="315"/>
      <c r="AR103" s="216"/>
    </row>
    <row r="104" customFormat="false" ht="18" hidden="false" customHeight="false" outlineLevel="0" collapsed="false"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  <c r="AO104" s="315"/>
      <c r="AR104" s="216"/>
    </row>
    <row r="105" customFormat="false" ht="18" hidden="false" customHeight="false" outlineLevel="0" collapsed="false">
      <c r="AE105" s="315"/>
      <c r="AF105" s="315"/>
      <c r="AG105" s="315"/>
      <c r="AH105" s="315"/>
      <c r="AI105" s="315"/>
      <c r="AJ105" s="315"/>
      <c r="AK105" s="315"/>
      <c r="AL105" s="315"/>
      <c r="AM105" s="315"/>
      <c r="AN105" s="315"/>
      <c r="AO105" s="315"/>
      <c r="AR105" s="216"/>
    </row>
    <row r="106" customFormat="false" ht="18" hidden="false" customHeight="false" outlineLevel="0" collapsed="false">
      <c r="AE106" s="315"/>
      <c r="AF106" s="315"/>
      <c r="AG106" s="315"/>
      <c r="AH106" s="315"/>
      <c r="AI106" s="315"/>
      <c r="AJ106" s="315"/>
      <c r="AK106" s="315"/>
      <c r="AL106" s="315"/>
      <c r="AM106" s="315"/>
      <c r="AN106" s="315"/>
      <c r="AO106" s="315"/>
      <c r="AR106" s="216"/>
    </row>
    <row r="107" customFormat="false" ht="18" hidden="false" customHeight="false" outlineLevel="0" collapsed="false">
      <c r="AE107" s="315"/>
      <c r="AF107" s="315"/>
      <c r="AG107" s="315"/>
      <c r="AH107" s="315"/>
      <c r="AI107" s="315"/>
      <c r="AJ107" s="315"/>
      <c r="AK107" s="315"/>
      <c r="AL107" s="315"/>
      <c r="AM107" s="315"/>
      <c r="AN107" s="315"/>
      <c r="AO107" s="315"/>
      <c r="AR107" s="216"/>
    </row>
    <row r="108" customFormat="false" ht="18" hidden="false" customHeight="false" outlineLevel="0" collapsed="false">
      <c r="AE108" s="315"/>
      <c r="AF108" s="315"/>
      <c r="AG108" s="315"/>
      <c r="AH108" s="315"/>
      <c r="AI108" s="315"/>
      <c r="AJ108" s="315"/>
      <c r="AK108" s="315"/>
      <c r="AL108" s="315"/>
      <c r="AM108" s="315"/>
      <c r="AN108" s="315"/>
      <c r="AO108" s="315"/>
      <c r="AR108" s="216"/>
    </row>
    <row r="109" customFormat="false" ht="18" hidden="false" customHeight="false" outlineLevel="0" collapsed="false">
      <c r="AE109" s="315"/>
      <c r="AF109" s="315"/>
      <c r="AG109" s="315"/>
      <c r="AH109" s="315"/>
      <c r="AI109" s="315"/>
      <c r="AJ109" s="315"/>
      <c r="AK109" s="315"/>
      <c r="AL109" s="315"/>
      <c r="AM109" s="315"/>
      <c r="AN109" s="315"/>
      <c r="AO109" s="315"/>
      <c r="AR109" s="216"/>
    </row>
    <row r="110" customFormat="false" ht="18" hidden="false" customHeight="false" outlineLevel="0" collapsed="false">
      <c r="AE110" s="315"/>
      <c r="AF110" s="315"/>
      <c r="AG110" s="315"/>
      <c r="AH110" s="315"/>
      <c r="AI110" s="315"/>
      <c r="AJ110" s="315"/>
      <c r="AK110" s="315"/>
      <c r="AL110" s="315"/>
      <c r="AM110" s="315"/>
      <c r="AN110" s="315"/>
      <c r="AO110" s="315"/>
      <c r="AR110" s="216"/>
    </row>
    <row r="111" customFormat="false" ht="18" hidden="false" customHeight="false" outlineLevel="0" collapsed="false">
      <c r="AE111" s="315"/>
      <c r="AF111" s="315"/>
      <c r="AG111" s="315"/>
      <c r="AH111" s="315"/>
      <c r="AI111" s="315"/>
      <c r="AJ111" s="315"/>
      <c r="AK111" s="315"/>
      <c r="AL111" s="315"/>
      <c r="AM111" s="315"/>
      <c r="AN111" s="315"/>
      <c r="AO111" s="315"/>
      <c r="AR111" s="216"/>
    </row>
    <row r="112" customFormat="false" ht="18" hidden="false" customHeight="false" outlineLevel="0" collapsed="false">
      <c r="AE112" s="315"/>
      <c r="AF112" s="315"/>
      <c r="AG112" s="315"/>
      <c r="AH112" s="315"/>
      <c r="AI112" s="315"/>
      <c r="AJ112" s="315"/>
      <c r="AK112" s="315"/>
      <c r="AL112" s="315"/>
      <c r="AM112" s="315"/>
      <c r="AN112" s="315"/>
      <c r="AO112" s="315"/>
      <c r="AR112" s="216"/>
    </row>
    <row r="113" customFormat="false" ht="18" hidden="false" customHeight="false" outlineLevel="0" collapsed="false">
      <c r="AE113" s="315"/>
      <c r="AF113" s="315"/>
      <c r="AG113" s="315"/>
      <c r="AH113" s="315"/>
      <c r="AI113" s="315"/>
      <c r="AJ113" s="315"/>
      <c r="AK113" s="315"/>
      <c r="AL113" s="315"/>
      <c r="AM113" s="315"/>
      <c r="AN113" s="315"/>
      <c r="AO113" s="315"/>
      <c r="AR113" s="216"/>
    </row>
    <row r="114" customFormat="false" ht="18" hidden="false" customHeight="false" outlineLevel="0" collapsed="false">
      <c r="AE114" s="315"/>
      <c r="AF114" s="315"/>
      <c r="AG114" s="315"/>
      <c r="AH114" s="315"/>
      <c r="AI114" s="315"/>
      <c r="AJ114" s="315"/>
      <c r="AK114" s="315"/>
      <c r="AL114" s="315"/>
      <c r="AM114" s="315"/>
      <c r="AN114" s="315"/>
      <c r="AO114" s="315"/>
      <c r="AR114" s="216"/>
    </row>
    <row r="115" customFormat="false" ht="18" hidden="false" customHeight="false" outlineLevel="0" collapsed="false">
      <c r="AE115" s="315"/>
      <c r="AF115" s="315"/>
      <c r="AG115" s="315"/>
      <c r="AH115" s="315"/>
      <c r="AI115" s="315"/>
      <c r="AJ115" s="315"/>
      <c r="AK115" s="315"/>
      <c r="AL115" s="315"/>
      <c r="AM115" s="315"/>
      <c r="AN115" s="315"/>
      <c r="AO115" s="315"/>
      <c r="AR115" s="216"/>
    </row>
    <row r="116" customFormat="false" ht="18" hidden="false" customHeight="false" outlineLevel="0" collapsed="false">
      <c r="AE116" s="315"/>
      <c r="AF116" s="315"/>
      <c r="AG116" s="315"/>
      <c r="AH116" s="315"/>
      <c r="AI116" s="315"/>
      <c r="AJ116" s="315"/>
      <c r="AK116" s="315"/>
      <c r="AL116" s="315"/>
      <c r="AM116" s="315"/>
      <c r="AN116" s="315"/>
      <c r="AO116" s="315"/>
      <c r="AR116" s="216"/>
    </row>
    <row r="117" customFormat="false" ht="18" hidden="false" customHeight="false" outlineLevel="0" collapsed="false">
      <c r="AE117" s="315"/>
      <c r="AF117" s="315"/>
      <c r="AG117" s="315"/>
      <c r="AH117" s="315"/>
      <c r="AI117" s="315"/>
      <c r="AJ117" s="315"/>
      <c r="AK117" s="315"/>
      <c r="AL117" s="315"/>
      <c r="AM117" s="315"/>
      <c r="AN117" s="315"/>
      <c r="AO117" s="315"/>
      <c r="AR117" s="216"/>
    </row>
    <row r="118" customFormat="false" ht="18" hidden="false" customHeight="false" outlineLevel="0" collapsed="false">
      <c r="AE118" s="315"/>
      <c r="AF118" s="315"/>
      <c r="AG118" s="315"/>
      <c r="AH118" s="315"/>
      <c r="AI118" s="315"/>
      <c r="AJ118" s="315"/>
      <c r="AK118" s="315"/>
      <c r="AL118" s="315"/>
      <c r="AM118" s="315"/>
      <c r="AN118" s="315"/>
      <c r="AO118" s="315"/>
      <c r="AR118" s="216"/>
    </row>
    <row r="119" customFormat="false" ht="18" hidden="false" customHeight="false" outlineLevel="0" collapsed="false">
      <c r="AE119" s="315"/>
      <c r="AF119" s="315"/>
      <c r="AG119" s="315"/>
      <c r="AH119" s="315"/>
      <c r="AI119" s="315"/>
      <c r="AJ119" s="315"/>
      <c r="AK119" s="315"/>
      <c r="AL119" s="315"/>
      <c r="AM119" s="315"/>
      <c r="AN119" s="315"/>
      <c r="AO119" s="315"/>
      <c r="AR119" s="216"/>
    </row>
    <row r="120" customFormat="false" ht="18" hidden="false" customHeight="false" outlineLevel="0" collapsed="false">
      <c r="AE120" s="315"/>
      <c r="AF120" s="315"/>
      <c r="AG120" s="315"/>
      <c r="AH120" s="315"/>
      <c r="AI120" s="315"/>
      <c r="AJ120" s="315"/>
      <c r="AK120" s="315"/>
      <c r="AL120" s="315"/>
      <c r="AM120" s="315"/>
      <c r="AN120" s="315"/>
      <c r="AO120" s="315"/>
      <c r="AR120" s="216"/>
    </row>
    <row r="121" customFormat="false" ht="18" hidden="false" customHeight="false" outlineLevel="0" collapsed="false">
      <c r="AE121" s="315"/>
      <c r="AF121" s="315"/>
      <c r="AG121" s="315"/>
      <c r="AH121" s="315"/>
      <c r="AI121" s="315"/>
      <c r="AJ121" s="315"/>
      <c r="AK121" s="315"/>
      <c r="AL121" s="315"/>
      <c r="AM121" s="315"/>
      <c r="AN121" s="315"/>
      <c r="AO121" s="315"/>
      <c r="AR121" s="216"/>
    </row>
    <row r="122" customFormat="false" ht="18" hidden="false" customHeight="false" outlineLevel="0" collapsed="false">
      <c r="AE122" s="315"/>
      <c r="AF122" s="315"/>
      <c r="AG122" s="315"/>
      <c r="AH122" s="315"/>
      <c r="AI122" s="315"/>
      <c r="AJ122" s="315"/>
      <c r="AK122" s="315"/>
      <c r="AL122" s="315"/>
      <c r="AM122" s="315"/>
      <c r="AN122" s="315"/>
      <c r="AO122" s="315"/>
      <c r="AR122" s="216"/>
    </row>
    <row r="123" customFormat="false" ht="18" hidden="false" customHeight="false" outlineLevel="0" collapsed="false">
      <c r="AE123" s="315"/>
      <c r="AF123" s="315"/>
      <c r="AG123" s="315"/>
      <c r="AH123" s="315"/>
      <c r="AI123" s="315"/>
      <c r="AJ123" s="315"/>
      <c r="AK123" s="315"/>
      <c r="AL123" s="315"/>
      <c r="AM123" s="315"/>
      <c r="AN123" s="315"/>
      <c r="AO123" s="315"/>
      <c r="AR123" s="216"/>
    </row>
    <row r="124" customFormat="false" ht="18" hidden="false" customHeight="false" outlineLevel="0" collapsed="false">
      <c r="AE124" s="315"/>
      <c r="AF124" s="315"/>
      <c r="AG124" s="315"/>
      <c r="AH124" s="315"/>
      <c r="AI124" s="315"/>
      <c r="AJ124" s="315"/>
      <c r="AK124" s="315"/>
      <c r="AL124" s="315"/>
      <c r="AM124" s="315"/>
      <c r="AN124" s="315"/>
      <c r="AO124" s="315"/>
      <c r="AR124" s="216"/>
    </row>
    <row r="125" customFormat="false" ht="18" hidden="false" customHeight="false" outlineLevel="0" collapsed="false">
      <c r="AE125" s="315"/>
      <c r="AF125" s="315"/>
      <c r="AG125" s="315"/>
      <c r="AH125" s="315"/>
      <c r="AI125" s="315"/>
      <c r="AJ125" s="315"/>
      <c r="AK125" s="315"/>
      <c r="AL125" s="315"/>
      <c r="AM125" s="315"/>
      <c r="AN125" s="315"/>
      <c r="AO125" s="315"/>
      <c r="AR125" s="216"/>
    </row>
    <row r="126" customFormat="false" ht="18" hidden="false" customHeight="false" outlineLevel="0" collapsed="false"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  <c r="AO126" s="315"/>
      <c r="AR126" s="216"/>
    </row>
    <row r="127" customFormat="false" ht="18" hidden="false" customHeight="false" outlineLevel="0" collapsed="false"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  <c r="AO127" s="315"/>
      <c r="AR127" s="216"/>
    </row>
    <row r="128" customFormat="false" ht="18" hidden="false" customHeight="false" outlineLevel="0" collapsed="false">
      <c r="AE128" s="315"/>
      <c r="AF128" s="315"/>
      <c r="AG128" s="315"/>
      <c r="AH128" s="315"/>
      <c r="AI128" s="315"/>
      <c r="AJ128" s="315"/>
      <c r="AK128" s="315"/>
      <c r="AL128" s="315"/>
      <c r="AM128" s="315"/>
      <c r="AN128" s="315"/>
      <c r="AO128" s="315"/>
      <c r="AR128" s="216"/>
    </row>
    <row r="129" customFormat="false" ht="18" hidden="false" customHeight="false" outlineLevel="0" collapsed="false"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  <c r="AO129" s="315"/>
      <c r="AR129" s="216"/>
    </row>
    <row r="130" customFormat="false" ht="18" hidden="false" customHeight="false" outlineLevel="0" collapsed="false">
      <c r="AE130" s="315"/>
      <c r="AF130" s="315"/>
      <c r="AG130" s="315"/>
      <c r="AH130" s="315"/>
      <c r="AI130" s="315"/>
      <c r="AJ130" s="315"/>
      <c r="AK130" s="315"/>
      <c r="AL130" s="315"/>
      <c r="AM130" s="315"/>
      <c r="AN130" s="315"/>
      <c r="AO130" s="315"/>
      <c r="AR130" s="216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2001-10-12T17:49:05Z</cp:lastPrinted>
  <dcterms:modified xsi:type="dcterms:W3CDTF">2001-10-19T17:46:18Z</dcterms:modified>
  <cp:revision>0</cp:revision>
  <dc:subject/>
  <dc:title/>
</cp:coreProperties>
</file>