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<sst xmlns="http://schemas.openxmlformats.org/spreadsheetml/2006/main" count="158" uniqueCount="118">
  <si>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</si>
  <si>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</si>
  <si>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</si>
  <si>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</si>
  <si>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</si>
  <si>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</si>
  <si>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</si>
  <si>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</si>
  <si>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</si>
  <si>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</si>
  <si>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</si>
  <si>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</si>
  <si>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</si>
  <si>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</si>
  <si>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</si>
  <si>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</si>
  <si>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</si>
  <si>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</si>
  <si>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</si>
  <si>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</si>
  <si>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</si>
  <si>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</si>
  <si>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</si>
  <si>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</si>
  <si>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</si>
  <si>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</si>
  <si>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</si>
  <si>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</si>
  <si>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</si>
  <si>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</si>
  <si>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</si>
  <si>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</si>
  <si>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</si>
  <si>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</si>
  <si>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</si>
  <si>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</si>
  <si>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</si>
  <si>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</si>
  <si>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</si>
  <si>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</si>
  <si>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</si>
  <si>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</si>
  <si>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</si>
  <si>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</si>
  <si>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</si>
  <si>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</si>
  <si>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</si>
  <si>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</si>
  <si>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</si>
  <si>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</si>
  <si>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</si>
  <si>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</si>
  <si>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</si>
  <si>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</si>
  <si>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</si>
  <si>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</si>
  <si>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</si>
  <si>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</si>
  <si>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</si>
  <si>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</si>
  <si>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</si>
  <si>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</si>
  <si>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</si>
  <si>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</si>
  <si>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</si>
  <si>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</si>
  <si>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</si>
  <si>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</si>
  <si>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</si>
  <si>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</si>
  <si>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</si>
  <si>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</si>
  <si>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</si>
  <si>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</si>
  <si>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</si>
  <si>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</si>
  <si>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</si>
  <si>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</si>
  <si>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 Proposed restructuring would reduce distribution to $0.80 per year.</t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</si>
  <si>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</si>
  <si>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</si>
  <si>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</si>
  <si>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</si>
  <si>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</si>
  <si>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</si>
  <si>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</si>
  <si>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</si>
  <si>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</si>
  <si>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</si>
  <si>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</si>
  <si>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</si>
  <si>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</si>
  <si>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</si>
  <si>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</si>
  <si>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</si>
  <si>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</si>
  <si>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</si>
  <si>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</si>
  <si>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</si>
  <si>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</si>
  <si>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</si>
  <si>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</si>
  <si>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</si>
  <si>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</si>
  <si>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</si>
  <si>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</si>
  <si>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</si>
  <si>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</si>
  <si>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</si>
  <si>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</si>
  <si>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</si>
  <si>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</si>
  <si>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PaineWebber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</si>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</sst>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36812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36805</v>
      </c>
      <c r="AH6" s="59" t="s">
        <v>20</v>
      </c>
      <c r="AI6" s="61" t="n">
        <v>36798</v>
      </c>
      <c r="AJ6" s="59" t="s">
        <v>20</v>
      </c>
      <c r="AK6" s="61" t="n">
        <v>36525</v>
      </c>
      <c r="AL6" s="61" t="s">
        <v>21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22</v>
      </c>
      <c r="B7" s="11"/>
      <c r="C7" s="64" t="s">
        <v>23</v>
      </c>
      <c r="D7" s="11"/>
      <c r="E7" s="65" t="s">
        <v>24</v>
      </c>
      <c r="F7" s="66"/>
      <c r="G7" s="64" t="s">
        <v>25</v>
      </c>
      <c r="H7" s="13"/>
      <c r="I7" s="67" t="s">
        <v>26</v>
      </c>
      <c r="J7" s="68"/>
      <c r="K7" s="69" t="s">
        <v>27</v>
      </c>
      <c r="L7" s="13"/>
      <c r="M7" s="67" t="s">
        <v>28</v>
      </c>
      <c r="N7" s="13"/>
      <c r="O7" s="70" t="s">
        <v>29</v>
      </c>
      <c r="P7" s="33"/>
      <c r="Q7" s="70" t="s">
        <v>30</v>
      </c>
      <c r="R7" s="33"/>
      <c r="S7" s="64" t="s">
        <v>31</v>
      </c>
      <c r="T7" s="13"/>
      <c r="U7" s="64" t="s">
        <v>31</v>
      </c>
      <c r="V7" s="39"/>
      <c r="W7" s="18"/>
      <c r="X7" s="40"/>
      <c r="Y7" s="71" t="s">
        <v>32</v>
      </c>
      <c r="Z7" s="72" t="s">
        <v>32</v>
      </c>
      <c r="AA7" s="73" t="s">
        <v>33</v>
      </c>
      <c r="AB7" s="73" t="s">
        <v>33</v>
      </c>
      <c r="AC7" s="74"/>
      <c r="AD7" s="75" t="s">
        <v>34</v>
      </c>
      <c r="AE7" s="76" t="s">
        <v>35</v>
      </c>
      <c r="AF7" s="77" t="s">
        <v>30</v>
      </c>
      <c r="AG7" s="78" t="s">
        <v>36</v>
      </c>
      <c r="AH7" s="77" t="s">
        <v>37</v>
      </c>
      <c r="AI7" s="78" t="s">
        <v>36</v>
      </c>
      <c r="AJ7" s="77" t="s">
        <v>38</v>
      </c>
      <c r="AK7" s="78" t="s">
        <v>36</v>
      </c>
      <c r="AL7" s="78" t="s">
        <v>39</v>
      </c>
      <c r="AM7" s="79" t="s">
        <v>36</v>
      </c>
      <c r="AN7" s="80" t="s">
        <v>39</v>
      </c>
      <c r="AO7" s="79" t="s">
        <v>36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40</v>
      </c>
      <c r="B10" s="93"/>
      <c r="C10" s="94" t="s">
        <v>41</v>
      </c>
      <c r="D10" s="93"/>
      <c r="E10" s="95" t="n">
        <f aca="false">DDE("REUTER","IDN","NBP")</f>
        <v>32.875</v>
      </c>
      <c r="F10" s="96"/>
      <c r="G10" s="95" t="n">
        <f aca="false">DDE("REUTER","IDN","NBP,DIVIDEND")</f>
        <v>2.8</v>
      </c>
      <c r="H10" s="97"/>
      <c r="I10" s="98" t="n">
        <f aca="false">+G10/E10</f>
        <v>0.085171102661597</v>
      </c>
      <c r="J10" s="98"/>
      <c r="K10" s="99" t="n">
        <f aca="false">(+I10-E$27)*10000</f>
        <v>270.79102661597</v>
      </c>
      <c r="L10" s="94"/>
      <c r="M10" s="98" t="n">
        <f aca="false">(I10*AA10)+((I10*(1-AA10))*(1-0.3))</f>
        <v>0.083893536121673</v>
      </c>
      <c r="N10" s="94"/>
      <c r="O10" s="100" t="n">
        <f aca="false">+G10/Z10</f>
        <v>1.07692307692308</v>
      </c>
      <c r="P10" s="101"/>
      <c r="Q10" s="100" t="n">
        <f aca="false">(AF10+$E10-AG10)/AG10</f>
        <v>0.0233463035019455</v>
      </c>
      <c r="R10" s="101"/>
      <c r="S10" s="100" t="n">
        <f aca="false">(AH10+$E10-AI10)/AI10</f>
        <v>0.0395256916996047</v>
      </c>
      <c r="T10" s="97"/>
      <c r="U10" s="102" t="n">
        <f aca="false">(AJ10+$E10-AK10)/AK10</f>
        <v>0.514130434782609</v>
      </c>
      <c r="V10" s="103"/>
      <c r="W10" s="18"/>
      <c r="X10" s="40"/>
      <c r="Y10" s="104" t="n">
        <f aca="false">ROUND(G52,2)</f>
        <v>2.5</v>
      </c>
      <c r="Z10" s="105" t="n">
        <f aca="false">+I52</f>
        <v>2.6</v>
      </c>
      <c r="AA10" s="106" t="n">
        <v>0.95</v>
      </c>
      <c r="AB10" s="107"/>
      <c r="AC10" s="11"/>
      <c r="AD10" s="108" t="n">
        <v>36734</v>
      </c>
      <c r="AE10" s="109" t="n">
        <v>0.65</v>
      </c>
      <c r="AF10" s="110"/>
      <c r="AG10" s="95" t="n">
        <v>32.125</v>
      </c>
      <c r="AH10" s="111"/>
      <c r="AI10" s="95" t="n">
        <v>31.625</v>
      </c>
      <c r="AJ10" s="111" t="n">
        <f aca="false">0.65*3</f>
        <v>1.95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15.1875</v>
      </c>
      <c r="F11" s="120"/>
      <c r="G11" s="119" t="n">
        <f aca="false">DDE("REUTER","IDN","EOT,DIVIDEND")</f>
        <v>1.9</v>
      </c>
      <c r="H11" s="121"/>
      <c r="I11" s="122" t="n">
        <f aca="false">+G11/E11</f>
        <v>0.125102880658436</v>
      </c>
      <c r="J11" s="122"/>
      <c r="K11" s="123" t="n">
        <f aca="false">(+I11-E$27)*10000</f>
        <v>670.108806584362</v>
      </c>
      <c r="L11" s="118"/>
      <c r="M11" s="122" t="n">
        <f aca="false">(I11*AA11)+((I11*(1-AA11))*(1-0.3))</f>
        <v>0.12322633744856</v>
      </c>
      <c r="N11" s="118"/>
      <c r="O11" s="124" t="n">
        <f aca="false">+G11/Z11</f>
        <v>3.20945945945946</v>
      </c>
      <c r="P11" s="125"/>
      <c r="Q11" s="124" t="n">
        <f aca="false">(AF11+$E11-AG11)/AG11</f>
        <v>0.00829875518672199</v>
      </c>
      <c r="R11" s="125"/>
      <c r="S11" s="124" t="n">
        <f aca="false">(AH11+$E11-AI11)/AI11</f>
        <v>0.0125</v>
      </c>
      <c r="T11" s="121"/>
      <c r="U11" s="126" t="n">
        <f aca="false">(AJ11+E11-AK11)/AK11</f>
        <v>0.277884615384615</v>
      </c>
      <c r="V11" s="103"/>
      <c r="W11" s="18"/>
      <c r="X11" s="40"/>
      <c r="Y11" s="104" t="n">
        <f aca="false">S52</f>
        <v>0.484</v>
      </c>
      <c r="Z11" s="105" t="n">
        <f aca="false">U52</f>
        <v>0.592</v>
      </c>
      <c r="AA11" s="106" t="n">
        <v>0.95</v>
      </c>
      <c r="AB11" s="107"/>
      <c r="AC11" s="22"/>
      <c r="AD11" s="108" t="n">
        <v>36734</v>
      </c>
      <c r="AE11" s="109" t="n">
        <v>0.475</v>
      </c>
      <c r="AF11" s="110"/>
      <c r="AG11" s="119" t="n">
        <v>15.0625</v>
      </c>
      <c r="AH11" s="111"/>
      <c r="AI11" s="119" t="n">
        <v>15</v>
      </c>
      <c r="AJ11" s="111" t="n">
        <f aca="false">0.475*3</f>
        <v>1.425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8" t="n">
        <f aca="false">DDE("REUTER","IDN","APU")</f>
        <v>18.5</v>
      </c>
      <c r="F13" s="129"/>
      <c r="G13" s="128" t="n">
        <f aca="false">DDE("REUTER","IDN","APU,DIVIDEND")</f>
        <v>2.2</v>
      </c>
      <c r="H13" s="13"/>
      <c r="I13" s="68" t="n">
        <f aca="false">+G13/E13</f>
        <v>0.118918918918919</v>
      </c>
      <c r="J13" s="68"/>
      <c r="K13" s="135" t="n">
        <f aca="false">(+I13-E$27)*10000</f>
        <v>608.269189189189</v>
      </c>
      <c r="L13" s="23"/>
      <c r="M13" s="68" t="n">
        <f aca="false">(I13*AA13)+((I13*(1-AA13))*(1-0.3))</f>
        <v>0.108216216216216</v>
      </c>
      <c r="N13" s="23"/>
      <c r="O13" s="33" t="n">
        <f aca="false">+G13/Y13</f>
        <v>4.88888888888889</v>
      </c>
      <c r="P13" s="131"/>
      <c r="Q13" s="33" t="n">
        <f aca="false">(AF13+$E13-AG13)/AG13</f>
        <v>-0.038961038961039</v>
      </c>
      <c r="R13" s="131"/>
      <c r="S13" s="33" t="n">
        <f aca="false">(AH13+$E13-AI13)/AI13</f>
        <v>-0.0263157894736842</v>
      </c>
      <c r="T13" s="13"/>
      <c r="U13" s="136" t="n">
        <f aca="false">(AJ13+E13-AK13)/AK13</f>
        <v>0.354621848739496</v>
      </c>
      <c r="V13" s="103"/>
      <c r="W13" s="18"/>
      <c r="X13" s="40"/>
      <c r="Y13" s="104" t="n">
        <v>0.45</v>
      </c>
      <c r="Z13" s="105" t="n">
        <v>1.01</v>
      </c>
      <c r="AA13" s="106" t="n">
        <v>0.7</v>
      </c>
      <c r="AB13" s="137"/>
      <c r="AC13" s="11"/>
      <c r="AD13" s="108" t="n">
        <v>36746</v>
      </c>
      <c r="AE13" s="109" t="n">
        <v>0.55</v>
      </c>
      <c r="AF13" s="110"/>
      <c r="AG13" s="128" t="n">
        <v>19.25</v>
      </c>
      <c r="AH13" s="111"/>
      <c r="AI13" s="128" t="n">
        <v>19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8" t="n">
        <f aca="false">DDE("REUTER","IDN","BPL")</f>
        <v>28.1875</v>
      </c>
      <c r="F14" s="129"/>
      <c r="G14" s="128" t="n">
        <f aca="false">DDE("REUTER","IDN","BPL,DIVIDEND")</f>
        <v>2.4</v>
      </c>
      <c r="H14" s="13"/>
      <c r="I14" s="68" t="n">
        <f aca="false">+G14/E14</f>
        <v>0.0851441241685144</v>
      </c>
      <c r="J14" s="68"/>
      <c r="K14" s="135" t="n">
        <f aca="false">(+I14-E$27)*10000</f>
        <v>270.521241685144</v>
      </c>
      <c r="L14" s="23"/>
      <c r="M14" s="68" t="n">
        <f aca="false">(I14*AA14)+((I14*(1-AA14))*(1-0.3))</f>
        <v>0.0787583148558758</v>
      </c>
      <c r="N14" s="23"/>
      <c r="O14" s="33" t="n">
        <f aca="false">+G14/Z14</f>
        <v>0.916030534351145</v>
      </c>
      <c r="P14" s="131"/>
      <c r="Q14" s="33" t="n">
        <f aca="false">(AF14+$E14-AG14)/AG14</f>
        <v>-0.0216919739696312</v>
      </c>
      <c r="R14" s="131"/>
      <c r="S14" s="33" t="n">
        <f aca="false">(AH14+$E14-AI14)/AI14</f>
        <v>-0.0195652173913044</v>
      </c>
      <c r="T14" s="13"/>
      <c r="U14" s="136" t="n">
        <f aca="false">(AJ14+E14-AK14)/AK14</f>
        <v>0.153365384615385</v>
      </c>
      <c r="V14" s="103"/>
      <c r="W14" s="18"/>
      <c r="X14" s="40"/>
      <c r="Y14" s="104" t="n">
        <v>2.4</v>
      </c>
      <c r="Z14" s="105" t="n">
        <v>2.62</v>
      </c>
      <c r="AA14" s="106" t="n">
        <v>0.75</v>
      </c>
      <c r="AB14" s="107"/>
      <c r="AC14" s="11"/>
      <c r="AD14" s="108" t="n">
        <v>36740</v>
      </c>
      <c r="AE14" s="109" t="n">
        <v>0.6</v>
      </c>
      <c r="AF14" s="110"/>
      <c r="AG14" s="128" t="n">
        <v>28.8125</v>
      </c>
      <c r="AH14" s="111"/>
      <c r="AI14" s="128" t="n">
        <v>28.75</v>
      </c>
      <c r="AJ14" s="111" t="n">
        <f aca="false">0.6*3</f>
        <v>1.8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8" t="n">
        <f aca="false">DDE("REUTER","IDN","EPN")</f>
        <v>26.6875</v>
      </c>
      <c r="F15" s="129"/>
      <c r="G15" s="128" t="n">
        <f aca="false">DDE("REUTER","IDN","EPN,DIVIDEND")</f>
        <v>2.15</v>
      </c>
      <c r="H15" s="13"/>
      <c r="I15" s="68" t="n">
        <f aca="false">+G15/E15</f>
        <v>0.0805620608899298</v>
      </c>
      <c r="J15" s="68"/>
      <c r="K15" s="135" t="n">
        <f aca="false">(+I15-E$27)*10000</f>
        <v>224.700608899298</v>
      </c>
      <c r="L15" s="23"/>
      <c r="M15" s="68" t="n">
        <f aca="false">(I15*AA15)+((I15*(1-AA15))*(1-0.3))</f>
        <v>0.0795953161592506</v>
      </c>
      <c r="N15" s="23"/>
      <c r="O15" s="33" t="n">
        <f aca="false">+G15/Z15</f>
        <v>13.4375</v>
      </c>
      <c r="P15" s="131"/>
      <c r="Q15" s="33" t="n">
        <f aca="false">(AF15+$E15-AG15)/AG15</f>
        <v>-0.00928074245939675</v>
      </c>
      <c r="R15" s="131"/>
      <c r="S15" s="33" t="n">
        <f aca="false">(AH15+$E15-AI15)/AI15</f>
        <v>-0.00233644859813084</v>
      </c>
      <c r="T15" s="13"/>
      <c r="U15" s="136" t="n">
        <f aca="false">(AJ15+E15-AK15)/AK15</f>
        <v>0.488815789473684</v>
      </c>
      <c r="V15" s="103"/>
      <c r="W15" s="18"/>
      <c r="X15" s="40"/>
      <c r="Y15" s="104" t="n">
        <v>0.1</v>
      </c>
      <c r="Z15" s="105" t="n">
        <v>0.16</v>
      </c>
      <c r="AA15" s="106" t="n">
        <v>0.96</v>
      </c>
      <c r="AB15" s="107"/>
      <c r="AC15" s="11"/>
      <c r="AD15" s="108" t="n">
        <v>36734</v>
      </c>
      <c r="AE15" s="109" t="n">
        <v>0.5375</v>
      </c>
      <c r="AF15" s="110"/>
      <c r="AG15" s="128" t="n">
        <v>26.9375</v>
      </c>
      <c r="AH15" s="111"/>
      <c r="AI15" s="128" t="n">
        <v>26.75</v>
      </c>
      <c r="AJ15" s="111" t="n">
        <f aca="false">0.525+0.5375*2</f>
        <v>1.6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50</v>
      </c>
      <c r="B16" s="11"/>
      <c r="C16" s="35" t="s">
        <v>51</v>
      </c>
      <c r="D16" s="11"/>
      <c r="E16" s="128" t="n">
        <f aca="false">DDE("REUTER","IDN","FGP")</f>
        <v>14.125</v>
      </c>
      <c r="F16" s="129"/>
      <c r="G16" s="128" t="n">
        <f aca="false">DDE("REUTER","IDN","FGP,DIVIDEND")</f>
        <v>2</v>
      </c>
      <c r="H16" s="13"/>
      <c r="I16" s="68" t="n">
        <f aca="false">+G16/E16</f>
        <v>0.141592920353982</v>
      </c>
      <c r="J16" s="68"/>
      <c r="K16" s="135" t="n">
        <f aca="false">(+I16-E$27)*10000</f>
        <v>835.009203539823</v>
      </c>
      <c r="L16" s="23"/>
      <c r="M16" s="68" t="n">
        <f aca="false">(I16*AA16)+((I16*(1-AA16))*(1-0.3))</f>
        <v>0.140743362831858</v>
      </c>
      <c r="N16" s="23"/>
      <c r="O16" s="33" t="n">
        <f aca="false">+G16/Z16</f>
        <v>2.66666666666667</v>
      </c>
      <c r="P16" s="140"/>
      <c r="Q16" s="33" t="n">
        <f aca="false">(AF16+$E16-AG16)/AG16</f>
        <v>-0.0737704918032787</v>
      </c>
      <c r="R16" s="140"/>
      <c r="S16" s="33" t="n">
        <f aca="false">(AH16+$E16-AI16)/AI16</f>
        <v>-0.137404580152672</v>
      </c>
      <c r="T16" s="13"/>
      <c r="U16" s="136" t="n">
        <f aca="false">(AJ16+E16-AK16)/AK16</f>
        <v>0.237623762376238</v>
      </c>
      <c r="V16" s="103"/>
      <c r="W16" s="18"/>
      <c r="X16" s="40"/>
      <c r="Y16" s="104" t="n">
        <v>0.41</v>
      </c>
      <c r="Z16" s="105" t="n">
        <v>0.75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/>
      <c r="AG16" s="128" t="n">
        <v>15.25</v>
      </c>
      <c r="AH16" s="111"/>
      <c r="AI16" s="128" t="n">
        <v>16.375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52</v>
      </c>
      <c r="B17" s="11"/>
      <c r="C17" s="35" t="s">
        <v>53</v>
      </c>
      <c r="D17" s="11"/>
      <c r="E17" s="128" t="n">
        <f aca="false">DDE("REUTER","IDN","GEL")</f>
        <v>6.9375</v>
      </c>
      <c r="F17" s="129"/>
      <c r="G17" s="128" t="n">
        <f aca="false">DDE("REUTER","IDN","GEL,DIVIDEND")</f>
        <v>2</v>
      </c>
      <c r="H17" s="13" t="s">
        <v>54</v>
      </c>
      <c r="I17" s="68" t="n">
        <f aca="false">+G17/E17</f>
        <v>0.288288288288288</v>
      </c>
      <c r="J17" s="68"/>
      <c r="K17" s="135" t="n">
        <f aca="false">(+I17-E$27)*10000</f>
        <v>2301.96288288288</v>
      </c>
      <c r="L17" s="23"/>
      <c r="M17" s="68" t="n">
        <f aca="false">(I17*AA17)+((I17*(1-AA17))*(1-0.3))</f>
        <v>0.288288288288288</v>
      </c>
      <c r="N17" s="23"/>
      <c r="O17" s="33" t="n">
        <f aca="false">+G17/Z17</f>
        <v>20</v>
      </c>
      <c r="P17" s="131"/>
      <c r="Q17" s="33" t="n">
        <f aca="false">(AF17+$E17-AG17)/AG17</f>
        <v>0.00909090909090909</v>
      </c>
      <c r="R17" s="131"/>
      <c r="S17" s="33" t="n">
        <f aca="false">(AH17+$E17-AI17)/AI17</f>
        <v>0.018348623853211</v>
      </c>
      <c r="T17" s="13"/>
      <c r="U17" s="136" t="n">
        <f aca="false">(AJ17+E17-AK17)/AK17</f>
        <v>0.0465116279069767</v>
      </c>
      <c r="V17" s="103"/>
      <c r="W17" s="18"/>
      <c r="X17" s="40"/>
      <c r="Y17" s="104" t="n">
        <v>0</v>
      </c>
      <c r="Z17" s="105" t="n">
        <v>0.1</v>
      </c>
      <c r="AA17" s="106" t="n">
        <v>1</v>
      </c>
      <c r="AB17" s="107"/>
      <c r="AC17" s="11"/>
      <c r="AD17" s="108" t="n">
        <v>36734</v>
      </c>
      <c r="AE17" s="109" t="n">
        <v>0.5</v>
      </c>
      <c r="AF17" s="110"/>
      <c r="AG17" s="128" t="n">
        <v>6.875</v>
      </c>
      <c r="AH17" s="111"/>
      <c r="AI17" s="128" t="n">
        <v>6.8125</v>
      </c>
      <c r="AJ17" s="111" t="n">
        <f aca="false">0.5*3</f>
        <v>1.5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28" t="n">
        <f aca="false">DDE("REUTER","IDN","KPP")</f>
        <v>29.25</v>
      </c>
      <c r="F18" s="129"/>
      <c r="G18" s="128" t="n">
        <f aca="false">DDE("REUTER","IDN","KPP,DIVIDEND")</f>
        <v>2.8</v>
      </c>
      <c r="H18" s="13"/>
      <c r="I18" s="68" t="n">
        <f aca="false">+G18/E18</f>
        <v>0.0957264957264957</v>
      </c>
      <c r="J18" s="68"/>
      <c r="K18" s="135" t="n">
        <f aca="false">(+I18-E$27)*10000</f>
        <v>376.344957264957</v>
      </c>
      <c r="L18" s="23"/>
      <c r="M18" s="68" t="n">
        <f aca="false">(I18*AA18)+((I18*(1-AA18))*(1-0.3))</f>
        <v>0.089982905982906</v>
      </c>
      <c r="N18" s="23"/>
      <c r="O18" s="33" t="n">
        <f aca="false">+G18/Z18</f>
        <v>0.989399293286219</v>
      </c>
      <c r="P18" s="131"/>
      <c r="Q18" s="33" t="n">
        <f aca="false">(AF18+$E18-AG18)/AG18</f>
        <v>-0.0105708245243129</v>
      </c>
      <c r="R18" s="131"/>
      <c r="S18" s="33" t="n">
        <f aca="false">(AH18+$E18-AI18)/AI18</f>
        <v>-0.0105708245243129</v>
      </c>
      <c r="T18" s="13"/>
      <c r="U18" s="136" t="n">
        <f aca="false">(AJ18+E18-AK18)/AK18</f>
        <v>0.269873417721519</v>
      </c>
      <c r="V18" s="103"/>
      <c r="W18" s="18"/>
      <c r="X18" s="40"/>
      <c r="Y18" s="104" t="n">
        <v>2.54</v>
      </c>
      <c r="Z18" s="105" t="n">
        <v>2.83</v>
      </c>
      <c r="AA18" s="106" t="n">
        <v>0.8</v>
      </c>
      <c r="AB18" s="107"/>
      <c r="AC18" s="11"/>
      <c r="AD18" s="108" t="n">
        <v>36734</v>
      </c>
      <c r="AE18" s="109" t="n">
        <v>0.7</v>
      </c>
      <c r="AF18" s="110"/>
      <c r="AG18" s="128" t="n">
        <v>29.5625</v>
      </c>
      <c r="AH18" s="111"/>
      <c r="AI18" s="128" t="n">
        <v>29.5625</v>
      </c>
      <c r="AJ18" s="111" t="n">
        <f aca="false">0.7*3</f>
        <v>2.1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57</v>
      </c>
      <c r="B19" s="11"/>
      <c r="C19" s="35" t="s">
        <v>58</v>
      </c>
      <c r="D19" s="11"/>
      <c r="E19" s="128" t="n">
        <f aca="false">DDE("REUTER","IDN","KMP")</f>
        <v>47.875</v>
      </c>
      <c r="F19" s="129"/>
      <c r="G19" s="128" t="n">
        <f aca="false">DDE("REUTER","IDN","KMP,DIVIDEND")</f>
        <v>3.4</v>
      </c>
      <c r="H19" s="141"/>
      <c r="I19" s="68" t="n">
        <f aca="false">+G19/E19</f>
        <v>0.0710182767624021</v>
      </c>
      <c r="J19" s="68"/>
      <c r="K19" s="135" t="n">
        <f aca="false">(+I19-E$27)*10000</f>
        <v>129.262767624021</v>
      </c>
      <c r="L19" s="23"/>
      <c r="M19" s="68" t="n">
        <f aca="false">(I19*AA19)+((I19*(1-AA19))*(1-0.3))</f>
        <v>0.06888772845953</v>
      </c>
      <c r="N19" s="23"/>
      <c r="O19" s="33" t="n">
        <f aca="false">+G19/Z19</f>
        <v>1.15254237288136</v>
      </c>
      <c r="P19" s="131"/>
      <c r="Q19" s="33" t="n">
        <f aca="false">(AF19+$E19-AG19)/AG19</f>
        <v>0.0145695364238411</v>
      </c>
      <c r="R19" s="131"/>
      <c r="S19" s="33" t="n">
        <f aca="false">(AH19+$E19-AI19)/AI19</f>
        <v>0.0105540897097625</v>
      </c>
      <c r="T19" s="13"/>
      <c r="U19" s="136" t="n">
        <f aca="false">(AJ19+E19-AK19)/AK19</f>
        <v>0.212066365007542</v>
      </c>
      <c r="V19" s="103"/>
      <c r="W19" s="18"/>
      <c r="X19" s="40"/>
      <c r="Y19" s="104" t="n">
        <v>2.65</v>
      </c>
      <c r="Z19" s="105" t="n">
        <v>2.95</v>
      </c>
      <c r="AA19" s="106" t="n">
        <v>0.9</v>
      </c>
      <c r="AB19" s="137"/>
      <c r="AC19" s="11"/>
      <c r="AD19" s="108" t="n">
        <v>36734</v>
      </c>
      <c r="AE19" s="109" t="n">
        <v>0.85</v>
      </c>
      <c r="AF19" s="110"/>
      <c r="AG19" s="128" t="n">
        <v>47.1875</v>
      </c>
      <c r="AH19" s="111"/>
      <c r="AI19" s="128" t="n">
        <v>47.375</v>
      </c>
      <c r="AJ19" s="111" t="n">
        <f aca="false">0.725+0.775+0.85</f>
        <v>2.35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59</v>
      </c>
      <c r="B20" s="11"/>
      <c r="C20" s="35" t="s">
        <v>60</v>
      </c>
      <c r="D20" s="11"/>
      <c r="E20" s="128" t="n">
        <f aca="false">DDE("REUTER","IDN","LHP")</f>
        <v>40.5625</v>
      </c>
      <c r="F20" s="129"/>
      <c r="G20" s="128" t="n">
        <f aca="false">DDE("REUTER","IDN","LHP,DIVIDEND")</f>
        <v>3.5</v>
      </c>
      <c r="H20" s="13"/>
      <c r="I20" s="68" t="n">
        <f aca="false">+G20/E20</f>
        <v>0.086286594761171</v>
      </c>
      <c r="J20" s="68"/>
      <c r="K20" s="135" t="n">
        <f aca="false">(+I20-E$27)*10000</f>
        <v>281.94594761171</v>
      </c>
      <c r="L20" s="23"/>
      <c r="M20" s="68" t="n">
        <f aca="false">(I20*AA20)+((I20*(1-AA20))*(1-0.3))</f>
        <v>0.0849922958397535</v>
      </c>
      <c r="N20" s="23"/>
      <c r="O20" s="33" t="n">
        <f aca="false">+G20/Z20</f>
        <v>1.30597014925373</v>
      </c>
      <c r="P20" s="131"/>
      <c r="Q20" s="33" t="n">
        <f aca="false">(AF20+$E20-AG20)/AG20</f>
        <v>-0.0327868852459016</v>
      </c>
      <c r="R20" s="131"/>
      <c r="S20" s="33" t="n">
        <f aca="false">(AH20+$E20-AI20)/AI20</f>
        <v>-0.0225903614457831</v>
      </c>
      <c r="T20" s="13"/>
      <c r="U20" s="136" t="n">
        <f aca="false">(AJ20+E20-AK20)/AK20</f>
        <v>0.240574506283662</v>
      </c>
      <c r="V20" s="103"/>
      <c r="W20" s="18"/>
      <c r="X20" s="40"/>
      <c r="Y20" s="104" t="n">
        <v>2.16</v>
      </c>
      <c r="Z20" s="105" t="n">
        <v>2.68</v>
      </c>
      <c r="AA20" s="106" t="n">
        <v>0.95</v>
      </c>
      <c r="AB20" s="107"/>
      <c r="AC20" s="11"/>
      <c r="AD20" s="108" t="n">
        <v>36734</v>
      </c>
      <c r="AE20" s="109" t="n">
        <v>0.875</v>
      </c>
      <c r="AF20" s="110"/>
      <c r="AG20" s="128" t="n">
        <v>41.9375</v>
      </c>
      <c r="AH20" s="111"/>
      <c r="AI20" s="128" t="n">
        <v>41.5</v>
      </c>
      <c r="AJ20" s="111" t="n">
        <f aca="false">0.875*3</f>
        <v>2.625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61</v>
      </c>
      <c r="B21" s="11"/>
      <c r="C21" s="35" t="s">
        <v>62</v>
      </c>
      <c r="D21" s="11"/>
      <c r="E21" s="128" t="n">
        <f aca="false">DDE("REUTER","IDN","PAA")</f>
        <v>19.125</v>
      </c>
      <c r="F21" s="129"/>
      <c r="G21" s="128" t="n">
        <f aca="false">DDE("REUTER","IDN","PAA,DIVIDEND")</f>
        <v>1.85</v>
      </c>
      <c r="H21" s="141"/>
      <c r="I21" s="68" t="n">
        <f aca="false">+G21/E21</f>
        <v>0.0967320261437909</v>
      </c>
      <c r="J21" s="68"/>
      <c r="K21" s="135" t="n">
        <f aca="false">(+I21-E$27)*10000</f>
        <v>386.400261437909</v>
      </c>
      <c r="L21" s="23"/>
      <c r="M21" s="68" t="n">
        <f aca="false">(I21*AA21)+((I21*(1-AA21))*(1-0.3))</f>
        <v>0.0880261437908497</v>
      </c>
      <c r="N21" s="23"/>
      <c r="O21" s="33" t="n">
        <f aca="false">+G21/Z21</f>
        <v>1.10119047619048</v>
      </c>
      <c r="P21" s="131"/>
      <c r="Q21" s="33" t="n">
        <f aca="false">(AF21+$E21-AG21)/AG21</f>
        <v>-0.0223642172523962</v>
      </c>
      <c r="R21" s="131"/>
      <c r="S21" s="33" t="n">
        <f aca="false">(AH21+$E21-AI21)/AI21</f>
        <v>-0.0129032258064516</v>
      </c>
      <c r="T21" s="13"/>
      <c r="U21" s="136" t="n">
        <f aca="false">(AJ21+E21-AK21)/AK21</f>
        <v>0.576</v>
      </c>
      <c r="V21" s="103"/>
      <c r="W21" s="18"/>
      <c r="X21" s="40"/>
      <c r="Y21" s="104" t="n">
        <v>1.45</v>
      </c>
      <c r="Z21" s="105" t="n">
        <v>1.68</v>
      </c>
      <c r="AA21" s="106" t="n">
        <v>0.7</v>
      </c>
      <c r="AB21" s="107"/>
      <c r="AC21" s="11"/>
      <c r="AD21" s="108" t="n">
        <v>36740</v>
      </c>
      <c r="AE21" s="109" t="n">
        <v>0.4625</v>
      </c>
      <c r="AF21" s="110"/>
      <c r="AG21" s="128" t="n">
        <v>19.5625</v>
      </c>
      <c r="AH21" s="111"/>
      <c r="AI21" s="128" t="n">
        <v>19.375</v>
      </c>
      <c r="AJ21" s="111" t="n">
        <f aca="false">0.45*2+0.463</f>
        <v>1.363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63</v>
      </c>
      <c r="AO21" s="142" t="s">
        <v>63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64</v>
      </c>
      <c r="B22" s="11"/>
      <c r="C22" s="35" t="s">
        <v>65</v>
      </c>
      <c r="D22" s="11"/>
      <c r="E22" s="128" t="n">
        <f aca="false">DDE("REUTER","IDN","TCLPZ.O")</f>
        <v>19.625</v>
      </c>
      <c r="F22" s="129"/>
      <c r="G22" s="128" t="n">
        <f aca="false">DDE("REUTER","IDN","TCLPZ.O,DIVIDEND")</f>
        <v>1.8</v>
      </c>
      <c r="H22" s="13"/>
      <c r="I22" s="68" t="n">
        <f aca="false">+G22/E22</f>
        <v>0.0917197452229299</v>
      </c>
      <c r="J22" s="68"/>
      <c r="K22" s="135" t="n">
        <f aca="false">(+I22-E$27)*10000</f>
        <v>336.277452229299</v>
      </c>
      <c r="L22" s="23"/>
      <c r="M22" s="68" t="n">
        <f aca="false">(I22*AA22)+((I22*(1-AA22))*(1-0.3))</f>
        <v>0.090343949044586</v>
      </c>
      <c r="N22" s="23"/>
      <c r="O22" s="33" t="n">
        <f aca="false">+G22/Z22</f>
        <v>0.923076923076923</v>
      </c>
      <c r="P22" s="131"/>
      <c r="Q22" s="33" t="n">
        <f aca="false">(AF22+$E22-AG22)/AG22</f>
        <v>0.0129032258064516</v>
      </c>
      <c r="R22" s="131"/>
      <c r="S22" s="33" t="n">
        <f aca="false">(AH22+$E22-AI22)/AI22</f>
        <v>0</v>
      </c>
      <c r="T22" s="13"/>
      <c r="U22" s="136" t="n">
        <f aca="false">(AJ22+E22-AK22)/AK22</f>
        <v>0.471929824561404</v>
      </c>
      <c r="V22" s="103"/>
      <c r="W22" s="18"/>
      <c r="X22" s="40"/>
      <c r="Y22" s="104" t="n">
        <v>1.91</v>
      </c>
      <c r="Z22" s="105" t="n">
        <v>1.95</v>
      </c>
      <c r="AA22" s="106" t="n">
        <v>0.95</v>
      </c>
      <c r="AB22" s="107"/>
      <c r="AC22" s="11"/>
      <c r="AD22" s="108" t="n">
        <v>36734</v>
      </c>
      <c r="AE22" s="109" t="n">
        <v>0.45</v>
      </c>
      <c r="AF22" s="110"/>
      <c r="AG22" s="128" t="n">
        <v>19.375</v>
      </c>
      <c r="AH22" s="111"/>
      <c r="AI22" s="144" t="n">
        <v>19.625</v>
      </c>
      <c r="AJ22" s="111" t="n">
        <f aca="false">0.45*3</f>
        <v>1.35</v>
      </c>
      <c r="AK22" s="109" t="n">
        <v>14.25</v>
      </c>
      <c r="AL22" s="110" t="n">
        <f aca="false">0.168+0.45</f>
        <v>0.618</v>
      </c>
      <c r="AM22" s="109" t="s">
        <v>63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66</v>
      </c>
      <c r="B23" s="11"/>
      <c r="C23" s="35" t="s">
        <v>67</v>
      </c>
      <c r="D23" s="11"/>
      <c r="E23" s="128" t="n">
        <f aca="false">DDE("REUTER","IDN","TPP")</f>
        <v>25.375</v>
      </c>
      <c r="F23" s="129"/>
      <c r="G23" s="128" t="n">
        <f aca="false">DDE("REUTER","IDN","TPP,DIVIDEND")</f>
        <v>2</v>
      </c>
      <c r="H23" s="13"/>
      <c r="I23" s="68" t="n">
        <f aca="false">+G23/E23</f>
        <v>0.0788177339901478</v>
      </c>
      <c r="J23" s="68"/>
      <c r="K23" s="135" t="n">
        <f aca="false">(+I23-E$27)*10000</f>
        <v>207.257339901478</v>
      </c>
      <c r="L23" s="23"/>
      <c r="M23" s="68" t="n">
        <f aca="false">(I23*AA23)+((I23*(1-AA23))*(1-0.3))</f>
        <v>0.0717241379310345</v>
      </c>
      <c r="N23" s="23"/>
      <c r="O23" s="33" t="n">
        <f aca="false">+G23/Z23</f>
        <v>0.943396226415094</v>
      </c>
      <c r="P23" s="131"/>
      <c r="Q23" s="33" t="n">
        <f aca="false">(AF23+$E23-AG23)/AG23</f>
        <v>-0.00975609756097561</v>
      </c>
      <c r="R23" s="131"/>
      <c r="S23" s="33" t="n">
        <f aca="false">(AH23+$E23-AI23)/AI23</f>
        <v>-0.0447058823529412</v>
      </c>
      <c r="T23" s="13"/>
      <c r="U23" s="136" t="n">
        <f aca="false">(AJ23+E23-AK23)/AK23</f>
        <v>0.390291262135922</v>
      </c>
      <c r="V23" s="103"/>
      <c r="W23" s="18"/>
      <c r="X23" s="40"/>
      <c r="Y23" s="104" t="n">
        <v>1.97</v>
      </c>
      <c r="Z23" s="105" t="n">
        <v>2.12</v>
      </c>
      <c r="AA23" s="106" t="n">
        <v>0.7</v>
      </c>
      <c r="AB23" s="107"/>
      <c r="AC23" s="11"/>
      <c r="AD23" s="108" t="n">
        <v>36734</v>
      </c>
      <c r="AE23" s="109" t="n">
        <v>0.5</v>
      </c>
      <c r="AF23" s="110"/>
      <c r="AG23" s="128" t="n">
        <v>25.625</v>
      </c>
      <c r="AH23" s="111"/>
      <c r="AI23" s="128" t="n">
        <v>26.5625</v>
      </c>
      <c r="AJ23" s="111" t="n">
        <f aca="false">0.475+0.5+0.5</f>
        <v>1.475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68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0.112255198656961</v>
      </c>
      <c r="J25" s="158"/>
      <c r="K25" s="159" t="n">
        <f aca="false">(+I25-E$27)*10000</f>
        <v>541.63198656961</v>
      </c>
      <c r="L25" s="154"/>
      <c r="M25" s="158" t="n">
        <f aca="false">AVERAGEA(M13:M23)</f>
        <v>0.108141696309104</v>
      </c>
      <c r="N25" s="154"/>
      <c r="O25" s="160" t="n">
        <f aca="false">AVERAGEA(O13:O23)</f>
        <v>4.39315104827368</v>
      </c>
      <c r="P25" s="161"/>
      <c r="Q25" s="160" t="n">
        <f aca="false">AVERAGEA(Q13:Q23)</f>
        <v>-0.0166016909505209</v>
      </c>
      <c r="R25" s="161"/>
      <c r="S25" s="160" t="n">
        <f aca="false">AVERAGEA(S13:S23)</f>
        <v>-0.0224990560165733</v>
      </c>
      <c r="T25" s="157"/>
      <c r="U25" s="162" t="n">
        <f aca="false">AVERAGEA(U13:U23)</f>
        <v>0.312879435347439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109.279620848176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111.106361685715</v>
      </c>
      <c r="AH26" s="23"/>
      <c r="AI26" s="175" t="n">
        <v>110.075200940259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69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70</v>
      </c>
      <c r="B27" s="11"/>
      <c r="C27" s="12"/>
      <c r="D27" s="11"/>
      <c r="E27" s="179" t="n">
        <f aca="false">DDE("REUTER","IDN","US30YT=RR,RT YIELD 1")/100</f>
        <v>0.058092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0.0406644</v>
      </c>
      <c r="N27" s="23"/>
      <c r="O27" s="33"/>
      <c r="P27" s="131"/>
      <c r="Q27" s="33" t="n">
        <f aca="false">(AF26+$E26-AG26)/AG26</f>
        <v>-0.0164413703214061</v>
      </c>
      <c r="R27" s="131"/>
      <c r="S27" s="33" t="n">
        <f aca="false">(AH26+$E26-AI26)/AI26</f>
        <v>-0.00722760517616521</v>
      </c>
      <c r="T27" s="13"/>
      <c r="U27" s="136" t="n">
        <f aca="false">(AJ26+E26-AK26)/AK26</f>
        <v>0.0927962084817582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0.058337</v>
      </c>
      <c r="AH27" s="182"/>
      <c r="AI27" s="179" t="n">
        <v>0.058884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71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26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72</v>
      </c>
      <c r="S28" s="193" t="s">
        <v>72</v>
      </c>
      <c r="U28" s="193" t="s">
        <v>72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G28" s="9" t="s">
        <v>26</v>
      </c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73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74</v>
      </c>
      <c r="AI30" s="199" t="s">
        <v>75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76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77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22" t="s">
        <v>78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40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42</v>
      </c>
      <c r="R38" s="234"/>
      <c r="S38" s="234"/>
      <c r="T38" s="234"/>
      <c r="U38" s="234"/>
      <c r="V38" s="234"/>
      <c r="W38" s="234"/>
      <c r="X38" s="235"/>
      <c r="Y38" s="236" t="s">
        <v>79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80</v>
      </c>
      <c r="B39" s="242"/>
      <c r="C39" s="242"/>
      <c r="D39" s="242"/>
      <c r="E39" s="243" t="s">
        <v>81</v>
      </c>
      <c r="F39" s="242"/>
      <c r="G39" s="243" t="s">
        <v>82</v>
      </c>
      <c r="H39" s="244"/>
      <c r="I39" s="243" t="s">
        <v>83</v>
      </c>
      <c r="J39" s="243"/>
      <c r="K39" s="243" t="s">
        <v>84</v>
      </c>
      <c r="L39" s="11"/>
      <c r="M39" s="245"/>
      <c r="N39" s="244"/>
      <c r="O39" s="246"/>
      <c r="P39" s="244"/>
      <c r="Q39" s="247" t="s">
        <v>81</v>
      </c>
      <c r="R39" s="244"/>
      <c r="S39" s="243" t="s">
        <v>82</v>
      </c>
      <c r="T39" s="244"/>
      <c r="U39" s="243" t="s">
        <v>83</v>
      </c>
      <c r="V39" s="18"/>
      <c r="W39" s="248" t="s">
        <v>84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85</v>
      </c>
      <c r="B40" s="242"/>
      <c r="C40" s="242"/>
      <c r="D40" s="242"/>
      <c r="E40" s="251" t="s">
        <v>86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87</v>
      </c>
      <c r="R40" s="254"/>
      <c r="S40" s="253"/>
      <c r="T40" s="235"/>
      <c r="U40" s="255"/>
      <c r="V40" s="18"/>
      <c r="W40" s="256"/>
      <c r="X40" s="257"/>
      <c r="Y40" s="40" t="s">
        <v>88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89</v>
      </c>
      <c r="B41" s="242"/>
      <c r="C41" s="242"/>
      <c r="D41" s="242"/>
      <c r="E41" s="251" t="s">
        <v>86</v>
      </c>
      <c r="F41" s="242"/>
      <c r="G41" s="252" t="n">
        <v>2.5</v>
      </c>
      <c r="H41" s="242"/>
      <c r="I41" s="252" t="n">
        <v>2.61</v>
      </c>
      <c r="J41" s="242"/>
      <c r="K41" s="252"/>
      <c r="L41" s="11"/>
      <c r="M41" s="245"/>
      <c r="N41" s="242"/>
      <c r="O41" s="252"/>
      <c r="P41" s="242"/>
      <c r="Q41" s="253" t="s">
        <v>90</v>
      </c>
      <c r="R41" s="254"/>
      <c r="S41" s="257"/>
      <c r="T41" s="235"/>
      <c r="U41" s="257"/>
      <c r="V41" s="18"/>
      <c r="W41" s="256"/>
      <c r="X41" s="257"/>
      <c r="Y41" s="40" t="s">
        <v>91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92</v>
      </c>
      <c r="B42" s="242"/>
      <c r="C42" s="242"/>
      <c r="D42" s="242"/>
      <c r="E42" s="251" t="s">
        <v>86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90</v>
      </c>
      <c r="R42" s="254"/>
      <c r="S42" s="253"/>
      <c r="T42" s="235"/>
      <c r="U42" s="255"/>
      <c r="V42" s="18"/>
      <c r="W42" s="256"/>
      <c r="X42" s="257"/>
      <c r="Y42" s="40" t="s">
        <v>93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94</v>
      </c>
      <c r="B43" s="242"/>
      <c r="C43" s="242"/>
      <c r="D43" s="242"/>
      <c r="E43" s="251" t="s">
        <v>86</v>
      </c>
      <c r="F43" s="242"/>
      <c r="G43" s="252" t="n">
        <v>2.5</v>
      </c>
      <c r="H43" s="242"/>
      <c r="I43" s="252" t="n">
        <v>2.65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95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96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97</v>
      </c>
      <c r="B44" s="242"/>
      <c r="C44" s="242"/>
      <c r="D44" s="242"/>
      <c r="E44" s="251" t="s">
        <v>98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90</v>
      </c>
      <c r="R44" s="254"/>
      <c r="S44" s="257"/>
      <c r="T44" s="235"/>
      <c r="U44" s="257"/>
      <c r="V44" s="18"/>
      <c r="W44" s="256"/>
      <c r="X44" s="257"/>
      <c r="Y44" s="40" t="s">
        <v>99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100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86</v>
      </c>
      <c r="R45" s="254"/>
      <c r="S45" s="259"/>
      <c r="T45" s="260"/>
      <c r="U45" s="259"/>
      <c r="V45" s="18"/>
      <c r="W45" s="261"/>
      <c r="X45" s="257"/>
      <c r="Y45" s="40" t="s">
        <v>101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102</v>
      </c>
      <c r="B46" s="242"/>
      <c r="C46" s="242"/>
      <c r="D46" s="242"/>
      <c r="E46" s="251" t="s">
        <v>103</v>
      </c>
      <c r="F46" s="242"/>
      <c r="G46" s="252" t="n">
        <v>2.5</v>
      </c>
      <c r="H46" s="242"/>
      <c r="I46" s="252" t="n">
        <v>2.61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103</v>
      </c>
      <c r="R46" s="254"/>
      <c r="S46" s="259" t="n">
        <v>0.45</v>
      </c>
      <c r="T46" s="260"/>
      <c r="U46" s="252" t="n">
        <v>0.61</v>
      </c>
      <c r="V46" s="18"/>
      <c r="W46" s="261" t="n">
        <v>16</v>
      </c>
      <c r="X46" s="257"/>
      <c r="Y46" s="40" t="s">
        <v>104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105</v>
      </c>
      <c r="B47" s="242"/>
      <c r="C47" s="242"/>
      <c r="D47" s="242"/>
      <c r="E47" s="251" t="s">
        <v>106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107</v>
      </c>
      <c r="R47" s="254"/>
      <c r="S47" s="252" t="n">
        <v>0.45</v>
      </c>
      <c r="T47" s="242"/>
      <c r="U47" s="252" t="n">
        <v>0.55</v>
      </c>
      <c r="V47" s="18"/>
      <c r="W47" s="258"/>
      <c r="X47" s="252"/>
      <c r="Y47" s="40" t="s">
        <v>108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109</v>
      </c>
      <c r="B48" s="242"/>
      <c r="C48" s="242"/>
      <c r="D48" s="242"/>
      <c r="E48" s="251" t="s">
        <v>110</v>
      </c>
      <c r="F48" s="242"/>
      <c r="G48" s="253" t="n">
        <v>2.45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90</v>
      </c>
      <c r="R48" s="254"/>
      <c r="S48" s="257"/>
      <c r="T48" s="235"/>
      <c r="U48" s="257"/>
      <c r="V48" s="18"/>
      <c r="W48" s="256"/>
      <c r="X48" s="257"/>
      <c r="Y48" s="40" t="s">
        <v>111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112</v>
      </c>
      <c r="B49" s="242"/>
      <c r="C49" s="242"/>
      <c r="D49" s="242"/>
      <c r="E49" s="251" t="s">
        <v>86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86</v>
      </c>
      <c r="R49" s="254"/>
      <c r="S49" s="252" t="n">
        <v>0.52</v>
      </c>
      <c r="T49" s="242"/>
      <c r="U49" s="252" t="n">
        <v>0.6</v>
      </c>
      <c r="V49" s="18"/>
      <c r="W49" s="258" t="n">
        <v>19</v>
      </c>
      <c r="X49" s="252"/>
      <c r="Y49" s="40" t="s">
        <v>113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114</v>
      </c>
      <c r="B50" s="242"/>
      <c r="C50" s="242"/>
      <c r="D50" s="242"/>
      <c r="E50" s="251" t="s">
        <v>103</v>
      </c>
      <c r="F50" s="242"/>
      <c r="G50" s="252" t="n">
        <v>2.52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110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115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2.499</v>
      </c>
      <c r="H52" s="13"/>
      <c r="I52" s="264" t="n">
        <f aca="false">AVERAGEA(I40:I50)</f>
        <v>2.6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0.484</v>
      </c>
      <c r="T52" s="37"/>
      <c r="U52" s="264" t="n">
        <f aca="false">AVERAGEA(U40:U50)</f>
        <v>0.592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116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117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Scott Vonderheide</cp:lastModifiedBy>
  <cp:lastPrinted>2000-10-13T18:14:48Z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