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<sst xmlns="http://schemas.openxmlformats.org/spreadsheetml/2006/main" count="158" uniqueCount="119">
  <si>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</si>
  <si>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</si>
  <si>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</si>
  <si>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</si>
  <si>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</si>
  <si>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</si>
  <si>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</si>
  <si>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</si>
  <si>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</si>
  <si>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</si>
  <si>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</si>
  <si>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</si>
  <si>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</si>
  <si>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</si>
  <si>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</si>
  <si>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</si>
  <si>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</si>
  <si>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</si>
  <si>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</si>
  <si>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</si>
  <si>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</si>
  <si>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9/8/00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</si>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</sst>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36784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s">
        <v>21</v>
      </c>
      <c r="AH6" s="59" t="s">
        <v>20</v>
      </c>
      <c r="AI6" s="61" t="n">
        <v>36707</v>
      </c>
      <c r="AJ6" s="59" t="s">
        <v>20</v>
      </c>
      <c r="AK6" s="61" t="n">
        <v>36525</v>
      </c>
      <c r="AL6" s="61" t="s">
        <v>22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23</v>
      </c>
      <c r="B7" s="11"/>
      <c r="C7" s="64" t="s">
        <v>24</v>
      </c>
      <c r="D7" s="11"/>
      <c r="E7" s="65" t="s">
        <v>25</v>
      </c>
      <c r="F7" s="66"/>
      <c r="G7" s="64" t="s">
        <v>26</v>
      </c>
      <c r="H7" s="13"/>
      <c r="I7" s="67" t="s">
        <v>27</v>
      </c>
      <c r="J7" s="68"/>
      <c r="K7" s="69" t="s">
        <v>28</v>
      </c>
      <c r="L7" s="13"/>
      <c r="M7" s="67" t="s">
        <v>29</v>
      </c>
      <c r="N7" s="13"/>
      <c r="O7" s="70" t="s">
        <v>30</v>
      </c>
      <c r="P7" s="33"/>
      <c r="Q7" s="70" t="s">
        <v>31</v>
      </c>
      <c r="R7" s="33"/>
      <c r="S7" s="64" t="s">
        <v>32</v>
      </c>
      <c r="T7" s="13"/>
      <c r="U7" s="64" t="s">
        <v>32</v>
      </c>
      <c r="V7" s="39"/>
      <c r="W7" s="18"/>
      <c r="X7" s="40"/>
      <c r="Y7" s="71" t="s">
        <v>33</v>
      </c>
      <c r="Z7" s="72" t="s">
        <v>33</v>
      </c>
      <c r="AA7" s="73" t="s">
        <v>34</v>
      </c>
      <c r="AB7" s="73" t="s">
        <v>34</v>
      </c>
      <c r="AC7" s="74"/>
      <c r="AD7" s="75" t="s">
        <v>35</v>
      </c>
      <c r="AE7" s="76" t="s">
        <v>36</v>
      </c>
      <c r="AF7" s="77" t="s">
        <v>31</v>
      </c>
      <c r="AG7" s="78" t="s">
        <v>37</v>
      </c>
      <c r="AH7" s="77" t="s">
        <v>38</v>
      </c>
      <c r="AI7" s="78" t="s">
        <v>37</v>
      </c>
      <c r="AJ7" s="77" t="s">
        <v>39</v>
      </c>
      <c r="AK7" s="78" t="s">
        <v>37</v>
      </c>
      <c r="AL7" s="78" t="s">
        <v>40</v>
      </c>
      <c r="AM7" s="79" t="s">
        <v>37</v>
      </c>
      <c r="AN7" s="80" t="s">
        <v>40</v>
      </c>
      <c r="AO7" s="79" t="s">
        <v>37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41</v>
      </c>
      <c r="B10" s="93"/>
      <c r="C10" s="94" t="s">
        <v>42</v>
      </c>
      <c r="D10" s="93"/>
      <c r="E10" s="95" t="n">
        <f aca="false">DDE("REUTER","IDN","NBP")</f>
        <v>29.5625</v>
      </c>
      <c r="F10" s="96"/>
      <c r="G10" s="95" t="n">
        <f aca="false">DDE("REUTER","IDN","NBP,DIVIDEND")</f>
        <v>2.6</v>
      </c>
      <c r="H10" s="97"/>
      <c r="I10" s="98" t="n">
        <f aca="false">+G10/E10</f>
        <v>0.0879492600422833</v>
      </c>
      <c r="J10" s="98"/>
      <c r="K10" s="99" t="n">
        <f aca="false">(+I10-E$27)*10000</f>
        <v>289.292600422833</v>
      </c>
      <c r="L10" s="94"/>
      <c r="M10" s="98" t="n">
        <f aca="false">(I10*AA10)+((I10*(1-AA10))*(1-0.3))</f>
        <v>0.086630021141649</v>
      </c>
      <c r="N10" s="94"/>
      <c r="O10" s="100" t="n">
        <f aca="false">+G10/Z10</f>
        <v>1.00541376643465</v>
      </c>
      <c r="P10" s="101"/>
      <c r="Q10" s="100" t="n">
        <f aca="false">(AF10+$E10-AG10)/AG10</f>
        <v>0.0150214592274678</v>
      </c>
      <c r="R10" s="101"/>
      <c r="S10" s="100" t="n">
        <f aca="false">(AH10+$E10-AI10)/AI10</f>
        <v>0.106178489702517</v>
      </c>
      <c r="T10" s="97"/>
      <c r="U10" s="102" t="n">
        <f aca="false">(AJ10+$E10-AK10)/AK10</f>
        <v>0.370108695652174</v>
      </c>
      <c r="V10" s="103"/>
      <c r="W10" s="18"/>
      <c r="X10" s="40"/>
      <c r="Y10" s="104" t="n">
        <f aca="false">ROUND(G52,2)</f>
        <v>2.49</v>
      </c>
      <c r="Z10" s="105" t="n">
        <f aca="false">+I52</f>
        <v>2.586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29.125</v>
      </c>
      <c r="AH10" s="111" t="n">
        <v>0.65</v>
      </c>
      <c r="AI10" s="95" t="n">
        <v>27.3125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43</v>
      </c>
      <c r="B11" s="117"/>
      <c r="C11" s="118" t="s">
        <v>44</v>
      </c>
      <c r="D11" s="117"/>
      <c r="E11" s="119" t="n">
        <f aca="false">DDE("REUTER","IDN","EOT")</f>
        <v>14.9375</v>
      </c>
      <c r="F11" s="120"/>
      <c r="G11" s="119" t="n">
        <f aca="false">DDE("REUTER","IDN","EOT,DIVIDEND")</f>
        <v>1.9</v>
      </c>
      <c r="H11" s="121"/>
      <c r="I11" s="122" t="n">
        <f aca="false">+G11/E11</f>
        <v>0.127196652719665</v>
      </c>
      <c r="J11" s="122"/>
      <c r="K11" s="123" t="n">
        <f aca="false">(+I11-E$27)*10000</f>
        <v>681.766527196653</v>
      </c>
      <c r="L11" s="118"/>
      <c r="M11" s="122" t="n">
        <f aca="false">(I11*AA11)+((I11*(1-AA11))*(1-0.3))</f>
        <v>0.12528870292887</v>
      </c>
      <c r="N11" s="118"/>
      <c r="O11" s="124" t="n">
        <f aca="false">+G11/Z11</f>
        <v>3.05466237942122</v>
      </c>
      <c r="P11" s="125"/>
      <c r="Q11" s="124" t="n">
        <f aca="false">(AF11+$E11-AG11)/AG11</f>
        <v>0.0575221238938053</v>
      </c>
      <c r="R11" s="125"/>
      <c r="S11" s="124" t="n">
        <f aca="false">(AH11+$E11-AI11)/AI11</f>
        <v>0.0863436123348017</v>
      </c>
      <c r="T11" s="121"/>
      <c r="U11" s="126" t="n">
        <f aca="false">(AJ11+E11-AK11)/AK11</f>
        <v>0.258653846153846</v>
      </c>
      <c r="V11" s="103"/>
      <c r="W11" s="18"/>
      <c r="X11" s="40"/>
      <c r="Y11" s="104" t="n">
        <f aca="false">S52</f>
        <v>0.51</v>
      </c>
      <c r="Z11" s="105" t="n">
        <f aca="false">U52</f>
        <v>0.622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14.125</v>
      </c>
      <c r="AH11" s="111" t="n">
        <v>0.475</v>
      </c>
      <c r="AI11" s="119" t="n">
        <v>14.1875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45</v>
      </c>
      <c r="B13" s="11"/>
      <c r="C13" s="35" t="s">
        <v>46</v>
      </c>
      <c r="D13" s="11"/>
      <c r="E13" s="128" t="n">
        <f aca="false">DDE("REUTER","IDN","APU")</f>
        <v>18.6875</v>
      </c>
      <c r="F13" s="129"/>
      <c r="G13" s="128" t="n">
        <f aca="false">DDE("REUTER","IDN","APU,DIVIDEND")</f>
        <v>2.2</v>
      </c>
      <c r="H13" s="13"/>
      <c r="I13" s="68" t="n">
        <f aca="false">+G13/E13</f>
        <v>0.117725752508361</v>
      </c>
      <c r="J13" s="68"/>
      <c r="K13" s="135" t="n">
        <f aca="false">(+I13-E$27)*10000</f>
        <v>587.057525083612</v>
      </c>
      <c r="L13" s="23"/>
      <c r="M13" s="68" t="n">
        <f aca="false">(I13*AA13)+((I13*(1-AA13))*(1-0.3))</f>
        <v>0.107130434782609</v>
      </c>
      <c r="N13" s="23"/>
      <c r="O13" s="33" t="n">
        <f aca="false">+G13/Y13</f>
        <v>4.68085106382979</v>
      </c>
      <c r="P13" s="131"/>
      <c r="Q13" s="33" t="n">
        <f aca="false">(AF13+$E13-AG13)/AG13</f>
        <v>0.0381944444444445</v>
      </c>
      <c r="R13" s="131"/>
      <c r="S13" s="33" t="n">
        <f aca="false">(AH13+$E13-AI13)/AI13</f>
        <v>0.14</v>
      </c>
      <c r="T13" s="13"/>
      <c r="U13" s="136" t="n">
        <f aca="false">(AJ13+E13-AK13)/AK13</f>
        <v>0.367226890756302</v>
      </c>
      <c r="V13" s="103"/>
      <c r="W13" s="18"/>
      <c r="X13" s="40"/>
      <c r="Y13" s="104" t="n">
        <v>0.47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18</v>
      </c>
      <c r="AH13" s="111" t="n">
        <v>0.55</v>
      </c>
      <c r="AI13" s="128" t="n">
        <v>16.875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47</v>
      </c>
      <c r="B14" s="11"/>
      <c r="C14" s="35" t="s">
        <v>48</v>
      </c>
      <c r="D14" s="11"/>
      <c r="E14" s="128" t="n">
        <f aca="false">DDE("REUTER","IDN","BPL")</f>
        <v>28.125</v>
      </c>
      <c r="F14" s="129"/>
      <c r="G14" s="128" t="n">
        <f aca="false">DDE("REUTER","IDN","BPL,DIVIDEND")</f>
        <v>2.4</v>
      </c>
      <c r="H14" s="13"/>
      <c r="I14" s="68" t="n">
        <f aca="false">+G14/E14</f>
        <v>0.0853333333333333</v>
      </c>
      <c r="J14" s="68"/>
      <c r="K14" s="135" t="n">
        <f aca="false">(+I14-E$27)*10000</f>
        <v>263.133333333333</v>
      </c>
      <c r="L14" s="23"/>
      <c r="M14" s="68" t="n">
        <f aca="false">(I14*AA14)+((I14*(1-AA14))*(1-0.3))</f>
        <v>0.0789333333333333</v>
      </c>
      <c r="N14" s="23"/>
      <c r="O14" s="33" t="n">
        <f aca="false">+G14/Z14</f>
        <v>0.916030534351145</v>
      </c>
      <c r="P14" s="131"/>
      <c r="Q14" s="33" t="n">
        <f aca="false">(AF14+$E14-AG14)/AG14</f>
        <v>0.0273972602739726</v>
      </c>
      <c r="R14" s="131"/>
      <c r="S14" s="33" t="n">
        <f aca="false">(AH14+$E14-AI14)/AI14</f>
        <v>0.0713286713286714</v>
      </c>
      <c r="T14" s="13"/>
      <c r="U14" s="136" t="n">
        <f aca="false">(AJ14+E14-AK14)/AK14</f>
        <v>0.150961538461538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27.375</v>
      </c>
      <c r="AH14" s="111" t="n">
        <v>0.6</v>
      </c>
      <c r="AI14" s="128" t="n">
        <v>26.8125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49</v>
      </c>
      <c r="B15" s="11"/>
      <c r="C15" s="35" t="s">
        <v>50</v>
      </c>
      <c r="D15" s="11"/>
      <c r="E15" s="128" t="n">
        <f aca="false">DDE("REUTER","IDN","EPN")</f>
        <v>25.4375</v>
      </c>
      <c r="F15" s="129"/>
      <c r="G15" s="128" t="n">
        <f aca="false">DDE("REUTER","IDN","EPN,DIVIDEND")</f>
        <v>2.15</v>
      </c>
      <c r="H15" s="13"/>
      <c r="I15" s="68" t="n">
        <f aca="false">+G15/E15</f>
        <v>0.0845208845208845</v>
      </c>
      <c r="J15" s="68"/>
      <c r="K15" s="135" t="n">
        <f aca="false">(+I15-E$27)*10000</f>
        <v>255.008845208845</v>
      </c>
      <c r="L15" s="23"/>
      <c r="M15" s="68" t="n">
        <f aca="false">(I15*AA15)+((I15*(1-AA15))*(1-0.3))</f>
        <v>0.0835066339066339</v>
      </c>
      <c r="N15" s="23"/>
      <c r="O15" s="33" t="n">
        <f aca="false">+G15/Z15</f>
        <v>12.6470588235294</v>
      </c>
      <c r="P15" s="131"/>
      <c r="Q15" s="33" t="n">
        <f aca="false">(AF15+$E15-AG15)/AG15</f>
        <v>0.0598958333333333</v>
      </c>
      <c r="R15" s="131"/>
      <c r="S15" s="33" t="n">
        <f aca="false">(AH15+$E15-AI15)/AI15</f>
        <v>0.0656410256410257</v>
      </c>
      <c r="T15" s="13"/>
      <c r="U15" s="136" t="n">
        <f aca="false">(AJ15+E15-AK15)/AK15</f>
        <v>0.423026315789474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24</v>
      </c>
      <c r="AH15" s="111" t="n">
        <v>0.5375</v>
      </c>
      <c r="AI15" s="128" t="n">
        <v>24.375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51</v>
      </c>
      <c r="B16" s="11"/>
      <c r="C16" s="35" t="s">
        <v>52</v>
      </c>
      <c r="D16" s="11"/>
      <c r="E16" s="128" t="n">
        <f aca="false">DDE("REUTER","IDN","FGP")</f>
        <v>15.1875</v>
      </c>
      <c r="F16" s="129"/>
      <c r="G16" s="128" t="n">
        <f aca="false">DDE("REUTER","IDN","FGP,DIVIDEND")</f>
        <v>2</v>
      </c>
      <c r="H16" s="13"/>
      <c r="I16" s="68" t="n">
        <f aca="false">+G16/E16</f>
        <v>0.131687242798354</v>
      </c>
      <c r="J16" s="68"/>
      <c r="K16" s="135" t="n">
        <f aca="false">(+I16-E$27)*10000</f>
        <v>726.672427983539</v>
      </c>
      <c r="L16" s="23"/>
      <c r="M16" s="68" t="n">
        <f aca="false">(I16*AA16)+((I16*(1-AA16))*(1-0.3))</f>
        <v>0.130897119341564</v>
      </c>
      <c r="N16" s="23"/>
      <c r="O16" s="33" t="n">
        <f aca="false">+G16/Z16</f>
        <v>4.87804878048781</v>
      </c>
      <c r="P16" s="140"/>
      <c r="Q16" s="33" t="n">
        <f aca="false">(AF16+$E16-AG16)/AG16</f>
        <v>0.0210084033613445</v>
      </c>
      <c r="R16" s="140"/>
      <c r="S16" s="33" t="n">
        <f aca="false">(AH16+$E16-AI16)/AI16</f>
        <v>0.151376146788991</v>
      </c>
      <c r="T16" s="13"/>
      <c r="U16" s="136" t="n">
        <f aca="false">(AJ16+E16-AK16)/AK16</f>
        <v>0.321782178217822</v>
      </c>
      <c r="V16" s="103"/>
      <c r="W16" s="18"/>
      <c r="X16" s="40"/>
      <c r="Y16" s="104" t="n">
        <v>-0.31</v>
      </c>
      <c r="Z16" s="105" t="n">
        <v>0.41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14.875</v>
      </c>
      <c r="AH16" s="111" t="n">
        <v>0.5</v>
      </c>
      <c r="AI16" s="128" t="n">
        <v>13.625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5" t="s">
        <v>54</v>
      </c>
      <c r="D17" s="11"/>
      <c r="E17" s="128" t="n">
        <f aca="false">DDE("REUTER","IDN","GEL")</f>
        <v>6.6875</v>
      </c>
      <c r="F17" s="129"/>
      <c r="G17" s="128" t="n">
        <f aca="false">DDE("REUTER","IDN","GEL,DIVIDEND")</f>
        <v>2</v>
      </c>
      <c r="H17" s="13" t="s">
        <v>55</v>
      </c>
      <c r="I17" s="68" t="n">
        <f aca="false">+G17/E17</f>
        <v>0.299065420560748</v>
      </c>
      <c r="J17" s="68"/>
      <c r="K17" s="135" t="n">
        <f aca="false">(+I17-E$27)*10000</f>
        <v>2400.45420560748</v>
      </c>
      <c r="L17" s="23"/>
      <c r="M17" s="68" t="n">
        <f aca="false">(I17*AA17)+((I17*(1-AA17))*(1-0.3))</f>
        <v>0.299065420560748</v>
      </c>
      <c r="N17" s="23"/>
      <c r="O17" s="33" t="n">
        <f aca="false">+G17/Z17</f>
        <v>20</v>
      </c>
      <c r="P17" s="131"/>
      <c r="Q17" s="33" t="n">
        <f aca="false">(AF17+$E17-AG17)/AG17</f>
        <v>0.0490196078431373</v>
      </c>
      <c r="R17" s="131"/>
      <c r="S17" s="33" t="n">
        <f aca="false">(AH17+$E17-AI17)/AI17</f>
        <v>0.0454545454545455</v>
      </c>
      <c r="T17" s="13"/>
      <c r="U17" s="136" t="n">
        <f aca="false">(AJ17+E17-AK17)/AK17</f>
        <v>0.0155038759689922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6.375</v>
      </c>
      <c r="AH17" s="111" t="n">
        <v>0.5</v>
      </c>
      <c r="AI17" s="128" t="n">
        <v>6.875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8" t="n">
        <f aca="false">DDE("REUTER","IDN","KPP")</f>
        <v>28</v>
      </c>
      <c r="F18" s="129"/>
      <c r="G18" s="128" t="n">
        <f aca="false">DDE("REUTER","IDN","KPP,DIVIDEND")</f>
        <v>2.8</v>
      </c>
      <c r="H18" s="13"/>
      <c r="I18" s="68" t="n">
        <f aca="false">+G18/E18</f>
        <v>0.1</v>
      </c>
      <c r="J18" s="68"/>
      <c r="K18" s="135" t="n">
        <f aca="false">(+I18-E$27)*10000</f>
        <v>409.8</v>
      </c>
      <c r="L18" s="23"/>
      <c r="M18" s="68" t="n">
        <f aca="false">(I18*AA18)+((I18*(1-AA18))*(1-0.3))</f>
        <v>0.094</v>
      </c>
      <c r="N18" s="23"/>
      <c r="O18" s="33" t="n">
        <f aca="false">+G18/Z18</f>
        <v>0.985915492957747</v>
      </c>
      <c r="P18" s="131"/>
      <c r="Q18" s="33" t="n">
        <f aca="false">(AF18+$E18-AG18)/AG18</f>
        <v>0.0298850574712644</v>
      </c>
      <c r="R18" s="131"/>
      <c r="S18" s="33" t="n">
        <f aca="false">(AH18+$E18-AI18)/AI18</f>
        <v>0.177435897435897</v>
      </c>
      <c r="T18" s="13"/>
      <c r="U18" s="136" t="n">
        <f aca="false">(AJ18+E18-AK18)/AK18</f>
        <v>0.219240506329114</v>
      </c>
      <c r="V18" s="103"/>
      <c r="W18" s="18"/>
      <c r="X18" s="40"/>
      <c r="Y18" s="104" t="n">
        <v>2.56</v>
      </c>
      <c r="Z18" s="105" t="n">
        <v>2.84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27.1875</v>
      </c>
      <c r="AH18" s="111" t="n">
        <v>0.7</v>
      </c>
      <c r="AI18" s="128" t="n">
        <v>24.375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8" t="n">
        <f aca="false">DDE("REUTER","IDN","KMP")</f>
        <v>44</v>
      </c>
      <c r="F19" s="129"/>
      <c r="G19" s="128" t="n">
        <f aca="false">DDE("REUTER","IDN","KMP,DIVIDEND")</f>
        <v>3.4</v>
      </c>
      <c r="H19" s="141"/>
      <c r="I19" s="68" t="n">
        <f aca="false">+G19/E19</f>
        <v>0.0772727272727273</v>
      </c>
      <c r="J19" s="68"/>
      <c r="K19" s="135" t="n">
        <f aca="false">(+I19-E$27)*10000</f>
        <v>182.527272727273</v>
      </c>
      <c r="L19" s="23"/>
      <c r="M19" s="68" t="n">
        <f aca="false">(I19*AA19)+((I19*(1-AA19))*(1-0.3))</f>
        <v>0.0749545454545455</v>
      </c>
      <c r="N19" s="23"/>
      <c r="O19" s="33" t="n">
        <f aca="false">+G19/Z19</f>
        <v>1.15254237288136</v>
      </c>
      <c r="P19" s="131"/>
      <c r="Q19" s="33" t="n">
        <f aca="false">(AF19+$E19-AG19)/AG19</f>
        <v>0.0277372262773723</v>
      </c>
      <c r="R19" s="131"/>
      <c r="S19" s="33" t="n">
        <f aca="false">(AH19+$E19-AI19)/AI19</f>
        <v>0.123004694835681</v>
      </c>
      <c r="T19" s="13"/>
      <c r="U19" s="136" t="n">
        <f aca="false">(AJ19+E19-AK19)/AK19</f>
        <v>0.118552036199095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42.8125</v>
      </c>
      <c r="AH19" s="111" t="n">
        <v>0.85</v>
      </c>
      <c r="AI19" s="128" t="n">
        <v>39.9375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8" t="n">
        <f aca="false">DDE("REUTER","IDN","LHP")</f>
        <v>41.125</v>
      </c>
      <c r="F20" s="129"/>
      <c r="G20" s="128" t="n">
        <f aca="false">DDE("REUTER","IDN","LHP,DIVIDEND")</f>
        <v>3.5</v>
      </c>
      <c r="H20" s="13"/>
      <c r="I20" s="68" t="n">
        <f aca="false">+G20/E20</f>
        <v>0.0851063829787234</v>
      </c>
      <c r="J20" s="68"/>
      <c r="K20" s="135" t="n">
        <f aca="false">(+I20-E$27)*10000</f>
        <v>260.863829787234</v>
      </c>
      <c r="L20" s="23"/>
      <c r="M20" s="68" t="n">
        <f aca="false">(I20*AA20)+((I20*(1-AA20))*(1-0.3))</f>
        <v>0.0838297872340426</v>
      </c>
      <c r="N20" s="23"/>
      <c r="O20" s="33" t="n">
        <f aca="false">+G20/Z20</f>
        <v>1.30111524163569</v>
      </c>
      <c r="P20" s="131"/>
      <c r="Q20" s="33" t="n">
        <f aca="false">(AF20+$E20-AG20)/AG20</f>
        <v>0.0444444444444444</v>
      </c>
      <c r="R20" s="131"/>
      <c r="S20" s="33" t="n">
        <f aca="false">(AH20+$E20-AI20)/AI20</f>
        <v>0.0483619344773791</v>
      </c>
      <c r="T20" s="13"/>
      <c r="U20" s="136" t="n">
        <f aca="false">(AJ20+E20-AK20)/AK20</f>
        <v>0.25673249551167</v>
      </c>
      <c r="V20" s="103"/>
      <c r="W20" s="18"/>
      <c r="X20" s="40"/>
      <c r="Y20" s="104" t="n">
        <v>2.23</v>
      </c>
      <c r="Z20" s="105" t="n">
        <v>2.69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39.375</v>
      </c>
      <c r="AH20" s="111" t="n">
        <v>0.875</v>
      </c>
      <c r="AI20" s="128" t="n">
        <v>40.0625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8" t="n">
        <f aca="false">DDE("REUTER","IDN","PAA")</f>
        <v>19.0625</v>
      </c>
      <c r="F21" s="129"/>
      <c r="G21" s="128" t="n">
        <f aca="false">DDE("REUTER","IDN","PAA,DIVIDEND")</f>
        <v>1.85</v>
      </c>
      <c r="H21" s="141"/>
      <c r="I21" s="68" t="n">
        <f aca="false">+G21/E21</f>
        <v>0.0970491803278689</v>
      </c>
      <c r="J21" s="68"/>
      <c r="K21" s="135" t="n">
        <f aca="false">(+I21-E$27)*10000</f>
        <v>380.291803278689</v>
      </c>
      <c r="L21" s="23"/>
      <c r="M21" s="68" t="n">
        <f aca="false">(I21*AA21)+((I21*(1-AA21))*(1-0.3))</f>
        <v>0.0883147540983607</v>
      </c>
      <c r="N21" s="23"/>
      <c r="O21" s="33" t="n">
        <f aca="false">+G21/Z21</f>
        <v>1.1144578313253</v>
      </c>
      <c r="P21" s="131"/>
      <c r="Q21" s="33" t="n">
        <f aca="false">(AF21+$E21-AG21)/AG21</f>
        <v>0.023489932885906</v>
      </c>
      <c r="R21" s="131"/>
      <c r="S21" s="33" t="n">
        <f aca="false">(AH21+$E21-AI21)/AI21</f>
        <v>0.0483489932885907</v>
      </c>
      <c r="T21" s="13"/>
      <c r="U21" s="136" t="n">
        <f aca="false">(AJ21+E21-AK21)/AK21</f>
        <v>0.571192307692308</v>
      </c>
      <c r="V21" s="103"/>
      <c r="W21" s="18"/>
      <c r="X21" s="40"/>
      <c r="Y21" s="104" t="n">
        <v>1.45</v>
      </c>
      <c r="Z21" s="105" t="n">
        <v>1.66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18.625</v>
      </c>
      <c r="AH21" s="111" t="n">
        <v>0.463</v>
      </c>
      <c r="AI21" s="128" t="n">
        <v>18.625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64</v>
      </c>
      <c r="AO21" s="142" t="s">
        <v>64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8" t="n">
        <f aca="false">DDE("REUTER","IDN","TCLPZ.O")</f>
        <v>18.875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0.095364238410596</v>
      </c>
      <c r="J22" s="68"/>
      <c r="K22" s="135" t="n">
        <f aca="false">(+I22-E$27)*10000</f>
        <v>363.44238410596</v>
      </c>
      <c r="L22" s="23"/>
      <c r="M22" s="68" t="n">
        <f aca="false">(I22*AA22)+((I22*(1-AA22))*(1-0.3))</f>
        <v>0.0939337748344371</v>
      </c>
      <c r="N22" s="23"/>
      <c r="O22" s="33" t="n">
        <f aca="false">+G22/Z22</f>
        <v>0.923076923076923</v>
      </c>
      <c r="P22" s="131"/>
      <c r="Q22" s="33" t="n">
        <f aca="false">(AF22+$E22-AG22)/AG22</f>
        <v>0.0378006872852234</v>
      </c>
      <c r="R22" s="131"/>
      <c r="S22" s="33" t="n">
        <f aca="false">(AH22+$E22-AI22)/AI22</f>
        <v>0.171212121212121</v>
      </c>
      <c r="T22" s="13"/>
      <c r="U22" s="136" t="n">
        <f aca="false">(AJ22+E22-AK22)/AK22</f>
        <v>0.419298245614035</v>
      </c>
      <c r="V22" s="103"/>
      <c r="W22" s="18"/>
      <c r="X22" s="40"/>
      <c r="Y22" s="104" t="n">
        <v>1.9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44" t="n">
        <v>18.1875</v>
      </c>
      <c r="AH22" s="111" t="n">
        <v>0.45</v>
      </c>
      <c r="AI22" s="144" t="n">
        <v>16.5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64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8" t="n">
        <f aca="false">DDE("REUTER","IDN","TPP")</f>
        <v>25.4375</v>
      </c>
      <c r="F23" s="129"/>
      <c r="G23" s="128" t="n">
        <f aca="false">DDE("REUTER","IDN","TPP,DIVIDEND")</f>
        <v>2</v>
      </c>
      <c r="H23" s="13"/>
      <c r="I23" s="68" t="n">
        <f aca="false">+G23/E23</f>
        <v>0.0786240786240786</v>
      </c>
      <c r="J23" s="68"/>
      <c r="K23" s="135" t="n">
        <f aca="false">(+I23-E$27)*10000</f>
        <v>196.040786240786</v>
      </c>
      <c r="L23" s="23"/>
      <c r="M23" s="68" t="n">
        <f aca="false">(I23*AA23)+((I23*(1-AA23))*(1-0.3))</f>
        <v>0.0715479115479115</v>
      </c>
      <c r="N23" s="23"/>
      <c r="O23" s="33" t="n">
        <f aca="false">+G23/Z23</f>
        <v>0.947867298578199</v>
      </c>
      <c r="P23" s="131"/>
      <c r="Q23" s="33" t="n">
        <f aca="false">(AF23+$E23-AG23)/AG23</f>
        <v>0.0710526315789474</v>
      </c>
      <c r="R23" s="131"/>
      <c r="S23" s="33" t="n">
        <f aca="false">(AH23+$E23-AI23)/AI23</f>
        <v>0.0921052631578947</v>
      </c>
      <c r="T23" s="13"/>
      <c r="U23" s="136" t="n">
        <f aca="false">(AJ23+E23-AK23)/AK23</f>
        <v>0.393527508090615</v>
      </c>
      <c r="V23" s="103"/>
      <c r="W23" s="18"/>
      <c r="X23" s="40"/>
      <c r="Y23" s="104" t="n">
        <v>1.97</v>
      </c>
      <c r="Z23" s="105" t="n">
        <v>2.11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23.75</v>
      </c>
      <c r="AH23" s="111" t="n">
        <v>0.5</v>
      </c>
      <c r="AI23" s="128" t="n">
        <v>23.75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69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0.11379538557597</v>
      </c>
      <c r="J25" s="158"/>
      <c r="K25" s="159" t="n">
        <f aca="false">(+I25-E$27)*10000</f>
        <v>547.753855759704</v>
      </c>
      <c r="L25" s="154"/>
      <c r="M25" s="158" t="n">
        <f aca="false">AVERAGEA(M13:M23)</f>
        <v>0.109646701372199</v>
      </c>
      <c r="N25" s="154"/>
      <c r="O25" s="160" t="n">
        <f aca="false">AVERAGEA(O13:O23)</f>
        <v>4.50426948751394</v>
      </c>
      <c r="P25" s="161"/>
      <c r="Q25" s="160" t="n">
        <f aca="false">AVERAGEA(Q13:Q23)</f>
        <v>0.0390841390181264</v>
      </c>
      <c r="R25" s="161"/>
      <c r="S25" s="160" t="n">
        <f aca="false">AVERAGEA(S13:S23)</f>
        <v>0.103115390329163</v>
      </c>
      <c r="T25" s="157"/>
      <c r="U25" s="162" t="n">
        <f aca="false">AVERAGEA(U13:U23)</f>
        <v>0.296094899875542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107.931428433048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113.679704913424</v>
      </c>
      <c r="AH26" s="23"/>
      <c r="AI26" s="175" t="n">
        <v>108.011293016979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70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9" t="n">
        <f aca="false">DDE("REUTER","IDN","US30YT=RR,RT YIELD 1")/100</f>
        <v>0.05902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0.041314</v>
      </c>
      <c r="N27" s="23"/>
      <c r="O27" s="33"/>
      <c r="P27" s="131"/>
      <c r="Q27" s="33" t="n">
        <f aca="false">(AF26+$E26-AG26)/AG26</f>
        <v>-0.0505655471638846</v>
      </c>
      <c r="R27" s="131"/>
      <c r="S27" s="33" t="n">
        <f aca="false">(AH26+$E26-AI26)/AI26</f>
        <v>-0.000739409571908519</v>
      </c>
      <c r="T27" s="13"/>
      <c r="U27" s="136" t="n">
        <f aca="false">(AJ26+E26-AK26)/AK26</f>
        <v>0.0793142843304793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0.057015</v>
      </c>
      <c r="AH27" s="182"/>
      <c r="AI27" s="179" t="n">
        <v>0.058981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72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27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73</v>
      </c>
      <c r="S28" s="193" t="s">
        <v>73</v>
      </c>
      <c r="U28" s="193" t="s">
        <v>73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74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75</v>
      </c>
      <c r="AI30" s="199" t="s">
        <v>76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77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78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79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41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43</v>
      </c>
      <c r="R38" s="234"/>
      <c r="S38" s="234"/>
      <c r="T38" s="234"/>
      <c r="U38" s="234"/>
      <c r="V38" s="234"/>
      <c r="W38" s="234"/>
      <c r="X38" s="235"/>
      <c r="Y38" s="236" t="s">
        <v>80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81</v>
      </c>
      <c r="B39" s="242"/>
      <c r="C39" s="242"/>
      <c r="D39" s="242"/>
      <c r="E39" s="243" t="s">
        <v>82</v>
      </c>
      <c r="F39" s="242"/>
      <c r="G39" s="243" t="s">
        <v>83</v>
      </c>
      <c r="H39" s="244"/>
      <c r="I39" s="243" t="s">
        <v>84</v>
      </c>
      <c r="J39" s="243"/>
      <c r="K39" s="243" t="s">
        <v>85</v>
      </c>
      <c r="L39" s="11"/>
      <c r="M39" s="245"/>
      <c r="N39" s="244"/>
      <c r="O39" s="246"/>
      <c r="P39" s="244"/>
      <c r="Q39" s="247" t="s">
        <v>82</v>
      </c>
      <c r="R39" s="244"/>
      <c r="S39" s="243" t="s">
        <v>83</v>
      </c>
      <c r="T39" s="244"/>
      <c r="U39" s="243" t="s">
        <v>84</v>
      </c>
      <c r="V39" s="18"/>
      <c r="W39" s="248" t="s">
        <v>85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86</v>
      </c>
      <c r="B40" s="242"/>
      <c r="C40" s="242"/>
      <c r="D40" s="242"/>
      <c r="E40" s="251" t="s">
        <v>87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88</v>
      </c>
      <c r="R40" s="254"/>
      <c r="S40" s="253"/>
      <c r="T40" s="235"/>
      <c r="U40" s="255"/>
      <c r="V40" s="18"/>
      <c r="W40" s="256"/>
      <c r="X40" s="257"/>
      <c r="Y40" s="40" t="s">
        <v>89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90</v>
      </c>
      <c r="B41" s="242"/>
      <c r="C41" s="242"/>
      <c r="D41" s="242"/>
      <c r="E41" s="251" t="s">
        <v>87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91</v>
      </c>
      <c r="R41" s="254"/>
      <c r="S41" s="257"/>
      <c r="T41" s="235"/>
      <c r="U41" s="257"/>
      <c r="V41" s="18"/>
      <c r="W41" s="256"/>
      <c r="X41" s="257"/>
      <c r="Y41" s="40" t="s">
        <v>92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93</v>
      </c>
      <c r="B42" s="242"/>
      <c r="C42" s="242"/>
      <c r="D42" s="242"/>
      <c r="E42" s="251" t="s">
        <v>87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91</v>
      </c>
      <c r="R42" s="254"/>
      <c r="S42" s="253"/>
      <c r="T42" s="235"/>
      <c r="U42" s="255"/>
      <c r="V42" s="18"/>
      <c r="W42" s="256"/>
      <c r="X42" s="257"/>
      <c r="Y42" s="40" t="s">
        <v>94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95</v>
      </c>
      <c r="B43" s="242"/>
      <c r="C43" s="242"/>
      <c r="D43" s="242"/>
      <c r="E43" s="251" t="s">
        <v>87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96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97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98</v>
      </c>
      <c r="B44" s="242"/>
      <c r="C44" s="242"/>
      <c r="D44" s="242"/>
      <c r="E44" s="251" t="s">
        <v>99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91</v>
      </c>
      <c r="R44" s="254"/>
      <c r="S44" s="257"/>
      <c r="T44" s="235"/>
      <c r="U44" s="257"/>
      <c r="V44" s="18"/>
      <c r="W44" s="256"/>
      <c r="X44" s="257"/>
      <c r="Y44" s="40" t="s">
        <v>100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101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87</v>
      </c>
      <c r="R45" s="254"/>
      <c r="S45" s="259"/>
      <c r="T45" s="260"/>
      <c r="U45" s="259"/>
      <c r="V45" s="18"/>
      <c r="W45" s="261"/>
      <c r="X45" s="257"/>
      <c r="Y45" s="40" t="s">
        <v>102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103</v>
      </c>
      <c r="B46" s="242"/>
      <c r="C46" s="242"/>
      <c r="D46" s="242"/>
      <c r="E46" s="251" t="s">
        <v>104</v>
      </c>
      <c r="F46" s="242"/>
      <c r="G46" s="252" t="n">
        <v>2.5</v>
      </c>
      <c r="H46" s="242"/>
      <c r="I46" s="252" t="n">
        <v>2.62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104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105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106</v>
      </c>
      <c r="B47" s="242"/>
      <c r="C47" s="242"/>
      <c r="D47" s="242"/>
      <c r="E47" s="251" t="s">
        <v>107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108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109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110</v>
      </c>
      <c r="B48" s="242"/>
      <c r="C48" s="242"/>
      <c r="D48" s="242"/>
      <c r="E48" s="251" t="s">
        <v>111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91</v>
      </c>
      <c r="R48" s="254"/>
      <c r="S48" s="257"/>
      <c r="T48" s="235"/>
      <c r="U48" s="257"/>
      <c r="V48" s="18"/>
      <c r="W48" s="256"/>
      <c r="X48" s="257"/>
      <c r="Y48" s="40" t="s">
        <v>112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113</v>
      </c>
      <c r="B49" s="242"/>
      <c r="C49" s="242"/>
      <c r="D49" s="242"/>
      <c r="E49" s="251" t="s">
        <v>87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87</v>
      </c>
      <c r="R49" s="254"/>
      <c r="S49" s="252" t="n">
        <v>0.65</v>
      </c>
      <c r="T49" s="242"/>
      <c r="U49" s="252" t="n">
        <v>0.75</v>
      </c>
      <c r="V49" s="18"/>
      <c r="W49" s="258" t="n">
        <v>19</v>
      </c>
      <c r="X49" s="252"/>
      <c r="Y49" s="40" t="s">
        <v>114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115</v>
      </c>
      <c r="B50" s="242"/>
      <c r="C50" s="242"/>
      <c r="D50" s="242"/>
      <c r="E50" s="251" t="s">
        <v>104</v>
      </c>
      <c r="F50" s="242"/>
      <c r="G50" s="252" t="n">
        <v>2.5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111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116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2.492</v>
      </c>
      <c r="H52" s="13"/>
      <c r="I52" s="264" t="n">
        <f aca="false">AVERAGEA(I40:I50)</f>
        <v>2.586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0.51</v>
      </c>
      <c r="T52" s="37"/>
      <c r="U52" s="264" t="n">
        <f aca="false">AVERAGEA(U40:U50)</f>
        <v>0.622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117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118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kcorbal</cp:lastModifiedBy>
  <cp:lastPrinted>2000-08-30T19:14:26Z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