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1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212</xdr:colOff>
                <xdr:row>18</xdr:row>
                <xdr:rowOff>23</xdr:rowOff>
              </xdr:from>
              <xdr:to>
                <xdr:col>1</xdr:col>
                <xdr:colOff>2</xdr:colOff>
                <xdr:row>20</xdr:row>
                <xdr:rowOff>29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<sst xmlns="http://schemas.openxmlformats.org/spreadsheetml/2006/main" count="157" uniqueCount="117">
  <si>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</si>
  <si>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</si>
  <si>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</si>
  <si>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</si>
  <si>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</si>
  <si>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</si>
  <si>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</si>
  <si>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</si>
  <si>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</si>
  <si>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</si>
  <si>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</si>
  <si>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</si>
  <si>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</si>
  <si>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</si>
  <si>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</si>
  <si>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</si>
  <si>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</si>
  <si>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</si>
  <si>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</si>
  <si>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</si>
  <si>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</si>
  <si>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</si>
  <si>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</si>
  <si>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</si>
  <si>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</si>
  <si>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</si>
  <si>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</si>
  <si>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</si>
  <si>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</si>
  <si>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</si>
  <si>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</si>
  <si>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</si>
  <si>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</si>
  <si>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</si>
  <si>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</si>
  <si>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</si>
  <si>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</si>
  <si>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</si>
  <si>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</si>
  <si>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</si>
  <si>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</si>
  <si>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</si>
  <si>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</si>
  <si>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</si>
  <si>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</si>
  <si>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</si>
  <si>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</si>
  <si>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</si>
  <si>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</si>
  <si>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</si>
  <si>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</si>
  <si>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</si>
  <si>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</si>
  <si>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</si>
  <si>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</si>
  <si>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</si>
  <si>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</si>
  <si>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</si>
  <si>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</si>
  <si>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</si>
  <si>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</si>
  <si>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</si>
  <si>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</si>
  <si>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</si>
  <si>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</si>
  <si>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</si>
  <si>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</si>
  <si>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</si>
  <si>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</si>
  <si>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</si>
  <si>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</si>
  <si>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</si>
  <si>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</si>
  <si>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</si>
  <si>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</si>
  <si>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</si>
  <si>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</si>
  <si>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</si>
  <si>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</si>
  <si>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</si>
  <si>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</si>
  <si>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</si>
  <si>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</si>
  <si>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</si>
  <si>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</si>
  <si>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</si>
  <si>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</si>
  <si>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</si>
  <si>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</si>
  <si>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</si>
  <si>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</si>
  <si>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</si>
  <si>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</si>
  <si>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</si>
  <si>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</si>
  <si>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</si>
  <si>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</si>
  <si>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</si>
  <si>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</si>
  <si>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</si>
  <si>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</si>
  <si>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</si>
  <si>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</si>
  <si>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</si>
  <si>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</si>
  <si>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</si>
  <si>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Neutral</t>
  </si>
  <si>
    <t xml:space="preserve">Accum./Buy</t>
  </si>
  <si>
    <t xml:space="preserve">Donato Eassey (NBP) Andrew Fairbanks (EOT)</t>
  </si>
  <si>
    <t xml:space="preserve">Morgan Stanley DW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</si>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</sst>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36679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36672</v>
      </c>
      <c r="AH6" s="59" t="s">
        <v>20</v>
      </c>
      <c r="AI6" s="61" t="n">
        <v>36616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26.4375</v>
      </c>
      <c r="F10" s="96"/>
      <c r="G10" s="95" t="n">
        <f aca="false">DDE("REUTER","IDN","NBP,DIVIDEND")</f>
        <v>2.6</v>
      </c>
      <c r="H10" s="97"/>
      <c r="I10" s="98" t="n">
        <f aca="false">+G10/E10</f>
        <v>0.0983451536643026</v>
      </c>
      <c r="J10" s="98"/>
      <c r="K10" s="99" t="n">
        <f aca="false">(+I10-E$27)*10000</f>
        <v>389.251536643026</v>
      </c>
      <c r="L10" s="94"/>
      <c r="M10" s="98" t="n">
        <f aca="false">(I10*AA10)+((I10*(1-AA10))*(1-0.3))</f>
        <v>0.0968699763593381</v>
      </c>
      <c r="N10" s="94"/>
      <c r="O10" s="100" t="n">
        <f aca="false">+G10/Z10</f>
        <v>0.981132075471698</v>
      </c>
      <c r="P10" s="101"/>
      <c r="Q10" s="100" t="n">
        <f aca="false">(AF10+$E10-AG10)/AG10</f>
        <v>0.0958549222797927</v>
      </c>
      <c r="R10" s="101"/>
      <c r="S10" s="100" t="n">
        <f aca="false">(AH10+$E10-AI10)/AI10</f>
        <v>-0.00138248847926273</v>
      </c>
      <c r="T10" s="97"/>
      <c r="U10" s="102" t="n">
        <f aca="false">(AJ10+$E10-AK10)/AK10</f>
        <v>0.205978260869565</v>
      </c>
      <c r="V10" s="103"/>
      <c r="W10" s="18"/>
      <c r="X10" s="40"/>
      <c r="Y10" s="104" t="n">
        <f aca="false">ROUND(G52,2)</f>
        <v>2.54</v>
      </c>
      <c r="Z10" s="105" t="n">
        <f aca="false">ROUND(I52,2)</f>
        <v>2.65</v>
      </c>
      <c r="AA10" s="106" t="n">
        <v>0.95</v>
      </c>
      <c r="AB10" s="107"/>
      <c r="AC10" s="11"/>
      <c r="AD10" s="108" t="n">
        <v>36642</v>
      </c>
      <c r="AE10" s="109" t="n">
        <v>0.65</v>
      </c>
      <c r="AF10" s="110"/>
      <c r="AG10" s="95" t="n">
        <v>24.125</v>
      </c>
      <c r="AH10" s="111" t="n">
        <v>0.65</v>
      </c>
      <c r="AI10" s="95" t="n">
        <v>27.125</v>
      </c>
      <c r="AJ10" s="111" t="n">
        <f aca="false">0.65*2</f>
        <v>1.3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14.1875</v>
      </c>
      <c r="F11" s="120"/>
      <c r="G11" s="119" t="n">
        <f aca="false">DDE("REUTER","IDN","EOT,DIVIDEND")</f>
        <v>1.9</v>
      </c>
      <c r="H11" s="121"/>
      <c r="I11" s="122" t="n">
        <f aca="false">+G11/E11</f>
        <v>0.133920704845815</v>
      </c>
      <c r="J11" s="122"/>
      <c r="K11" s="123" t="n">
        <f aca="false">(+I11-E$27)*10000</f>
        <v>745.00704845815</v>
      </c>
      <c r="L11" s="118"/>
      <c r="M11" s="122" t="n">
        <f aca="false">(I11*AA11)+((I11*(1-AA11))*(1-0.3))</f>
        <v>0.131911894273128</v>
      </c>
      <c r="N11" s="118"/>
      <c r="O11" s="124" t="n">
        <f aca="false">+G11/Z11</f>
        <v>2.9320987654321</v>
      </c>
      <c r="P11" s="125"/>
      <c r="Q11" s="124" t="n">
        <f aca="false">(AF11+$E11-AG11)/AG11</f>
        <v>0.0412844036697248</v>
      </c>
      <c r="R11" s="125"/>
      <c r="S11" s="124" t="n">
        <f aca="false">(AH11+$E11-AI11)/AI11</f>
        <v>0.0473214285714286</v>
      </c>
      <c r="T11" s="121"/>
      <c r="U11" s="126" t="n">
        <f aca="false">(AJ11+E11-AK11)/AK11</f>
        <v>0.164423076923077</v>
      </c>
      <c r="V11" s="103"/>
      <c r="W11" s="18"/>
      <c r="X11" s="40"/>
      <c r="Y11" s="104" t="n">
        <f aca="false">S52</f>
        <v>0.57</v>
      </c>
      <c r="Z11" s="105" t="n">
        <f aca="false">U52</f>
        <v>0.648</v>
      </c>
      <c r="AA11" s="106" t="n">
        <v>0.95</v>
      </c>
      <c r="AB11" s="107"/>
      <c r="AC11" s="22"/>
      <c r="AD11" s="108" t="n">
        <v>36642</v>
      </c>
      <c r="AE11" s="109" t="n">
        <v>0.475</v>
      </c>
      <c r="AF11" s="110"/>
      <c r="AG11" s="119" t="n">
        <v>13.625</v>
      </c>
      <c r="AH11" s="111" t="n">
        <v>0.475</v>
      </c>
      <c r="AI11" s="119" t="n">
        <v>14</v>
      </c>
      <c r="AJ11" s="111" t="n">
        <f aca="false">0.475*2</f>
        <v>0.95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16.125</v>
      </c>
      <c r="F13" s="129"/>
      <c r="G13" s="128" t="n">
        <f aca="false">DDE("REUTER","IDN","APU,DIVIDEND")</f>
        <v>2.2</v>
      </c>
      <c r="H13" s="13"/>
      <c r="I13" s="68" t="n">
        <f aca="false">+G13/E13</f>
        <v>0.136434108527132</v>
      </c>
      <c r="J13" s="68"/>
      <c r="K13" s="135" t="n">
        <f aca="false">(+I13-E$27)*10000</f>
        <v>770.141085271318</v>
      </c>
      <c r="L13" s="23"/>
      <c r="M13" s="68" t="n">
        <f aca="false">(I13*AA13)+((I13*(1-AA13))*(1-0.3))</f>
        <v>0.12415503875969</v>
      </c>
      <c r="N13" s="23"/>
      <c r="O13" s="33" t="n">
        <f aca="false">+G13/Y13</f>
        <v>3.85964912280702</v>
      </c>
      <c r="P13" s="131"/>
      <c r="Q13" s="33" t="n">
        <f aca="false">(AF13+$E13-AG13)/AG13</f>
        <v>0.0238095238095238</v>
      </c>
      <c r="R13" s="131"/>
      <c r="S13" s="33" t="n">
        <f aca="false">(AH13+$E13-AI13)/AI13</f>
        <v>0.0934426229508197</v>
      </c>
      <c r="T13" s="13"/>
      <c r="U13" s="136" t="n">
        <f aca="false">(AJ13+E13-AK13)/AK13</f>
        <v>0.157983193277311</v>
      </c>
      <c r="V13" s="103"/>
      <c r="W13" s="18"/>
      <c r="X13" s="40"/>
      <c r="Y13" s="104" t="n">
        <v>0.57</v>
      </c>
      <c r="Z13" s="105" t="n">
        <v>1.05</v>
      </c>
      <c r="AA13" s="106" t="n">
        <v>0.7</v>
      </c>
      <c r="AB13" s="137"/>
      <c r="AC13" s="11"/>
      <c r="AD13" s="108" t="n">
        <v>36654</v>
      </c>
      <c r="AE13" s="109" t="n">
        <v>0.55</v>
      </c>
      <c r="AF13" s="110"/>
      <c r="AG13" s="128" t="n">
        <v>15.75</v>
      </c>
      <c r="AH13" s="111" t="n">
        <v>0.55</v>
      </c>
      <c r="AI13" s="128" t="n">
        <v>15.25</v>
      </c>
      <c r="AJ13" s="111" t="n">
        <f aca="false">0.55*2</f>
        <v>1.1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26.625</v>
      </c>
      <c r="F14" s="129"/>
      <c r="G14" s="128" t="n">
        <f aca="false">DDE("REUTER","IDN","BPL,DIVIDEND")</f>
        <v>2.4</v>
      </c>
      <c r="H14" s="13"/>
      <c r="I14" s="68" t="n">
        <f aca="false">+G14/E14</f>
        <v>0.0901408450704225</v>
      </c>
      <c r="J14" s="68"/>
      <c r="K14" s="135" t="n">
        <f aca="false">(+I14-E$27)*10000</f>
        <v>307.208450704225</v>
      </c>
      <c r="L14" s="23"/>
      <c r="M14" s="68" t="n">
        <f aca="false">(I14*AA14)+((I14*(1-AA14))*(1-0.3))</f>
        <v>0.0833802816901408</v>
      </c>
      <c r="N14" s="23"/>
      <c r="O14" s="33" t="n">
        <f aca="false">+G14/Z14</f>
        <v>0.905660377358491</v>
      </c>
      <c r="P14" s="131"/>
      <c r="Q14" s="33" t="n">
        <f aca="false">(AF14+$E14-AG14)/AG14</f>
        <v>0.0289855072463768</v>
      </c>
      <c r="R14" s="131"/>
      <c r="S14" s="33" t="n">
        <f aca="false">(AH14+$E14-AI14)/AI14</f>
        <v>0.0471153846153847</v>
      </c>
      <c r="T14" s="13"/>
      <c r="U14" s="136" t="n">
        <f aca="false">(AJ14+E14-AK14)/AK14</f>
        <v>0.0701923076923077</v>
      </c>
      <c r="V14" s="103"/>
      <c r="W14" s="18"/>
      <c r="X14" s="40"/>
      <c r="Y14" s="104" t="n">
        <v>2.54</v>
      </c>
      <c r="Z14" s="105" t="n">
        <v>2.65</v>
      </c>
      <c r="AA14" s="106" t="n">
        <v>0.75</v>
      </c>
      <c r="AB14" s="107"/>
      <c r="AC14" s="11"/>
      <c r="AD14" s="108" t="n">
        <v>36648</v>
      </c>
      <c r="AE14" s="109" t="n">
        <v>0.6</v>
      </c>
      <c r="AF14" s="110"/>
      <c r="AG14" s="128" t="n">
        <v>25.875</v>
      </c>
      <c r="AH14" s="111" t="n">
        <v>0.6</v>
      </c>
      <c r="AI14" s="128" t="n">
        <v>26</v>
      </c>
      <c r="AJ14" s="111" t="n">
        <f aca="false">0.6*2</f>
        <v>1.2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24.25</v>
      </c>
      <c r="F15" s="129"/>
      <c r="G15" s="128" t="n">
        <f aca="false">DDE("REUTER","IDN","EPN,DIVIDEND")</f>
        <v>2.15</v>
      </c>
      <c r="H15" s="13"/>
      <c r="I15" s="68" t="n">
        <f aca="false">+G15/E15</f>
        <v>0.088659793814433</v>
      </c>
      <c r="J15" s="68"/>
      <c r="K15" s="135" t="n">
        <f aca="false">(+I15-E$27)*10000</f>
        <v>292.39793814433</v>
      </c>
      <c r="L15" s="23"/>
      <c r="M15" s="68" t="n">
        <f aca="false">(I15*AA15)+((I15*(1-AA15))*(1-0.3))</f>
        <v>0.0875958762886598</v>
      </c>
      <c r="N15" s="23"/>
      <c r="O15" s="33" t="n">
        <f aca="false">+G15/Z15</f>
        <v>2.82894736842105</v>
      </c>
      <c r="P15" s="131"/>
      <c r="Q15" s="33" t="n">
        <f aca="false">(AF15+$E15-AG15)/AG15</f>
        <v>0.0157068062827225</v>
      </c>
      <c r="R15" s="131"/>
      <c r="S15" s="33" t="n">
        <f aca="false">(AH15+$E15-AI15)/AI15</f>
        <v>0.279354838709678</v>
      </c>
      <c r="T15" s="13"/>
      <c r="U15" s="136" t="n">
        <f aca="false">(AJ15+E15-AK15)/AK15</f>
        <v>0.332236842105263</v>
      </c>
      <c r="V15" s="103"/>
      <c r="W15" s="18"/>
      <c r="X15" s="40"/>
      <c r="Y15" s="104" t="n">
        <v>0.37</v>
      </c>
      <c r="Z15" s="105" t="n">
        <v>0.76</v>
      </c>
      <c r="AA15" s="106" t="n">
        <v>0.96</v>
      </c>
      <c r="AB15" s="107"/>
      <c r="AC15" s="11"/>
      <c r="AD15" s="108" t="n">
        <v>36642</v>
      </c>
      <c r="AE15" s="109" t="n">
        <v>0.5375</v>
      </c>
      <c r="AF15" s="110"/>
      <c r="AG15" s="128" t="n">
        <v>23.875</v>
      </c>
      <c r="AH15" s="111" t="n">
        <v>0.5375</v>
      </c>
      <c r="AI15" s="128" t="n">
        <v>19.375</v>
      </c>
      <c r="AJ15" s="111" t="n">
        <f aca="false">0.525+0.5375</f>
        <v>1.0625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13.625</v>
      </c>
      <c r="F16" s="129"/>
      <c r="G16" s="128" t="n">
        <f aca="false">DDE("REUTER","IDN","FGP,DIVIDEND")</f>
        <v>2</v>
      </c>
      <c r="H16" s="13"/>
      <c r="I16" s="68" t="n">
        <f aca="false">+G16/E16</f>
        <v>0.146788990825688</v>
      </c>
      <c r="J16" s="68"/>
      <c r="K16" s="135" t="n">
        <f aca="false">(+I16-E$27)*10000</f>
        <v>873.689908256881</v>
      </c>
      <c r="L16" s="23"/>
      <c r="M16" s="68" t="n">
        <f aca="false">(I16*AA16)+((I16*(1-AA16))*(1-0.3))</f>
        <v>0.145908256880734</v>
      </c>
      <c r="N16" s="23"/>
      <c r="O16" s="33" t="n">
        <f aca="false">+G16/Z16</f>
        <v>4.87804878048781</v>
      </c>
      <c r="P16" s="140"/>
      <c r="Q16" s="33" t="n">
        <f aca="false">(AF16+$E16-AG16)/AG16</f>
        <v>0.013953488372093</v>
      </c>
      <c r="R16" s="140"/>
      <c r="S16" s="33" t="n">
        <f aca="false">(AH16+$E16-AI16)/AI16</f>
        <v>0.0272727272727273</v>
      </c>
      <c r="T16" s="13"/>
      <c r="U16" s="136" t="n">
        <f aca="false">(AJ16+E16-AK16)/AK16</f>
        <v>0.158415841584158</v>
      </c>
      <c r="V16" s="103"/>
      <c r="W16" s="18"/>
      <c r="X16" s="40"/>
      <c r="Y16" s="104" t="n">
        <v>-0.31</v>
      </c>
      <c r="Z16" s="105" t="n">
        <v>0.41</v>
      </c>
      <c r="AA16" s="106" t="n">
        <v>0.98</v>
      </c>
      <c r="AB16" s="107"/>
      <c r="AC16" s="11"/>
      <c r="AD16" s="108" t="n">
        <v>36672</v>
      </c>
      <c r="AE16" s="109" t="n">
        <v>0.5</v>
      </c>
      <c r="AF16" s="110"/>
      <c r="AG16" s="128" t="n">
        <v>13.4375</v>
      </c>
      <c r="AH16" s="111" t="n">
        <v>0.5</v>
      </c>
      <c r="AI16" s="128" t="n">
        <v>13.75</v>
      </c>
      <c r="AJ16" s="111" t="n">
        <f aca="false">0.5+0.5</f>
        <v>1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5.8125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0.344086021505376</v>
      </c>
      <c r="J17" s="68"/>
      <c r="K17" s="135" t="n">
        <f aca="false">(+I17-E$27)*10000</f>
        <v>2846.66021505376</v>
      </c>
      <c r="L17" s="23"/>
      <c r="M17" s="68" t="n">
        <f aca="false">(I17*AA17)+((I17*(1-AA17))*(1-0.3))</f>
        <v>0.344086021505376</v>
      </c>
      <c r="N17" s="23"/>
      <c r="O17" s="33" t="n">
        <f aca="false">+G17/Z17</f>
        <v>8.69565217391304</v>
      </c>
      <c r="P17" s="131"/>
      <c r="Q17" s="33" t="n">
        <f aca="false">(AF17+$E17-AG17)/AG17</f>
        <v>0.134146341463415</v>
      </c>
      <c r="R17" s="131"/>
      <c r="S17" s="33" t="n">
        <f aca="false">(AH17+$E17-AI17)/AI17</f>
        <v>-0.317567567567568</v>
      </c>
      <c r="T17" s="13"/>
      <c r="U17" s="136" t="n">
        <f aca="false">(AJ17+E17-AK17)/AK17</f>
        <v>-0.155038759689922</v>
      </c>
      <c r="V17" s="103"/>
      <c r="W17" s="18"/>
      <c r="X17" s="40"/>
      <c r="Y17" s="104" t="n">
        <v>0.04</v>
      </c>
      <c r="Z17" s="105" t="n">
        <v>0.23</v>
      </c>
      <c r="AA17" s="106" t="n">
        <v>1</v>
      </c>
      <c r="AB17" s="107"/>
      <c r="AC17" s="11"/>
      <c r="AD17" s="108" t="n">
        <v>36643</v>
      </c>
      <c r="AE17" s="109" t="n">
        <v>0.5</v>
      </c>
      <c r="AF17" s="110"/>
      <c r="AG17" s="128" t="n">
        <v>5.125</v>
      </c>
      <c r="AH17" s="111" t="n">
        <v>0.5</v>
      </c>
      <c r="AI17" s="128" t="n">
        <v>9.25</v>
      </c>
      <c r="AJ17" s="111" t="n">
        <f aca="false">0.5*2</f>
        <v>1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26.3125</v>
      </c>
      <c r="F18" s="129"/>
      <c r="G18" s="128" t="n">
        <f aca="false">DDE("REUTER","IDN","KPP,DIVIDEND")</f>
        <v>2.8</v>
      </c>
      <c r="H18" s="13"/>
      <c r="I18" s="68" t="n">
        <f aca="false">+G18/E18</f>
        <v>0.106413301662708</v>
      </c>
      <c r="J18" s="68"/>
      <c r="K18" s="135" t="n">
        <f aca="false">(+I18-E$27)*10000</f>
        <v>469.933016627078</v>
      </c>
      <c r="L18" s="23"/>
      <c r="M18" s="68" t="n">
        <f aca="false">(I18*AA18)+((I18*(1-AA18))*(1-0.3))</f>
        <v>0.100028503562945</v>
      </c>
      <c r="N18" s="23"/>
      <c r="O18" s="33" t="n">
        <f aca="false">+G18/Z18</f>
        <v>0.955631399317406</v>
      </c>
      <c r="P18" s="131"/>
      <c r="Q18" s="33" t="n">
        <f aca="false">(AF18+$E18-AG18)/AG18</f>
        <v>0.0577889447236181</v>
      </c>
      <c r="R18" s="131"/>
      <c r="S18" s="33" t="n">
        <f aca="false">(AH18+$E18-AI18)/AI18</f>
        <v>0.0778054862842893</v>
      </c>
      <c r="T18" s="13"/>
      <c r="U18" s="136" t="n">
        <f aca="false">(AJ18+E18-AK18)/AK18</f>
        <v>0.12253164556962</v>
      </c>
      <c r="V18" s="103"/>
      <c r="W18" s="18"/>
      <c r="X18" s="40"/>
      <c r="Y18" s="104" t="n">
        <v>2.65</v>
      </c>
      <c r="Z18" s="105" t="n">
        <v>2.93</v>
      </c>
      <c r="AA18" s="106" t="n">
        <v>0.8</v>
      </c>
      <c r="AB18" s="107"/>
      <c r="AC18" s="11"/>
      <c r="AD18" s="108" t="n">
        <v>36642</v>
      </c>
      <c r="AE18" s="109" t="n">
        <v>0.7</v>
      </c>
      <c r="AF18" s="110"/>
      <c r="AG18" s="128" t="n">
        <v>24.875</v>
      </c>
      <c r="AH18" s="111" t="n">
        <v>0.7</v>
      </c>
      <c r="AI18" s="128" t="n">
        <v>25.0625</v>
      </c>
      <c r="AJ18" s="111" t="n">
        <f aca="false">0.7*2</f>
        <v>1.4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39</v>
      </c>
      <c r="F19" s="129"/>
      <c r="G19" s="128" t="n">
        <f aca="false">DDE("REUTER","IDN","KMP,DIVIDEND")</f>
        <v>3.1</v>
      </c>
      <c r="H19" s="141"/>
      <c r="I19" s="68" t="n">
        <f aca="false">+G19/E19</f>
        <v>0.0794871794871795</v>
      </c>
      <c r="J19" s="68"/>
      <c r="K19" s="135" t="n">
        <f aca="false">(+I19-E$27)*10000</f>
        <v>200.671794871795</v>
      </c>
      <c r="L19" s="23"/>
      <c r="M19" s="68" t="n">
        <f aca="false">(I19*AA19)+((I19*(1-AA19))*(1-0.3))</f>
        <v>0.0771025641025641</v>
      </c>
      <c r="N19" s="23"/>
      <c r="O19" s="33" t="n">
        <f aca="false">+G19/Z19</f>
        <v>1.06164383561644</v>
      </c>
      <c r="P19" s="131"/>
      <c r="Q19" s="33" t="n">
        <f aca="false">(AF19+$E19-AG19)/AG19</f>
        <v>0.033112582781457</v>
      </c>
      <c r="R19" s="131"/>
      <c r="S19" s="33" t="n">
        <f aca="false">(AH19+$E19-AI19)/AI19</f>
        <v>0.00220472440944878</v>
      </c>
      <c r="T19" s="13"/>
      <c r="U19" s="136" t="n">
        <f aca="false">(AJ19+E19-AK19)/AK19</f>
        <v>-0.0226244343891403</v>
      </c>
      <c r="V19" s="103"/>
      <c r="W19" s="18"/>
      <c r="X19" s="40"/>
      <c r="Y19" s="104" t="n">
        <v>2.64</v>
      </c>
      <c r="Z19" s="105" t="n">
        <v>2.92</v>
      </c>
      <c r="AA19" s="106" t="n">
        <v>0.9</v>
      </c>
      <c r="AB19" s="137"/>
      <c r="AC19" s="11"/>
      <c r="AD19" s="108" t="n">
        <v>36643</v>
      </c>
      <c r="AE19" s="109" t="n">
        <v>0.775</v>
      </c>
      <c r="AF19" s="110"/>
      <c r="AG19" s="128" t="n">
        <v>37.75</v>
      </c>
      <c r="AH19" s="111" t="n">
        <v>0.775</v>
      </c>
      <c r="AI19" s="128" t="n">
        <v>39.6875</v>
      </c>
      <c r="AJ19" s="111" t="n">
        <f aca="false">0.725+0.775</f>
        <v>1.5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37</v>
      </c>
      <c r="F20" s="129"/>
      <c r="G20" s="128" t="n">
        <f aca="false">DDE("REUTER","IDN","LHP,DIVIDEND")</f>
        <v>3.5</v>
      </c>
      <c r="H20" s="13"/>
      <c r="I20" s="68" t="n">
        <f aca="false">+G20/E20</f>
        <v>0.0945945945945946</v>
      </c>
      <c r="J20" s="68"/>
      <c r="K20" s="135" t="n">
        <f aca="false">(+I20-E$27)*10000</f>
        <v>351.745945945946</v>
      </c>
      <c r="L20" s="23"/>
      <c r="M20" s="68" t="n">
        <f aca="false">(I20*AA20)+((I20*(1-AA20))*(1-0.3))</f>
        <v>0.0931756756756757</v>
      </c>
      <c r="N20" s="23"/>
      <c r="O20" s="33" t="n">
        <f aca="false">+G20/Z20</f>
        <v>1.23239436619718</v>
      </c>
      <c r="P20" s="131"/>
      <c r="Q20" s="33" t="n">
        <f aca="false">(AF20+$E20-AG20)/AG20</f>
        <v>0.00509337860780985</v>
      </c>
      <c r="R20" s="131"/>
      <c r="S20" s="33" t="n">
        <f aca="false">(AH20+$E20-AI20)/AI20</f>
        <v>0.0899280575539568</v>
      </c>
      <c r="T20" s="13"/>
      <c r="U20" s="136" t="n">
        <f aca="false">(AJ20+E20-AK20)/AK20</f>
        <v>0.11310592459605</v>
      </c>
      <c r="V20" s="103"/>
      <c r="W20" s="18"/>
      <c r="X20" s="40"/>
      <c r="Y20" s="104" t="n">
        <v>2.61</v>
      </c>
      <c r="Z20" s="105" t="n">
        <v>2.84</v>
      </c>
      <c r="AA20" s="106" t="n">
        <v>0.95</v>
      </c>
      <c r="AB20" s="107"/>
      <c r="AC20" s="11"/>
      <c r="AD20" s="108" t="n">
        <v>36642</v>
      </c>
      <c r="AE20" s="109" t="n">
        <v>0.875</v>
      </c>
      <c r="AF20" s="110"/>
      <c r="AG20" s="128" t="n">
        <v>36.8125</v>
      </c>
      <c r="AH20" s="111" t="n">
        <v>0.875</v>
      </c>
      <c r="AI20" s="128" t="n">
        <v>34.75</v>
      </c>
      <c r="AJ20" s="111" t="n">
        <f aca="false">0.875*2</f>
        <v>1.75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17.625</v>
      </c>
      <c r="F21" s="129"/>
      <c r="G21" s="128" t="n">
        <f aca="false">DDE("REUTER","IDN","PAA,DIVIDEND")</f>
        <v>1.8</v>
      </c>
      <c r="H21" s="141"/>
      <c r="I21" s="68" t="n">
        <f aca="false">+G21/E21</f>
        <v>0.102127659574468</v>
      </c>
      <c r="J21" s="68"/>
      <c r="K21" s="135" t="n">
        <f aca="false">(+I21-E$27)*10000</f>
        <v>427.076595744681</v>
      </c>
      <c r="L21" s="23"/>
      <c r="M21" s="68" t="n">
        <f aca="false">(I21*AA21)+((I21*(1-AA21))*(1-0.3))</f>
        <v>0.092936170212766</v>
      </c>
      <c r="N21" s="23"/>
      <c r="O21" s="33" t="n">
        <f aca="false">+G21/Z21</f>
        <v>1.09756097560976</v>
      </c>
      <c r="P21" s="131"/>
      <c r="Q21" s="33" t="n">
        <f aca="false">(AF21+$E21-AG21)/AG21</f>
        <v>-0.0342465753424658</v>
      </c>
      <c r="R21" s="131"/>
      <c r="S21" s="33" t="n">
        <f aca="false">(AH21+$E21-AI21)/AI21</f>
        <v>0.10381679389313</v>
      </c>
      <c r="T21" s="13"/>
      <c r="U21" s="136" t="n">
        <f aca="false">(AJ21+E21-AK21)/AK21</f>
        <v>0.425</v>
      </c>
      <c r="V21" s="103"/>
      <c r="W21" s="18"/>
      <c r="X21" s="40"/>
      <c r="Y21" s="104" t="n">
        <v>1.41</v>
      </c>
      <c r="Z21" s="105" t="n">
        <v>1.64</v>
      </c>
      <c r="AA21" s="106" t="n">
        <v>0.7</v>
      </c>
      <c r="AB21" s="107"/>
      <c r="AC21" s="11"/>
      <c r="AD21" s="108" t="n">
        <v>36649</v>
      </c>
      <c r="AE21" s="109" t="n">
        <v>0.45</v>
      </c>
      <c r="AF21" s="110"/>
      <c r="AG21" s="128" t="n">
        <v>18.25</v>
      </c>
      <c r="AH21" s="111" t="n">
        <v>0.45</v>
      </c>
      <c r="AI21" s="128" t="n">
        <v>16.375</v>
      </c>
      <c r="AJ21" s="111" t="n">
        <f aca="false">0.45*2</f>
        <v>0.9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14.8125</v>
      </c>
      <c r="F22" s="129"/>
      <c r="G22" s="128" t="n">
        <f aca="false">DDE("REUTER","IDN","TCLPZ.O,DIVIDEND")</f>
        <v>1.8</v>
      </c>
      <c r="H22" s="13"/>
      <c r="I22" s="68" t="n">
        <f aca="false">+G22/E22</f>
        <v>0.121518987341772</v>
      </c>
      <c r="J22" s="68"/>
      <c r="K22" s="135" t="n">
        <f aca="false">(+I22-E$27)*10000</f>
        <v>620.989873417722</v>
      </c>
      <c r="L22" s="23"/>
      <c r="M22" s="68" t="n">
        <f aca="false">(I22*AA22)+((I22*(1-AA22))*(1-0.3))</f>
        <v>0.119696202531646</v>
      </c>
      <c r="N22" s="23"/>
      <c r="O22" s="33" t="n">
        <f aca="false">+G22/Z22</f>
        <v>0.957446808510638</v>
      </c>
      <c r="P22" s="131"/>
      <c r="Q22" s="33" t="n">
        <f aca="false">(AF22+$E22-AG22)/AG22</f>
        <v>-0.00420168067226891</v>
      </c>
      <c r="R22" s="131"/>
      <c r="S22" s="33" t="n">
        <f aca="false">(AH22+$E22-AI22)/AI22</f>
        <v>-0.0347826086956522</v>
      </c>
      <c r="T22" s="13"/>
      <c r="U22" s="136" t="n">
        <f aca="false">(AJ22+E22-AK22)/AK22</f>
        <v>0.102631578947368</v>
      </c>
      <c r="V22" s="103"/>
      <c r="W22" s="18"/>
      <c r="X22" s="40"/>
      <c r="Y22" s="104" t="n">
        <v>1.87</v>
      </c>
      <c r="Z22" s="105" t="n">
        <v>1.88</v>
      </c>
      <c r="AA22" s="106" t="n">
        <v>0.95</v>
      </c>
      <c r="AB22" s="107"/>
      <c r="AC22" s="11"/>
      <c r="AD22" s="108" t="n">
        <v>36642</v>
      </c>
      <c r="AE22" s="109" t="n">
        <v>0.45</v>
      </c>
      <c r="AF22" s="110"/>
      <c r="AG22" s="144" t="n">
        <v>14.875</v>
      </c>
      <c r="AH22" s="111" t="n">
        <v>0.45</v>
      </c>
      <c r="AI22" s="144" t="n">
        <v>15.8125</v>
      </c>
      <c r="AJ22" s="111" t="n">
        <f aca="false">0.45*2</f>
        <v>0.9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22.625</v>
      </c>
      <c r="F23" s="129"/>
      <c r="G23" s="128" t="n">
        <f aca="false">DDE("REUTER","IDN","TPP,DIVIDEND")</f>
        <v>2</v>
      </c>
      <c r="H23" s="13"/>
      <c r="I23" s="68" t="n">
        <f aca="false">+G23/E23</f>
        <v>0.0883977900552486</v>
      </c>
      <c r="J23" s="68"/>
      <c r="K23" s="135" t="n">
        <f aca="false">(+I23-E$27)*10000</f>
        <v>289.777900552486</v>
      </c>
      <c r="L23" s="23"/>
      <c r="M23" s="68" t="n">
        <f aca="false">(I23*AA23)+((I23*(1-AA23))*(1-0.3))</f>
        <v>0.0804419889502762</v>
      </c>
      <c r="N23" s="23"/>
      <c r="O23" s="33" t="n">
        <f aca="false">+G23/Z23</f>
        <v>0.961538461538462</v>
      </c>
      <c r="P23" s="131"/>
      <c r="Q23" s="33" t="n">
        <f aca="false">(AF23+$E23-AG23)/AG23</f>
        <v>0.0225988700564972</v>
      </c>
      <c r="R23" s="131"/>
      <c r="S23" s="33" t="n">
        <f aca="false">(AH23+$E23-AI23)/AI23</f>
        <v>0.0393258426966292</v>
      </c>
      <c r="T23" s="13"/>
      <c r="U23" s="136" t="n">
        <f aca="false">(AJ23+E23-AK23)/AK23</f>
        <v>0.222006472491909</v>
      </c>
      <c r="V23" s="103"/>
      <c r="W23" s="18"/>
      <c r="X23" s="40"/>
      <c r="Y23" s="104" t="n">
        <v>1.98</v>
      </c>
      <c r="Z23" s="105" t="n">
        <v>2.08</v>
      </c>
      <c r="AA23" s="106" t="n">
        <v>0.7</v>
      </c>
      <c r="AB23" s="107"/>
      <c r="AC23" s="11"/>
      <c r="AD23" s="108" t="n">
        <v>36642</v>
      </c>
      <c r="AE23" s="109" t="n">
        <v>0.5</v>
      </c>
      <c r="AF23" s="110"/>
      <c r="AG23" s="128" t="n">
        <v>22.125</v>
      </c>
      <c r="AH23" s="111" t="n">
        <v>0.5</v>
      </c>
      <c r="AI23" s="128" t="n">
        <v>22.25</v>
      </c>
      <c r="AJ23" s="111" t="n">
        <f aca="false">0.475+0.5</f>
        <v>0.975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0.127149933859911</v>
      </c>
      <c r="J25" s="158"/>
      <c r="K25" s="159" t="n">
        <f aca="false">(+I25-E$27)*10000</f>
        <v>677.299338599111</v>
      </c>
      <c r="L25" s="154"/>
      <c r="M25" s="158" t="n">
        <f aca="false">AVERAGEA(M13:M23)</f>
        <v>0.122591507287316</v>
      </c>
      <c r="N25" s="154"/>
      <c r="O25" s="160" t="n">
        <f aca="false">AVERAGEA(O13:O23)</f>
        <v>2.49401578816157</v>
      </c>
      <c r="P25" s="161"/>
      <c r="Q25" s="160" t="n">
        <f aca="false">AVERAGEA(Q13:Q23)</f>
        <v>0.0269770170298889</v>
      </c>
      <c r="R25" s="161"/>
      <c r="S25" s="160" t="n">
        <f aca="false">AVERAGEA(S13:S23)</f>
        <v>0.0370833001929857</v>
      </c>
      <c r="T25" s="157"/>
      <c r="U25" s="162" t="n">
        <f aca="false">AVERAGEA(U13:U23)</f>
        <v>0.138767328380448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107.38284890712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103.893985480823</v>
      </c>
      <c r="AH26" s="23"/>
      <c r="AI26" s="175" t="n">
        <v>108.907220752617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(DDE("REUTER","IDN","US30YT=RR,RT YIELD 1"))/100</f>
        <v>0.05942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0.041594</v>
      </c>
      <c r="N27" s="23"/>
      <c r="O27" s="33"/>
      <c r="P27" s="131"/>
      <c r="Q27" s="33" t="n">
        <f aca="false">(AF26+$E26-AG26)/AG26</f>
        <v>0.033580995186105</v>
      </c>
      <c r="R27" s="131"/>
      <c r="S27" s="33" t="n">
        <f aca="false">(AH26+$E26-AI26)/AI26</f>
        <v>-0.0139969768300257</v>
      </c>
      <c r="T27" s="13"/>
      <c r="U27" s="136" t="n">
        <f aca="false">(AJ26+E26-AK26)/AK26</f>
        <v>0.0738284890712002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0.0606</v>
      </c>
      <c r="AH27" s="182"/>
      <c r="AI27" s="179" t="n">
        <v>0.05839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2.63</v>
      </c>
      <c r="H40" s="242"/>
      <c r="I40" s="252" t="n">
        <v>2.8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2.54</v>
      </c>
      <c r="H41" s="242"/>
      <c r="I41" s="252" t="n">
        <v>2.92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2.54</v>
      </c>
      <c r="H42" s="242"/>
      <c r="I42" s="252" t="n">
        <v>2.57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2.6</v>
      </c>
      <c r="H43" s="242"/>
      <c r="I43" s="252" t="n">
        <v>2.65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2.54</v>
      </c>
      <c r="H46" s="242"/>
      <c r="I46" s="252" t="n">
        <v>2.68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86</v>
      </c>
      <c r="R46" s="254"/>
      <c r="S46" s="259" t="n">
        <v>0.55</v>
      </c>
      <c r="T46" s="260"/>
      <c r="U46" s="252" t="n">
        <v>0.64</v>
      </c>
      <c r="V46" s="18"/>
      <c r="W46" s="261"/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2.45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0.55</v>
      </c>
      <c r="T47" s="242"/>
      <c r="U47" s="252" t="n">
        <v>0.6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106</v>
      </c>
      <c r="F48" s="242"/>
      <c r="G48" s="253" t="n">
        <v>2.52</v>
      </c>
      <c r="H48" s="242"/>
      <c r="I48" s="252" t="n">
        <v>2.62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110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111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0.65</v>
      </c>
      <c r="T49" s="242"/>
      <c r="U49" s="252" t="n">
        <v>0.75</v>
      </c>
      <c r="V49" s="18"/>
      <c r="W49" s="258" t="n">
        <v>21.13</v>
      </c>
      <c r="X49" s="252"/>
      <c r="Y49" s="40" t="s">
        <v>112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113</v>
      </c>
      <c r="B50" s="242"/>
      <c r="C50" s="242"/>
      <c r="D50" s="242"/>
      <c r="E50" s="251" t="s">
        <v>103</v>
      </c>
      <c r="F50" s="242"/>
      <c r="G50" s="252" t="n">
        <v>2.55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106</v>
      </c>
      <c r="R50" s="254"/>
      <c r="S50" s="252" t="n">
        <v>0.6</v>
      </c>
      <c r="T50" s="242"/>
      <c r="U50" s="252" t="n">
        <v>0.65</v>
      </c>
      <c r="V50" s="18"/>
      <c r="W50" s="258" t="n">
        <v>18.5</v>
      </c>
      <c r="X50" s="252"/>
      <c r="Y50" s="40" t="s">
        <v>114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2.542</v>
      </c>
      <c r="H52" s="13"/>
      <c r="I52" s="264" t="n">
        <f aca="false">AVERAGEA(I40:I50)</f>
        <v>2.649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0.57</v>
      </c>
      <c r="T52" s="37"/>
      <c r="U52" s="264" t="n">
        <f aca="false">AVERAGEA(U40:U50)</f>
        <v>0.648</v>
      </c>
      <c r="V52" s="14"/>
      <c r="W52" s="265" t="n">
        <f aca="false">AVERAGEA(W40:W50)</f>
        <v>19.8766666666667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115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116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2000-06-01T19:16:05Z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