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<sst xmlns="http://schemas.openxmlformats.org/spreadsheetml/2006/main" count="190" uniqueCount="128">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</sst>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7" min="35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37043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37036</v>
      </c>
      <c r="AH6" s="59" t="s">
        <v>20</v>
      </c>
      <c r="AI6" s="60" t="n">
        <v>36980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3"/>
      <c r="AH8" s="84"/>
      <c r="AI8" s="83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4"/>
      <c r="AH9" s="89"/>
      <c r="AI9" s="83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39.52</v>
      </c>
      <c r="F10" s="95"/>
      <c r="G10" s="94" t="n">
        <f aca="false">DDE("REUTER","IDN","NBP,DIVIDEND")</f>
        <v>3.05</v>
      </c>
      <c r="H10" s="96"/>
      <c r="I10" s="97" t="n">
        <f aca="false">+G10/E10</f>
        <v>0.0771761133603239</v>
      </c>
      <c r="J10" s="97"/>
      <c r="K10" s="98" t="n">
        <f aca="false">(+I10-E$28)*10000</f>
        <v>200.821133603239</v>
      </c>
      <c r="L10" s="93"/>
      <c r="M10" s="97" t="n">
        <f aca="false">(I10*AA10)+((I10*(1-AA10))*(1-0.3))</f>
        <v>0.076018471659919</v>
      </c>
      <c r="N10" s="93"/>
      <c r="O10" s="99" t="n">
        <f aca="false">+G10/Z10</f>
        <v>1.12823674475956</v>
      </c>
      <c r="P10" s="100"/>
      <c r="Q10" s="99" t="n">
        <f aca="false">(AF10+$E10-AG10)/AG10</f>
        <v>-0.0159362549800795</v>
      </c>
      <c r="R10" s="100"/>
      <c r="S10" s="99" t="n">
        <f aca="false">(AH10+$E10-AI10)/AI10</f>
        <v>0.0916802168021681</v>
      </c>
      <c r="T10" s="96"/>
      <c r="U10" s="101" t="n">
        <f aca="false">(AJ10+$E10-AK10)/AK10</f>
        <v>0.306231075697211</v>
      </c>
      <c r="V10" s="102"/>
      <c r="W10" s="18"/>
      <c r="X10" s="40"/>
      <c r="Y10" s="103" t="n">
        <f aca="false">ROUND(G58,2)</f>
        <v>2.61</v>
      </c>
      <c r="Z10" s="104" t="n">
        <f aca="false">+I58</f>
        <v>2.70333333333333</v>
      </c>
      <c r="AA10" s="105" t="n">
        <v>0.95</v>
      </c>
      <c r="AB10" s="106"/>
      <c r="AC10" s="11"/>
      <c r="AD10" s="107" t="n">
        <v>37007</v>
      </c>
      <c r="AE10" s="108" t="n">
        <v>0.7625</v>
      </c>
      <c r="AF10" s="109"/>
      <c r="AG10" s="94" t="n">
        <v>40.16</v>
      </c>
      <c r="AH10" s="109" t="n">
        <v>0.763</v>
      </c>
      <c r="AI10" s="94" t="n">
        <v>36.9</v>
      </c>
      <c r="AJ10" s="109" t="n">
        <f aca="false">0.7+0.763</f>
        <v>1.463</v>
      </c>
      <c r="AK10" s="108" t="n">
        <v>31.375</v>
      </c>
      <c r="AL10" s="110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1" t="n">
        <f aca="false">0.575+0.575+0.575+0.575</f>
        <v>2.3</v>
      </c>
      <c r="AQ10" s="112" t="n">
        <v>34</v>
      </c>
      <c r="AR10" s="87"/>
      <c r="AS10" s="88"/>
      <c r="AT10" s="88"/>
      <c r="AU10" s="88"/>
      <c r="AV10" s="88"/>
      <c r="AW10" s="14"/>
      <c r="AX10" s="113"/>
      <c r="AY10" s="114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5" t="s">
        <v>42</v>
      </c>
      <c r="B11" s="116"/>
      <c r="C11" s="117" t="s">
        <v>43</v>
      </c>
      <c r="D11" s="116"/>
      <c r="E11" s="118" t="n">
        <f aca="false">DDE("REUTER","IDN","EOT")</f>
        <v>17.35</v>
      </c>
      <c r="F11" s="119"/>
      <c r="G11" s="118" t="n">
        <f aca="false">DDE("REUTER","IDN","EOT,DIVIDEND")</f>
        <v>1.9</v>
      </c>
      <c r="H11" s="120"/>
      <c r="I11" s="121" t="n">
        <f aca="false">+G11/E11</f>
        <v>0.109510086455331</v>
      </c>
      <c r="J11" s="121"/>
      <c r="K11" s="122" t="n">
        <f aca="false">(+I11-E$28)*10000</f>
        <v>524.160864553314</v>
      </c>
      <c r="L11" s="117"/>
      <c r="M11" s="121" t="n">
        <f aca="false">(I11*AA11)+((I11*(1-AA11))*(1-0.3))</f>
        <v>0.107867435158501</v>
      </c>
      <c r="N11" s="117"/>
      <c r="O11" s="123" t="n">
        <f aca="false">+G11/Z11</f>
        <v>2.87878787878788</v>
      </c>
      <c r="P11" s="124"/>
      <c r="Q11" s="123" t="n">
        <f aca="false">(AF11+$E11-AG11)/AG11</f>
        <v>-0.0419657647708447</v>
      </c>
      <c r="R11" s="124"/>
      <c r="S11" s="123" t="n">
        <f aca="false">(AH11+$E11-AI11)/AI11</f>
        <v>0.130310716550412</v>
      </c>
      <c r="T11" s="120"/>
      <c r="U11" s="125" t="n">
        <f aca="false">(AJ11+E11-AK11)/AK11</f>
        <v>0.117557251908397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37007</v>
      </c>
      <c r="AE11" s="108" t="n">
        <v>0.475</v>
      </c>
      <c r="AF11" s="109"/>
      <c r="AG11" s="118" t="n">
        <v>18.11</v>
      </c>
      <c r="AH11" s="109" t="n">
        <v>0.475</v>
      </c>
      <c r="AI11" s="118" t="n">
        <v>15.77</v>
      </c>
      <c r="AJ11" s="109" t="n">
        <f aca="false">0.475*2</f>
        <v>0.95</v>
      </c>
      <c r="AK11" s="108" t="n">
        <v>16.375</v>
      </c>
      <c r="AL11" s="110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6" t="n">
        <f aca="false">0.475+0.475+0.475+0.475</f>
        <v>1.9</v>
      </c>
      <c r="AQ11" s="112" t="n">
        <v>17.125</v>
      </c>
      <c r="AR11" s="87"/>
      <c r="AS11" s="88"/>
      <c r="AT11" s="14"/>
      <c r="AU11" s="88"/>
      <c r="AV11" s="88"/>
      <c r="AW11" s="14"/>
      <c r="AX11" s="113"/>
      <c r="AY11" s="114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7"/>
      <c r="F12" s="128"/>
      <c r="G12" s="127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27"/>
      <c r="AH12" s="109"/>
      <c r="AI12" s="127"/>
      <c r="AJ12" s="109"/>
      <c r="AK12" s="108"/>
      <c r="AL12" s="110"/>
      <c r="AM12" s="108"/>
      <c r="AN12" s="109"/>
      <c r="AO12" s="108"/>
      <c r="AP12" s="111"/>
      <c r="AQ12" s="133"/>
      <c r="AR12" s="87"/>
      <c r="AS12" s="88"/>
      <c r="AT12" s="14"/>
      <c r="AU12" s="88"/>
      <c r="AV12" s="88"/>
      <c r="AW12" s="14"/>
      <c r="AX12" s="113"/>
      <c r="AY12" s="11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7" t="n">
        <f aca="false">DDE("REUTER","IDN","APU")</f>
        <v>22.65</v>
      </c>
      <c r="F13" s="128"/>
      <c r="G13" s="127" t="n">
        <f aca="false">DDE("REUTER","IDN","APU,DIVIDEND")</f>
        <v>2.2</v>
      </c>
      <c r="H13" s="13"/>
      <c r="I13" s="67" t="n">
        <f aca="false">+G13/E13</f>
        <v>0.0971302428256071</v>
      </c>
      <c r="J13" s="67"/>
      <c r="K13" s="134" t="n">
        <f aca="false">(+I13-E$28)*10000</f>
        <v>400.362428256071</v>
      </c>
      <c r="L13" s="23"/>
      <c r="M13" s="67" t="n">
        <f aca="false">(I13*AA13)+((I13*(1-AA13))*(1-0.3))</f>
        <v>0.0883885209713024</v>
      </c>
      <c r="N13" s="23"/>
      <c r="O13" s="33" t="n">
        <f aca="false">+G13/Y13</f>
        <v>2.07547169811321</v>
      </c>
      <c r="P13" s="130"/>
      <c r="Q13" s="33" t="n">
        <f aca="false">(AF13+$E13-AG13)/AG13</f>
        <v>-0.018630849220104</v>
      </c>
      <c r="R13" s="130"/>
      <c r="S13" s="33" t="n">
        <f aca="false">(AH13+$E13-AI13)/AI13</f>
        <v>0.15136476426799</v>
      </c>
      <c r="T13" s="13"/>
      <c r="U13" s="135" t="n">
        <f aca="false">(AJ13+E13-AK13)/AK13</f>
        <v>0.428571428571429</v>
      </c>
      <c r="V13" s="102"/>
      <c r="W13" s="18"/>
      <c r="X13" s="40"/>
      <c r="Y13" s="103" t="n">
        <v>1.06</v>
      </c>
      <c r="Z13" s="104" t="n">
        <v>1.16</v>
      </c>
      <c r="AA13" s="105" t="n">
        <v>0.7</v>
      </c>
      <c r="AB13" s="136"/>
      <c r="AC13" s="11"/>
      <c r="AD13" s="107" t="n">
        <v>37015</v>
      </c>
      <c r="AE13" s="108" t="n">
        <v>0.55</v>
      </c>
      <c r="AF13" s="109"/>
      <c r="AG13" s="127" t="n">
        <v>23.08</v>
      </c>
      <c r="AH13" s="109" t="n">
        <v>0.55</v>
      </c>
      <c r="AI13" s="127" t="n">
        <v>20.15</v>
      </c>
      <c r="AJ13" s="109" t="n">
        <f aca="false">0.55*2</f>
        <v>1.1</v>
      </c>
      <c r="AK13" s="108" t="n">
        <v>16.625</v>
      </c>
      <c r="AL13" s="110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6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7" t="n">
        <f aca="false">DDE("REUTER","IDN","BPL")</f>
        <v>36.2</v>
      </c>
      <c r="F14" s="128"/>
      <c r="G14" s="127" t="n">
        <f aca="false">DDE("REUTER","IDN","BPL,DIVIDEND")</f>
        <v>2.4</v>
      </c>
      <c r="H14" s="13"/>
      <c r="I14" s="67" t="n">
        <f aca="false">+G14/E14</f>
        <v>0.0662983425414365</v>
      </c>
      <c r="J14" s="67"/>
      <c r="K14" s="134" t="n">
        <f aca="false">(+I14-E$28)*10000</f>
        <v>92.0434254143646</v>
      </c>
      <c r="L14" s="23"/>
      <c r="M14" s="67" t="n">
        <f aca="false">(I14*AA14)+((I14*(1-AA14))*(1-0.3))</f>
        <v>0.0613259668508287</v>
      </c>
      <c r="N14" s="23"/>
      <c r="O14" s="33" t="n">
        <f aca="false">+G14/Z14</f>
        <v>0.916030534351145</v>
      </c>
      <c r="P14" s="130"/>
      <c r="Q14" s="33" t="n">
        <f aca="false">(AF14+$E14-AG14)/AG14</f>
        <v>-0.0109289617486338</v>
      </c>
      <c r="R14" s="130"/>
      <c r="S14" s="33" t="n">
        <f aca="false">(AH14+$E14-AI14)/AI14</f>
        <v>0.094586555621654</v>
      </c>
      <c r="T14" s="13"/>
      <c r="U14" s="135" t="n">
        <f aca="false">(AJ14+E14-AK14)/AK14</f>
        <v>0.295238095238095</v>
      </c>
      <c r="V14" s="102"/>
      <c r="W14" s="18"/>
      <c r="X14" s="40"/>
      <c r="Y14" s="103" t="n">
        <v>2.49</v>
      </c>
      <c r="Z14" s="104" t="n">
        <v>2.62</v>
      </c>
      <c r="AA14" s="105" t="n">
        <v>0.75</v>
      </c>
      <c r="AB14" s="106"/>
      <c r="AC14" s="11"/>
      <c r="AD14" s="107" t="n">
        <v>37013</v>
      </c>
      <c r="AE14" s="108" t="n">
        <v>0.6</v>
      </c>
      <c r="AF14" s="109"/>
      <c r="AG14" s="127" t="n">
        <v>36.6</v>
      </c>
      <c r="AH14" s="109" t="n">
        <v>0.6</v>
      </c>
      <c r="AI14" s="127" t="n">
        <v>33.62</v>
      </c>
      <c r="AJ14" s="109" t="n">
        <f aca="false">0.6*2</f>
        <v>1.2</v>
      </c>
      <c r="AK14" s="108" t="n">
        <v>28.875</v>
      </c>
      <c r="AL14" s="110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6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3"/>
      <c r="AY14" s="11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7" t="n">
        <f aca="false">DDE("REUTER","IDN","EPN")</f>
        <v>33.5</v>
      </c>
      <c r="F15" s="128"/>
      <c r="G15" s="127" t="n">
        <f aca="false">DDE("REUTER","IDN","EPN,DIVIDEND")</f>
        <v>2.3</v>
      </c>
      <c r="H15" s="13"/>
      <c r="I15" s="67" t="n">
        <f aca="false">+G15/E15</f>
        <v>0.0686567164179105</v>
      </c>
      <c r="J15" s="67"/>
      <c r="K15" s="134" t="n">
        <f aca="false">(+I15-E$28)*10000</f>
        <v>115.627164179105</v>
      </c>
      <c r="L15" s="23"/>
      <c r="M15" s="67" t="n">
        <f aca="false">(I15*AA15)+((I15*(1-AA15))*(1-0.3))</f>
        <v>0.0678328358208955</v>
      </c>
      <c r="N15" s="23"/>
      <c r="O15" s="33" t="n">
        <f aca="false">+G15/Z15</f>
        <v>4.6</v>
      </c>
      <c r="P15" s="130"/>
      <c r="Q15" s="33" t="n">
        <f aca="false">(AF15+$E15-AG15)/AG15</f>
        <v>-0.0509915014164305</v>
      </c>
      <c r="R15" s="130"/>
      <c r="S15" s="33" t="n">
        <f aca="false">(AH15+$E15-AI15)/AI15</f>
        <v>0.092147435897436</v>
      </c>
      <c r="T15" s="13"/>
      <c r="U15" s="135" t="n">
        <f aca="false">(AJ15+E15-AK15)/AK15</f>
        <v>0.261958997722096</v>
      </c>
      <c r="V15" s="102"/>
      <c r="W15" s="18"/>
      <c r="X15" s="40"/>
      <c r="Y15" s="103" t="n">
        <v>0.23</v>
      </c>
      <c r="Z15" s="104" t="n">
        <v>0.5</v>
      </c>
      <c r="AA15" s="105" t="n">
        <v>0.96</v>
      </c>
      <c r="AB15" s="106"/>
      <c r="AC15" s="11"/>
      <c r="AD15" s="107" t="n">
        <v>37007</v>
      </c>
      <c r="AE15" s="108" t="n">
        <v>0.575</v>
      </c>
      <c r="AF15" s="109"/>
      <c r="AG15" s="127" t="n">
        <v>35.3</v>
      </c>
      <c r="AH15" s="109" t="n">
        <v>0.575</v>
      </c>
      <c r="AI15" s="127" t="n">
        <v>31.2</v>
      </c>
      <c r="AJ15" s="109" t="n">
        <f aca="false">0.55+0.575</f>
        <v>1.125</v>
      </c>
      <c r="AK15" s="108" t="n">
        <v>27.4375</v>
      </c>
      <c r="AL15" s="110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6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3"/>
      <c r="AY15" s="11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27" t="n">
        <v>38.5</v>
      </c>
      <c r="F16" s="128"/>
      <c r="G16" s="127" t="n">
        <v>2.2</v>
      </c>
      <c r="H16" s="13"/>
      <c r="I16" s="67" t="n">
        <f aca="false">+G16/E16</f>
        <v>0.0571428571428572</v>
      </c>
      <c r="J16" s="67"/>
      <c r="K16" s="134" t="n">
        <f aca="false">(+I16-E$28)*10000</f>
        <v>0.488571428571491</v>
      </c>
      <c r="L16" s="23"/>
      <c r="M16" s="67" t="n">
        <f aca="false">(I16*AA16)+((I16*(1-AA16))*(1-0.3))</f>
        <v>0.04</v>
      </c>
      <c r="N16" s="23"/>
      <c r="O16" s="33" t="n">
        <f aca="false">+G16/Z16</f>
        <v>0.905349794238683</v>
      </c>
      <c r="P16" s="130"/>
      <c r="Q16" s="33" t="n">
        <f aca="false">(AF16+$E16-AG16)/AG16</f>
        <v>-0.0460852329038652</v>
      </c>
      <c r="R16" s="130"/>
      <c r="S16" s="33" t="n">
        <f aca="false">(AH16+$E16-AI16)/AI16</f>
        <v>0.126984126984127</v>
      </c>
      <c r="T16" s="13"/>
      <c r="U16" s="135" t="n">
        <f aca="false">(AJ16+E16-AK16)/AK16</f>
        <v>0.259642147117296</v>
      </c>
      <c r="V16" s="102"/>
      <c r="W16" s="18"/>
      <c r="X16" s="40"/>
      <c r="Y16" s="103" t="n">
        <v>2.23</v>
      </c>
      <c r="Z16" s="104" t="n">
        <v>2.43</v>
      </c>
      <c r="AA16" s="105"/>
      <c r="AB16" s="106"/>
      <c r="AC16" s="11"/>
      <c r="AD16" s="107" t="n">
        <v>37007</v>
      </c>
      <c r="AE16" s="108" t="n">
        <v>0.55</v>
      </c>
      <c r="AF16" s="109"/>
      <c r="AG16" s="127" t="n">
        <v>40.36</v>
      </c>
      <c r="AH16" s="109" t="n">
        <v>0.55</v>
      </c>
      <c r="AI16" s="127" t="n">
        <v>34.65</v>
      </c>
      <c r="AJ16" s="109" t="n">
        <v>1.1</v>
      </c>
      <c r="AK16" s="108" t="n">
        <v>31.4375</v>
      </c>
      <c r="AL16" s="110" t="n">
        <f aca="false">0.525+0.525+0.5+0.5</f>
        <v>2.05</v>
      </c>
      <c r="AM16" s="108" t="n">
        <v>18.4375</v>
      </c>
      <c r="AN16" s="109" t="n">
        <f aca="false">0.45+0.45+0.45+0.45</f>
        <v>1.8</v>
      </c>
      <c r="AO16" s="108" t="n">
        <v>14.875</v>
      </c>
      <c r="AP16" s="126" t="n">
        <v>0.32</v>
      </c>
      <c r="AQ16" s="139" t="s">
        <v>52</v>
      </c>
      <c r="AR16" s="87"/>
      <c r="AS16" s="88"/>
      <c r="AT16" s="14"/>
      <c r="AU16" s="88"/>
      <c r="AV16" s="88"/>
      <c r="AW16" s="14"/>
      <c r="AX16" s="113"/>
      <c r="AY16" s="11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27" t="n">
        <f aca="false">DDE("REUTER","IDN","FGP")</f>
        <v>19.61</v>
      </c>
      <c r="F17" s="128"/>
      <c r="G17" s="127" t="n">
        <f aca="false">DDE("REUTER","IDN","FGP,DIVIDEND")</f>
        <v>2</v>
      </c>
      <c r="H17" s="13"/>
      <c r="I17" s="67" t="n">
        <f aca="false">+G17/E17</f>
        <v>0.101988781234064</v>
      </c>
      <c r="J17" s="67"/>
      <c r="K17" s="134" t="n">
        <f aca="false">(+I17-E$28)*10000</f>
        <v>448.947812340643</v>
      </c>
      <c r="L17" s="23"/>
      <c r="M17" s="67" t="n">
        <f aca="false">(I17*AA17)+((I17*(1-AA17))*(1-0.3))</f>
        <v>0.10137684854666</v>
      </c>
      <c r="N17" s="23"/>
      <c r="O17" s="33" t="n">
        <f aca="false">+G17/Z17</f>
        <v>2.10526315789474</v>
      </c>
      <c r="P17" s="140"/>
      <c r="Q17" s="33" t="n">
        <f aca="false">(AF17+$E17-AG17)/AG17</f>
        <v>-0.0469194312796209</v>
      </c>
      <c r="R17" s="140"/>
      <c r="S17" s="33" t="n">
        <f aca="false">(AH17+$E17-AI17)/AI17</f>
        <v>0.237538461538462</v>
      </c>
      <c r="T17" s="13"/>
      <c r="U17" s="135" t="n">
        <f aca="false">(AJ17+E17-AK17)/AK17</f>
        <v>0.562843601895735</v>
      </c>
      <c r="V17" s="102"/>
      <c r="W17" s="18"/>
      <c r="X17" s="40"/>
      <c r="Y17" s="103" t="n">
        <v>1.13</v>
      </c>
      <c r="Z17" s="104" t="n">
        <v>0.95</v>
      </c>
      <c r="AA17" s="105" t="n">
        <v>0.98</v>
      </c>
      <c r="AB17" s="106"/>
      <c r="AC17" s="11"/>
      <c r="AD17" s="107" t="n">
        <v>37041</v>
      </c>
      <c r="AE17" s="108" t="n">
        <v>0.5</v>
      </c>
      <c r="AF17" s="109" t="n">
        <v>0.5</v>
      </c>
      <c r="AG17" s="127" t="n">
        <v>21.1</v>
      </c>
      <c r="AH17" s="109" t="n">
        <v>0.5</v>
      </c>
      <c r="AI17" s="127" t="n">
        <v>16.25</v>
      </c>
      <c r="AJ17" s="109" t="n">
        <f aca="false">0.5*2</f>
        <v>1</v>
      </c>
      <c r="AK17" s="108" t="n">
        <v>13.1875</v>
      </c>
      <c r="AL17" s="110" t="n">
        <f aca="false">0.5+0.5+0.5+0.5</f>
        <v>2</v>
      </c>
      <c r="AM17" s="108" t="n">
        <v>12.625</v>
      </c>
      <c r="AN17" s="109" t="n">
        <f aca="false">0.5*4</f>
        <v>2</v>
      </c>
      <c r="AO17" s="108" t="n">
        <v>17.25</v>
      </c>
      <c r="AP17" s="126" t="n">
        <f aca="false">0.5+0.5+0.5+0.5</f>
        <v>2</v>
      </c>
      <c r="AQ17" s="137" t="n">
        <v>22.375</v>
      </c>
      <c r="AR17" s="87"/>
      <c r="AS17" s="88"/>
      <c r="AT17" s="14"/>
      <c r="AU17" s="88"/>
      <c r="AV17" s="88"/>
      <c r="AW17" s="14"/>
      <c r="AX17" s="113"/>
      <c r="AY17" s="11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7" t="n">
        <f aca="false">DDE("REUTER","IDN","GEL.A")</f>
        <v>4.85</v>
      </c>
      <c r="F18" s="128"/>
      <c r="G18" s="127" t="n">
        <f aca="false">DDE("REUTER","IDN","GEL.A,DIVIDEND")</f>
        <v>0.8</v>
      </c>
      <c r="H18" s="13" t="s">
        <v>57</v>
      </c>
      <c r="I18" s="67" t="n">
        <f aca="false">+G18/E18</f>
        <v>0.164948453608247</v>
      </c>
      <c r="J18" s="67"/>
      <c r="K18" s="134" t="n">
        <f aca="false">(+I18-E$28)*10000</f>
        <v>1078.54453608247</v>
      </c>
      <c r="L18" s="23"/>
      <c r="M18" s="67" t="n">
        <f aca="false">(I18*AA18)+((I18*(1-AA18))*(1-0.3))</f>
        <v>0.164948453608247</v>
      </c>
      <c r="N18" s="23"/>
      <c r="O18" s="33" t="s">
        <v>52</v>
      </c>
      <c r="P18" s="130"/>
      <c r="Q18" s="33" t="n">
        <f aca="false">(AF18+$E18-AG18)/AG18</f>
        <v>-0.0102040816326532</v>
      </c>
      <c r="R18" s="130"/>
      <c r="S18" s="33" t="n">
        <f aca="false">(AH18+$E18-AI18)/AI18</f>
        <v>-0.158333333333333</v>
      </c>
      <c r="T18" s="13"/>
      <c r="U18" s="135" t="n">
        <f aca="false">(AJ18+E18-AK18)/AK18</f>
        <v>0.448275862068966</v>
      </c>
      <c r="V18" s="102"/>
      <c r="W18" s="18"/>
      <c r="X18" s="40"/>
      <c r="Y18" s="103" t="n">
        <v>0.1</v>
      </c>
      <c r="Z18" s="104" t="n">
        <v>0</v>
      </c>
      <c r="AA18" s="105" t="n">
        <v>1</v>
      </c>
      <c r="AB18" s="106"/>
      <c r="AC18" s="11"/>
      <c r="AD18" s="107" t="n">
        <v>37007</v>
      </c>
      <c r="AE18" s="108" t="n">
        <v>0.2</v>
      </c>
      <c r="AF18" s="109"/>
      <c r="AG18" s="127" t="n">
        <v>4.9</v>
      </c>
      <c r="AH18" s="109" t="n">
        <v>0.2</v>
      </c>
      <c r="AI18" s="127" t="n">
        <v>6</v>
      </c>
      <c r="AJ18" s="109" t="n">
        <f aca="false">0.2*2</f>
        <v>0.4</v>
      </c>
      <c r="AK18" s="108" t="n">
        <v>3.625</v>
      </c>
      <c r="AL18" s="110" t="n">
        <f aca="false">0.5*4+0.28</f>
        <v>2.28</v>
      </c>
      <c r="AM18" s="108" t="n">
        <v>8.0625</v>
      </c>
      <c r="AN18" s="109" t="n">
        <f aca="false">0.5*4</f>
        <v>2</v>
      </c>
      <c r="AO18" s="108" t="n">
        <v>14.4375</v>
      </c>
      <c r="AP18" s="126" t="n">
        <f aca="false">0.5+0.5+0.5+0.5</f>
        <v>2</v>
      </c>
      <c r="AQ18" s="137" t="n">
        <v>16.375</v>
      </c>
      <c r="AR18" s="87"/>
      <c r="AS18" s="88"/>
      <c r="AT18" s="14"/>
      <c r="AU18" s="88"/>
      <c r="AV18" s="88"/>
      <c r="AW18" s="14"/>
      <c r="AX18" s="113"/>
      <c r="AY18" s="11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27" t="n">
        <f aca="false">DDE("REUTER","IDN","KPP")</f>
        <v>36.7</v>
      </c>
      <c r="F19" s="128"/>
      <c r="G19" s="127" t="n">
        <f aca="false">DDE("REUTER","IDN","KPP,DIVIDEND")</f>
        <v>2.8</v>
      </c>
      <c r="H19" s="13"/>
      <c r="I19" s="67" t="n">
        <f aca="false">+G19/E19</f>
        <v>0.0762942779291553</v>
      </c>
      <c r="J19" s="67"/>
      <c r="K19" s="134" t="n">
        <f aca="false">(+I19-E$28)*10000</f>
        <v>192.002779291553</v>
      </c>
      <c r="L19" s="23"/>
      <c r="M19" s="67" t="n">
        <f aca="false">(I19*AA19)+((I19*(1-AA19))*(1-0.3))</f>
        <v>0.071716621253406</v>
      </c>
      <c r="N19" s="23"/>
      <c r="O19" s="33" t="n">
        <f aca="false">+G19/Z19</f>
        <v>1.02189781021898</v>
      </c>
      <c r="P19" s="130"/>
      <c r="Q19" s="33" t="n">
        <f aca="false">(AF19+$E19-AG19)/AG19</f>
        <v>-0.0342105263157894</v>
      </c>
      <c r="R19" s="130"/>
      <c r="S19" s="33" t="n">
        <f aca="false">(AH19+$E19-AI19)/AI19</f>
        <v>0.0948477751756443</v>
      </c>
      <c r="T19" s="13"/>
      <c r="U19" s="135" t="n">
        <f aca="false">(AJ19+E19-AK19)/AK19</f>
        <v>0.213793103448276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37007</v>
      </c>
      <c r="AE19" s="108" t="n">
        <v>0.7</v>
      </c>
      <c r="AF19" s="109"/>
      <c r="AG19" s="127" t="n">
        <v>38</v>
      </c>
      <c r="AH19" s="109" t="n">
        <v>0.7</v>
      </c>
      <c r="AI19" s="127" t="n">
        <v>34.16</v>
      </c>
      <c r="AJ19" s="109" t="n">
        <v>0.7</v>
      </c>
      <c r="AK19" s="108" t="n">
        <v>30.8125</v>
      </c>
      <c r="AL19" s="110" t="n">
        <f aca="false">0.7*4</f>
        <v>2.8</v>
      </c>
      <c r="AM19" s="108" t="n">
        <v>24.6875</v>
      </c>
      <c r="AN19" s="109" t="n">
        <f aca="false">0.65*2+0.7*2</f>
        <v>2.7</v>
      </c>
      <c r="AO19" s="108" t="n">
        <v>33</v>
      </c>
      <c r="AP19" s="126" t="n">
        <f aca="false">0.65+0.65+0.65+0.65</f>
        <v>2.6</v>
      </c>
      <c r="AQ19" s="137" t="n">
        <v>35.75</v>
      </c>
      <c r="AR19" s="87"/>
      <c r="AS19" s="20"/>
      <c r="AT19" s="20"/>
      <c r="AU19" s="20"/>
      <c r="AV19" s="20"/>
      <c r="AW19" s="14"/>
      <c r="AX19" s="113"/>
      <c r="AY19" s="11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27" t="n">
        <f aca="false">DDE("REUTER","IDN","KMP")</f>
        <v>71.4</v>
      </c>
      <c r="F20" s="128"/>
      <c r="G20" s="127" t="n">
        <f aca="false">DDE("REUTER","IDN","KMP,DIVIDEND")</f>
        <v>4.2</v>
      </c>
      <c r="H20" s="141"/>
      <c r="I20" s="67" t="n">
        <f aca="false">+G20/E20</f>
        <v>0.0588235294117647</v>
      </c>
      <c r="J20" s="67"/>
      <c r="K20" s="134" t="n">
        <f aca="false">(+I20-E$28)*10000</f>
        <v>17.2952941176471</v>
      </c>
      <c r="L20" s="23"/>
      <c r="M20" s="67" t="n">
        <f aca="false">(I20*AA20)+((I20*(1-AA20))*(1-0.3))</f>
        <v>0.0570588235294118</v>
      </c>
      <c r="N20" s="23"/>
      <c r="O20" s="33" t="n">
        <f aca="false">+G20/Z20</f>
        <v>1.85840707964602</v>
      </c>
      <c r="P20" s="130"/>
      <c r="Q20" s="33" t="n">
        <f aca="false">(AF20+$E20-AG20)/AG20</f>
        <v>0.00605889812596882</v>
      </c>
      <c r="R20" s="130"/>
      <c r="S20" s="33" t="n">
        <f aca="false">(AH20+$E20-AI20)/AI20</f>
        <v>0.148177496038035</v>
      </c>
      <c r="T20" s="13"/>
      <c r="U20" s="135" t="n">
        <f aca="false">(AJ20+E20-AK20)/AK20</f>
        <v>0.303440621531632</v>
      </c>
      <c r="V20" s="102"/>
      <c r="W20" s="18"/>
      <c r="X20" s="40"/>
      <c r="Y20" s="103" t="n">
        <v>1.81</v>
      </c>
      <c r="Z20" s="104" t="n">
        <v>2.26</v>
      </c>
      <c r="AA20" s="105" t="n">
        <v>0.9</v>
      </c>
      <c r="AB20" s="136"/>
      <c r="AC20" s="11"/>
      <c r="AD20" s="107" t="n">
        <v>37007</v>
      </c>
      <c r="AE20" s="108" t="n">
        <v>1.05</v>
      </c>
      <c r="AF20" s="109"/>
      <c r="AG20" s="127" t="n">
        <v>70.97</v>
      </c>
      <c r="AH20" s="109" t="n">
        <v>1.05</v>
      </c>
      <c r="AI20" s="127" t="n">
        <v>63.1</v>
      </c>
      <c r="AJ20" s="109" t="n">
        <f aca="false">0.95+1.05</f>
        <v>2</v>
      </c>
      <c r="AK20" s="108" t="n">
        <v>56.3125</v>
      </c>
      <c r="AL20" s="110" t="n">
        <f aca="false">0.725+0.775+0.85*2</f>
        <v>3.2</v>
      </c>
      <c r="AM20" s="108" t="n">
        <v>41.4375</v>
      </c>
      <c r="AN20" s="109" t="n">
        <f aca="false">0.65+0.7*2+0.725</f>
        <v>2.775</v>
      </c>
      <c r="AO20" s="108" t="n">
        <v>36.25</v>
      </c>
      <c r="AP20" s="126" t="n">
        <f aca="false">0.5625+0.5625+0.63+0.63</f>
        <v>2.385</v>
      </c>
      <c r="AQ20" s="137" t="n">
        <v>33.875</v>
      </c>
      <c r="AR20" s="87"/>
      <c r="AS20" s="20"/>
      <c r="AT20" s="14"/>
      <c r="AU20" s="14"/>
      <c r="AV20" s="14"/>
      <c r="AW20" s="14"/>
      <c r="AX20" s="14"/>
      <c r="AY20" s="11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5" t="s">
        <v>63</v>
      </c>
      <c r="D21" s="11"/>
      <c r="E21" s="127" t="n">
        <f aca="false">DDE("REUTER","IDN","LHP")</f>
        <v>45.1</v>
      </c>
      <c r="F21" s="128"/>
      <c r="G21" s="127" t="n">
        <f aca="false">DDE("REUTER","IDN","LHP,DIVIDEND")</f>
        <v>3.5</v>
      </c>
      <c r="H21" s="13"/>
      <c r="I21" s="67" t="n">
        <f aca="false">+G21/E21</f>
        <v>0.0776053215077605</v>
      </c>
      <c r="J21" s="67"/>
      <c r="K21" s="134" t="n">
        <f aca="false">(+I21-E$28)*10000</f>
        <v>205.113215077605</v>
      </c>
      <c r="L21" s="23"/>
      <c r="M21" s="67" t="n">
        <f aca="false">(I21*AA21)+((I21*(1-AA21))*(1-0.3))</f>
        <v>0.0764412416851441</v>
      </c>
      <c r="N21" s="23"/>
      <c r="O21" s="33" t="n">
        <f aca="false">+G21/Z21</f>
        <v>1.4957264957265</v>
      </c>
      <c r="P21" s="130"/>
      <c r="Q21" s="33" t="n">
        <f aca="false">(AF21+$E21-AG21)/AG21</f>
        <v>-0.00177069499778659</v>
      </c>
      <c r="R21" s="130"/>
      <c r="S21" s="33" t="n">
        <f aca="false">(AH21+$E21-AI21)/AI21</f>
        <v>0.043700340522134</v>
      </c>
      <c r="T21" s="13"/>
      <c r="U21" s="135" t="n">
        <f aca="false">(AJ21+E21-AK21)/AK21</f>
        <v>0.135757575757576</v>
      </c>
      <c r="V21" s="102"/>
      <c r="W21" s="18"/>
      <c r="X21" s="40"/>
      <c r="Y21" s="103" t="n">
        <v>2.26</v>
      </c>
      <c r="Z21" s="104" t="n">
        <v>2.34</v>
      </c>
      <c r="AA21" s="105" t="n">
        <v>0.95</v>
      </c>
      <c r="AB21" s="106"/>
      <c r="AC21" s="11"/>
      <c r="AD21" s="107" t="n">
        <v>37007</v>
      </c>
      <c r="AE21" s="108" t="n">
        <v>0.875</v>
      </c>
      <c r="AF21" s="109"/>
      <c r="AG21" s="127" t="n">
        <v>45.18</v>
      </c>
      <c r="AH21" s="109" t="n">
        <v>0.875</v>
      </c>
      <c r="AI21" s="127" t="n">
        <v>44.05</v>
      </c>
      <c r="AJ21" s="109" t="n">
        <f aca="false">0.875*2</f>
        <v>1.75</v>
      </c>
      <c r="AK21" s="108" t="n">
        <v>41.25</v>
      </c>
      <c r="AL21" s="110" t="n">
        <f aca="false">0.875*4</f>
        <v>3.5</v>
      </c>
      <c r="AM21" s="108" t="n">
        <v>34.8125</v>
      </c>
      <c r="AN21" s="109" t="n">
        <f aca="false">0.875*4</f>
        <v>3.5</v>
      </c>
      <c r="AO21" s="108" t="n">
        <v>48.5</v>
      </c>
      <c r="AP21" s="126" t="n">
        <f aca="false">0.78+0.86+0.86+0.86</f>
        <v>3.36</v>
      </c>
      <c r="AQ21" s="137" t="n">
        <v>43.6875</v>
      </c>
      <c r="AR21" s="87"/>
      <c r="AS21" s="88"/>
      <c r="AT21" s="88"/>
      <c r="AU21" s="88"/>
      <c r="AV21" s="88"/>
      <c r="AW21" s="14"/>
      <c r="AX21" s="113"/>
      <c r="AY21" s="11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5" t="s">
        <v>65</v>
      </c>
      <c r="D22" s="11"/>
      <c r="E22" s="127" t="n">
        <f aca="false">DDE("REUTER","IDN","PAA")</f>
        <v>25.36</v>
      </c>
      <c r="F22" s="128"/>
      <c r="G22" s="127" t="n">
        <f aca="false">DDE("REUTER","IDN","PAA,DIVIDEND")</f>
        <v>1.9</v>
      </c>
      <c r="H22" s="141"/>
      <c r="I22" s="67" t="n">
        <f aca="false">+G22/E22</f>
        <v>0.0749211356466877</v>
      </c>
      <c r="J22" s="67"/>
      <c r="K22" s="134" t="n">
        <f aca="false">(+I22-E$28)*10000</f>
        <v>178.271356466877</v>
      </c>
      <c r="L22" s="23"/>
      <c r="M22" s="67" t="n">
        <f aca="false">(I22*AA22)+((I22*(1-AA22))*(1-0.3))</f>
        <v>0.0681782334384858</v>
      </c>
      <c r="N22" s="23"/>
      <c r="O22" s="33" t="n">
        <f aca="false">+G22/Z22</f>
        <v>1.04972375690608</v>
      </c>
      <c r="P22" s="130"/>
      <c r="Q22" s="33" t="n">
        <f aca="false">(AF22+$E22-AG22)/AG22</f>
        <v>-0.0264875239923225</v>
      </c>
      <c r="R22" s="130"/>
      <c r="S22" s="33" t="n">
        <f aca="false">(AH22+$E22-AI22)/AI22</f>
        <v>0.158520179372197</v>
      </c>
      <c r="T22" s="13"/>
      <c r="U22" s="135" t="n">
        <f aca="false">(AJ22+E22-AK22)/AK22</f>
        <v>0.375058823529412</v>
      </c>
      <c r="V22" s="102"/>
      <c r="W22" s="18"/>
      <c r="X22" s="40"/>
      <c r="Y22" s="103" t="n">
        <v>1.63</v>
      </c>
      <c r="Z22" s="104" t="n">
        <v>1.81</v>
      </c>
      <c r="AA22" s="105" t="n">
        <v>0.7</v>
      </c>
      <c r="AB22" s="106"/>
      <c r="AC22" s="11"/>
      <c r="AD22" s="107" t="n">
        <v>37012</v>
      </c>
      <c r="AE22" s="108" t="n">
        <v>0.475</v>
      </c>
      <c r="AF22" s="109"/>
      <c r="AG22" s="127" t="n">
        <v>26.05</v>
      </c>
      <c r="AH22" s="109" t="n">
        <v>0.475</v>
      </c>
      <c r="AI22" s="127" t="n">
        <v>22.3</v>
      </c>
      <c r="AJ22" s="109" t="n">
        <f aca="false">0.463+0.475</f>
        <v>0.938</v>
      </c>
      <c r="AK22" s="108" t="n">
        <v>19.125</v>
      </c>
      <c r="AL22" s="110" t="n">
        <f aca="false">0.45*2+0.4625*2</f>
        <v>1.825</v>
      </c>
      <c r="AM22" s="108" t="n">
        <v>13</v>
      </c>
      <c r="AN22" s="109" t="n">
        <f aca="false">0.193+0.45+0.463+0.48125</f>
        <v>1.58725</v>
      </c>
      <c r="AO22" s="108" t="n">
        <v>17.3125</v>
      </c>
      <c r="AP22" s="126" t="s">
        <v>66</v>
      </c>
      <c r="AQ22" s="139" t="s">
        <v>66</v>
      </c>
      <c r="AR22" s="87"/>
      <c r="AS22" s="142"/>
      <c r="AT22" s="88"/>
      <c r="AU22" s="88"/>
      <c r="AV22" s="88"/>
      <c r="AW22" s="14"/>
      <c r="AX22" s="113"/>
      <c r="AY22" s="11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7" t="n">
        <f aca="false">DDE("REUTER","IDN","TCLPZ.O")</f>
        <v>23.7</v>
      </c>
      <c r="F23" s="128"/>
      <c r="G23" s="127" t="n">
        <f aca="false">DDE("REUTER","IDN","TCLPZ.O,DIVIDEND")</f>
        <v>1.9</v>
      </c>
      <c r="H23" s="13"/>
      <c r="I23" s="67" t="n">
        <f aca="false">+G23/E23</f>
        <v>0.080168776371308</v>
      </c>
      <c r="J23" s="67"/>
      <c r="K23" s="134" t="n">
        <f aca="false">(+I23-E$28)*10000</f>
        <v>230.74776371308</v>
      </c>
      <c r="L23" s="23"/>
      <c r="M23" s="67" t="n">
        <f aca="false">(I23*AA23)+((I23*(1-AA23))*(1-0.3))</f>
        <v>0.0789662447257384</v>
      </c>
      <c r="N23" s="23"/>
      <c r="O23" s="33" t="n">
        <f aca="false">+G23/Z23</f>
        <v>0.875576036866359</v>
      </c>
      <c r="P23" s="130"/>
      <c r="Q23" s="33" t="n">
        <f aca="false">(AF23+$E23-AG23)/AG23</f>
        <v>0.0149892933618843</v>
      </c>
      <c r="R23" s="130"/>
      <c r="S23" s="33" t="n">
        <f aca="false">(AH23+$E23-AI23)/AI23</f>
        <v>0.0865168539325843</v>
      </c>
      <c r="T23" s="13"/>
      <c r="U23" s="135" t="n">
        <f aca="false">(AJ23+E23-AK23)/AK23</f>
        <v>0.28051948051948</v>
      </c>
      <c r="V23" s="102"/>
      <c r="W23" s="18"/>
      <c r="X23" s="40"/>
      <c r="Y23" s="103" t="n">
        <v>2.14</v>
      </c>
      <c r="Z23" s="104" t="n">
        <v>2.17</v>
      </c>
      <c r="AA23" s="105" t="n">
        <v>0.95</v>
      </c>
      <c r="AB23" s="106"/>
      <c r="AC23" s="11"/>
      <c r="AD23" s="107" t="n">
        <v>37007</v>
      </c>
      <c r="AE23" s="108" t="n">
        <v>0.475</v>
      </c>
      <c r="AF23" s="109"/>
      <c r="AG23" s="143" t="n">
        <v>23.35</v>
      </c>
      <c r="AH23" s="109" t="n">
        <v>0.475</v>
      </c>
      <c r="AI23" s="143" t="n">
        <v>22.25</v>
      </c>
      <c r="AJ23" s="109" t="n">
        <f aca="false">0.475*2</f>
        <v>0.95</v>
      </c>
      <c r="AK23" s="108" t="n">
        <v>19.25</v>
      </c>
      <c r="AL23" s="110" t="n">
        <f aca="false">0.45*4</f>
        <v>1.8</v>
      </c>
      <c r="AM23" s="108" t="n">
        <v>14.25</v>
      </c>
      <c r="AN23" s="109" t="n">
        <f aca="false">0.168+0.45</f>
        <v>0.618</v>
      </c>
      <c r="AO23" s="108" t="s">
        <v>66</v>
      </c>
      <c r="AP23" s="126"/>
      <c r="AQ23" s="139"/>
      <c r="AR23" s="87"/>
      <c r="AS23" s="142"/>
      <c r="AT23" s="88"/>
      <c r="AU23" s="88"/>
      <c r="AV23" s="88"/>
      <c r="AW23" s="14"/>
      <c r="AX23" s="113"/>
      <c r="AY23" s="11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5" t="s">
        <v>70</v>
      </c>
      <c r="D24" s="11"/>
      <c r="E24" s="127" t="n">
        <f aca="false">DDE("REUTER","IDN","TPP")</f>
        <v>29.35</v>
      </c>
      <c r="F24" s="128"/>
      <c r="G24" s="127" t="n">
        <f aca="false">DDE("REUTER","IDN","TPP,DIVIDEND")</f>
        <v>2.1</v>
      </c>
      <c r="H24" s="13"/>
      <c r="I24" s="67" t="n">
        <f aca="false">+G24/E24</f>
        <v>0.0715502555366269</v>
      </c>
      <c r="J24" s="67"/>
      <c r="K24" s="134" t="n">
        <f aca="false">(+I24-E$28)*10000</f>
        <v>144.562555366269</v>
      </c>
      <c r="L24" s="23"/>
      <c r="M24" s="67" t="n">
        <f aca="false">(I24*AA24)+((I24*(1-AA24))*(1-0.3))</f>
        <v>0.0651107325383305</v>
      </c>
      <c r="N24" s="23"/>
      <c r="O24" s="33" t="n">
        <f aca="false">+G24/Z24</f>
        <v>1.00478468899522</v>
      </c>
      <c r="P24" s="130"/>
      <c r="Q24" s="33" t="n">
        <f aca="false">(AF24+$E24-AG24)/AG24</f>
        <v>0.0155709342560555</v>
      </c>
      <c r="R24" s="130"/>
      <c r="S24" s="33" t="n">
        <f aca="false">(AH24+$E24-AI24)/AI24</f>
        <v>0.140267175572519</v>
      </c>
      <c r="T24" s="13"/>
      <c r="U24" s="135" t="n">
        <f aca="false">(AJ24+E24-AK24)/AK24</f>
        <v>0.237659033078881</v>
      </c>
      <c r="V24" s="102"/>
      <c r="W24" s="18"/>
      <c r="X24" s="40"/>
      <c r="Y24" s="103" t="n">
        <v>1.98</v>
      </c>
      <c r="Z24" s="104" t="n">
        <v>2.09</v>
      </c>
      <c r="AA24" s="105" t="n">
        <v>0.7</v>
      </c>
      <c r="AB24" s="106"/>
      <c r="AC24" s="11"/>
      <c r="AD24" s="107" t="n">
        <v>37007</v>
      </c>
      <c r="AE24" s="108" t="n">
        <v>0.525</v>
      </c>
      <c r="AF24" s="109"/>
      <c r="AG24" s="127" t="n">
        <v>28.9</v>
      </c>
      <c r="AH24" s="109" t="n">
        <v>0.525</v>
      </c>
      <c r="AI24" s="127" t="n">
        <v>26.2</v>
      </c>
      <c r="AJ24" s="109" t="n">
        <f aca="false">0.525*2</f>
        <v>1.05</v>
      </c>
      <c r="AK24" s="108" t="n">
        <v>24.5625</v>
      </c>
      <c r="AL24" s="110" t="n">
        <f aca="false">0.475+0.5+0.5+0.525</f>
        <v>2</v>
      </c>
      <c r="AM24" s="108" t="n">
        <v>19.3125</v>
      </c>
      <c r="AN24" s="109" t="n">
        <f aca="false">0.45*2+0.475*2</f>
        <v>1.85</v>
      </c>
      <c r="AO24" s="108" t="n">
        <v>24.5625</v>
      </c>
      <c r="AP24" s="126" t="n">
        <f aca="false">(0.85+0.85+0.9)/2+0.45</f>
        <v>1.75</v>
      </c>
      <c r="AQ24" s="137" t="n">
        <f aca="false">52.6875/2</f>
        <v>26.34375</v>
      </c>
      <c r="AR24" s="87"/>
      <c r="AS24" s="20"/>
      <c r="AT24" s="20"/>
      <c r="AU24" s="20"/>
      <c r="AV24" s="20"/>
      <c r="AW24" s="20"/>
      <c r="AX24" s="113"/>
      <c r="AY24" s="114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29"/>
      <c r="L25" s="23"/>
      <c r="M25" s="15"/>
      <c r="N25" s="23"/>
      <c r="O25" s="33"/>
      <c r="P25" s="130"/>
      <c r="Q25" s="33"/>
      <c r="R25" s="130"/>
      <c r="S25" s="33"/>
      <c r="T25" s="13"/>
      <c r="U25" s="12"/>
      <c r="V25" s="18"/>
      <c r="W25" s="18"/>
      <c r="X25" s="40"/>
      <c r="Y25" s="80"/>
      <c r="Z25" s="81"/>
      <c r="AA25" s="144"/>
      <c r="AB25" s="145"/>
      <c r="AC25" s="22"/>
      <c r="AD25" s="29"/>
      <c r="AE25" s="146"/>
      <c r="AF25" s="19"/>
      <c r="AG25" s="14"/>
      <c r="AH25" s="19"/>
      <c r="AI25" s="14"/>
      <c r="AJ25" s="29"/>
      <c r="AK25" s="86"/>
      <c r="AL25" s="147"/>
      <c r="AM25" s="86"/>
      <c r="AN25" s="147"/>
      <c r="AO25" s="86"/>
      <c r="AP25" s="148"/>
      <c r="AQ25" s="149"/>
      <c r="AR25" s="20"/>
      <c r="AS25" s="20"/>
      <c r="AT25" s="20"/>
      <c r="AU25" s="20"/>
      <c r="AV25" s="20"/>
      <c r="AW25" s="20"/>
      <c r="AX25" s="113"/>
      <c r="AY25" s="113"/>
      <c r="AZ25" s="114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0" t="s">
        <v>71</v>
      </c>
      <c r="B26" s="151"/>
      <c r="C26" s="152"/>
      <c r="D26" s="151"/>
      <c r="E26" s="153"/>
      <c r="F26" s="153"/>
      <c r="G26" s="154"/>
      <c r="H26" s="155"/>
      <c r="I26" s="156" t="n">
        <f aca="false">AVERAGEA(I13:I24)</f>
        <v>0.0829607241811188</v>
      </c>
      <c r="J26" s="156"/>
      <c r="K26" s="157" t="n">
        <f aca="false">(+I26-E$28)*10000</f>
        <v>258.667241811188</v>
      </c>
      <c r="L26" s="152"/>
      <c r="M26" s="156" t="n">
        <f aca="false">AVERAGEA(M13:M24)</f>
        <v>0.0784453769140375</v>
      </c>
      <c r="N26" s="152"/>
      <c r="O26" s="158" t="n">
        <f aca="false">AVERAGEA(O13:O24)</f>
        <v>1.49235258774641</v>
      </c>
      <c r="P26" s="159"/>
      <c r="Q26" s="158" t="n">
        <f aca="false">AVERAGEA(Q13:Q24)</f>
        <v>-0.0174674731469415</v>
      </c>
      <c r="R26" s="159"/>
      <c r="S26" s="158" t="n">
        <f aca="false">AVERAGEA(S13:S24)</f>
        <v>0.101359819299121</v>
      </c>
      <c r="T26" s="155"/>
      <c r="U26" s="160" t="n">
        <f aca="false">AVERAGEA(U13:U24)</f>
        <v>0.316896564206573</v>
      </c>
      <c r="V26" s="18"/>
      <c r="W26" s="18"/>
      <c r="X26" s="40"/>
      <c r="Y26" s="161"/>
      <c r="Z26" s="162"/>
      <c r="AA26" s="163"/>
      <c r="AB26" s="164"/>
      <c r="AC26" s="165"/>
      <c r="AD26" s="166"/>
      <c r="AE26" s="167"/>
      <c r="AF26" s="168"/>
      <c r="AG26" s="169"/>
      <c r="AH26" s="168"/>
      <c r="AI26" s="169"/>
      <c r="AJ26" s="170"/>
      <c r="AK26" s="167"/>
      <c r="AL26" s="171"/>
      <c r="AM26" s="167"/>
      <c r="AN26" s="171"/>
      <c r="AO26" s="167"/>
      <c r="AP26" s="172"/>
      <c r="AQ26" s="173"/>
      <c r="AR26" s="20"/>
      <c r="AS26" s="20"/>
      <c r="AT26" s="20"/>
      <c r="AU26" s="20"/>
      <c r="AV26" s="20"/>
      <c r="AW26" s="20"/>
      <c r="AX26" s="14"/>
      <c r="AY26" s="14"/>
      <c r="AZ26" s="114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4" t="n">
        <f aca="false">PV(E28/2,(58-((+VALUE($AG$6+7)-VALUE($AT$28))/(365/2))),-$AK$28*100/2,-100,0)</f>
        <v>96.557848791268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0"/>
      <c r="Q27" s="33"/>
      <c r="R27" s="130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4" t="n">
        <v>94.5801733003707</v>
      </c>
      <c r="AH27" s="23"/>
      <c r="AI27" s="174" t="n">
        <v>100.156467010818</v>
      </c>
      <c r="AJ27" s="23"/>
      <c r="AK27" s="174" t="n">
        <f aca="false">PV(AK28/2,60,-$AK$28*100/2,-100,0)</f>
        <v>100</v>
      </c>
      <c r="AL27" s="23" t="n">
        <f aca="false">+AM28*100</f>
        <v>6.482</v>
      </c>
      <c r="AM27" s="174" t="n">
        <f aca="false">PV(AM28/2,60,-$AM$28*100/2,-100,0)</f>
        <v>100</v>
      </c>
      <c r="AN27" s="23" t="n">
        <f aca="false">+AO28*100</f>
        <v>5.1</v>
      </c>
      <c r="AO27" s="174" t="n">
        <v>100</v>
      </c>
      <c r="AP27" s="174"/>
      <c r="AQ27" s="174"/>
      <c r="AR27" s="175" t="s">
        <v>72</v>
      </c>
      <c r="AS27" s="176"/>
      <c r="AT27" s="177"/>
      <c r="AU27" s="14"/>
      <c r="AV27" s="20"/>
      <c r="AW27" s="14"/>
      <c r="AX27" s="14"/>
      <c r="AY27" s="14"/>
      <c r="AZ27" s="14"/>
      <c r="BA27" s="138"/>
      <c r="BB27" s="114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78" t="n">
        <f aca="false">DDE("REUTER","IDN","US30YT=RR,RT YIELD 1")/100</f>
        <v>0.057094</v>
      </c>
      <c r="F28" s="11"/>
      <c r="G28" s="179"/>
      <c r="H28" s="13"/>
      <c r="I28" s="22"/>
      <c r="J28" s="178"/>
      <c r="K28" s="129"/>
      <c r="L28" s="23"/>
      <c r="M28" s="67" t="n">
        <f aca="false">(E28*AA28)+((E28*(1-AA28))*(1-0.3))</f>
        <v>0.0399658</v>
      </c>
      <c r="N28" s="23"/>
      <c r="O28" s="33"/>
      <c r="P28" s="130"/>
      <c r="Q28" s="33" t="n">
        <f aca="false">(AF27+$E27-AG27)/AG27</f>
        <v>0.020910043002529</v>
      </c>
      <c r="R28" s="130"/>
      <c r="S28" s="33" t="n">
        <f aca="false">(AH27+$E27-AI27)/AI27</f>
        <v>-0.0359299636553818</v>
      </c>
      <c r="T28" s="13"/>
      <c r="U28" s="135" t="n">
        <f aca="false">(AJ27+E27-AK27)/AK27</f>
        <v>-0.0344215120873196</v>
      </c>
      <c r="V28" s="18"/>
      <c r="W28" s="18"/>
      <c r="X28" s="40"/>
      <c r="Y28" s="40"/>
      <c r="Z28" s="40"/>
      <c r="AA28" s="40"/>
      <c r="AB28" s="40"/>
      <c r="AC28" s="20"/>
      <c r="AD28" s="180"/>
      <c r="AE28" s="180"/>
      <c r="AF28" s="180"/>
      <c r="AG28" s="178" t="n">
        <v>0.058587</v>
      </c>
      <c r="AH28" s="181"/>
      <c r="AI28" s="178" t="n">
        <v>0.054491</v>
      </c>
      <c r="AJ28" s="181"/>
      <c r="AK28" s="178" t="n">
        <v>0.054601</v>
      </c>
      <c r="AL28" s="181"/>
      <c r="AM28" s="178" t="n">
        <v>0.06482</v>
      </c>
      <c r="AN28" s="182"/>
      <c r="AO28" s="182" t="n">
        <v>0.051</v>
      </c>
      <c r="AP28" s="180"/>
      <c r="AQ28" s="180"/>
      <c r="AR28" s="183" t="s">
        <v>74</v>
      </c>
      <c r="AS28" s="180"/>
      <c r="AT28" s="184" t="n">
        <v>36525</v>
      </c>
      <c r="AU28" s="14"/>
      <c r="AV28" s="20"/>
      <c r="AW28" s="14"/>
      <c r="AX28" s="14"/>
      <c r="AY28" s="14"/>
      <c r="AZ28" s="14"/>
      <c r="BA28" s="14"/>
      <c r="BB28" s="114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5"/>
      <c r="C29" s="186"/>
      <c r="D29" s="185"/>
      <c r="E29" s="2" t="s">
        <v>26</v>
      </c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2" t="s">
        <v>75</v>
      </c>
      <c r="S29" s="192" t="s">
        <v>75</v>
      </c>
      <c r="U29" s="192" t="s">
        <v>75</v>
      </c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9" t="s">
        <v>26</v>
      </c>
      <c r="AM29" s="23"/>
      <c r="AN29" s="23"/>
      <c r="AO29" s="23"/>
      <c r="AU29" s="177"/>
      <c r="AV29" s="195"/>
      <c r="AW29" s="177"/>
      <c r="AX29" s="177"/>
      <c r="AY29" s="177"/>
      <c r="AZ29" s="177"/>
      <c r="BA29" s="177"/>
    </row>
    <row r="30" customFormat="false" ht="19.5" hidden="true" customHeight="true" outlineLevel="0" collapsed="false">
      <c r="A30" s="196" t="s">
        <v>76</v>
      </c>
      <c r="B30" s="185"/>
      <c r="C30" s="186"/>
      <c r="D30" s="185"/>
      <c r="E30" s="18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19.5" hidden="false" customHeight="true" outlineLevel="0" collapsed="false">
      <c r="A31" s="196"/>
      <c r="B31" s="185"/>
      <c r="C31" s="186"/>
      <c r="D31" s="185"/>
      <c r="E31" s="197"/>
      <c r="F31" s="187"/>
      <c r="G31" s="188"/>
      <c r="H31" s="188"/>
      <c r="I31" s="189"/>
      <c r="J31" s="189"/>
      <c r="K31" s="190"/>
      <c r="L31" s="188"/>
      <c r="M31" s="189"/>
      <c r="N31" s="188"/>
      <c r="O31" s="191"/>
      <c r="P31" s="191"/>
      <c r="Q31" s="191"/>
      <c r="R31" s="191"/>
      <c r="S31" s="191"/>
      <c r="T31" s="188"/>
      <c r="U31" s="187"/>
      <c r="V31" s="193"/>
      <c r="W31" s="194"/>
      <c r="X31" s="194"/>
      <c r="Y31" s="194"/>
      <c r="Z31" s="194"/>
      <c r="AA31" s="194"/>
      <c r="AB31" s="194"/>
      <c r="AC31" s="194"/>
      <c r="AD31" s="194"/>
      <c r="AE31" s="194"/>
      <c r="AF31" s="174"/>
      <c r="AJ31" s="198"/>
      <c r="AK31" s="198"/>
      <c r="AL31" s="174"/>
      <c r="AM31" s="174"/>
      <c r="AN31" s="174"/>
      <c r="AO31" s="174"/>
      <c r="AP31" s="174"/>
      <c r="AQ31" s="174"/>
      <c r="AR31" s="176"/>
      <c r="AS31" s="176"/>
      <c r="AT31" s="177"/>
      <c r="AU31" s="177"/>
      <c r="AV31" s="195"/>
      <c r="AW31" s="177"/>
      <c r="AX31" s="177"/>
      <c r="AY31" s="177"/>
      <c r="AZ31" s="177"/>
      <c r="BA31" s="177"/>
    </row>
    <row r="32" customFormat="false" ht="26.25" hidden="false" customHeight="false" outlineLevel="0" collapsed="false">
      <c r="A32" s="199" t="s">
        <v>77</v>
      </c>
      <c r="B32" s="200"/>
      <c r="C32" s="201"/>
      <c r="D32" s="200"/>
      <c r="E32" s="127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210"/>
      <c r="AJ32" s="210"/>
      <c r="AK32" s="210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9.75" hidden="false" customHeight="true" outlineLevel="0" collapsed="false">
      <c r="A33" s="10"/>
      <c r="B33" s="200"/>
      <c r="C33" s="201"/>
      <c r="D33" s="200"/>
      <c r="E33" s="174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08"/>
      <c r="X33" s="208"/>
      <c r="Y33" s="208"/>
      <c r="Z33" s="208"/>
      <c r="AA33" s="208"/>
      <c r="AB33" s="208"/>
      <c r="AC33" s="208"/>
      <c r="AD33" s="208"/>
      <c r="AE33" s="209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211"/>
      <c r="AS33" s="211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26.25" hidden="false" customHeight="false" outlineLevel="0" collapsed="false">
      <c r="A34" s="199" t="s">
        <v>78</v>
      </c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174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6.75" hidden="false" customHeight="true" outlineLevel="0" collapsed="false">
      <c r="A35" s="10"/>
      <c r="B35" s="200"/>
      <c r="C35" s="201"/>
      <c r="D35" s="200"/>
      <c r="E35" s="202"/>
      <c r="F35" s="202"/>
      <c r="G35" s="203"/>
      <c r="H35" s="203"/>
      <c r="I35" s="204"/>
      <c r="J35" s="204"/>
      <c r="K35" s="205"/>
      <c r="L35" s="203"/>
      <c r="M35" s="204"/>
      <c r="N35" s="203"/>
      <c r="O35" s="206"/>
      <c r="P35" s="206"/>
      <c r="Q35" s="206"/>
      <c r="R35" s="206"/>
      <c r="S35" s="206"/>
      <c r="T35" s="203"/>
      <c r="U35" s="202"/>
      <c r="V35" s="207"/>
      <c r="W35" s="214"/>
      <c r="X35" s="214"/>
      <c r="Y35" s="214"/>
      <c r="Z35" s="214"/>
      <c r="AA35" s="214"/>
      <c r="AB35" s="214"/>
      <c r="AC35" s="214"/>
      <c r="AD35" s="214"/>
      <c r="AE35" s="214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11"/>
      <c r="AQ35" s="208"/>
      <c r="AR35" s="208"/>
      <c r="AS35" s="21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 t="s">
        <v>79</v>
      </c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31.5" hidden="false" customHeight="true" outlineLevel="0" collapsed="false">
      <c r="A37" s="185"/>
      <c r="B37" s="216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8"/>
      <c r="T37" s="219"/>
      <c r="U37" s="220"/>
      <c r="V37" s="207"/>
      <c r="W37" s="207"/>
      <c r="X37" s="221"/>
      <c r="Y37" s="221"/>
      <c r="Z37" s="221"/>
      <c r="AA37" s="221"/>
      <c r="AB37" s="221"/>
      <c r="AC37" s="200"/>
      <c r="AD37" s="22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23"/>
      <c r="AQ37" s="224"/>
      <c r="AR37" s="225"/>
      <c r="AS37" s="225"/>
      <c r="AT37" s="212"/>
      <c r="AU37" s="212"/>
      <c r="AV37" s="213"/>
      <c r="AW37" s="212"/>
      <c r="AX37" s="212"/>
      <c r="AY37" s="212"/>
      <c r="AZ37" s="212"/>
      <c r="BA37" s="212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  <c r="IW37" s="210"/>
    </row>
    <row r="38" customFormat="false" ht="26.25" hidden="false" customHeight="false" outlineLevel="0" collapsed="false">
      <c r="A38" s="91" t="s">
        <v>80</v>
      </c>
      <c r="B38" s="92"/>
      <c r="C38" s="226" t="s">
        <v>81</v>
      </c>
      <c r="D38" s="92"/>
      <c r="E38" s="94" t="n">
        <f aca="false">DDE("REUTER","IDN","UDL")</f>
        <v>29.6</v>
      </c>
      <c r="F38" s="227"/>
      <c r="G38" s="94" t="n">
        <v>2.4</v>
      </c>
      <c r="H38" s="228"/>
      <c r="I38" s="97" t="n">
        <f aca="false">+G38/E38</f>
        <v>0.0810810810810811</v>
      </c>
      <c r="J38" s="97"/>
      <c r="K38" s="229" t="n">
        <f aca="false">(+I38-E$28)*10000</f>
        <v>239.870810810811</v>
      </c>
      <c r="L38" s="93"/>
      <c r="M38" s="97" t="n">
        <f aca="false">(I38*AA38)+((I38*(1-AA38))*(1-0.3))</f>
        <v>0.0567567567567567</v>
      </c>
      <c r="N38" s="93"/>
      <c r="O38" s="230" t="s">
        <v>52</v>
      </c>
      <c r="P38" s="231"/>
      <c r="Q38" s="230" t="n">
        <f aca="false">(AF38+$E38-AG38)/AG38</f>
        <v>-0.0358306188925081</v>
      </c>
      <c r="R38" s="231"/>
      <c r="S38" s="230" t="n">
        <f aca="false">(AH38+$E38-AI38)/AI38</f>
        <v>0.208163265306123</v>
      </c>
      <c r="T38" s="96"/>
      <c r="U38" s="232" t="e">
        <f aca="false">(AJ38+E38-AK38)/AK38</f>
        <v>#VALUE!</v>
      </c>
      <c r="V38" s="102"/>
      <c r="W38" s="18"/>
      <c r="X38" s="40"/>
      <c r="Y38" s="233" t="s">
        <v>52</v>
      </c>
      <c r="Z38" s="234" t="s">
        <v>52</v>
      </c>
      <c r="AA38" s="235" t="n">
        <v>0</v>
      </c>
      <c r="AB38" s="236"/>
      <c r="AC38" s="43"/>
      <c r="AD38" s="237"/>
      <c r="AE38" s="238"/>
      <c r="AF38" s="239"/>
      <c r="AG38" s="240" t="n">
        <v>30.7</v>
      </c>
      <c r="AH38" s="239"/>
      <c r="AI38" s="240" t="n">
        <v>24.5</v>
      </c>
      <c r="AJ38" s="241" t="s">
        <v>66</v>
      </c>
      <c r="AK38" s="241" t="n">
        <v>24.5</v>
      </c>
      <c r="AL38" s="241" t="s">
        <v>66</v>
      </c>
      <c r="AM38" s="241" t="s">
        <v>66</v>
      </c>
      <c r="AN38" s="241" t="s">
        <v>66</v>
      </c>
      <c r="AO38" s="241" t="s">
        <v>66</v>
      </c>
      <c r="AP38" s="241" t="s">
        <v>66</v>
      </c>
      <c r="AQ38" s="242" t="s">
        <v>66</v>
      </c>
      <c r="AR38" s="87"/>
      <c r="AS38" s="142"/>
      <c r="AT38" s="88"/>
      <c r="AU38" s="88"/>
      <c r="AV38" s="88"/>
      <c r="AW38" s="14"/>
      <c r="AX38" s="113"/>
      <c r="AY38" s="1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3" t="s">
        <v>82</v>
      </c>
      <c r="B39" s="116"/>
      <c r="C39" s="244" t="s">
        <v>83</v>
      </c>
      <c r="D39" s="116"/>
      <c r="E39" s="118" t="n">
        <f aca="false">DDE("REUTER","IDN","WEG")</f>
        <v>30.25</v>
      </c>
      <c r="F39" s="245"/>
      <c r="G39" s="118" t="n">
        <v>2.1</v>
      </c>
      <c r="H39" s="246"/>
      <c r="I39" s="121" t="n">
        <f aca="false">+G39/E39</f>
        <v>0.0694214876033058</v>
      </c>
      <c r="J39" s="121"/>
      <c r="K39" s="122" t="n">
        <f aca="false">(+I39-E$28)*10000</f>
        <v>123.274876033058</v>
      </c>
      <c r="L39" s="117"/>
      <c r="M39" s="121" t="n">
        <f aca="false">(I39*AA39)+((I39*(1-AA39))*(1-0.3))</f>
        <v>0.0485950413223141</v>
      </c>
      <c r="N39" s="117"/>
      <c r="O39" s="247" t="s">
        <v>52</v>
      </c>
      <c r="P39" s="248"/>
      <c r="Q39" s="247" t="n">
        <f aca="false">(AF39+$E39-AG39)/AG39</f>
        <v>-0.0692307692307692</v>
      </c>
      <c r="R39" s="248"/>
      <c r="S39" s="247" t="n">
        <f aca="false">(AH39+$E39-AI39)/AI39</f>
        <v>0.0146843853820598</v>
      </c>
      <c r="T39" s="120"/>
      <c r="U39" s="249" t="n">
        <f aca="false">(AJ39+E39-AK39)/AK39</f>
        <v>0.420558139534884</v>
      </c>
      <c r="V39" s="102"/>
      <c r="W39" s="18"/>
      <c r="X39" s="40"/>
      <c r="Y39" s="250" t="s">
        <v>52</v>
      </c>
      <c r="Z39" s="251" t="s">
        <v>52</v>
      </c>
      <c r="AA39" s="252" t="n">
        <v>0</v>
      </c>
      <c r="AB39" s="253"/>
      <c r="AC39" s="165"/>
      <c r="AD39" s="254" t="n">
        <v>37008</v>
      </c>
      <c r="AE39" s="255" t="n">
        <v>0.292</v>
      </c>
      <c r="AF39" s="256"/>
      <c r="AG39" s="257" t="n">
        <v>32.5</v>
      </c>
      <c r="AH39" s="256" t="n">
        <v>0.292</v>
      </c>
      <c r="AI39" s="257" t="n">
        <v>30.1</v>
      </c>
      <c r="AJ39" s="258" t="n">
        <v>0.292</v>
      </c>
      <c r="AK39" s="258" t="n">
        <v>21.5</v>
      </c>
      <c r="AL39" s="258" t="s">
        <v>66</v>
      </c>
      <c r="AM39" s="258" t="s">
        <v>66</v>
      </c>
      <c r="AN39" s="258" t="s">
        <v>66</v>
      </c>
      <c r="AO39" s="258" t="s">
        <v>66</v>
      </c>
      <c r="AP39" s="258" t="s">
        <v>66</v>
      </c>
      <c r="AQ39" s="259" t="s">
        <v>66</v>
      </c>
      <c r="AR39" s="87"/>
      <c r="AS39" s="142"/>
      <c r="AT39" s="88"/>
      <c r="AU39" s="88"/>
      <c r="AV39" s="88"/>
      <c r="AW39" s="14"/>
      <c r="AX39" s="113"/>
      <c r="AY39" s="1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84</v>
      </c>
      <c r="B40" s="11"/>
      <c r="C40" s="35"/>
      <c r="D40" s="11"/>
      <c r="E40" s="127"/>
      <c r="F40" s="128"/>
      <c r="G40" s="127"/>
      <c r="H40" s="141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27"/>
      <c r="AH40" s="109"/>
      <c r="AI40" s="127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3"/>
      <c r="AY40" s="1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0" t="s">
        <v>85</v>
      </c>
      <c r="B41" s="217"/>
      <c r="C41" s="209"/>
      <c r="D41" s="217"/>
      <c r="E41" s="217"/>
      <c r="F41" s="128"/>
      <c r="G41" s="127"/>
      <c r="H41" s="141"/>
      <c r="I41" s="67"/>
      <c r="J41" s="67"/>
      <c r="K41" s="134"/>
      <c r="L41" s="23"/>
      <c r="M41" s="67"/>
      <c r="N41" s="23"/>
      <c r="O41" s="33"/>
      <c r="P41" s="130"/>
      <c r="Q41" s="33"/>
      <c r="R41" s="130"/>
      <c r="S41" s="33"/>
      <c r="T41" s="13"/>
      <c r="U41" s="135"/>
      <c r="V41" s="102"/>
      <c r="W41" s="18"/>
      <c r="X41" s="40"/>
      <c r="Y41" s="261"/>
      <c r="Z41" s="261"/>
      <c r="AA41" s="105"/>
      <c r="AB41" s="105"/>
      <c r="AC41" s="11"/>
      <c r="AD41" s="107"/>
      <c r="AE41" s="109"/>
      <c r="AF41" s="109"/>
      <c r="AG41" s="127"/>
      <c r="AH41" s="109"/>
      <c r="AI41" s="127"/>
      <c r="AJ41" s="262"/>
      <c r="AK41" s="262"/>
      <c r="AL41" s="262"/>
      <c r="AM41" s="262"/>
      <c r="AN41" s="262"/>
      <c r="AO41" s="262"/>
      <c r="AP41" s="262"/>
      <c r="AQ41" s="263"/>
      <c r="AR41" s="87"/>
      <c r="AS41" s="142"/>
      <c r="AT41" s="88"/>
      <c r="AU41" s="88"/>
      <c r="AV41" s="88"/>
      <c r="AW41" s="14"/>
      <c r="AX41" s="113"/>
      <c r="AY41" s="1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0"/>
      <c r="B42" s="210"/>
      <c r="C42" s="210"/>
      <c r="D42" s="210"/>
      <c r="E42" s="210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8"/>
      <c r="T42" s="219"/>
      <c r="U42" s="220"/>
      <c r="V42" s="207"/>
      <c r="W42" s="207"/>
      <c r="X42" s="221"/>
      <c r="Y42" s="221"/>
      <c r="Z42" s="221"/>
      <c r="AA42" s="221"/>
      <c r="AB42" s="221"/>
      <c r="AC42" s="200"/>
      <c r="AD42" s="222"/>
      <c r="AE42" s="213"/>
      <c r="AF42" s="213"/>
      <c r="AG42" s="198" t="s">
        <v>86</v>
      </c>
      <c r="AH42" s="213"/>
      <c r="AI42" s="198" t="s">
        <v>87</v>
      </c>
      <c r="AJ42" s="213"/>
      <c r="AK42" s="213"/>
      <c r="AL42" s="213"/>
      <c r="AM42" s="213"/>
      <c r="AN42" s="213"/>
      <c r="AO42" s="213"/>
      <c r="AP42" s="223"/>
      <c r="AQ42" s="224"/>
      <c r="AR42" s="225"/>
      <c r="AS42" s="225"/>
      <c r="AT42" s="212"/>
      <c r="AU42" s="212"/>
      <c r="AV42" s="213"/>
      <c r="AW42" s="212"/>
      <c r="AX42" s="212"/>
      <c r="AY42" s="212"/>
      <c r="AZ42" s="212"/>
      <c r="BA42" s="212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  <c r="IW42" s="210"/>
    </row>
    <row r="43" customFormat="false" ht="37.5" hidden="false" customHeight="true" outlineLevel="0" collapsed="false">
      <c r="A43" s="264"/>
      <c r="B43" s="265"/>
      <c r="C43" s="266"/>
      <c r="D43" s="265"/>
      <c r="E43" s="267" t="s">
        <v>40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8"/>
      <c r="P43" s="269"/>
      <c r="Q43" s="270" t="s">
        <v>42</v>
      </c>
      <c r="R43" s="270"/>
      <c r="S43" s="270"/>
      <c r="T43" s="270"/>
      <c r="U43" s="270"/>
      <c r="V43" s="270"/>
      <c r="W43" s="270"/>
      <c r="X43" s="271"/>
      <c r="Y43" s="272" t="s">
        <v>88</v>
      </c>
      <c r="Z43" s="40"/>
      <c r="AA43" s="40"/>
      <c r="AB43" s="40"/>
      <c r="AC43" s="11"/>
      <c r="AD43" s="273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7" t="s">
        <v>89</v>
      </c>
      <c r="B44" s="278"/>
      <c r="C44" s="278"/>
      <c r="D44" s="278"/>
      <c r="E44" s="279" t="s">
        <v>90</v>
      </c>
      <c r="F44" s="278"/>
      <c r="G44" s="279" t="s">
        <v>91</v>
      </c>
      <c r="H44" s="280"/>
      <c r="I44" s="279" t="s">
        <v>92</v>
      </c>
      <c r="J44" s="279"/>
      <c r="K44" s="279" t="s">
        <v>93</v>
      </c>
      <c r="L44" s="11"/>
      <c r="M44" s="281"/>
      <c r="N44" s="280"/>
      <c r="O44" s="282"/>
      <c r="P44" s="280"/>
      <c r="Q44" s="283" t="s">
        <v>90</v>
      </c>
      <c r="R44" s="280"/>
      <c r="S44" s="279" t="s">
        <v>91</v>
      </c>
      <c r="T44" s="280"/>
      <c r="U44" s="279" t="s">
        <v>92</v>
      </c>
      <c r="V44" s="18"/>
      <c r="W44" s="284" t="s">
        <v>93</v>
      </c>
      <c r="X44" s="279"/>
      <c r="Y44" s="40"/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94</v>
      </c>
      <c r="B45" s="278"/>
      <c r="C45" s="278"/>
      <c r="D45" s="278"/>
      <c r="E45" s="287" t="s">
        <v>95</v>
      </c>
      <c r="F45" s="278"/>
      <c r="G45" s="288" t="n">
        <v>2.62</v>
      </c>
      <c r="H45" s="278"/>
      <c r="I45" s="288" t="n">
        <v>2.67</v>
      </c>
      <c r="J45" s="278"/>
      <c r="K45" s="288" t="n">
        <v>42</v>
      </c>
      <c r="L45" s="11"/>
      <c r="M45" s="281"/>
      <c r="N45" s="278"/>
      <c r="O45" s="288"/>
      <c r="P45" s="278"/>
      <c r="Q45" s="289" t="s">
        <v>96</v>
      </c>
      <c r="R45" s="290"/>
      <c r="S45" s="289"/>
      <c r="T45" s="271"/>
      <c r="U45" s="291"/>
      <c r="V45" s="18"/>
      <c r="W45" s="292"/>
      <c r="X45" s="293"/>
      <c r="Y45" s="40" t="s">
        <v>97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98</v>
      </c>
      <c r="B46" s="278"/>
      <c r="C46" s="278"/>
      <c r="D46" s="278"/>
      <c r="E46" s="287" t="s">
        <v>95</v>
      </c>
      <c r="F46" s="278"/>
      <c r="G46" s="288" t="n">
        <v>2.65</v>
      </c>
      <c r="H46" s="278"/>
      <c r="I46" s="288" t="n">
        <v>2.75</v>
      </c>
      <c r="J46" s="278"/>
      <c r="K46" s="288" t="n">
        <v>43</v>
      </c>
      <c r="L46" s="11"/>
      <c r="M46" s="281"/>
      <c r="N46" s="278"/>
      <c r="O46" s="288"/>
      <c r="P46" s="278"/>
      <c r="Q46" s="289" t="s">
        <v>99</v>
      </c>
      <c r="R46" s="290"/>
      <c r="S46" s="293"/>
      <c r="T46" s="271"/>
      <c r="U46" s="293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95</v>
      </c>
      <c r="F47" s="278"/>
      <c r="G47" s="288" t="n">
        <v>2.6</v>
      </c>
      <c r="H47" s="278"/>
      <c r="I47" s="288"/>
      <c r="J47" s="278"/>
      <c r="K47" s="288" t="n">
        <v>34</v>
      </c>
      <c r="L47" s="11"/>
      <c r="M47" s="281"/>
      <c r="N47" s="278"/>
      <c r="O47" s="288"/>
      <c r="P47" s="278"/>
      <c r="Q47" s="289" t="s">
        <v>99</v>
      </c>
      <c r="R47" s="290"/>
      <c r="S47" s="289"/>
      <c r="T47" s="271"/>
      <c r="U47" s="291"/>
      <c r="V47" s="18"/>
      <c r="W47" s="292"/>
      <c r="X47" s="293"/>
      <c r="Y47" s="40" t="s">
        <v>102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103</v>
      </c>
      <c r="B48" s="278"/>
      <c r="C48" s="278"/>
      <c r="D48" s="278"/>
      <c r="E48" s="287" t="s">
        <v>95</v>
      </c>
      <c r="F48" s="278"/>
      <c r="G48" s="288" t="n">
        <v>2.7</v>
      </c>
      <c r="H48" s="278"/>
      <c r="I48" s="288" t="n">
        <v>2.8</v>
      </c>
      <c r="J48" s="278"/>
      <c r="K48" s="288" t="n">
        <v>44</v>
      </c>
      <c r="L48" s="11"/>
      <c r="M48" s="281"/>
      <c r="N48" s="278"/>
      <c r="O48" s="288"/>
      <c r="P48" s="278"/>
      <c r="Q48" s="289" t="s">
        <v>104</v>
      </c>
      <c r="R48" s="290"/>
      <c r="S48" s="288" t="n">
        <v>0.65</v>
      </c>
      <c r="T48" s="278"/>
      <c r="U48" s="288" t="n">
        <v>0.7</v>
      </c>
      <c r="V48" s="18"/>
      <c r="W48" s="294" t="n">
        <v>22</v>
      </c>
      <c r="X48" s="288"/>
      <c r="Y48" s="40" t="s">
        <v>105</v>
      </c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2.56</v>
      </c>
      <c r="H49" s="278"/>
      <c r="I49" s="288" t="n">
        <v>2.68</v>
      </c>
      <c r="J49" s="278"/>
      <c r="K49" s="288" t="n">
        <v>43</v>
      </c>
      <c r="L49" s="11"/>
      <c r="M49" s="281"/>
      <c r="N49" s="278"/>
      <c r="O49" s="288"/>
      <c r="P49" s="278"/>
      <c r="Q49" s="289"/>
      <c r="R49" s="290"/>
      <c r="S49" s="288"/>
      <c r="T49" s="278"/>
      <c r="U49" s="288"/>
      <c r="V49" s="18"/>
      <c r="W49" s="294"/>
      <c r="X49" s="288"/>
      <c r="Y49" s="40"/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108</v>
      </c>
      <c r="B50" s="278"/>
      <c r="C50" s="278"/>
      <c r="D50" s="278"/>
      <c r="E50" s="287" t="s">
        <v>109</v>
      </c>
      <c r="F50" s="278"/>
      <c r="G50" s="288" t="n">
        <v>2.6</v>
      </c>
      <c r="H50" s="278"/>
      <c r="I50" s="288"/>
      <c r="J50" s="278"/>
      <c r="K50" s="288" t="n">
        <v>38</v>
      </c>
      <c r="L50" s="11"/>
      <c r="M50" s="281"/>
      <c r="N50" s="278"/>
      <c r="O50" s="288"/>
      <c r="P50" s="278"/>
      <c r="Q50" s="289" t="s">
        <v>99</v>
      </c>
      <c r="R50" s="290"/>
      <c r="S50" s="293"/>
      <c r="T50" s="271"/>
      <c r="U50" s="293"/>
      <c r="V50" s="18"/>
      <c r="W50" s="292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/>
      <c r="F51" s="278"/>
      <c r="G51" s="288"/>
      <c r="H51" s="278"/>
      <c r="I51" s="288"/>
      <c r="J51" s="278"/>
      <c r="K51" s="288"/>
      <c r="L51" s="11"/>
      <c r="M51" s="281"/>
      <c r="N51" s="278"/>
      <c r="O51" s="288"/>
      <c r="P51" s="278"/>
      <c r="Q51" s="289" t="s">
        <v>95</v>
      </c>
      <c r="R51" s="290"/>
      <c r="S51" s="295"/>
      <c r="T51" s="296"/>
      <c r="U51" s="295"/>
      <c r="V51" s="18"/>
      <c r="W51" s="297"/>
      <c r="X51" s="293"/>
      <c r="Y51" s="40" t="s">
        <v>112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113</v>
      </c>
      <c r="B52" s="278"/>
      <c r="C52" s="278"/>
      <c r="D52" s="278"/>
      <c r="E52" s="287" t="s">
        <v>95</v>
      </c>
      <c r="F52" s="278"/>
      <c r="G52" s="288" t="n">
        <v>2.58</v>
      </c>
      <c r="H52" s="278"/>
      <c r="I52" s="288" t="n">
        <v>2.68</v>
      </c>
      <c r="J52" s="278"/>
      <c r="K52" s="288" t="n">
        <v>42</v>
      </c>
      <c r="L52" s="11"/>
      <c r="M52" s="281"/>
      <c r="N52" s="278"/>
      <c r="O52" s="288"/>
      <c r="P52" s="278"/>
      <c r="Q52" s="289" t="s">
        <v>114</v>
      </c>
      <c r="R52" s="290"/>
      <c r="S52" s="295" t="n">
        <v>0.6</v>
      </c>
      <c r="T52" s="296"/>
      <c r="U52" s="288" t="n">
        <v>0.65</v>
      </c>
      <c r="V52" s="18"/>
      <c r="W52" s="297" t="n">
        <v>19</v>
      </c>
      <c r="X52" s="293"/>
      <c r="Y52" s="40" t="s">
        <v>115</v>
      </c>
      <c r="Z52" s="40"/>
      <c r="AA52" s="40"/>
      <c r="AB52" s="40"/>
      <c r="AC52" s="11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116</v>
      </c>
      <c r="B53" s="278"/>
      <c r="C53" s="278"/>
      <c r="D53" s="278"/>
      <c r="E53" s="287" t="s">
        <v>117</v>
      </c>
      <c r="F53" s="278"/>
      <c r="G53" s="288" t="n">
        <v>2.6</v>
      </c>
      <c r="H53" s="278"/>
      <c r="I53" s="288" t="n">
        <v>2.7</v>
      </c>
      <c r="J53" s="278"/>
      <c r="K53" s="288" t="n">
        <v>43.48</v>
      </c>
      <c r="L53" s="11"/>
      <c r="M53" s="281"/>
      <c r="N53" s="278"/>
      <c r="O53" s="288"/>
      <c r="P53" s="278"/>
      <c r="Q53" s="289" t="s">
        <v>118</v>
      </c>
      <c r="R53" s="290"/>
      <c r="S53" s="288" t="n">
        <v>0.67</v>
      </c>
      <c r="T53" s="278"/>
      <c r="U53" s="288" t="n">
        <v>0.65</v>
      </c>
      <c r="V53" s="18"/>
      <c r="W53" s="294"/>
      <c r="X53" s="288"/>
      <c r="Y53" s="40" t="s">
        <v>119</v>
      </c>
      <c r="Z53" s="40"/>
      <c r="AA53" s="40"/>
      <c r="AB53" s="40"/>
      <c r="AC53" s="22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6" t="s">
        <v>120</v>
      </c>
      <c r="B54" s="278"/>
      <c r="C54" s="278"/>
      <c r="D54" s="278"/>
      <c r="E54" s="287" t="s">
        <v>121</v>
      </c>
      <c r="F54" s="278"/>
      <c r="G54" s="288" t="n">
        <v>2.6</v>
      </c>
      <c r="H54" s="278"/>
      <c r="I54" s="288" t="n">
        <v>2.65</v>
      </c>
      <c r="J54" s="278"/>
      <c r="K54" s="288" t="n">
        <v>40</v>
      </c>
      <c r="L54" s="11"/>
      <c r="M54" s="281"/>
      <c r="N54" s="278"/>
      <c r="O54" s="288"/>
      <c r="P54" s="278"/>
      <c r="Q54" s="289" t="s">
        <v>99</v>
      </c>
      <c r="R54" s="290"/>
      <c r="S54" s="293"/>
      <c r="T54" s="271"/>
      <c r="U54" s="293"/>
      <c r="V54" s="18"/>
      <c r="W54" s="292"/>
      <c r="X54" s="293"/>
      <c r="Y54" s="40" t="s">
        <v>122</v>
      </c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123</v>
      </c>
      <c r="B55" s="278"/>
      <c r="C55" s="278"/>
      <c r="D55" s="278"/>
      <c r="E55" s="287" t="s">
        <v>95</v>
      </c>
      <c r="F55" s="278"/>
      <c r="G55" s="288" t="n">
        <v>2.55</v>
      </c>
      <c r="H55" s="278"/>
      <c r="I55" s="288" t="n">
        <v>2.7</v>
      </c>
      <c r="J55" s="278"/>
      <c r="K55" s="288" t="n">
        <v>45</v>
      </c>
      <c r="L55" s="11"/>
      <c r="M55" s="281"/>
      <c r="N55" s="278"/>
      <c r="O55" s="288"/>
      <c r="P55" s="278"/>
      <c r="Q55" s="289" t="s">
        <v>121</v>
      </c>
      <c r="R55" s="290"/>
      <c r="S55" s="288" t="n">
        <v>0.6</v>
      </c>
      <c r="T55" s="278"/>
      <c r="U55" s="288" t="n">
        <v>0.65</v>
      </c>
      <c r="V55" s="18"/>
      <c r="W55" s="294" t="n">
        <v>19</v>
      </c>
      <c r="X55" s="293"/>
      <c r="Y55" s="40"/>
      <c r="Z55" s="40"/>
      <c r="AA55" s="40"/>
      <c r="AB55" s="40"/>
      <c r="AC55" s="11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 t="s">
        <v>124</v>
      </c>
      <c r="B56" s="278"/>
      <c r="C56" s="278"/>
      <c r="D56" s="278"/>
      <c r="E56" s="287" t="s">
        <v>95</v>
      </c>
      <c r="F56" s="278"/>
      <c r="G56" s="288" t="n">
        <v>2.6</v>
      </c>
      <c r="H56" s="278"/>
      <c r="I56" s="288" t="n">
        <v>2.7</v>
      </c>
      <c r="J56" s="278"/>
      <c r="K56" s="288" t="n">
        <v>47</v>
      </c>
      <c r="L56" s="11"/>
      <c r="M56" s="281"/>
      <c r="N56" s="278"/>
      <c r="O56" s="288"/>
      <c r="P56" s="278"/>
      <c r="Q56" s="289" t="s">
        <v>95</v>
      </c>
      <c r="R56" s="290"/>
      <c r="S56" s="288" t="n">
        <v>0.6</v>
      </c>
      <c r="T56" s="278"/>
      <c r="U56" s="288"/>
      <c r="V56" s="18"/>
      <c r="W56" s="294" t="n">
        <v>19</v>
      </c>
      <c r="X56" s="288"/>
      <c r="Y56" s="40" t="s">
        <v>125</v>
      </c>
      <c r="Z56" s="40"/>
      <c r="AA56" s="40"/>
      <c r="AB56" s="40"/>
      <c r="AC56" s="22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8"/>
      <c r="B57" s="278"/>
      <c r="C57" s="278"/>
      <c r="D57" s="278"/>
      <c r="E57" s="14"/>
      <c r="F57" s="278"/>
      <c r="G57" s="288"/>
      <c r="H57" s="278"/>
      <c r="I57" s="288"/>
      <c r="J57" s="278"/>
      <c r="K57" s="288"/>
      <c r="L57" s="14"/>
      <c r="M57" s="14"/>
      <c r="N57" s="278"/>
      <c r="O57" s="288"/>
      <c r="P57" s="278"/>
      <c r="Q57" s="14"/>
      <c r="R57" s="290"/>
      <c r="S57" s="287"/>
      <c r="T57" s="278"/>
      <c r="U57" s="14"/>
      <c r="V57" s="14"/>
      <c r="W57" s="299"/>
      <c r="X57" s="278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8" t="s">
        <v>16</v>
      </c>
      <c r="B58" s="14"/>
      <c r="C58" s="23"/>
      <c r="D58" s="14"/>
      <c r="E58" s="14"/>
      <c r="F58" s="14"/>
      <c r="G58" s="300" t="n">
        <f aca="false">AVERAGEA(G45:G56)</f>
        <v>2.60545454545455</v>
      </c>
      <c r="H58" s="13"/>
      <c r="I58" s="300" t="n">
        <f aca="false">AVERAGEA(I45:I56)</f>
        <v>2.70333333333333</v>
      </c>
      <c r="J58" s="15"/>
      <c r="K58" s="300" t="n">
        <f aca="false">AVERAGEA(K45:K56)</f>
        <v>41.9527272727273</v>
      </c>
      <c r="L58" s="14"/>
      <c r="M58" s="14"/>
      <c r="N58" s="13"/>
      <c r="O58" s="14"/>
      <c r="P58" s="13"/>
      <c r="Q58" s="14"/>
      <c r="R58" s="290"/>
      <c r="S58" s="300" t="n">
        <f aca="false">AVERAGEA(S45:S56)</f>
        <v>0.624</v>
      </c>
      <c r="T58" s="37"/>
      <c r="U58" s="300" t="n">
        <f aca="false">AVERAGEA(U45:U56)</f>
        <v>0.6625</v>
      </c>
      <c r="V58" s="14"/>
      <c r="W58" s="301" t="n">
        <f aca="false">AVERAGEA(W45:W56)</f>
        <v>19.75</v>
      </c>
      <c r="X58" s="302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8"/>
      <c r="B59" s="14"/>
      <c r="C59" s="23"/>
      <c r="D59" s="14"/>
      <c r="E59" s="14"/>
      <c r="F59" s="14"/>
      <c r="G59" s="13"/>
      <c r="H59" s="13"/>
      <c r="I59" s="302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02"/>
      <c r="W59" s="303"/>
      <c r="X59" s="40"/>
      <c r="Y59" s="40"/>
      <c r="Z59" s="40"/>
      <c r="AA59" s="40"/>
      <c r="AB59" s="40"/>
      <c r="AC59" s="20"/>
      <c r="AD59" s="28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4"/>
      <c r="AQ59" s="275"/>
      <c r="AR59" s="276"/>
      <c r="AS59" s="276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4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0"/>
      <c r="S61" s="14"/>
      <c r="T61" s="37"/>
      <c r="U61" s="14"/>
      <c r="V61" s="37"/>
      <c r="W61" s="30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6"/>
      <c r="B62" s="165"/>
      <c r="C62" s="307"/>
      <c r="D62" s="165"/>
      <c r="E62" s="165"/>
      <c r="F62" s="165"/>
      <c r="G62" s="308"/>
      <c r="H62" s="308"/>
      <c r="I62" s="309"/>
      <c r="J62" s="309"/>
      <c r="K62" s="165"/>
      <c r="L62" s="165"/>
      <c r="M62" s="310"/>
      <c r="N62" s="308"/>
      <c r="O62" s="309"/>
      <c r="P62" s="308"/>
      <c r="Q62" s="311"/>
      <c r="R62" s="312"/>
      <c r="S62" s="165"/>
      <c r="T62" s="311"/>
      <c r="U62" s="165"/>
      <c r="V62" s="311"/>
      <c r="W62" s="313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5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5"/>
      <c r="B63" s="195"/>
      <c r="C63" s="314"/>
      <c r="D63" s="195"/>
      <c r="E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27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315"/>
      <c r="I64" s="316"/>
      <c r="J64" s="316"/>
      <c r="K64" s="190"/>
      <c r="L64" s="315"/>
      <c r="M64" s="316"/>
      <c r="N64" s="315"/>
      <c r="O64" s="191"/>
      <c r="P64" s="191"/>
      <c r="Q64" s="191"/>
      <c r="R64" s="191"/>
      <c r="S64" s="191"/>
      <c r="T64" s="315"/>
      <c r="U64" s="195"/>
      <c r="AC64" s="195"/>
      <c r="AF64" s="127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318"/>
      <c r="P65" s="318"/>
      <c r="Q65" s="318"/>
      <c r="R65" s="318"/>
      <c r="S65" s="318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27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A66" s="195"/>
      <c r="B66" s="195"/>
      <c r="C66" s="314"/>
      <c r="D66" s="195"/>
      <c r="F66" s="195"/>
      <c r="G66" s="188"/>
      <c r="H66" s="195"/>
      <c r="I66" s="316"/>
      <c r="J66" s="316"/>
      <c r="K66" s="317"/>
      <c r="L66" s="195"/>
      <c r="M66" s="316"/>
      <c r="N66" s="195"/>
      <c r="O66" s="7"/>
      <c r="Q66" s="7"/>
      <c r="S66" s="7"/>
      <c r="T66" s="195"/>
      <c r="U66" s="195"/>
      <c r="V66" s="319"/>
      <c r="W66" s="319"/>
      <c r="X66" s="319"/>
      <c r="Y66" s="319"/>
      <c r="Z66" s="319"/>
      <c r="AA66" s="319"/>
      <c r="AB66" s="319"/>
      <c r="AC66" s="195"/>
      <c r="AF66" s="127"/>
      <c r="AR66" s="31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  <c r="IW66" s="195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27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27"/>
      <c r="AG68" s="322"/>
      <c r="AH68" s="322"/>
      <c r="AI68" s="322"/>
      <c r="AJ68" s="322"/>
      <c r="AK68" s="322"/>
      <c r="AL68" s="322"/>
      <c r="AM68" s="322"/>
      <c r="AN68" s="322"/>
      <c r="AO68" s="322"/>
      <c r="AR68" s="177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27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27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27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27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27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23.25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127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O79" s="320"/>
      <c r="P79" s="321"/>
      <c r="Q79" s="320"/>
      <c r="R79" s="321"/>
      <c r="S79" s="320"/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  <c r="BC79" s="323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  <c r="AT83" s="195"/>
      <c r="AU83" s="195"/>
      <c r="AV83" s="195"/>
      <c r="AX83" s="195"/>
      <c r="AY83" s="195"/>
      <c r="AZ83" s="19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V98" s="319"/>
      <c r="W98" s="319"/>
      <c r="X98" s="319"/>
      <c r="Y98" s="319"/>
      <c r="Z98" s="319"/>
      <c r="AA98" s="319"/>
      <c r="AB98" s="319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  <row r="130" customFormat="false" ht="18" hidden="false" customHeight="false" outlineLevel="0" collapsed="false">
      <c r="AE130" s="322"/>
      <c r="AF130" s="322"/>
      <c r="AG130" s="322"/>
      <c r="AH130" s="322"/>
      <c r="AI130" s="322"/>
      <c r="AJ130" s="322"/>
      <c r="AK130" s="322"/>
      <c r="AL130" s="322"/>
      <c r="AM130" s="322"/>
      <c r="AN130" s="322"/>
      <c r="AO130" s="322"/>
      <c r="AR130" s="185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2001-05-30T16:08:01Z</cp:lastPrinted>
  <dcterms:modified xsi:type="dcterms:W3CDTF">2001-06-01T18:17:06Z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